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autoCompressPictures="0"/>
  <bookViews>
    <workbookView xWindow="0" yWindow="585" windowWidth="19440" windowHeight="14280" tabRatio="1000"/>
  </bookViews>
  <sheets>
    <sheet name="Cover " sheetId="16" r:id="rId1"/>
    <sheet name="Assumptions &amp; Results" sheetId="1" r:id="rId2"/>
    <sheet name="Field 1 Depr" sheetId="9" r:id="rId3"/>
    <sheet name="Sheet1" sheetId="22" state="hidden" r:id="rId4"/>
    <sheet name="Field 1 Fiscal" sheetId="8" r:id="rId5"/>
    <sheet name="Field 1 Investor" sheetId="2" r:id="rId6"/>
    <sheet name="Field 2 Depr" sheetId="10" r:id="rId7"/>
    <sheet name="Field 2 Fiscal" sheetId="13" r:id="rId8"/>
    <sheet name="Field 2 Investor" sheetId="11" r:id="rId9"/>
    <sheet name="Field 3 Depr" sheetId="12" r:id="rId10"/>
    <sheet name="Field 3 Fiscal" sheetId="15" r:id="rId11"/>
    <sheet name="Field 3 Investor" sheetId="14" r:id="rId12"/>
    <sheet name="Gas PL" sheetId="3" r:id="rId13"/>
    <sheet name="LNG Equity " sheetId="4" r:id="rId14"/>
    <sheet name="LNG Tolling" sheetId="6" r:id="rId15"/>
    <sheet name="Consolidated LNG Equity" sheetId="5" r:id="rId16"/>
    <sheet name="Consolidated LNG Tolling" sheetId="7" r:id="rId17"/>
    <sheet name="One Ring Fence Depr" sheetId="19" r:id="rId18"/>
    <sheet name="One Ring Fence Fiscal" sheetId="18" r:id="rId19"/>
    <sheet name="Consolidated One Ring Fence" sheetId="21" r:id="rId20"/>
    <sheet name="Financing for Fiscal Terms Only" sheetId="20" r:id="rId21"/>
    <sheet name="NOC &amp; IOC Shares" sheetId="17" r:id="rId22"/>
    <sheet name="Sheet2" sheetId="23" state="hidden" r:id="rId23"/>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C35" i="3" l="1"/>
  <c r="D20" i="1"/>
  <c r="C7" i="2"/>
  <c r="C8" i="2"/>
  <c r="C18" i="3"/>
  <c r="C23" i="3"/>
  <c r="C7" i="11"/>
  <c r="C8" i="11"/>
  <c r="C19" i="3"/>
  <c r="C24" i="3"/>
  <c r="C7" i="14"/>
  <c r="C8" i="14"/>
  <c r="C20" i="3"/>
  <c r="C25" i="3"/>
  <c r="C26" i="3"/>
  <c r="C14" i="3"/>
  <c r="D65" i="1"/>
  <c r="C15" i="3"/>
  <c r="C38" i="3"/>
  <c r="D30" i="3"/>
  <c r="E2" i="1"/>
  <c r="E20" i="1"/>
  <c r="D7" i="2"/>
  <c r="D8" i="2"/>
  <c r="D18" i="3"/>
  <c r="D23" i="3"/>
  <c r="D7" i="11"/>
  <c r="D8" i="11"/>
  <c r="D19" i="3"/>
  <c r="D24" i="3"/>
  <c r="D7" i="14"/>
  <c r="D8" i="14"/>
  <c r="D20" i="3"/>
  <c r="D25" i="3"/>
  <c r="D26" i="3"/>
  <c r="D14" i="3"/>
  <c r="D15" i="3"/>
  <c r="D4" i="3"/>
  <c r="C4" i="3"/>
  <c r="B79" i="3"/>
  <c r="C71" i="3"/>
  <c r="C8" i="3"/>
  <c r="C10" i="3"/>
  <c r="C74" i="3"/>
  <c r="D79" i="3"/>
  <c r="B80" i="3"/>
  <c r="C72" i="3"/>
  <c r="E65" i="1"/>
  <c r="D8" i="3"/>
  <c r="D10" i="3"/>
  <c r="D74" i="3"/>
  <c r="D80" i="3"/>
  <c r="D112" i="3"/>
  <c r="D29" i="3"/>
  <c r="D32" i="3"/>
  <c r="C30" i="3"/>
  <c r="C79" i="3"/>
  <c r="C112" i="3"/>
  <c r="C29" i="3"/>
  <c r="C32" i="3"/>
  <c r="C33" i="3"/>
  <c r="D34" i="3"/>
  <c r="D35" i="3"/>
  <c r="D38" i="3"/>
  <c r="E30" i="3"/>
  <c r="F2" i="1"/>
  <c r="F20" i="1"/>
  <c r="E7" i="2"/>
  <c r="E8" i="2"/>
  <c r="E18" i="3"/>
  <c r="E23" i="3"/>
  <c r="E7" i="11"/>
  <c r="E8" i="11"/>
  <c r="E19" i="3"/>
  <c r="E24" i="3"/>
  <c r="E7" i="14"/>
  <c r="E8" i="14"/>
  <c r="E20" i="3"/>
  <c r="E25" i="3"/>
  <c r="E26" i="3"/>
  <c r="E14" i="3"/>
  <c r="E15" i="3"/>
  <c r="E4" i="3"/>
  <c r="E79" i="3"/>
  <c r="E80" i="3"/>
  <c r="B81" i="3"/>
  <c r="F65" i="1"/>
  <c r="E8" i="3"/>
  <c r="E10" i="3"/>
  <c r="E74" i="3"/>
  <c r="E81" i="3"/>
  <c r="E112" i="3"/>
  <c r="E29" i="3"/>
  <c r="E32" i="3"/>
  <c r="D33" i="3"/>
  <c r="E34" i="3"/>
  <c r="E35" i="3"/>
  <c r="E38" i="3"/>
  <c r="F30" i="3"/>
  <c r="G2" i="1"/>
  <c r="G20" i="1"/>
  <c r="F7" i="2"/>
  <c r="F8" i="2"/>
  <c r="F18" i="3"/>
  <c r="F23" i="3"/>
  <c r="F7" i="11"/>
  <c r="F8" i="11"/>
  <c r="F19" i="3"/>
  <c r="F24" i="3"/>
  <c r="F7" i="14"/>
  <c r="F8" i="14"/>
  <c r="F20" i="3"/>
  <c r="F25" i="3"/>
  <c r="F26" i="3"/>
  <c r="F14" i="3"/>
  <c r="F15" i="3"/>
  <c r="F4" i="3"/>
  <c r="F79" i="3"/>
  <c r="F80" i="3"/>
  <c r="F81" i="3"/>
  <c r="B82" i="3"/>
  <c r="G65" i="1"/>
  <c r="F8" i="3"/>
  <c r="F10" i="3"/>
  <c r="F74" i="3"/>
  <c r="F82" i="3"/>
  <c r="F112" i="3"/>
  <c r="F29" i="3"/>
  <c r="F32" i="3"/>
  <c r="E33" i="3"/>
  <c r="F34" i="3"/>
  <c r="F35" i="3"/>
  <c r="F38" i="3"/>
  <c r="G30" i="3"/>
  <c r="G21" i="1"/>
  <c r="H2" i="1"/>
  <c r="H21" i="1"/>
  <c r="H20" i="1"/>
  <c r="G7" i="2"/>
  <c r="G8" i="2"/>
  <c r="G18" i="3"/>
  <c r="G23" i="3"/>
  <c r="G7" i="11"/>
  <c r="G8" i="11"/>
  <c r="G19" i="3"/>
  <c r="G24" i="3"/>
  <c r="G7" i="14"/>
  <c r="G8" i="14"/>
  <c r="G20" i="3"/>
  <c r="G25" i="3"/>
  <c r="G26" i="3"/>
  <c r="G14" i="3"/>
  <c r="G15" i="3"/>
  <c r="G4" i="3"/>
  <c r="G79" i="3"/>
  <c r="G80" i="3"/>
  <c r="G81" i="3"/>
  <c r="G82" i="3"/>
  <c r="B83" i="3"/>
  <c r="G83" i="3"/>
  <c r="G112" i="3"/>
  <c r="G29" i="3"/>
  <c r="G32" i="3"/>
  <c r="F33" i="3"/>
  <c r="G34" i="3"/>
  <c r="G35" i="3"/>
  <c r="H65" i="1"/>
  <c r="G38" i="3"/>
  <c r="H30" i="3"/>
  <c r="I2" i="1"/>
  <c r="I21" i="1"/>
  <c r="I20" i="1"/>
  <c r="H7" i="2"/>
  <c r="H8" i="2"/>
  <c r="H18" i="3"/>
  <c r="H23" i="3"/>
  <c r="H7" i="11"/>
  <c r="H8" i="11"/>
  <c r="H19" i="3"/>
  <c r="H24" i="3"/>
  <c r="H7" i="14"/>
  <c r="H8" i="14"/>
  <c r="H20" i="3"/>
  <c r="H25" i="3"/>
  <c r="H26" i="3"/>
  <c r="H14" i="3"/>
  <c r="H15" i="3"/>
  <c r="H4" i="3"/>
  <c r="H79" i="3"/>
  <c r="H80" i="3"/>
  <c r="H81" i="3"/>
  <c r="H82" i="3"/>
  <c r="H83" i="3"/>
  <c r="B84" i="3"/>
  <c r="I65" i="1"/>
  <c r="H8" i="3"/>
  <c r="H10" i="3"/>
  <c r="H74" i="3"/>
  <c r="H84" i="3"/>
  <c r="H112" i="3"/>
  <c r="H29" i="3"/>
  <c r="H32" i="3"/>
  <c r="G33" i="3"/>
  <c r="H34" i="3"/>
  <c r="H35" i="3"/>
  <c r="H38" i="3"/>
  <c r="I30" i="3"/>
  <c r="J2" i="1"/>
  <c r="J21" i="1"/>
  <c r="J20" i="1"/>
  <c r="I7" i="2"/>
  <c r="I8" i="2"/>
  <c r="I18" i="3"/>
  <c r="I23" i="3"/>
  <c r="I7" i="11"/>
  <c r="I8" i="11"/>
  <c r="I19" i="3"/>
  <c r="I24" i="3"/>
  <c r="I7" i="14"/>
  <c r="I8" i="14"/>
  <c r="I20" i="3"/>
  <c r="I25" i="3"/>
  <c r="I26" i="3"/>
  <c r="I14" i="3"/>
  <c r="I15" i="3"/>
  <c r="I4" i="3"/>
  <c r="I79" i="3"/>
  <c r="I80" i="3"/>
  <c r="I81" i="3"/>
  <c r="I82" i="3"/>
  <c r="I83" i="3"/>
  <c r="I84" i="3"/>
  <c r="B85" i="3"/>
  <c r="I85" i="3"/>
  <c r="I112" i="3"/>
  <c r="I29" i="3"/>
  <c r="I32" i="3"/>
  <c r="H33" i="3"/>
  <c r="I34" i="3"/>
  <c r="I35" i="3"/>
  <c r="J65" i="1"/>
  <c r="I38" i="3"/>
  <c r="J30" i="3"/>
  <c r="K2" i="1"/>
  <c r="K21" i="1"/>
  <c r="K20" i="1"/>
  <c r="J7" i="2"/>
  <c r="J8" i="2"/>
  <c r="J18" i="3"/>
  <c r="J23" i="3"/>
  <c r="J7" i="11"/>
  <c r="J8" i="11"/>
  <c r="J19" i="3"/>
  <c r="J24" i="3"/>
  <c r="J7" i="14"/>
  <c r="J8" i="14"/>
  <c r="J20" i="3"/>
  <c r="J25" i="3"/>
  <c r="J26" i="3"/>
  <c r="J14" i="3"/>
  <c r="J15" i="3"/>
  <c r="J4" i="3"/>
  <c r="J79" i="3"/>
  <c r="J80" i="3"/>
  <c r="J81" i="3"/>
  <c r="J82" i="3"/>
  <c r="J83" i="3"/>
  <c r="J84" i="3"/>
  <c r="J85" i="3"/>
  <c r="B86" i="3"/>
  <c r="K65" i="1"/>
  <c r="J8" i="3"/>
  <c r="J10" i="3"/>
  <c r="J74" i="3"/>
  <c r="J86" i="3"/>
  <c r="J112" i="3"/>
  <c r="J29" i="3"/>
  <c r="J32" i="3"/>
  <c r="I33" i="3"/>
  <c r="J34" i="3"/>
  <c r="J35" i="3"/>
  <c r="J38" i="3"/>
  <c r="K30" i="3"/>
  <c r="L2" i="1"/>
  <c r="L21" i="1"/>
  <c r="L20" i="1"/>
  <c r="K7" i="2"/>
  <c r="K8" i="2"/>
  <c r="K18" i="3"/>
  <c r="K23" i="3"/>
  <c r="K7" i="11"/>
  <c r="K8" i="11"/>
  <c r="K19" i="3"/>
  <c r="K24" i="3"/>
  <c r="K7" i="14"/>
  <c r="K8" i="14"/>
  <c r="K20" i="3"/>
  <c r="K25" i="3"/>
  <c r="K26" i="3"/>
  <c r="K14" i="3"/>
  <c r="K15" i="3"/>
  <c r="K4" i="3"/>
  <c r="K79" i="3"/>
  <c r="K80" i="3"/>
  <c r="K81" i="3"/>
  <c r="K82" i="3"/>
  <c r="K83" i="3"/>
  <c r="K84" i="3"/>
  <c r="K85" i="3"/>
  <c r="K86" i="3"/>
  <c r="B87" i="3"/>
  <c r="L65" i="1"/>
  <c r="K8" i="3"/>
  <c r="K10" i="3"/>
  <c r="K74" i="3"/>
  <c r="K87" i="3"/>
  <c r="K112" i="3"/>
  <c r="K29" i="3"/>
  <c r="K32" i="3"/>
  <c r="J33" i="3"/>
  <c r="K34" i="3"/>
  <c r="K35" i="3"/>
  <c r="K38" i="3"/>
  <c r="L30" i="3"/>
  <c r="M2" i="1"/>
  <c r="M21" i="1"/>
  <c r="M20" i="1"/>
  <c r="L7" i="2"/>
  <c r="L8" i="2"/>
  <c r="L18" i="3"/>
  <c r="L23" i="3"/>
  <c r="L7" i="11"/>
  <c r="L8" i="11"/>
  <c r="L19" i="3"/>
  <c r="L24" i="3"/>
  <c r="L7" i="14"/>
  <c r="L8" i="14"/>
  <c r="L20" i="3"/>
  <c r="L25" i="3"/>
  <c r="L26" i="3"/>
  <c r="L14" i="3"/>
  <c r="L15" i="3"/>
  <c r="L4" i="3"/>
  <c r="L79" i="3"/>
  <c r="L80" i="3"/>
  <c r="L81" i="3"/>
  <c r="L82" i="3"/>
  <c r="L83" i="3"/>
  <c r="L84" i="3"/>
  <c r="L85" i="3"/>
  <c r="L86" i="3"/>
  <c r="L87" i="3"/>
  <c r="B88" i="3"/>
  <c r="M65" i="1"/>
  <c r="L8" i="3"/>
  <c r="L10" i="3"/>
  <c r="L74" i="3"/>
  <c r="L88" i="3"/>
  <c r="L112" i="3"/>
  <c r="L29" i="3"/>
  <c r="L32" i="3"/>
  <c r="K33" i="3"/>
  <c r="L34" i="3"/>
  <c r="L35" i="3"/>
  <c r="L38" i="3"/>
  <c r="M30" i="3"/>
  <c r="N2" i="1"/>
  <c r="N21" i="1"/>
  <c r="N20" i="1"/>
  <c r="M7" i="2"/>
  <c r="M8" i="2"/>
  <c r="M18" i="3"/>
  <c r="M23" i="3"/>
  <c r="M7" i="11"/>
  <c r="M8" i="11"/>
  <c r="M19" i="3"/>
  <c r="M24" i="3"/>
  <c r="M7" i="14"/>
  <c r="M8" i="14"/>
  <c r="M20" i="3"/>
  <c r="M25" i="3"/>
  <c r="M26" i="3"/>
  <c r="M14" i="3"/>
  <c r="M15" i="3"/>
  <c r="M4" i="3"/>
  <c r="M79" i="3"/>
  <c r="M80" i="3"/>
  <c r="M81" i="3"/>
  <c r="M82" i="3"/>
  <c r="M83" i="3"/>
  <c r="M84" i="3"/>
  <c r="M85" i="3"/>
  <c r="M86" i="3"/>
  <c r="M87" i="3"/>
  <c r="M88" i="3"/>
  <c r="B89" i="3"/>
  <c r="N65" i="1"/>
  <c r="M8" i="3"/>
  <c r="M10" i="3"/>
  <c r="M74" i="3"/>
  <c r="M89" i="3"/>
  <c r="M112" i="3"/>
  <c r="M29" i="3"/>
  <c r="M32" i="3"/>
  <c r="L33" i="3"/>
  <c r="M34" i="3"/>
  <c r="M35" i="3"/>
  <c r="M38" i="3"/>
  <c r="N30" i="3"/>
  <c r="O2" i="1"/>
  <c r="O21" i="1"/>
  <c r="O20" i="1"/>
  <c r="N7" i="2"/>
  <c r="N8" i="2"/>
  <c r="N18" i="3"/>
  <c r="N23" i="3"/>
  <c r="N7" i="11"/>
  <c r="N8" i="11"/>
  <c r="N19" i="3"/>
  <c r="N24" i="3"/>
  <c r="N7" i="14"/>
  <c r="N8" i="14"/>
  <c r="N20" i="3"/>
  <c r="N25" i="3"/>
  <c r="N26" i="3"/>
  <c r="N14" i="3"/>
  <c r="N15" i="3"/>
  <c r="N4" i="3"/>
  <c r="N79" i="3"/>
  <c r="N80" i="3"/>
  <c r="N81" i="3"/>
  <c r="N82" i="3"/>
  <c r="N83" i="3"/>
  <c r="N84" i="3"/>
  <c r="N85" i="3"/>
  <c r="N86" i="3"/>
  <c r="N87" i="3"/>
  <c r="N88" i="3"/>
  <c r="N89" i="3"/>
  <c r="B90" i="3"/>
  <c r="O65" i="1"/>
  <c r="N8" i="3"/>
  <c r="N10" i="3"/>
  <c r="N74" i="3"/>
  <c r="N90" i="3"/>
  <c r="N112" i="3"/>
  <c r="N29" i="3"/>
  <c r="N32" i="3"/>
  <c r="M33" i="3"/>
  <c r="N34" i="3"/>
  <c r="N35" i="3"/>
  <c r="N38" i="3"/>
  <c r="O30" i="3"/>
  <c r="P2" i="1"/>
  <c r="P21" i="1"/>
  <c r="P20" i="1"/>
  <c r="O7" i="2"/>
  <c r="O8" i="2"/>
  <c r="O18" i="3"/>
  <c r="O23" i="3"/>
  <c r="O7" i="11"/>
  <c r="O8" i="11"/>
  <c r="O19" i="3"/>
  <c r="O24" i="3"/>
  <c r="O7" i="14"/>
  <c r="O8" i="14"/>
  <c r="O20" i="3"/>
  <c r="O25" i="3"/>
  <c r="O26" i="3"/>
  <c r="O14" i="3"/>
  <c r="O15" i="3"/>
  <c r="O4" i="3"/>
  <c r="O79" i="3"/>
  <c r="O80" i="3"/>
  <c r="O81" i="3"/>
  <c r="O82" i="3"/>
  <c r="O83" i="3"/>
  <c r="O84" i="3"/>
  <c r="O85" i="3"/>
  <c r="O86" i="3"/>
  <c r="O87" i="3"/>
  <c r="O88" i="3"/>
  <c r="O89" i="3"/>
  <c r="O90" i="3"/>
  <c r="B91" i="3"/>
  <c r="P65" i="1"/>
  <c r="O8" i="3"/>
  <c r="O10" i="3"/>
  <c r="O74" i="3"/>
  <c r="O91" i="3"/>
  <c r="O112" i="3"/>
  <c r="O29" i="3"/>
  <c r="O32" i="3"/>
  <c r="N33" i="3"/>
  <c r="O34" i="3"/>
  <c r="O35" i="3"/>
  <c r="O38" i="3"/>
  <c r="P30" i="3"/>
  <c r="Q2" i="1"/>
  <c r="Q21" i="1"/>
  <c r="Q20" i="1"/>
  <c r="P7" i="2"/>
  <c r="P8" i="2"/>
  <c r="P18" i="3"/>
  <c r="P23" i="3"/>
  <c r="P7" i="11"/>
  <c r="P8" i="11"/>
  <c r="P19" i="3"/>
  <c r="P24" i="3"/>
  <c r="P7" i="14"/>
  <c r="P8" i="14"/>
  <c r="P20" i="3"/>
  <c r="P25" i="3"/>
  <c r="P26" i="3"/>
  <c r="P14" i="3"/>
  <c r="P15" i="3"/>
  <c r="P4" i="3"/>
  <c r="P79" i="3"/>
  <c r="P80" i="3"/>
  <c r="P81" i="3"/>
  <c r="P82" i="3"/>
  <c r="P83" i="3"/>
  <c r="P84" i="3"/>
  <c r="P85" i="3"/>
  <c r="P86" i="3"/>
  <c r="P87" i="3"/>
  <c r="P88" i="3"/>
  <c r="P89" i="3"/>
  <c r="P90" i="3"/>
  <c r="P91" i="3"/>
  <c r="B92" i="3"/>
  <c r="Q65" i="1"/>
  <c r="P8" i="3"/>
  <c r="P10" i="3"/>
  <c r="P74" i="3"/>
  <c r="P92" i="3"/>
  <c r="P112" i="3"/>
  <c r="P29" i="3"/>
  <c r="P32" i="3"/>
  <c r="O33" i="3"/>
  <c r="P34" i="3"/>
  <c r="P35" i="3"/>
  <c r="P38" i="3"/>
  <c r="Q30" i="3"/>
  <c r="R2" i="1"/>
  <c r="R21" i="1"/>
  <c r="R20" i="1"/>
  <c r="Q7" i="2"/>
  <c r="Q8" i="2"/>
  <c r="Q18" i="3"/>
  <c r="Q23" i="3"/>
  <c r="Q7" i="11"/>
  <c r="Q8" i="11"/>
  <c r="Q19" i="3"/>
  <c r="Q24" i="3"/>
  <c r="Q7" i="14"/>
  <c r="Q8" i="14"/>
  <c r="Q20" i="3"/>
  <c r="Q25" i="3"/>
  <c r="Q26" i="3"/>
  <c r="Q14" i="3"/>
  <c r="Q15" i="3"/>
  <c r="Q4" i="3"/>
  <c r="Q79" i="3"/>
  <c r="Q80" i="3"/>
  <c r="Q81" i="3"/>
  <c r="Q82" i="3"/>
  <c r="Q83" i="3"/>
  <c r="Q84" i="3"/>
  <c r="Q85" i="3"/>
  <c r="Q86" i="3"/>
  <c r="Q87" i="3"/>
  <c r="Q88" i="3"/>
  <c r="Q89" i="3"/>
  <c r="Q90" i="3"/>
  <c r="Q91" i="3"/>
  <c r="Q92" i="3"/>
  <c r="B93" i="3"/>
  <c r="R65" i="1"/>
  <c r="Q8" i="3"/>
  <c r="Q10" i="3"/>
  <c r="Q74" i="3"/>
  <c r="Q93" i="3"/>
  <c r="Q112" i="3"/>
  <c r="Q29" i="3"/>
  <c r="Q32" i="3"/>
  <c r="P33" i="3"/>
  <c r="Q34" i="3"/>
  <c r="Q35" i="3"/>
  <c r="Q38" i="3"/>
  <c r="R30" i="3"/>
  <c r="S2" i="1"/>
  <c r="S21" i="1"/>
  <c r="S20" i="1"/>
  <c r="R7" i="2"/>
  <c r="R8" i="2"/>
  <c r="R18" i="3"/>
  <c r="R23" i="3"/>
  <c r="R7" i="11"/>
  <c r="R8" i="11"/>
  <c r="R19" i="3"/>
  <c r="R24" i="3"/>
  <c r="R7" i="14"/>
  <c r="R8" i="14"/>
  <c r="R20" i="3"/>
  <c r="R25" i="3"/>
  <c r="R26" i="3"/>
  <c r="R14" i="3"/>
  <c r="R15" i="3"/>
  <c r="R4" i="3"/>
  <c r="R79" i="3"/>
  <c r="R80" i="3"/>
  <c r="R81" i="3"/>
  <c r="R82" i="3"/>
  <c r="R83" i="3"/>
  <c r="R84" i="3"/>
  <c r="R85" i="3"/>
  <c r="R86" i="3"/>
  <c r="R87" i="3"/>
  <c r="R88" i="3"/>
  <c r="R89" i="3"/>
  <c r="R90" i="3"/>
  <c r="R91" i="3"/>
  <c r="R92" i="3"/>
  <c r="R93" i="3"/>
  <c r="B94" i="3"/>
  <c r="S65" i="1"/>
  <c r="R8" i="3"/>
  <c r="R10" i="3"/>
  <c r="R74" i="3"/>
  <c r="R94" i="3"/>
  <c r="R112" i="3"/>
  <c r="R29" i="3"/>
  <c r="R32" i="3"/>
  <c r="Q33" i="3"/>
  <c r="R34" i="3"/>
  <c r="R35" i="3"/>
  <c r="R38" i="3"/>
  <c r="S30" i="3"/>
  <c r="T2" i="1"/>
  <c r="T21" i="1"/>
  <c r="T20" i="1"/>
  <c r="S7" i="2"/>
  <c r="S8" i="2"/>
  <c r="S18" i="3"/>
  <c r="S23" i="3"/>
  <c r="S7" i="11"/>
  <c r="S8" i="11"/>
  <c r="S19" i="3"/>
  <c r="S24" i="3"/>
  <c r="S7" i="14"/>
  <c r="S8" i="14"/>
  <c r="S20" i="3"/>
  <c r="S25" i="3"/>
  <c r="S26" i="3"/>
  <c r="S14" i="3"/>
  <c r="S15" i="3"/>
  <c r="S4" i="3"/>
  <c r="S79" i="3"/>
  <c r="S80" i="3"/>
  <c r="S81" i="3"/>
  <c r="S82" i="3"/>
  <c r="S83" i="3"/>
  <c r="S84" i="3"/>
  <c r="S85" i="3"/>
  <c r="S86" i="3"/>
  <c r="S87" i="3"/>
  <c r="S88" i="3"/>
  <c r="S89" i="3"/>
  <c r="S90" i="3"/>
  <c r="S91" i="3"/>
  <c r="S92" i="3"/>
  <c r="S93" i="3"/>
  <c r="S94" i="3"/>
  <c r="B95" i="3"/>
  <c r="T65" i="1"/>
  <c r="S8" i="3"/>
  <c r="S10" i="3"/>
  <c r="S74" i="3"/>
  <c r="S95" i="3"/>
  <c r="S112" i="3"/>
  <c r="S29" i="3"/>
  <c r="S32" i="3"/>
  <c r="R33" i="3"/>
  <c r="S34" i="3"/>
  <c r="S35" i="3"/>
  <c r="S38" i="3"/>
  <c r="T30" i="3"/>
  <c r="U2" i="1"/>
  <c r="U21" i="1"/>
  <c r="U20" i="1"/>
  <c r="T7" i="2"/>
  <c r="T8" i="2"/>
  <c r="T18" i="3"/>
  <c r="T23" i="3"/>
  <c r="T7" i="11"/>
  <c r="T8" i="11"/>
  <c r="T19" i="3"/>
  <c r="T24" i="3"/>
  <c r="T7" i="14"/>
  <c r="T8" i="14"/>
  <c r="T20" i="3"/>
  <c r="T25" i="3"/>
  <c r="T26" i="3"/>
  <c r="T14" i="3"/>
  <c r="T15" i="3"/>
  <c r="T4" i="3"/>
  <c r="T79" i="3"/>
  <c r="T80" i="3"/>
  <c r="T81" i="3"/>
  <c r="T82" i="3"/>
  <c r="T83" i="3"/>
  <c r="T84" i="3"/>
  <c r="T85" i="3"/>
  <c r="T86" i="3"/>
  <c r="T87" i="3"/>
  <c r="T88" i="3"/>
  <c r="T89" i="3"/>
  <c r="T90" i="3"/>
  <c r="T91" i="3"/>
  <c r="T92" i="3"/>
  <c r="T93" i="3"/>
  <c r="T94" i="3"/>
  <c r="T95" i="3"/>
  <c r="B96" i="3"/>
  <c r="U65" i="1"/>
  <c r="T8" i="3"/>
  <c r="T10" i="3"/>
  <c r="T74" i="3"/>
  <c r="T96" i="3"/>
  <c r="T112" i="3"/>
  <c r="T29" i="3"/>
  <c r="T32" i="3"/>
  <c r="S33" i="3"/>
  <c r="T34" i="3"/>
  <c r="T35" i="3"/>
  <c r="T38" i="3"/>
  <c r="U30" i="3"/>
  <c r="V2" i="1"/>
  <c r="V21" i="1"/>
  <c r="V20" i="1"/>
  <c r="U7" i="2"/>
  <c r="U8" i="2"/>
  <c r="U18" i="3"/>
  <c r="U23" i="3"/>
  <c r="U7" i="11"/>
  <c r="U8" i="11"/>
  <c r="U19" i="3"/>
  <c r="U24" i="3"/>
  <c r="U7" i="14"/>
  <c r="U8" i="14"/>
  <c r="U20" i="3"/>
  <c r="U25" i="3"/>
  <c r="U26" i="3"/>
  <c r="U14" i="3"/>
  <c r="U15" i="3"/>
  <c r="U4" i="3"/>
  <c r="U79" i="3"/>
  <c r="U80" i="3"/>
  <c r="U81" i="3"/>
  <c r="U82" i="3"/>
  <c r="U83" i="3"/>
  <c r="U84" i="3"/>
  <c r="U85" i="3"/>
  <c r="U86" i="3"/>
  <c r="U87" i="3"/>
  <c r="U88" i="3"/>
  <c r="U89" i="3"/>
  <c r="U90" i="3"/>
  <c r="U91" i="3"/>
  <c r="U92" i="3"/>
  <c r="U93" i="3"/>
  <c r="U94" i="3"/>
  <c r="U95" i="3"/>
  <c r="U96" i="3"/>
  <c r="B97" i="3"/>
  <c r="V65" i="1"/>
  <c r="U8" i="3"/>
  <c r="U10" i="3"/>
  <c r="U74" i="3"/>
  <c r="U97" i="3"/>
  <c r="U112" i="3"/>
  <c r="U29" i="3"/>
  <c r="U32" i="3"/>
  <c r="T33" i="3"/>
  <c r="U34" i="3"/>
  <c r="U35" i="3"/>
  <c r="U38" i="3"/>
  <c r="V30" i="3"/>
  <c r="W2" i="1"/>
  <c r="W21" i="1"/>
  <c r="W20" i="1"/>
  <c r="V7" i="2"/>
  <c r="V8" i="2"/>
  <c r="V18" i="3"/>
  <c r="V23" i="3"/>
  <c r="V7" i="11"/>
  <c r="V8" i="11"/>
  <c r="V19" i="3"/>
  <c r="V24" i="3"/>
  <c r="W23" i="1"/>
  <c r="V7" i="14"/>
  <c r="V8" i="14"/>
  <c r="V20" i="3"/>
  <c r="V25" i="3"/>
  <c r="V26" i="3"/>
  <c r="V14" i="3"/>
  <c r="V15" i="3"/>
  <c r="V4" i="3"/>
  <c r="V79" i="3"/>
  <c r="V80" i="3"/>
  <c r="V81" i="3"/>
  <c r="V82" i="3"/>
  <c r="V83" i="3"/>
  <c r="V84" i="3"/>
  <c r="V85" i="3"/>
  <c r="V86" i="3"/>
  <c r="V87" i="3"/>
  <c r="V88" i="3"/>
  <c r="V89" i="3"/>
  <c r="V90" i="3"/>
  <c r="V91" i="3"/>
  <c r="V92" i="3"/>
  <c r="V93" i="3"/>
  <c r="V94" i="3"/>
  <c r="V95" i="3"/>
  <c r="V96" i="3"/>
  <c r="V97" i="3"/>
  <c r="B98" i="3"/>
  <c r="W65" i="1"/>
  <c r="V8" i="3"/>
  <c r="V10" i="3"/>
  <c r="V74" i="3"/>
  <c r="V98" i="3"/>
  <c r="V112" i="3"/>
  <c r="V29" i="3"/>
  <c r="V32" i="3"/>
  <c r="U33" i="3"/>
  <c r="V34" i="3"/>
  <c r="V35" i="3"/>
  <c r="V38" i="3"/>
  <c r="W30" i="3"/>
  <c r="X2" i="1"/>
  <c r="X21" i="1"/>
  <c r="X20" i="1"/>
  <c r="W7" i="2"/>
  <c r="W8" i="2"/>
  <c r="W18" i="3"/>
  <c r="W23" i="3"/>
  <c r="W7" i="11"/>
  <c r="W8" i="11"/>
  <c r="W19" i="3"/>
  <c r="W24" i="3"/>
  <c r="X23" i="1"/>
  <c r="W7" i="14"/>
  <c r="W8" i="14"/>
  <c r="W20" i="3"/>
  <c r="W25" i="3"/>
  <c r="W26" i="3"/>
  <c r="W14" i="3"/>
  <c r="W15" i="3"/>
  <c r="W4" i="3"/>
  <c r="W79" i="3"/>
  <c r="W80" i="3"/>
  <c r="W81" i="3"/>
  <c r="W82" i="3"/>
  <c r="W83" i="3"/>
  <c r="W84" i="3"/>
  <c r="W85" i="3"/>
  <c r="W86" i="3"/>
  <c r="W87" i="3"/>
  <c r="W88" i="3"/>
  <c r="W89" i="3"/>
  <c r="W90" i="3"/>
  <c r="W91" i="3"/>
  <c r="W92" i="3"/>
  <c r="W93" i="3"/>
  <c r="W94" i="3"/>
  <c r="W95" i="3"/>
  <c r="W96" i="3"/>
  <c r="W97" i="3"/>
  <c r="W98" i="3"/>
  <c r="B99" i="3"/>
  <c r="X65" i="1"/>
  <c r="W8" i="3"/>
  <c r="W10" i="3"/>
  <c r="W74" i="3"/>
  <c r="W99" i="3"/>
  <c r="W112" i="3"/>
  <c r="W29" i="3"/>
  <c r="W32" i="3"/>
  <c r="V33" i="3"/>
  <c r="W34" i="3"/>
  <c r="W35" i="3"/>
  <c r="W38" i="3"/>
  <c r="X30" i="3"/>
  <c r="Y2" i="1"/>
  <c r="Y21" i="1"/>
  <c r="Y20" i="1"/>
  <c r="X7" i="2"/>
  <c r="X8" i="2"/>
  <c r="X18" i="3"/>
  <c r="X23" i="3"/>
  <c r="X7" i="11"/>
  <c r="X8" i="11"/>
  <c r="X19" i="3"/>
  <c r="X24" i="3"/>
  <c r="Y23" i="1"/>
  <c r="X7" i="14"/>
  <c r="X8" i="14"/>
  <c r="X20" i="3"/>
  <c r="X25" i="3"/>
  <c r="X26" i="3"/>
  <c r="X14" i="3"/>
  <c r="X15" i="3"/>
  <c r="X4" i="3"/>
  <c r="X79" i="3"/>
  <c r="X80" i="3"/>
  <c r="X81" i="3"/>
  <c r="X82" i="3"/>
  <c r="X83" i="3"/>
  <c r="X84" i="3"/>
  <c r="X85" i="3"/>
  <c r="X86" i="3"/>
  <c r="X87" i="3"/>
  <c r="X88" i="3"/>
  <c r="X89" i="3"/>
  <c r="X90" i="3"/>
  <c r="X91" i="3"/>
  <c r="X92" i="3"/>
  <c r="X93" i="3"/>
  <c r="X94" i="3"/>
  <c r="X95" i="3"/>
  <c r="X96" i="3"/>
  <c r="X97" i="3"/>
  <c r="X98" i="3"/>
  <c r="X99" i="3"/>
  <c r="B100" i="3"/>
  <c r="Y65" i="1"/>
  <c r="X8" i="3"/>
  <c r="X10" i="3"/>
  <c r="X74" i="3"/>
  <c r="X100" i="3"/>
  <c r="X112" i="3"/>
  <c r="X29" i="3"/>
  <c r="X32" i="3"/>
  <c r="W33" i="3"/>
  <c r="X34" i="3"/>
  <c r="X35" i="3"/>
  <c r="X38" i="3"/>
  <c r="Y30" i="3"/>
  <c r="Z2" i="1"/>
  <c r="Z21" i="1"/>
  <c r="Z20" i="1"/>
  <c r="Y7" i="2"/>
  <c r="Y8" i="2"/>
  <c r="Y18" i="3"/>
  <c r="Y23" i="3"/>
  <c r="Y7" i="11"/>
  <c r="Y8" i="11"/>
  <c r="Y19" i="3"/>
  <c r="Y24" i="3"/>
  <c r="Z23" i="1"/>
  <c r="Y7" i="14"/>
  <c r="Y8" i="14"/>
  <c r="Y20" i="3"/>
  <c r="Y25" i="3"/>
  <c r="Y26" i="3"/>
  <c r="Y14" i="3"/>
  <c r="Y15" i="3"/>
  <c r="Y4" i="3"/>
  <c r="Y79" i="3"/>
  <c r="Y80" i="3"/>
  <c r="Y81" i="3"/>
  <c r="Y82" i="3"/>
  <c r="Y83" i="3"/>
  <c r="Y84" i="3"/>
  <c r="Y85" i="3"/>
  <c r="Y86" i="3"/>
  <c r="Y87" i="3"/>
  <c r="Y88" i="3"/>
  <c r="Y89" i="3"/>
  <c r="Y90" i="3"/>
  <c r="Y91" i="3"/>
  <c r="Y92" i="3"/>
  <c r="Y93" i="3"/>
  <c r="Y94" i="3"/>
  <c r="Y95" i="3"/>
  <c r="Y96" i="3"/>
  <c r="Y97" i="3"/>
  <c r="Y98" i="3"/>
  <c r="Y99" i="3"/>
  <c r="Y100" i="3"/>
  <c r="B101" i="3"/>
  <c r="Z65" i="1"/>
  <c r="Y8" i="3"/>
  <c r="Y10" i="3"/>
  <c r="Y74" i="3"/>
  <c r="Y101" i="3"/>
  <c r="Y112" i="3"/>
  <c r="Y29" i="3"/>
  <c r="Y32" i="3"/>
  <c r="X33" i="3"/>
  <c r="Y34" i="3"/>
  <c r="Y35" i="3"/>
  <c r="Y38" i="3"/>
  <c r="Z30" i="3"/>
  <c r="AA2" i="1"/>
  <c r="AA21" i="1"/>
  <c r="AA20" i="1"/>
  <c r="Z7" i="2"/>
  <c r="Z8" i="2"/>
  <c r="Z18" i="3"/>
  <c r="Z23" i="3"/>
  <c r="Z7" i="11"/>
  <c r="Z8" i="11"/>
  <c r="Z19" i="3"/>
  <c r="Z24" i="3"/>
  <c r="AA23" i="1"/>
  <c r="Z7" i="14"/>
  <c r="Z8" i="14"/>
  <c r="Z20" i="3"/>
  <c r="Z25" i="3"/>
  <c r="Z26" i="3"/>
  <c r="Z14" i="3"/>
  <c r="Z15" i="3"/>
  <c r="Z4" i="3"/>
  <c r="Z79" i="3"/>
  <c r="Z80" i="3"/>
  <c r="Z81" i="3"/>
  <c r="Z82" i="3"/>
  <c r="Z83" i="3"/>
  <c r="Z84" i="3"/>
  <c r="Z85" i="3"/>
  <c r="Z86" i="3"/>
  <c r="Z87" i="3"/>
  <c r="Z88" i="3"/>
  <c r="Z89" i="3"/>
  <c r="Z90" i="3"/>
  <c r="Z91" i="3"/>
  <c r="Z92" i="3"/>
  <c r="Z93" i="3"/>
  <c r="Z94" i="3"/>
  <c r="Z95" i="3"/>
  <c r="Z96" i="3"/>
  <c r="Z97" i="3"/>
  <c r="Z98" i="3"/>
  <c r="Z99" i="3"/>
  <c r="Z100" i="3"/>
  <c r="Z101" i="3"/>
  <c r="B102" i="3"/>
  <c r="AA65" i="1"/>
  <c r="Z8" i="3"/>
  <c r="Z10" i="3"/>
  <c r="Z74" i="3"/>
  <c r="Z102" i="3"/>
  <c r="Z112" i="3"/>
  <c r="Z29" i="3"/>
  <c r="Z32" i="3"/>
  <c r="Y33" i="3"/>
  <c r="Z34" i="3"/>
  <c r="Z35" i="3"/>
  <c r="Z38" i="3"/>
  <c r="AA30" i="3"/>
  <c r="AB2" i="1"/>
  <c r="AB21" i="1"/>
  <c r="AB20" i="1"/>
  <c r="AA7" i="2"/>
  <c r="AA8" i="2"/>
  <c r="AA18" i="3"/>
  <c r="AA23" i="3"/>
  <c r="AA7" i="11"/>
  <c r="AA8" i="11"/>
  <c r="AA19" i="3"/>
  <c r="AA24" i="3"/>
  <c r="AB23" i="1"/>
  <c r="AA7" i="14"/>
  <c r="AA8" i="14"/>
  <c r="AA20" i="3"/>
  <c r="AA25" i="3"/>
  <c r="AA26" i="3"/>
  <c r="AA14" i="3"/>
  <c r="AA15" i="3"/>
  <c r="AA4" i="3"/>
  <c r="AA79" i="3"/>
  <c r="AA80" i="3"/>
  <c r="AA81" i="3"/>
  <c r="AA82" i="3"/>
  <c r="AA83" i="3"/>
  <c r="AA84" i="3"/>
  <c r="AA85" i="3"/>
  <c r="AA86" i="3"/>
  <c r="AA87" i="3"/>
  <c r="AA88" i="3"/>
  <c r="AA89" i="3"/>
  <c r="AA90" i="3"/>
  <c r="AA91" i="3"/>
  <c r="AA92" i="3"/>
  <c r="AA93" i="3"/>
  <c r="AA94" i="3"/>
  <c r="AA95" i="3"/>
  <c r="AA96" i="3"/>
  <c r="AA97" i="3"/>
  <c r="AA98" i="3"/>
  <c r="AA99" i="3"/>
  <c r="AA100" i="3"/>
  <c r="AA101" i="3"/>
  <c r="AA102" i="3"/>
  <c r="B103" i="3"/>
  <c r="AB65" i="1"/>
  <c r="AA8" i="3"/>
  <c r="AA10" i="3"/>
  <c r="AA74" i="3"/>
  <c r="AA103" i="3"/>
  <c r="AA112" i="3"/>
  <c r="AA29" i="3"/>
  <c r="AA32" i="3"/>
  <c r="Z33" i="3"/>
  <c r="AA34" i="3"/>
  <c r="AA35" i="3"/>
  <c r="AA38" i="3"/>
  <c r="AB30" i="3"/>
  <c r="AC2" i="1"/>
  <c r="AC21" i="1"/>
  <c r="AC20" i="1"/>
  <c r="AB7" i="2"/>
  <c r="AB8" i="2"/>
  <c r="AB18" i="3"/>
  <c r="AB23" i="3"/>
  <c r="AB7" i="11"/>
  <c r="AB8" i="11"/>
  <c r="AB19" i="3"/>
  <c r="AB24" i="3"/>
  <c r="AC23" i="1"/>
  <c r="AB7" i="14"/>
  <c r="AB8" i="14"/>
  <c r="AB20" i="3"/>
  <c r="AB25" i="3"/>
  <c r="AB26" i="3"/>
  <c r="AB14" i="3"/>
  <c r="AB15" i="3"/>
  <c r="AB4" i="3"/>
  <c r="AB79" i="3"/>
  <c r="AB80" i="3"/>
  <c r="AB81" i="3"/>
  <c r="AB82" i="3"/>
  <c r="AB83" i="3"/>
  <c r="AB84" i="3"/>
  <c r="AB85" i="3"/>
  <c r="AB86" i="3"/>
  <c r="AB87" i="3"/>
  <c r="AB88" i="3"/>
  <c r="AB89" i="3"/>
  <c r="AB90" i="3"/>
  <c r="AB91" i="3"/>
  <c r="AB92" i="3"/>
  <c r="AB93" i="3"/>
  <c r="AB94" i="3"/>
  <c r="AB95" i="3"/>
  <c r="AB96" i="3"/>
  <c r="AB97" i="3"/>
  <c r="AB98" i="3"/>
  <c r="AB99" i="3"/>
  <c r="AB100" i="3"/>
  <c r="AB101" i="3"/>
  <c r="AB102" i="3"/>
  <c r="AB103" i="3"/>
  <c r="B104" i="3"/>
  <c r="AC65" i="1"/>
  <c r="AB8" i="3"/>
  <c r="AB10" i="3"/>
  <c r="AB74" i="3"/>
  <c r="AB104" i="3"/>
  <c r="AB112" i="3"/>
  <c r="AB29" i="3"/>
  <c r="AB32" i="3"/>
  <c r="AA33" i="3"/>
  <c r="AB34" i="3"/>
  <c r="AB35" i="3"/>
  <c r="AB38" i="3"/>
  <c r="AC30" i="3"/>
  <c r="AD2" i="1"/>
  <c r="AD21" i="1"/>
  <c r="AD20" i="1"/>
  <c r="AC7" i="2"/>
  <c r="AC8" i="2"/>
  <c r="AC18" i="3"/>
  <c r="AC23" i="3"/>
  <c r="AC7" i="11"/>
  <c r="AC8" i="11"/>
  <c r="AC19" i="3"/>
  <c r="AC24" i="3"/>
  <c r="AD23" i="1"/>
  <c r="AC7" i="14"/>
  <c r="AC8" i="14"/>
  <c r="AC20" i="3"/>
  <c r="AC25" i="3"/>
  <c r="AC26" i="3"/>
  <c r="AC14" i="3"/>
  <c r="AC15" i="3"/>
  <c r="AC4" i="3"/>
  <c r="AC79" i="3"/>
  <c r="AC80" i="3"/>
  <c r="AC81" i="3"/>
  <c r="AC82" i="3"/>
  <c r="AC83" i="3"/>
  <c r="AC84" i="3"/>
  <c r="AC85" i="3"/>
  <c r="AC86" i="3"/>
  <c r="AC87" i="3"/>
  <c r="AC88" i="3"/>
  <c r="AC89" i="3"/>
  <c r="AC90" i="3"/>
  <c r="AC91" i="3"/>
  <c r="AC92" i="3"/>
  <c r="AC93" i="3"/>
  <c r="AC94" i="3"/>
  <c r="AC95" i="3"/>
  <c r="AC96" i="3"/>
  <c r="AC97" i="3"/>
  <c r="AC98" i="3"/>
  <c r="AC99" i="3"/>
  <c r="AC100" i="3"/>
  <c r="AC101" i="3"/>
  <c r="AC102" i="3"/>
  <c r="AC103" i="3"/>
  <c r="AC104" i="3"/>
  <c r="B105" i="3"/>
  <c r="AD65" i="1"/>
  <c r="AC8" i="3"/>
  <c r="AC10" i="3"/>
  <c r="AC74" i="3"/>
  <c r="AC105" i="3"/>
  <c r="AC112" i="3"/>
  <c r="AC29" i="3"/>
  <c r="AC32" i="3"/>
  <c r="AB33" i="3"/>
  <c r="AC34" i="3"/>
  <c r="AC35" i="3"/>
  <c r="AC38" i="3"/>
  <c r="AD30" i="3"/>
  <c r="AE2" i="1"/>
  <c r="AE21" i="1"/>
  <c r="AE20" i="1"/>
  <c r="AD7" i="2"/>
  <c r="AD8" i="2"/>
  <c r="AD18" i="3"/>
  <c r="AD23" i="3"/>
  <c r="AD7" i="11"/>
  <c r="AD8" i="11"/>
  <c r="AD19" i="3"/>
  <c r="AD24" i="3"/>
  <c r="AE23" i="1"/>
  <c r="AD7" i="14"/>
  <c r="AD8" i="14"/>
  <c r="AD20" i="3"/>
  <c r="AD25" i="3"/>
  <c r="AD26" i="3"/>
  <c r="AD14" i="3"/>
  <c r="AD15" i="3"/>
  <c r="AD4" i="3"/>
  <c r="AD79" i="3"/>
  <c r="AD80" i="3"/>
  <c r="AD81" i="3"/>
  <c r="AD82" i="3"/>
  <c r="AD83" i="3"/>
  <c r="AD84" i="3"/>
  <c r="AD85" i="3"/>
  <c r="AD86" i="3"/>
  <c r="AD87" i="3"/>
  <c r="AD88" i="3"/>
  <c r="AD89" i="3"/>
  <c r="AD90" i="3"/>
  <c r="AD91" i="3"/>
  <c r="AD92" i="3"/>
  <c r="AD93" i="3"/>
  <c r="AD94" i="3"/>
  <c r="AD95" i="3"/>
  <c r="AD96" i="3"/>
  <c r="AD97" i="3"/>
  <c r="AD98" i="3"/>
  <c r="AD99" i="3"/>
  <c r="AD100" i="3"/>
  <c r="AD101" i="3"/>
  <c r="AD102" i="3"/>
  <c r="AD103" i="3"/>
  <c r="AD104" i="3"/>
  <c r="AD105" i="3"/>
  <c r="B106" i="3"/>
  <c r="AE65" i="1"/>
  <c r="AD8" i="3"/>
  <c r="AD10" i="3"/>
  <c r="AD74" i="3"/>
  <c r="AD106" i="3"/>
  <c r="AD112" i="3"/>
  <c r="AD29" i="3"/>
  <c r="AD32" i="3"/>
  <c r="AC33" i="3"/>
  <c r="AD34" i="3"/>
  <c r="AD35" i="3"/>
  <c r="AD38" i="3"/>
  <c r="AE30" i="3"/>
  <c r="AF2" i="1"/>
  <c r="AF21" i="1"/>
  <c r="AF20" i="1"/>
  <c r="AE7" i="2"/>
  <c r="AE8" i="2"/>
  <c r="AE18" i="3"/>
  <c r="AE23" i="3"/>
  <c r="AE7" i="11"/>
  <c r="AE8" i="11"/>
  <c r="AE19" i="3"/>
  <c r="AE24" i="3"/>
  <c r="AF23" i="1"/>
  <c r="AE7" i="14"/>
  <c r="AE8" i="14"/>
  <c r="AE20" i="3"/>
  <c r="AE25" i="3"/>
  <c r="AE26" i="3"/>
  <c r="AE14" i="3"/>
  <c r="AE15" i="3"/>
  <c r="AE4" i="3"/>
  <c r="AE79" i="3"/>
  <c r="AE80" i="3"/>
  <c r="AE81" i="3"/>
  <c r="AE82" i="3"/>
  <c r="AE83" i="3"/>
  <c r="AE84" i="3"/>
  <c r="AE85" i="3"/>
  <c r="AE86" i="3"/>
  <c r="AE87" i="3"/>
  <c r="AE88" i="3"/>
  <c r="AE89" i="3"/>
  <c r="AE90" i="3"/>
  <c r="AE91" i="3"/>
  <c r="AE92" i="3"/>
  <c r="AE93" i="3"/>
  <c r="AE94" i="3"/>
  <c r="AE95" i="3"/>
  <c r="AE96" i="3"/>
  <c r="AE97" i="3"/>
  <c r="AE98" i="3"/>
  <c r="AE99" i="3"/>
  <c r="AE100" i="3"/>
  <c r="AE101" i="3"/>
  <c r="AE102" i="3"/>
  <c r="AE103" i="3"/>
  <c r="AE104" i="3"/>
  <c r="AE105" i="3"/>
  <c r="AE106" i="3"/>
  <c r="B107" i="3"/>
  <c r="AF65" i="1"/>
  <c r="AE8" i="3"/>
  <c r="AE10" i="3"/>
  <c r="AE74" i="3"/>
  <c r="AE107" i="3"/>
  <c r="AE112" i="3"/>
  <c r="AE29" i="3"/>
  <c r="AE32" i="3"/>
  <c r="AD33" i="3"/>
  <c r="AE34" i="3"/>
  <c r="AE35" i="3"/>
  <c r="AE38" i="3"/>
  <c r="AF30" i="3"/>
  <c r="AG2" i="1"/>
  <c r="AG21" i="1"/>
  <c r="AG20" i="1"/>
  <c r="AF7" i="2"/>
  <c r="AF8" i="2"/>
  <c r="AF18" i="3"/>
  <c r="AF23" i="3"/>
  <c r="AF7" i="11"/>
  <c r="AF8" i="11"/>
  <c r="AF19" i="3"/>
  <c r="AF24" i="3"/>
  <c r="AG23" i="1"/>
  <c r="AF7" i="14"/>
  <c r="AF8" i="14"/>
  <c r="AF20" i="3"/>
  <c r="AF25" i="3"/>
  <c r="AF26" i="3"/>
  <c r="AF14" i="3"/>
  <c r="AF15" i="3"/>
  <c r="AF4" i="3"/>
  <c r="AF79" i="3"/>
  <c r="AF80" i="3"/>
  <c r="AF81" i="3"/>
  <c r="AF82" i="3"/>
  <c r="AF83" i="3"/>
  <c r="AF84" i="3"/>
  <c r="AF85" i="3"/>
  <c r="AF86" i="3"/>
  <c r="AF87" i="3"/>
  <c r="AF88" i="3"/>
  <c r="AF89" i="3"/>
  <c r="AF90" i="3"/>
  <c r="AF91" i="3"/>
  <c r="AF92" i="3"/>
  <c r="AF93" i="3"/>
  <c r="AF94" i="3"/>
  <c r="AF95" i="3"/>
  <c r="AF96" i="3"/>
  <c r="AF97" i="3"/>
  <c r="AF98" i="3"/>
  <c r="AF99" i="3"/>
  <c r="AF100" i="3"/>
  <c r="AF101" i="3"/>
  <c r="AF102" i="3"/>
  <c r="AF103" i="3"/>
  <c r="AF104" i="3"/>
  <c r="AF105" i="3"/>
  <c r="AF106" i="3"/>
  <c r="AF107" i="3"/>
  <c r="B108" i="3"/>
  <c r="AG65" i="1"/>
  <c r="AF8" i="3"/>
  <c r="AF10" i="3"/>
  <c r="AF74" i="3"/>
  <c r="AF108" i="3"/>
  <c r="AF112" i="3"/>
  <c r="AF29" i="3"/>
  <c r="AF32" i="3"/>
  <c r="AE33" i="3"/>
  <c r="AF34" i="3"/>
  <c r="AF35" i="3"/>
  <c r="AF38" i="3"/>
  <c r="AG30" i="3"/>
  <c r="AH2" i="1"/>
  <c r="AH21" i="1"/>
  <c r="AH20" i="1"/>
  <c r="AG7" i="2"/>
  <c r="AG8" i="2"/>
  <c r="AG18" i="3"/>
  <c r="AG23" i="3"/>
  <c r="AG7" i="11"/>
  <c r="AG8" i="11"/>
  <c r="AG19" i="3"/>
  <c r="AG24" i="3"/>
  <c r="AH23" i="1"/>
  <c r="AG7" i="14"/>
  <c r="AG8" i="14"/>
  <c r="AG20" i="3"/>
  <c r="AG25" i="3"/>
  <c r="AG26" i="3"/>
  <c r="AG14" i="3"/>
  <c r="AG15" i="3"/>
  <c r="AG4" i="3"/>
  <c r="AG79" i="3"/>
  <c r="AG80" i="3"/>
  <c r="AG81" i="3"/>
  <c r="AG82" i="3"/>
  <c r="AG83" i="3"/>
  <c r="AG84" i="3"/>
  <c r="AG85" i="3"/>
  <c r="AG86" i="3"/>
  <c r="AG87" i="3"/>
  <c r="AG88" i="3"/>
  <c r="AG89" i="3"/>
  <c r="AG90" i="3"/>
  <c r="AG91" i="3"/>
  <c r="AG92" i="3"/>
  <c r="AG93" i="3"/>
  <c r="AG94" i="3"/>
  <c r="AG95" i="3"/>
  <c r="AG96" i="3"/>
  <c r="AG97" i="3"/>
  <c r="AG98" i="3"/>
  <c r="AG99" i="3"/>
  <c r="AG100" i="3"/>
  <c r="AG101" i="3"/>
  <c r="AG102" i="3"/>
  <c r="AG103" i="3"/>
  <c r="AG104" i="3"/>
  <c r="AG105" i="3"/>
  <c r="AG106" i="3"/>
  <c r="AG107" i="3"/>
  <c r="AG108" i="3"/>
  <c r="B109" i="3"/>
  <c r="AH65" i="1"/>
  <c r="AG8" i="3"/>
  <c r="AG10" i="3"/>
  <c r="AG74" i="3"/>
  <c r="AG109" i="3"/>
  <c r="AG112" i="3"/>
  <c r="AG29" i="3"/>
  <c r="AG32" i="3"/>
  <c r="AF33" i="3"/>
  <c r="AG34" i="3"/>
  <c r="AG35" i="3"/>
  <c r="AG38" i="3"/>
  <c r="AH30" i="3"/>
  <c r="AI2" i="1"/>
  <c r="AI21" i="1"/>
  <c r="AI20" i="1"/>
  <c r="AH7" i="2"/>
  <c r="AH8" i="2"/>
  <c r="AH18" i="3"/>
  <c r="AH23" i="3"/>
  <c r="AH7" i="11"/>
  <c r="AH8" i="11"/>
  <c r="AH19" i="3"/>
  <c r="AH24" i="3"/>
  <c r="AI23" i="1"/>
  <c r="AH7" i="14"/>
  <c r="AH8" i="14"/>
  <c r="AH20" i="3"/>
  <c r="AH25" i="3"/>
  <c r="AH26" i="3"/>
  <c r="AH14" i="3"/>
  <c r="AH15" i="3"/>
  <c r="AH4" i="3"/>
  <c r="AH79" i="3"/>
  <c r="AH80" i="3"/>
  <c r="AH81" i="3"/>
  <c r="AH82" i="3"/>
  <c r="AH83" i="3"/>
  <c r="AH84" i="3"/>
  <c r="AH85" i="3"/>
  <c r="AH86" i="3"/>
  <c r="AH87" i="3"/>
  <c r="AH88" i="3"/>
  <c r="AH89" i="3"/>
  <c r="AH90" i="3"/>
  <c r="AH91" i="3"/>
  <c r="AH92" i="3"/>
  <c r="AH93" i="3"/>
  <c r="AH94" i="3"/>
  <c r="AH95" i="3"/>
  <c r="AH96" i="3"/>
  <c r="AH97" i="3"/>
  <c r="AH98" i="3"/>
  <c r="AH99" i="3"/>
  <c r="AH100" i="3"/>
  <c r="AH101" i="3"/>
  <c r="AH102" i="3"/>
  <c r="AH103" i="3"/>
  <c r="AH104" i="3"/>
  <c r="AH105" i="3"/>
  <c r="AH106" i="3"/>
  <c r="AH107" i="3"/>
  <c r="AH108" i="3"/>
  <c r="AH109" i="3"/>
  <c r="B110" i="3"/>
  <c r="AI65" i="1"/>
  <c r="AH8" i="3"/>
  <c r="AH10" i="3"/>
  <c r="AH74" i="3"/>
  <c r="AH110" i="3"/>
  <c r="AH112" i="3"/>
  <c r="AH29" i="3"/>
  <c r="AH32" i="3"/>
  <c r="AG33" i="3"/>
  <c r="AH34" i="3"/>
  <c r="AH35" i="3"/>
  <c r="AH38" i="3"/>
  <c r="AI30" i="3"/>
  <c r="AJ2" i="1"/>
  <c r="AJ21" i="1"/>
  <c r="AJ20" i="1"/>
  <c r="AI7" i="2"/>
  <c r="AI8" i="2"/>
  <c r="AI18" i="3"/>
  <c r="AI23" i="3"/>
  <c r="AI7" i="11"/>
  <c r="AI8" i="11"/>
  <c r="AI19" i="3"/>
  <c r="AI24" i="3"/>
  <c r="AJ23" i="1"/>
  <c r="AI7" i="14"/>
  <c r="AI8" i="14"/>
  <c r="AI20" i="3"/>
  <c r="AI25" i="3"/>
  <c r="AI26" i="3"/>
  <c r="AI14" i="3"/>
  <c r="AI15" i="3"/>
  <c r="AI4" i="3"/>
  <c r="AI79" i="3"/>
  <c r="AI80" i="3"/>
  <c r="AI81" i="3"/>
  <c r="AI82" i="3"/>
  <c r="AI83" i="3"/>
  <c r="AI84" i="3"/>
  <c r="AI85" i="3"/>
  <c r="AI86" i="3"/>
  <c r="AI87" i="3"/>
  <c r="AI88" i="3"/>
  <c r="AI89" i="3"/>
  <c r="AI90" i="3"/>
  <c r="AI91" i="3"/>
  <c r="AI92" i="3"/>
  <c r="AI93" i="3"/>
  <c r="AI94" i="3"/>
  <c r="AI95" i="3"/>
  <c r="AI96" i="3"/>
  <c r="AI97" i="3"/>
  <c r="AI98" i="3"/>
  <c r="AI99" i="3"/>
  <c r="AI100" i="3"/>
  <c r="AI101" i="3"/>
  <c r="AI102" i="3"/>
  <c r="AI103" i="3"/>
  <c r="AI104" i="3"/>
  <c r="AI105" i="3"/>
  <c r="AI106" i="3"/>
  <c r="AI107" i="3"/>
  <c r="AI108" i="3"/>
  <c r="AI109" i="3"/>
  <c r="AI110" i="3"/>
  <c r="B111" i="3"/>
  <c r="AJ65" i="1"/>
  <c r="AI8" i="3"/>
  <c r="AI10" i="3"/>
  <c r="AI74" i="3"/>
  <c r="AI111" i="3"/>
  <c r="AI112" i="3"/>
  <c r="AI29" i="3"/>
  <c r="AI32" i="3"/>
  <c r="AH33" i="3"/>
  <c r="AI34" i="3"/>
  <c r="AI35" i="3"/>
  <c r="AI38" i="3"/>
  <c r="B39" i="3"/>
  <c r="C39" i="3"/>
  <c r="C10" i="8"/>
  <c r="C23" i="2"/>
  <c r="C25" i="2"/>
  <c r="C9" i="2"/>
  <c r="C10" i="2"/>
  <c r="C12" i="2"/>
  <c r="C13" i="2"/>
  <c r="C18" i="6"/>
  <c r="D98" i="1"/>
  <c r="C23" i="6"/>
  <c r="C26" i="2"/>
  <c r="C27" i="2"/>
  <c r="C28" i="2"/>
  <c r="C24" i="2"/>
  <c r="C29" i="2"/>
  <c r="C6" i="8"/>
  <c r="C9" i="8"/>
  <c r="D40" i="1"/>
  <c r="C5" i="9"/>
  <c r="C9" i="9"/>
  <c r="C6" i="4"/>
  <c r="C10" i="9"/>
  <c r="C11" i="9"/>
  <c r="C2" i="9"/>
  <c r="B15" i="9"/>
  <c r="C3" i="9"/>
  <c r="C15" i="9"/>
  <c r="C48" i="9"/>
  <c r="C16" i="8"/>
  <c r="C17" i="8"/>
  <c r="C18" i="8"/>
  <c r="D6" i="1"/>
  <c r="D4" i="1"/>
  <c r="C15" i="2"/>
  <c r="C18" i="2"/>
  <c r="C19" i="2"/>
  <c r="C16" i="2"/>
  <c r="D28" i="1"/>
  <c r="C11" i="2"/>
  <c r="C17" i="2"/>
  <c r="C20" i="2"/>
  <c r="C5" i="8"/>
  <c r="C7" i="8"/>
  <c r="C20" i="8"/>
  <c r="C22" i="8"/>
  <c r="C44" i="8"/>
  <c r="C32" i="8"/>
  <c r="C45" i="8"/>
  <c r="C33" i="2"/>
  <c r="C51" i="8"/>
  <c r="C34" i="2"/>
  <c r="C26" i="8"/>
  <c r="C32" i="2"/>
  <c r="C35" i="2"/>
  <c r="C4" i="2"/>
  <c r="C38" i="2"/>
  <c r="C76" i="2"/>
  <c r="C77" i="2"/>
  <c r="C61" i="2"/>
  <c r="C62" i="2"/>
  <c r="C66" i="2"/>
  <c r="C58" i="2"/>
  <c r="C64" i="2"/>
  <c r="C68" i="2"/>
  <c r="C82" i="2"/>
  <c r="C46" i="8"/>
  <c r="C29" i="8"/>
  <c r="C12" i="8"/>
  <c r="C30" i="8"/>
  <c r="C31" i="8"/>
  <c r="D32" i="8"/>
  <c r="D10" i="8"/>
  <c r="D23" i="2"/>
  <c r="D25" i="2"/>
  <c r="D9" i="2"/>
  <c r="D10" i="2"/>
  <c r="D12" i="2"/>
  <c r="D13" i="2"/>
  <c r="D18" i="6"/>
  <c r="E98" i="1"/>
  <c r="D23" i="6"/>
  <c r="D26" i="2"/>
  <c r="D27" i="2"/>
  <c r="D28" i="2"/>
  <c r="D24" i="2"/>
  <c r="D29" i="2"/>
  <c r="D6" i="8"/>
  <c r="D9" i="8"/>
  <c r="D2" i="9"/>
  <c r="D15" i="9"/>
  <c r="E40" i="1"/>
  <c r="D5" i="9"/>
  <c r="D9" i="9"/>
  <c r="D6" i="4"/>
  <c r="D10" i="9"/>
  <c r="D11" i="9"/>
  <c r="B16" i="9"/>
  <c r="D16" i="9"/>
  <c r="D48" i="9"/>
  <c r="D16" i="8"/>
  <c r="D18" i="8"/>
  <c r="C23" i="8"/>
  <c r="E6" i="1"/>
  <c r="E4" i="1"/>
  <c r="D15" i="2"/>
  <c r="D18" i="2"/>
  <c r="D19" i="2"/>
  <c r="D16" i="2"/>
  <c r="E28" i="1"/>
  <c r="D11" i="2"/>
  <c r="D17" i="2"/>
  <c r="D20" i="2"/>
  <c r="D5" i="8"/>
  <c r="D7" i="8"/>
  <c r="D20" i="8"/>
  <c r="D22" i="8"/>
  <c r="D44" i="8"/>
  <c r="D45" i="8"/>
  <c r="D33" i="2"/>
  <c r="D46" i="8"/>
  <c r="D26" i="8"/>
  <c r="D48" i="8"/>
  <c r="C48" i="8"/>
  <c r="C49" i="8"/>
  <c r="D50" i="8"/>
  <c r="D51" i="8"/>
  <c r="D34" i="2"/>
  <c r="D32" i="2"/>
  <c r="D35" i="2"/>
  <c r="D4" i="2"/>
  <c r="D38" i="2"/>
  <c r="D76" i="2"/>
  <c r="D77" i="2"/>
  <c r="D61" i="2"/>
  <c r="D62" i="2"/>
  <c r="D66" i="2"/>
  <c r="C65" i="2"/>
  <c r="C70" i="2"/>
  <c r="C72" i="2"/>
  <c r="C74" i="2"/>
  <c r="D68" i="2"/>
  <c r="D58" i="2"/>
  <c r="D82" i="2"/>
  <c r="D29" i="8"/>
  <c r="D12" i="8"/>
  <c r="D30" i="8"/>
  <c r="D31" i="8"/>
  <c r="E32" i="8"/>
  <c r="E10" i="8"/>
  <c r="E23" i="2"/>
  <c r="E25" i="2"/>
  <c r="E9" i="2"/>
  <c r="E10" i="2"/>
  <c r="E12" i="2"/>
  <c r="E13" i="2"/>
  <c r="E18" i="6"/>
  <c r="F98" i="1"/>
  <c r="E23" i="6"/>
  <c r="E26" i="2"/>
  <c r="E27" i="2"/>
  <c r="E28" i="2"/>
  <c r="E24" i="2"/>
  <c r="E29" i="2"/>
  <c r="E6" i="8"/>
  <c r="E9" i="8"/>
  <c r="E2" i="9"/>
  <c r="E15" i="9"/>
  <c r="E16" i="9"/>
  <c r="F40" i="1"/>
  <c r="E5" i="9"/>
  <c r="E9" i="9"/>
  <c r="E6" i="4"/>
  <c r="E10" i="9"/>
  <c r="E11" i="9"/>
  <c r="B17" i="9"/>
  <c r="E17" i="9"/>
  <c r="E48" i="9"/>
  <c r="E16" i="8"/>
  <c r="E18" i="8"/>
  <c r="D23" i="8"/>
  <c r="F6" i="1"/>
  <c r="F4" i="1"/>
  <c r="E15" i="2"/>
  <c r="E18" i="2"/>
  <c r="E19" i="2"/>
  <c r="E16" i="2"/>
  <c r="F28" i="1"/>
  <c r="E11" i="2"/>
  <c r="E17" i="2"/>
  <c r="E20" i="2"/>
  <c r="E5" i="8"/>
  <c r="E7" i="8"/>
  <c r="E20" i="8"/>
  <c r="E22" i="8"/>
  <c r="E44" i="8"/>
  <c r="E45" i="8"/>
  <c r="E33" i="2"/>
  <c r="E46" i="8"/>
  <c r="E26" i="8"/>
  <c r="E48" i="8"/>
  <c r="D49" i="8"/>
  <c r="E50" i="8"/>
  <c r="E51" i="8"/>
  <c r="E34" i="2"/>
  <c r="E32" i="2"/>
  <c r="E35" i="2"/>
  <c r="E4" i="2"/>
  <c r="E38" i="2"/>
  <c r="E76" i="2"/>
  <c r="E77" i="2"/>
  <c r="E61" i="2"/>
  <c r="E62" i="2"/>
  <c r="E66" i="2"/>
  <c r="D64" i="2"/>
  <c r="D70" i="2"/>
  <c r="D72" i="2"/>
  <c r="D74" i="2"/>
  <c r="E68" i="2"/>
  <c r="E58" i="2"/>
  <c r="E82" i="2"/>
  <c r="E29" i="8"/>
  <c r="E12" i="8"/>
  <c r="E30" i="8"/>
  <c r="E31" i="8"/>
  <c r="F32" i="8"/>
  <c r="F10" i="8"/>
  <c r="F23" i="2"/>
  <c r="F25" i="2"/>
  <c r="F9" i="2"/>
  <c r="F10" i="2"/>
  <c r="F12" i="2"/>
  <c r="F13" i="2"/>
  <c r="F18" i="6"/>
  <c r="G98" i="1"/>
  <c r="F23" i="6"/>
  <c r="F26" i="2"/>
  <c r="F27" i="2"/>
  <c r="F28" i="2"/>
  <c r="F24" i="2"/>
  <c r="F29" i="2"/>
  <c r="F6" i="8"/>
  <c r="F9" i="8"/>
  <c r="F2" i="9"/>
  <c r="F15" i="9"/>
  <c r="F16" i="9"/>
  <c r="F17" i="9"/>
  <c r="G40" i="1"/>
  <c r="F5" i="9"/>
  <c r="F9" i="9"/>
  <c r="F6" i="4"/>
  <c r="F10" i="9"/>
  <c r="F11" i="9"/>
  <c r="B18" i="9"/>
  <c r="F18" i="9"/>
  <c r="F48" i="9"/>
  <c r="F16" i="8"/>
  <c r="F18" i="8"/>
  <c r="E23" i="8"/>
  <c r="G6" i="1"/>
  <c r="G4" i="1"/>
  <c r="F15" i="2"/>
  <c r="F18" i="2"/>
  <c r="F19" i="2"/>
  <c r="F16" i="2"/>
  <c r="G28" i="1"/>
  <c r="F11" i="2"/>
  <c r="F17" i="2"/>
  <c r="F20" i="2"/>
  <c r="F5" i="8"/>
  <c r="F7" i="8"/>
  <c r="F20" i="8"/>
  <c r="F22" i="8"/>
  <c r="F44" i="8"/>
  <c r="F45" i="8"/>
  <c r="F33" i="2"/>
  <c r="F46" i="8"/>
  <c r="F26" i="8"/>
  <c r="F48" i="8"/>
  <c r="E49" i="8"/>
  <c r="F50" i="8"/>
  <c r="F51" i="8"/>
  <c r="F34" i="2"/>
  <c r="F32" i="2"/>
  <c r="F35" i="2"/>
  <c r="F4" i="2"/>
  <c r="F38" i="2"/>
  <c r="F76" i="2"/>
  <c r="F77" i="2"/>
  <c r="F61" i="2"/>
  <c r="F62" i="2"/>
  <c r="F66" i="2"/>
  <c r="E64" i="2"/>
  <c r="E70" i="2"/>
  <c r="E72" i="2"/>
  <c r="E74" i="2"/>
  <c r="F68" i="2"/>
  <c r="F58" i="2"/>
  <c r="F82" i="2"/>
  <c r="F29" i="8"/>
  <c r="F12" i="8"/>
  <c r="F30" i="8"/>
  <c r="F31" i="8"/>
  <c r="G32" i="8"/>
  <c r="G10" i="8"/>
  <c r="G23" i="2"/>
  <c r="G25" i="2"/>
  <c r="G9" i="2"/>
  <c r="G10" i="2"/>
  <c r="G12" i="2"/>
  <c r="G13" i="2"/>
  <c r="G18" i="6"/>
  <c r="H98" i="1"/>
  <c r="G23" i="6"/>
  <c r="G26" i="2"/>
  <c r="G27" i="2"/>
  <c r="G28" i="2"/>
  <c r="G24" i="2"/>
  <c r="G29" i="2"/>
  <c r="G6" i="8"/>
  <c r="G9" i="8"/>
  <c r="G2" i="9"/>
  <c r="G15" i="9"/>
  <c r="G16" i="9"/>
  <c r="G17" i="9"/>
  <c r="G18" i="9"/>
  <c r="H40" i="1"/>
  <c r="G5" i="9"/>
  <c r="G8" i="3"/>
  <c r="G9" i="9"/>
  <c r="G6" i="4"/>
  <c r="G10" i="9"/>
  <c r="G11" i="9"/>
  <c r="B19" i="9"/>
  <c r="G19" i="9"/>
  <c r="G48" i="9"/>
  <c r="G16" i="8"/>
  <c r="G18" i="8"/>
  <c r="F23" i="8"/>
  <c r="H6" i="1"/>
  <c r="H4" i="1"/>
  <c r="G15" i="2"/>
  <c r="G18" i="2"/>
  <c r="G19" i="2"/>
  <c r="G16" i="2"/>
  <c r="H28" i="1"/>
  <c r="G11" i="2"/>
  <c r="G17" i="2"/>
  <c r="G20" i="2"/>
  <c r="G5" i="8"/>
  <c r="G7" i="8"/>
  <c r="G20" i="8"/>
  <c r="G22" i="8"/>
  <c r="G44" i="8"/>
  <c r="G45" i="8"/>
  <c r="G33" i="2"/>
  <c r="G46" i="8"/>
  <c r="G26" i="8"/>
  <c r="G48" i="8"/>
  <c r="F49" i="8"/>
  <c r="G50" i="8"/>
  <c r="G51" i="8"/>
  <c r="G34" i="2"/>
  <c r="G32" i="2"/>
  <c r="G35" i="2"/>
  <c r="G4" i="2"/>
  <c r="G38" i="2"/>
  <c r="G76" i="2"/>
  <c r="G77" i="2"/>
  <c r="G61" i="2"/>
  <c r="G62" i="2"/>
  <c r="G66" i="2"/>
  <c r="F64" i="2"/>
  <c r="F70" i="2"/>
  <c r="F72" i="2"/>
  <c r="F74" i="2"/>
  <c r="G68" i="2"/>
  <c r="G58" i="2"/>
  <c r="G82" i="2"/>
  <c r="G29" i="8"/>
  <c r="G12" i="8"/>
  <c r="G30" i="8"/>
  <c r="G31" i="8"/>
  <c r="H32" i="8"/>
  <c r="H10" i="8"/>
  <c r="H23" i="2"/>
  <c r="H25" i="2"/>
  <c r="H9" i="2"/>
  <c r="H10" i="2"/>
  <c r="H12" i="2"/>
  <c r="H13" i="2"/>
  <c r="H18" i="6"/>
  <c r="I98" i="1"/>
  <c r="H23" i="6"/>
  <c r="H26" i="2"/>
  <c r="H27" i="2"/>
  <c r="H28" i="2"/>
  <c r="H24" i="2"/>
  <c r="H29" i="2"/>
  <c r="H6" i="8"/>
  <c r="H9" i="8"/>
  <c r="H2" i="9"/>
  <c r="H15" i="9"/>
  <c r="H16" i="9"/>
  <c r="H17" i="9"/>
  <c r="H18" i="9"/>
  <c r="H19" i="9"/>
  <c r="I40" i="1"/>
  <c r="H5" i="9"/>
  <c r="H9" i="9"/>
  <c r="H6" i="4"/>
  <c r="H10" i="9"/>
  <c r="H11" i="9"/>
  <c r="B20" i="9"/>
  <c r="H20" i="9"/>
  <c r="H48" i="9"/>
  <c r="H16" i="8"/>
  <c r="H18" i="8"/>
  <c r="G23" i="8"/>
  <c r="I6" i="1"/>
  <c r="I4" i="1"/>
  <c r="H15" i="2"/>
  <c r="H18" i="2"/>
  <c r="H19" i="2"/>
  <c r="H16" i="2"/>
  <c r="I28" i="1"/>
  <c r="H11" i="2"/>
  <c r="H17" i="2"/>
  <c r="H20" i="2"/>
  <c r="H5" i="8"/>
  <c r="H7" i="8"/>
  <c r="H20" i="8"/>
  <c r="H22" i="8"/>
  <c r="H44" i="8"/>
  <c r="H45" i="8"/>
  <c r="H33" i="2"/>
  <c r="H46" i="8"/>
  <c r="H26" i="8"/>
  <c r="H48" i="8"/>
  <c r="G49" i="8"/>
  <c r="H50" i="8"/>
  <c r="H51" i="8"/>
  <c r="H34" i="2"/>
  <c r="H32" i="2"/>
  <c r="H35" i="2"/>
  <c r="H4" i="2"/>
  <c r="H38" i="2"/>
  <c r="H76" i="2"/>
  <c r="H77" i="2"/>
  <c r="H61" i="2"/>
  <c r="H62" i="2"/>
  <c r="H66" i="2"/>
  <c r="G64" i="2"/>
  <c r="G70" i="2"/>
  <c r="G72" i="2"/>
  <c r="G74" i="2"/>
  <c r="H68" i="2"/>
  <c r="H58" i="2"/>
  <c r="H82" i="2"/>
  <c r="H29" i="8"/>
  <c r="H12" i="8"/>
  <c r="H30" i="8"/>
  <c r="H31" i="8"/>
  <c r="I32" i="8"/>
  <c r="I10" i="8"/>
  <c r="I23" i="2"/>
  <c r="I25" i="2"/>
  <c r="I9" i="2"/>
  <c r="I10" i="2"/>
  <c r="I12" i="2"/>
  <c r="I13" i="2"/>
  <c r="I18" i="6"/>
  <c r="J98" i="1"/>
  <c r="I23" i="6"/>
  <c r="I26" i="2"/>
  <c r="I27" i="2"/>
  <c r="I28" i="2"/>
  <c r="I24" i="2"/>
  <c r="I29" i="2"/>
  <c r="I6" i="8"/>
  <c r="I9" i="8"/>
  <c r="I2" i="9"/>
  <c r="I15" i="9"/>
  <c r="I16" i="9"/>
  <c r="I17" i="9"/>
  <c r="I18" i="9"/>
  <c r="I19" i="9"/>
  <c r="I20" i="9"/>
  <c r="J40" i="1"/>
  <c r="I5" i="9"/>
  <c r="I8" i="3"/>
  <c r="I9" i="9"/>
  <c r="I6" i="4"/>
  <c r="I10" i="9"/>
  <c r="I11" i="9"/>
  <c r="B21" i="9"/>
  <c r="I21" i="9"/>
  <c r="I48" i="9"/>
  <c r="I16" i="8"/>
  <c r="I18" i="8"/>
  <c r="H23" i="8"/>
  <c r="J6" i="1"/>
  <c r="J4" i="1"/>
  <c r="I15" i="2"/>
  <c r="I18" i="2"/>
  <c r="I19" i="2"/>
  <c r="I16" i="2"/>
  <c r="J28" i="1"/>
  <c r="I11" i="2"/>
  <c r="I17" i="2"/>
  <c r="I20" i="2"/>
  <c r="I5" i="8"/>
  <c r="I7" i="8"/>
  <c r="I20" i="8"/>
  <c r="I22" i="8"/>
  <c r="I44" i="8"/>
  <c r="I45" i="8"/>
  <c r="I33" i="2"/>
  <c r="I46" i="8"/>
  <c r="I26" i="8"/>
  <c r="I48" i="8"/>
  <c r="H49" i="8"/>
  <c r="I50" i="8"/>
  <c r="I51" i="8"/>
  <c r="I34" i="2"/>
  <c r="I32" i="2"/>
  <c r="I35" i="2"/>
  <c r="I4" i="2"/>
  <c r="I38" i="2"/>
  <c r="I76" i="2"/>
  <c r="I77" i="2"/>
  <c r="I61" i="2"/>
  <c r="I62" i="2"/>
  <c r="I66" i="2"/>
  <c r="H64" i="2"/>
  <c r="H70" i="2"/>
  <c r="H72" i="2"/>
  <c r="H74" i="2"/>
  <c r="I68" i="2"/>
  <c r="I58" i="2"/>
  <c r="I82" i="2"/>
  <c r="I29" i="8"/>
  <c r="I12" i="8"/>
  <c r="I30" i="8"/>
  <c r="I31" i="8"/>
  <c r="J32" i="8"/>
  <c r="J10" i="8"/>
  <c r="J23" i="2"/>
  <c r="J25" i="2"/>
  <c r="J9" i="2"/>
  <c r="J10" i="2"/>
  <c r="J12" i="2"/>
  <c r="J13" i="2"/>
  <c r="J18" i="6"/>
  <c r="K98" i="1"/>
  <c r="J23" i="6"/>
  <c r="J26" i="2"/>
  <c r="J27" i="2"/>
  <c r="J28" i="2"/>
  <c r="J24" i="2"/>
  <c r="J29" i="2"/>
  <c r="J6" i="8"/>
  <c r="J9" i="8"/>
  <c r="J2" i="9"/>
  <c r="J15" i="9"/>
  <c r="J16" i="9"/>
  <c r="J17" i="9"/>
  <c r="J18" i="9"/>
  <c r="J19" i="9"/>
  <c r="J20" i="9"/>
  <c r="J21" i="9"/>
  <c r="K40" i="1"/>
  <c r="J5" i="9"/>
  <c r="J9" i="9"/>
  <c r="J6" i="4"/>
  <c r="J10" i="9"/>
  <c r="J11" i="9"/>
  <c r="B22" i="9"/>
  <c r="J22" i="9"/>
  <c r="J48" i="9"/>
  <c r="J16" i="8"/>
  <c r="J18" i="8"/>
  <c r="I23" i="8"/>
  <c r="K6" i="1"/>
  <c r="K4" i="1"/>
  <c r="J15" i="2"/>
  <c r="J18" i="2"/>
  <c r="J19" i="2"/>
  <c r="J16" i="2"/>
  <c r="K28" i="1"/>
  <c r="J11" i="2"/>
  <c r="J17" i="2"/>
  <c r="J20" i="2"/>
  <c r="J5" i="8"/>
  <c r="J7" i="8"/>
  <c r="J20" i="8"/>
  <c r="J22" i="8"/>
  <c r="J44" i="8"/>
  <c r="J45" i="8"/>
  <c r="J33" i="2"/>
  <c r="J46" i="8"/>
  <c r="J26" i="8"/>
  <c r="J48" i="8"/>
  <c r="I49" i="8"/>
  <c r="J50" i="8"/>
  <c r="J51" i="8"/>
  <c r="J34" i="2"/>
  <c r="J32" i="2"/>
  <c r="J35" i="2"/>
  <c r="J4" i="2"/>
  <c r="J38" i="2"/>
  <c r="J76" i="2"/>
  <c r="J77" i="2"/>
  <c r="J61" i="2"/>
  <c r="J62" i="2"/>
  <c r="J66" i="2"/>
  <c r="I64" i="2"/>
  <c r="I70" i="2"/>
  <c r="I72" i="2"/>
  <c r="I74" i="2"/>
  <c r="J68" i="2"/>
  <c r="J58" i="2"/>
  <c r="J82" i="2"/>
  <c r="J29" i="8"/>
  <c r="J12" i="8"/>
  <c r="J30" i="8"/>
  <c r="J31" i="8"/>
  <c r="K32" i="8"/>
  <c r="K10" i="8"/>
  <c r="K23" i="2"/>
  <c r="K25" i="2"/>
  <c r="K9" i="2"/>
  <c r="K10" i="2"/>
  <c r="K12" i="2"/>
  <c r="K13" i="2"/>
  <c r="K18" i="6"/>
  <c r="L98" i="1"/>
  <c r="K23" i="6"/>
  <c r="K26" i="2"/>
  <c r="K27" i="2"/>
  <c r="K28" i="2"/>
  <c r="K24" i="2"/>
  <c r="K29" i="2"/>
  <c r="K6" i="8"/>
  <c r="K9" i="8"/>
  <c r="K2" i="9"/>
  <c r="K15" i="9"/>
  <c r="K16" i="9"/>
  <c r="K17" i="9"/>
  <c r="K18" i="9"/>
  <c r="K19" i="9"/>
  <c r="K20" i="9"/>
  <c r="K21" i="9"/>
  <c r="K22" i="9"/>
  <c r="L40" i="1"/>
  <c r="K5" i="9"/>
  <c r="K9" i="9"/>
  <c r="K6" i="4"/>
  <c r="K10" i="9"/>
  <c r="K11" i="9"/>
  <c r="B23" i="9"/>
  <c r="K23" i="9"/>
  <c r="K48" i="9"/>
  <c r="K16" i="8"/>
  <c r="K18" i="8"/>
  <c r="J23" i="8"/>
  <c r="L6" i="1"/>
  <c r="L4" i="1"/>
  <c r="K15" i="2"/>
  <c r="K18" i="2"/>
  <c r="K19" i="2"/>
  <c r="K16" i="2"/>
  <c r="L28" i="1"/>
  <c r="K11" i="2"/>
  <c r="K17" i="2"/>
  <c r="K20" i="2"/>
  <c r="K5" i="8"/>
  <c r="K7" i="8"/>
  <c r="K20" i="8"/>
  <c r="K22" i="8"/>
  <c r="K44" i="8"/>
  <c r="K45" i="8"/>
  <c r="K33" i="2"/>
  <c r="K46" i="8"/>
  <c r="K26" i="8"/>
  <c r="K48" i="8"/>
  <c r="J49" i="8"/>
  <c r="K50" i="8"/>
  <c r="K51" i="8"/>
  <c r="K34" i="2"/>
  <c r="K32" i="2"/>
  <c r="K35" i="2"/>
  <c r="K4" i="2"/>
  <c r="K38" i="2"/>
  <c r="K76" i="2"/>
  <c r="K77" i="2"/>
  <c r="K61" i="2"/>
  <c r="K62" i="2"/>
  <c r="K66" i="2"/>
  <c r="J64" i="2"/>
  <c r="J70" i="2"/>
  <c r="J72" i="2"/>
  <c r="J74" i="2"/>
  <c r="K68" i="2"/>
  <c r="K58" i="2"/>
  <c r="K82" i="2"/>
  <c r="K29" i="8"/>
  <c r="K12" i="8"/>
  <c r="K30" i="8"/>
  <c r="K31" i="8"/>
  <c r="L32" i="8"/>
  <c r="L10" i="8"/>
  <c r="L23" i="2"/>
  <c r="L25" i="2"/>
  <c r="L9" i="2"/>
  <c r="L10" i="2"/>
  <c r="L12" i="2"/>
  <c r="L13" i="2"/>
  <c r="L18" i="6"/>
  <c r="M98" i="1"/>
  <c r="L23" i="6"/>
  <c r="L26" i="2"/>
  <c r="L27" i="2"/>
  <c r="L28" i="2"/>
  <c r="L24" i="2"/>
  <c r="L29" i="2"/>
  <c r="L6" i="8"/>
  <c r="L9" i="8"/>
  <c r="L2" i="9"/>
  <c r="L15" i="9"/>
  <c r="L16" i="9"/>
  <c r="L17" i="9"/>
  <c r="L18" i="9"/>
  <c r="L19" i="9"/>
  <c r="L20" i="9"/>
  <c r="L21" i="9"/>
  <c r="L22" i="9"/>
  <c r="L23" i="9"/>
  <c r="M40" i="1"/>
  <c r="L5" i="9"/>
  <c r="L9" i="9"/>
  <c r="L6" i="4"/>
  <c r="L10" i="9"/>
  <c r="L11" i="9"/>
  <c r="B24" i="9"/>
  <c r="L24" i="9"/>
  <c r="L48" i="9"/>
  <c r="L16" i="8"/>
  <c r="L18" i="8"/>
  <c r="K23" i="8"/>
  <c r="M6" i="1"/>
  <c r="M4" i="1"/>
  <c r="L15" i="2"/>
  <c r="L18" i="2"/>
  <c r="L19" i="2"/>
  <c r="L16" i="2"/>
  <c r="M28" i="1"/>
  <c r="L11" i="2"/>
  <c r="L17" i="2"/>
  <c r="L20" i="2"/>
  <c r="L5" i="8"/>
  <c r="L7" i="8"/>
  <c r="L20" i="8"/>
  <c r="L22" i="8"/>
  <c r="L44" i="8"/>
  <c r="L45" i="8"/>
  <c r="L33" i="2"/>
  <c r="L46" i="8"/>
  <c r="L26" i="8"/>
  <c r="L48" i="8"/>
  <c r="K49" i="8"/>
  <c r="L50" i="8"/>
  <c r="L51" i="8"/>
  <c r="L34" i="2"/>
  <c r="L32" i="2"/>
  <c r="L35" i="2"/>
  <c r="L4" i="2"/>
  <c r="L38" i="2"/>
  <c r="L76" i="2"/>
  <c r="L77" i="2"/>
  <c r="L61" i="2"/>
  <c r="L62" i="2"/>
  <c r="L66" i="2"/>
  <c r="K64" i="2"/>
  <c r="K70" i="2"/>
  <c r="K72" i="2"/>
  <c r="K74" i="2"/>
  <c r="L68" i="2"/>
  <c r="L58" i="2"/>
  <c r="L82" i="2"/>
  <c r="L29" i="8"/>
  <c r="L12" i="8"/>
  <c r="L30" i="8"/>
  <c r="L31" i="8"/>
  <c r="M32" i="8"/>
  <c r="M10" i="8"/>
  <c r="M23" i="2"/>
  <c r="M25" i="2"/>
  <c r="M9" i="2"/>
  <c r="M10" i="2"/>
  <c r="M12" i="2"/>
  <c r="M13" i="2"/>
  <c r="M18" i="6"/>
  <c r="N98" i="1"/>
  <c r="M23" i="6"/>
  <c r="M26" i="2"/>
  <c r="M27" i="2"/>
  <c r="M28" i="2"/>
  <c r="M24" i="2"/>
  <c r="M29" i="2"/>
  <c r="M6" i="8"/>
  <c r="M9" i="8"/>
  <c r="M2" i="9"/>
  <c r="M15" i="9"/>
  <c r="M16" i="9"/>
  <c r="M17" i="9"/>
  <c r="M18" i="9"/>
  <c r="M19" i="9"/>
  <c r="M20" i="9"/>
  <c r="M21" i="9"/>
  <c r="M22" i="9"/>
  <c r="M23" i="9"/>
  <c r="M24" i="9"/>
  <c r="N40" i="1"/>
  <c r="M5" i="9"/>
  <c r="M9" i="9"/>
  <c r="M6" i="4"/>
  <c r="M10" i="9"/>
  <c r="M11" i="9"/>
  <c r="B25" i="9"/>
  <c r="M25" i="9"/>
  <c r="M48" i="9"/>
  <c r="M16" i="8"/>
  <c r="M18" i="8"/>
  <c r="L23" i="8"/>
  <c r="N6" i="1"/>
  <c r="N4" i="1"/>
  <c r="M15" i="2"/>
  <c r="M18" i="2"/>
  <c r="M19" i="2"/>
  <c r="M16" i="2"/>
  <c r="N28" i="1"/>
  <c r="M11" i="2"/>
  <c r="M17" i="2"/>
  <c r="M20" i="2"/>
  <c r="M5" i="8"/>
  <c r="M7" i="8"/>
  <c r="M20" i="8"/>
  <c r="M22" i="8"/>
  <c r="M44" i="8"/>
  <c r="M45" i="8"/>
  <c r="M33" i="2"/>
  <c r="M46" i="8"/>
  <c r="M26" i="8"/>
  <c r="M48" i="8"/>
  <c r="L49" i="8"/>
  <c r="M50" i="8"/>
  <c r="M51" i="8"/>
  <c r="M34" i="2"/>
  <c r="M32" i="2"/>
  <c r="M35" i="2"/>
  <c r="M4" i="2"/>
  <c r="M38" i="2"/>
  <c r="M76" i="2"/>
  <c r="M77" i="2"/>
  <c r="M61" i="2"/>
  <c r="M62" i="2"/>
  <c r="M66" i="2"/>
  <c r="L64" i="2"/>
  <c r="L70" i="2"/>
  <c r="L72" i="2"/>
  <c r="L74" i="2"/>
  <c r="M68" i="2"/>
  <c r="M58" i="2"/>
  <c r="M82" i="2"/>
  <c r="M29" i="8"/>
  <c r="M12" i="8"/>
  <c r="M30" i="8"/>
  <c r="M31" i="8"/>
  <c r="N32" i="8"/>
  <c r="N10" i="8"/>
  <c r="N23" i="2"/>
  <c r="N25" i="2"/>
  <c r="N9" i="2"/>
  <c r="N10" i="2"/>
  <c r="N12" i="2"/>
  <c r="N13" i="2"/>
  <c r="N18" i="6"/>
  <c r="O98" i="1"/>
  <c r="N23" i="6"/>
  <c r="N26" i="2"/>
  <c r="N27" i="2"/>
  <c r="N28" i="2"/>
  <c r="N24" i="2"/>
  <c r="N29" i="2"/>
  <c r="N6" i="8"/>
  <c r="N9" i="8"/>
  <c r="N2" i="9"/>
  <c r="N15" i="9"/>
  <c r="N16" i="9"/>
  <c r="N17" i="9"/>
  <c r="N18" i="9"/>
  <c r="N19" i="9"/>
  <c r="N20" i="9"/>
  <c r="N21" i="9"/>
  <c r="N22" i="9"/>
  <c r="N23" i="9"/>
  <c r="N24" i="9"/>
  <c r="N25" i="9"/>
  <c r="O40" i="1"/>
  <c r="N5" i="9"/>
  <c r="N9" i="9"/>
  <c r="N6" i="4"/>
  <c r="N10" i="9"/>
  <c r="N11" i="9"/>
  <c r="B26" i="9"/>
  <c r="N26" i="9"/>
  <c r="N48" i="9"/>
  <c r="N16" i="8"/>
  <c r="N18" i="8"/>
  <c r="M23" i="8"/>
  <c r="O6" i="1"/>
  <c r="O4" i="1"/>
  <c r="N15" i="2"/>
  <c r="N18" i="2"/>
  <c r="N19" i="2"/>
  <c r="N16" i="2"/>
  <c r="O28" i="1"/>
  <c r="N11" i="2"/>
  <c r="N17" i="2"/>
  <c r="N20" i="2"/>
  <c r="N5" i="8"/>
  <c r="N7" i="8"/>
  <c r="N20" i="8"/>
  <c r="N22" i="8"/>
  <c r="N44" i="8"/>
  <c r="N45" i="8"/>
  <c r="N33" i="2"/>
  <c r="N46" i="8"/>
  <c r="N26" i="8"/>
  <c r="N48" i="8"/>
  <c r="M49" i="8"/>
  <c r="N50" i="8"/>
  <c r="N51" i="8"/>
  <c r="N34" i="2"/>
  <c r="N32" i="2"/>
  <c r="N35" i="2"/>
  <c r="N4" i="2"/>
  <c r="N38" i="2"/>
  <c r="N76" i="2"/>
  <c r="N77" i="2"/>
  <c r="N61" i="2"/>
  <c r="N62" i="2"/>
  <c r="N66" i="2"/>
  <c r="M64" i="2"/>
  <c r="M70" i="2"/>
  <c r="M72" i="2"/>
  <c r="M74" i="2"/>
  <c r="N68" i="2"/>
  <c r="N58" i="2"/>
  <c r="N82" i="2"/>
  <c r="N29" i="8"/>
  <c r="N12" i="8"/>
  <c r="N30" i="8"/>
  <c r="N31" i="8"/>
  <c r="O32" i="8"/>
  <c r="O10" i="8"/>
  <c r="O23" i="2"/>
  <c r="O25" i="2"/>
  <c r="O9" i="2"/>
  <c r="O10" i="2"/>
  <c r="O12" i="2"/>
  <c r="O13" i="2"/>
  <c r="O18" i="6"/>
  <c r="P98" i="1"/>
  <c r="O23" i="6"/>
  <c r="O26" i="2"/>
  <c r="O27" i="2"/>
  <c r="O28" i="2"/>
  <c r="O24" i="2"/>
  <c r="O29" i="2"/>
  <c r="O6" i="8"/>
  <c r="O9" i="8"/>
  <c r="O2" i="9"/>
  <c r="O15" i="9"/>
  <c r="O16" i="9"/>
  <c r="O17" i="9"/>
  <c r="O18" i="9"/>
  <c r="O19" i="9"/>
  <c r="O20" i="9"/>
  <c r="O21" i="9"/>
  <c r="O22" i="9"/>
  <c r="O23" i="9"/>
  <c r="O24" i="9"/>
  <c r="O25" i="9"/>
  <c r="O26" i="9"/>
  <c r="P40" i="1"/>
  <c r="O5" i="9"/>
  <c r="O9" i="9"/>
  <c r="O6" i="4"/>
  <c r="O10" i="9"/>
  <c r="O11" i="9"/>
  <c r="B27" i="9"/>
  <c r="O27" i="9"/>
  <c r="O48" i="9"/>
  <c r="O16" i="8"/>
  <c r="O18" i="8"/>
  <c r="N23" i="8"/>
  <c r="P6" i="1"/>
  <c r="P4" i="1"/>
  <c r="O15" i="2"/>
  <c r="O18" i="2"/>
  <c r="O19" i="2"/>
  <c r="O16" i="2"/>
  <c r="P28" i="1"/>
  <c r="O11" i="2"/>
  <c r="O17" i="2"/>
  <c r="O20" i="2"/>
  <c r="O5" i="8"/>
  <c r="O7" i="8"/>
  <c r="O20" i="8"/>
  <c r="O22" i="8"/>
  <c r="O44" i="8"/>
  <c r="O45" i="8"/>
  <c r="O33" i="2"/>
  <c r="O46" i="8"/>
  <c r="O26" i="8"/>
  <c r="O48" i="8"/>
  <c r="N49" i="8"/>
  <c r="O50" i="8"/>
  <c r="O51" i="8"/>
  <c r="O34" i="2"/>
  <c r="O32" i="2"/>
  <c r="O35" i="2"/>
  <c r="O4" i="2"/>
  <c r="O38" i="2"/>
  <c r="O76" i="2"/>
  <c r="O77" i="2"/>
  <c r="O61" i="2"/>
  <c r="O62" i="2"/>
  <c r="O66" i="2"/>
  <c r="N64" i="2"/>
  <c r="N70" i="2"/>
  <c r="N72" i="2"/>
  <c r="N74" i="2"/>
  <c r="O68" i="2"/>
  <c r="O58" i="2"/>
  <c r="O82" i="2"/>
  <c r="O29" i="8"/>
  <c r="O12" i="8"/>
  <c r="O30" i="8"/>
  <c r="O31" i="8"/>
  <c r="P32" i="8"/>
  <c r="P10" i="8"/>
  <c r="P23" i="2"/>
  <c r="P25" i="2"/>
  <c r="P9" i="2"/>
  <c r="P10" i="2"/>
  <c r="P12" i="2"/>
  <c r="P13" i="2"/>
  <c r="P18" i="6"/>
  <c r="Q98" i="1"/>
  <c r="P23" i="6"/>
  <c r="P26" i="2"/>
  <c r="P27" i="2"/>
  <c r="P28" i="2"/>
  <c r="P24" i="2"/>
  <c r="P29" i="2"/>
  <c r="P6" i="8"/>
  <c r="P9" i="8"/>
  <c r="P2" i="9"/>
  <c r="P15" i="9"/>
  <c r="P16" i="9"/>
  <c r="P17" i="9"/>
  <c r="P18" i="9"/>
  <c r="P19" i="9"/>
  <c r="P20" i="9"/>
  <c r="P21" i="9"/>
  <c r="P22" i="9"/>
  <c r="P23" i="9"/>
  <c r="P24" i="9"/>
  <c r="P25" i="9"/>
  <c r="P26" i="9"/>
  <c r="P27" i="9"/>
  <c r="Q40" i="1"/>
  <c r="P5" i="9"/>
  <c r="P9" i="9"/>
  <c r="P6" i="4"/>
  <c r="P10" i="9"/>
  <c r="P11" i="9"/>
  <c r="B28" i="9"/>
  <c r="P28" i="9"/>
  <c r="P48" i="9"/>
  <c r="P16" i="8"/>
  <c r="P18" i="8"/>
  <c r="O23" i="8"/>
  <c r="Q6" i="1"/>
  <c r="Q4" i="1"/>
  <c r="P15" i="2"/>
  <c r="P18" i="2"/>
  <c r="P19" i="2"/>
  <c r="P16" i="2"/>
  <c r="Q28" i="1"/>
  <c r="P11" i="2"/>
  <c r="P17" i="2"/>
  <c r="P20" i="2"/>
  <c r="P5" i="8"/>
  <c r="P7" i="8"/>
  <c r="P20" i="8"/>
  <c r="P22" i="8"/>
  <c r="P44" i="8"/>
  <c r="P45" i="8"/>
  <c r="P33" i="2"/>
  <c r="P46" i="8"/>
  <c r="P26" i="8"/>
  <c r="P48" i="8"/>
  <c r="O49" i="8"/>
  <c r="P50" i="8"/>
  <c r="P51" i="8"/>
  <c r="P34" i="2"/>
  <c r="P32" i="2"/>
  <c r="P35" i="2"/>
  <c r="P4" i="2"/>
  <c r="P38" i="2"/>
  <c r="P76" i="2"/>
  <c r="P77" i="2"/>
  <c r="P61" i="2"/>
  <c r="P62" i="2"/>
  <c r="P66" i="2"/>
  <c r="O64" i="2"/>
  <c r="O70" i="2"/>
  <c r="O72" i="2"/>
  <c r="O74" i="2"/>
  <c r="P68" i="2"/>
  <c r="P58" i="2"/>
  <c r="P82" i="2"/>
  <c r="P29" i="8"/>
  <c r="P12" i="8"/>
  <c r="P30" i="8"/>
  <c r="P31" i="8"/>
  <c r="Q32" i="8"/>
  <c r="Q10" i="8"/>
  <c r="Q23" i="2"/>
  <c r="Q25" i="2"/>
  <c r="Q9" i="2"/>
  <c r="Q10" i="2"/>
  <c r="Q12" i="2"/>
  <c r="Q13" i="2"/>
  <c r="Q18" i="6"/>
  <c r="R98" i="1"/>
  <c r="Q23" i="6"/>
  <c r="Q26" i="2"/>
  <c r="Q27" i="2"/>
  <c r="Q28" i="2"/>
  <c r="Q24" i="2"/>
  <c r="Q29" i="2"/>
  <c r="Q6" i="8"/>
  <c r="Q9" i="8"/>
  <c r="Q2" i="9"/>
  <c r="Q15" i="9"/>
  <c r="Q16" i="9"/>
  <c r="Q17" i="9"/>
  <c r="Q18" i="9"/>
  <c r="Q19" i="9"/>
  <c r="Q20" i="9"/>
  <c r="Q21" i="9"/>
  <c r="Q22" i="9"/>
  <c r="Q23" i="9"/>
  <c r="Q24" i="9"/>
  <c r="Q25" i="9"/>
  <c r="Q26" i="9"/>
  <c r="Q27" i="9"/>
  <c r="Q28" i="9"/>
  <c r="R40" i="1"/>
  <c r="Q5" i="9"/>
  <c r="Q9" i="9"/>
  <c r="Q6" i="4"/>
  <c r="Q10" i="9"/>
  <c r="Q11" i="9"/>
  <c r="B29" i="9"/>
  <c r="Q29" i="9"/>
  <c r="Q48" i="9"/>
  <c r="Q16" i="8"/>
  <c r="Q18" i="8"/>
  <c r="P23" i="8"/>
  <c r="R6" i="1"/>
  <c r="R4" i="1"/>
  <c r="Q15" i="2"/>
  <c r="Q18" i="2"/>
  <c r="Q19" i="2"/>
  <c r="Q16" i="2"/>
  <c r="R28" i="1"/>
  <c r="Q11" i="2"/>
  <c r="Q17" i="2"/>
  <c r="Q20" i="2"/>
  <c r="Q5" i="8"/>
  <c r="Q7" i="8"/>
  <c r="Q20" i="8"/>
  <c r="Q22" i="8"/>
  <c r="Q44" i="8"/>
  <c r="Q45" i="8"/>
  <c r="Q33" i="2"/>
  <c r="Q46" i="8"/>
  <c r="Q26" i="8"/>
  <c r="Q48" i="8"/>
  <c r="P49" i="8"/>
  <c r="Q50" i="8"/>
  <c r="Q51" i="8"/>
  <c r="Q34" i="2"/>
  <c r="Q32" i="2"/>
  <c r="Q35" i="2"/>
  <c r="Q4" i="2"/>
  <c r="Q38" i="2"/>
  <c r="Q76" i="2"/>
  <c r="Q77" i="2"/>
  <c r="Q61" i="2"/>
  <c r="Q62" i="2"/>
  <c r="Q66" i="2"/>
  <c r="P64" i="2"/>
  <c r="P70" i="2"/>
  <c r="P72" i="2"/>
  <c r="P74" i="2"/>
  <c r="Q68" i="2"/>
  <c r="Q58" i="2"/>
  <c r="Q82" i="2"/>
  <c r="Q29" i="8"/>
  <c r="Q12" i="8"/>
  <c r="Q30" i="8"/>
  <c r="Q31" i="8"/>
  <c r="R32" i="8"/>
  <c r="R10" i="8"/>
  <c r="R23" i="2"/>
  <c r="R25" i="2"/>
  <c r="R9" i="2"/>
  <c r="R10" i="2"/>
  <c r="R12" i="2"/>
  <c r="R13" i="2"/>
  <c r="R18" i="6"/>
  <c r="S98" i="1"/>
  <c r="R23" i="6"/>
  <c r="R26" i="2"/>
  <c r="R27" i="2"/>
  <c r="R28" i="2"/>
  <c r="R24" i="2"/>
  <c r="R29" i="2"/>
  <c r="R6" i="8"/>
  <c r="R9" i="8"/>
  <c r="R2" i="9"/>
  <c r="R15" i="9"/>
  <c r="R16" i="9"/>
  <c r="R17" i="9"/>
  <c r="R18" i="9"/>
  <c r="R19" i="9"/>
  <c r="R20" i="9"/>
  <c r="R21" i="9"/>
  <c r="R22" i="9"/>
  <c r="R23" i="9"/>
  <c r="R24" i="9"/>
  <c r="R25" i="9"/>
  <c r="R26" i="9"/>
  <c r="R27" i="9"/>
  <c r="R28" i="9"/>
  <c r="R29" i="9"/>
  <c r="S40" i="1"/>
  <c r="R5" i="9"/>
  <c r="R9" i="9"/>
  <c r="R6" i="4"/>
  <c r="R10" i="9"/>
  <c r="R11" i="9"/>
  <c r="B30" i="9"/>
  <c r="R30" i="9"/>
  <c r="R48" i="9"/>
  <c r="R16" i="8"/>
  <c r="R18" i="8"/>
  <c r="Q23" i="8"/>
  <c r="S6" i="1"/>
  <c r="S4" i="1"/>
  <c r="R15" i="2"/>
  <c r="R18" i="2"/>
  <c r="R19" i="2"/>
  <c r="R16" i="2"/>
  <c r="S28" i="1"/>
  <c r="R11" i="2"/>
  <c r="R17" i="2"/>
  <c r="R20" i="2"/>
  <c r="R5" i="8"/>
  <c r="R7" i="8"/>
  <c r="R20" i="8"/>
  <c r="R22" i="8"/>
  <c r="R44" i="8"/>
  <c r="R45" i="8"/>
  <c r="R33" i="2"/>
  <c r="R46" i="8"/>
  <c r="R26" i="8"/>
  <c r="R48" i="8"/>
  <c r="Q49" i="8"/>
  <c r="R50" i="8"/>
  <c r="R51" i="8"/>
  <c r="R34" i="2"/>
  <c r="R32" i="2"/>
  <c r="R35" i="2"/>
  <c r="R4" i="2"/>
  <c r="R38" i="2"/>
  <c r="R76" i="2"/>
  <c r="R77" i="2"/>
  <c r="R61" i="2"/>
  <c r="R62" i="2"/>
  <c r="R66" i="2"/>
  <c r="Q64" i="2"/>
  <c r="Q70" i="2"/>
  <c r="Q72" i="2"/>
  <c r="Q74" i="2"/>
  <c r="R68" i="2"/>
  <c r="R58" i="2"/>
  <c r="R82" i="2"/>
  <c r="R29" i="8"/>
  <c r="R12" i="8"/>
  <c r="R30" i="8"/>
  <c r="R31" i="8"/>
  <c r="S32" i="8"/>
  <c r="S10" i="8"/>
  <c r="S23" i="2"/>
  <c r="S25" i="2"/>
  <c r="S9" i="2"/>
  <c r="S10" i="2"/>
  <c r="S12" i="2"/>
  <c r="S13" i="2"/>
  <c r="S18" i="6"/>
  <c r="T98" i="1"/>
  <c r="S23" i="6"/>
  <c r="S26" i="2"/>
  <c r="S27" i="2"/>
  <c r="S28" i="2"/>
  <c r="S24" i="2"/>
  <c r="S29" i="2"/>
  <c r="S6" i="8"/>
  <c r="S9" i="8"/>
  <c r="S2" i="9"/>
  <c r="S15" i="9"/>
  <c r="S16" i="9"/>
  <c r="S17" i="9"/>
  <c r="S18" i="9"/>
  <c r="S19" i="9"/>
  <c r="S20" i="9"/>
  <c r="S21" i="9"/>
  <c r="S22" i="9"/>
  <c r="S23" i="9"/>
  <c r="S24" i="9"/>
  <c r="S25" i="9"/>
  <c r="S26" i="9"/>
  <c r="S27" i="9"/>
  <c r="S28" i="9"/>
  <c r="S29" i="9"/>
  <c r="S30" i="9"/>
  <c r="T40" i="1"/>
  <c r="S5" i="9"/>
  <c r="S9" i="9"/>
  <c r="S6" i="4"/>
  <c r="S10" i="9"/>
  <c r="S11" i="9"/>
  <c r="B31" i="9"/>
  <c r="S31" i="9"/>
  <c r="S48" i="9"/>
  <c r="S16" i="8"/>
  <c r="S18" i="8"/>
  <c r="R23" i="8"/>
  <c r="T6" i="1"/>
  <c r="T4" i="1"/>
  <c r="S15" i="2"/>
  <c r="S18" i="2"/>
  <c r="S19" i="2"/>
  <c r="S16" i="2"/>
  <c r="T28" i="1"/>
  <c r="S11" i="2"/>
  <c r="S17" i="2"/>
  <c r="S20" i="2"/>
  <c r="S5" i="8"/>
  <c r="S7" i="8"/>
  <c r="S20" i="8"/>
  <c r="S22" i="8"/>
  <c r="S44" i="8"/>
  <c r="S45" i="8"/>
  <c r="S33" i="2"/>
  <c r="S46" i="8"/>
  <c r="S26" i="8"/>
  <c r="S48" i="8"/>
  <c r="R49" i="8"/>
  <c r="S50" i="8"/>
  <c r="S51" i="8"/>
  <c r="S34" i="2"/>
  <c r="S32" i="2"/>
  <c r="S35" i="2"/>
  <c r="S4" i="2"/>
  <c r="S38" i="2"/>
  <c r="S76" i="2"/>
  <c r="S77" i="2"/>
  <c r="S61" i="2"/>
  <c r="S62" i="2"/>
  <c r="S66" i="2"/>
  <c r="R64" i="2"/>
  <c r="R70" i="2"/>
  <c r="R72" i="2"/>
  <c r="R74" i="2"/>
  <c r="S68" i="2"/>
  <c r="S58" i="2"/>
  <c r="S82" i="2"/>
  <c r="S29" i="8"/>
  <c r="S12" i="8"/>
  <c r="S30" i="8"/>
  <c r="S31" i="8"/>
  <c r="T32" i="8"/>
  <c r="T10" i="8"/>
  <c r="T23" i="2"/>
  <c r="T25" i="2"/>
  <c r="T9" i="2"/>
  <c r="T10" i="2"/>
  <c r="T12" i="2"/>
  <c r="T13" i="2"/>
  <c r="T18" i="6"/>
  <c r="U98" i="1"/>
  <c r="T23" i="6"/>
  <c r="T26" i="2"/>
  <c r="T27" i="2"/>
  <c r="T28" i="2"/>
  <c r="T24" i="2"/>
  <c r="T29" i="2"/>
  <c r="T6" i="8"/>
  <c r="T9" i="8"/>
  <c r="T2" i="9"/>
  <c r="T15" i="9"/>
  <c r="T16" i="9"/>
  <c r="T17" i="9"/>
  <c r="T18" i="9"/>
  <c r="T19" i="9"/>
  <c r="T20" i="9"/>
  <c r="T21" i="9"/>
  <c r="T22" i="9"/>
  <c r="T23" i="9"/>
  <c r="T24" i="9"/>
  <c r="T25" i="9"/>
  <c r="T26" i="9"/>
  <c r="T27" i="9"/>
  <c r="T28" i="9"/>
  <c r="T29" i="9"/>
  <c r="T30" i="9"/>
  <c r="T31" i="9"/>
  <c r="U40" i="1"/>
  <c r="T5" i="9"/>
  <c r="T9" i="9"/>
  <c r="T6" i="4"/>
  <c r="T10" i="9"/>
  <c r="T11" i="9"/>
  <c r="B32" i="9"/>
  <c r="T32" i="9"/>
  <c r="T48" i="9"/>
  <c r="T16" i="8"/>
  <c r="T18" i="8"/>
  <c r="S23" i="8"/>
  <c r="U6" i="1"/>
  <c r="U4" i="1"/>
  <c r="T15" i="2"/>
  <c r="T18" i="2"/>
  <c r="T19" i="2"/>
  <c r="T16" i="2"/>
  <c r="U28" i="1"/>
  <c r="T11" i="2"/>
  <c r="T17" i="2"/>
  <c r="T20" i="2"/>
  <c r="T5" i="8"/>
  <c r="T7" i="8"/>
  <c r="T20" i="8"/>
  <c r="T22" i="8"/>
  <c r="T44" i="8"/>
  <c r="T45" i="8"/>
  <c r="T33" i="2"/>
  <c r="T46" i="8"/>
  <c r="T26" i="8"/>
  <c r="T48" i="8"/>
  <c r="S49" i="8"/>
  <c r="T50" i="8"/>
  <c r="T51" i="8"/>
  <c r="T34" i="2"/>
  <c r="T32" i="2"/>
  <c r="T35" i="2"/>
  <c r="T4" i="2"/>
  <c r="T38" i="2"/>
  <c r="T76" i="2"/>
  <c r="T77" i="2"/>
  <c r="T61" i="2"/>
  <c r="T62" i="2"/>
  <c r="T66" i="2"/>
  <c r="S64" i="2"/>
  <c r="S70" i="2"/>
  <c r="S72" i="2"/>
  <c r="S74" i="2"/>
  <c r="T68" i="2"/>
  <c r="T58" i="2"/>
  <c r="T82" i="2"/>
  <c r="T29" i="8"/>
  <c r="T12" i="8"/>
  <c r="T30" i="8"/>
  <c r="T31" i="8"/>
  <c r="U32" i="8"/>
  <c r="U10" i="8"/>
  <c r="U23" i="2"/>
  <c r="U25" i="2"/>
  <c r="U9" i="2"/>
  <c r="U10" i="2"/>
  <c r="U12" i="2"/>
  <c r="U13" i="2"/>
  <c r="U18" i="6"/>
  <c r="V98" i="1"/>
  <c r="U23" i="6"/>
  <c r="U26" i="2"/>
  <c r="U27" i="2"/>
  <c r="U28" i="2"/>
  <c r="U24" i="2"/>
  <c r="U29" i="2"/>
  <c r="U6" i="8"/>
  <c r="U9" i="8"/>
  <c r="U2" i="9"/>
  <c r="U15" i="9"/>
  <c r="U16" i="9"/>
  <c r="U17" i="9"/>
  <c r="U18" i="9"/>
  <c r="U19" i="9"/>
  <c r="U20" i="9"/>
  <c r="U21" i="9"/>
  <c r="U22" i="9"/>
  <c r="U23" i="9"/>
  <c r="U24" i="9"/>
  <c r="U25" i="9"/>
  <c r="U26" i="9"/>
  <c r="U27" i="9"/>
  <c r="U28" i="9"/>
  <c r="U29" i="9"/>
  <c r="U30" i="9"/>
  <c r="U31" i="9"/>
  <c r="U32" i="9"/>
  <c r="V40" i="1"/>
  <c r="U5" i="9"/>
  <c r="U9" i="9"/>
  <c r="U6" i="4"/>
  <c r="U10" i="9"/>
  <c r="U11" i="9"/>
  <c r="B33" i="9"/>
  <c r="U33" i="9"/>
  <c r="U48" i="9"/>
  <c r="U16" i="8"/>
  <c r="U18" i="8"/>
  <c r="T23" i="8"/>
  <c r="V6" i="1"/>
  <c r="V4" i="1"/>
  <c r="U15" i="2"/>
  <c r="U18" i="2"/>
  <c r="U19" i="2"/>
  <c r="U16" i="2"/>
  <c r="V28" i="1"/>
  <c r="U11" i="2"/>
  <c r="U17" i="2"/>
  <c r="U20" i="2"/>
  <c r="U5" i="8"/>
  <c r="U7" i="8"/>
  <c r="U20" i="8"/>
  <c r="U22" i="8"/>
  <c r="U44" i="8"/>
  <c r="U45" i="8"/>
  <c r="U33" i="2"/>
  <c r="U46" i="8"/>
  <c r="U26" i="8"/>
  <c r="U48" i="8"/>
  <c r="T49" i="8"/>
  <c r="U50" i="8"/>
  <c r="U51" i="8"/>
  <c r="U34" i="2"/>
  <c r="U32" i="2"/>
  <c r="U35" i="2"/>
  <c r="U4" i="2"/>
  <c r="U38" i="2"/>
  <c r="U76" i="2"/>
  <c r="U77" i="2"/>
  <c r="U61" i="2"/>
  <c r="U62" i="2"/>
  <c r="U66" i="2"/>
  <c r="T64" i="2"/>
  <c r="T70" i="2"/>
  <c r="T72" i="2"/>
  <c r="T74" i="2"/>
  <c r="U68" i="2"/>
  <c r="U58" i="2"/>
  <c r="U82" i="2"/>
  <c r="U29" i="8"/>
  <c r="U12" i="8"/>
  <c r="U30" i="8"/>
  <c r="U31" i="8"/>
  <c r="V32" i="8"/>
  <c r="V10" i="8"/>
  <c r="V23" i="2"/>
  <c r="V25" i="2"/>
  <c r="V9" i="2"/>
  <c r="V10" i="2"/>
  <c r="V12" i="2"/>
  <c r="V13" i="2"/>
  <c r="V18" i="6"/>
  <c r="W98" i="1"/>
  <c r="V23" i="6"/>
  <c r="V26" i="2"/>
  <c r="V27" i="2"/>
  <c r="V28" i="2"/>
  <c r="V24" i="2"/>
  <c r="V29" i="2"/>
  <c r="V6" i="8"/>
  <c r="V9" i="8"/>
  <c r="V2" i="9"/>
  <c r="V15" i="9"/>
  <c r="V16" i="9"/>
  <c r="V17" i="9"/>
  <c r="V18" i="9"/>
  <c r="V19" i="9"/>
  <c r="V20" i="9"/>
  <c r="V21" i="9"/>
  <c r="V22" i="9"/>
  <c r="V23" i="9"/>
  <c r="V24" i="9"/>
  <c r="V25" i="9"/>
  <c r="V26" i="9"/>
  <c r="V27" i="9"/>
  <c r="V28" i="9"/>
  <c r="V29" i="9"/>
  <c r="V30" i="9"/>
  <c r="V31" i="9"/>
  <c r="V32" i="9"/>
  <c r="V33" i="9"/>
  <c r="W40" i="1"/>
  <c r="V5" i="9"/>
  <c r="V9" i="9"/>
  <c r="V6" i="4"/>
  <c r="V10" i="9"/>
  <c r="V11" i="9"/>
  <c r="B34" i="9"/>
  <c r="V34" i="9"/>
  <c r="V48" i="9"/>
  <c r="V16" i="8"/>
  <c r="V18" i="8"/>
  <c r="U23" i="8"/>
  <c r="W6" i="1"/>
  <c r="W4" i="1"/>
  <c r="V15" i="2"/>
  <c r="V18" i="2"/>
  <c r="V19" i="2"/>
  <c r="V16" i="2"/>
  <c r="W28" i="1"/>
  <c r="V11" i="2"/>
  <c r="V17" i="2"/>
  <c r="V20" i="2"/>
  <c r="V5" i="8"/>
  <c r="V7" i="8"/>
  <c r="V20" i="8"/>
  <c r="V22" i="8"/>
  <c r="V44" i="8"/>
  <c r="V45" i="8"/>
  <c r="V33" i="2"/>
  <c r="V46" i="8"/>
  <c r="V26" i="8"/>
  <c r="V48" i="8"/>
  <c r="U49" i="8"/>
  <c r="V50" i="8"/>
  <c r="V51" i="8"/>
  <c r="V34" i="2"/>
  <c r="V32" i="2"/>
  <c r="V35" i="2"/>
  <c r="V4" i="2"/>
  <c r="V38" i="2"/>
  <c r="V76" i="2"/>
  <c r="V77" i="2"/>
  <c r="V61" i="2"/>
  <c r="V62" i="2"/>
  <c r="V66" i="2"/>
  <c r="U64" i="2"/>
  <c r="U70" i="2"/>
  <c r="U72" i="2"/>
  <c r="U74" i="2"/>
  <c r="V68" i="2"/>
  <c r="V58" i="2"/>
  <c r="V82" i="2"/>
  <c r="V29" i="8"/>
  <c r="V12" i="8"/>
  <c r="V30" i="8"/>
  <c r="V31" i="8"/>
  <c r="W32" i="8"/>
  <c r="W10" i="8"/>
  <c r="W23" i="2"/>
  <c r="W25" i="2"/>
  <c r="W9" i="2"/>
  <c r="W10" i="2"/>
  <c r="W12" i="2"/>
  <c r="W13" i="2"/>
  <c r="W18" i="6"/>
  <c r="X98" i="1"/>
  <c r="W23" i="6"/>
  <c r="W26" i="2"/>
  <c r="W27" i="2"/>
  <c r="W28" i="2"/>
  <c r="W24" i="2"/>
  <c r="W29" i="2"/>
  <c r="W6" i="8"/>
  <c r="W9" i="8"/>
  <c r="W2" i="9"/>
  <c r="W15" i="9"/>
  <c r="W16" i="9"/>
  <c r="W17" i="9"/>
  <c r="W18" i="9"/>
  <c r="W19" i="9"/>
  <c r="W20" i="9"/>
  <c r="W21" i="9"/>
  <c r="W22" i="9"/>
  <c r="W23" i="9"/>
  <c r="W24" i="9"/>
  <c r="W25" i="9"/>
  <c r="W26" i="9"/>
  <c r="W27" i="9"/>
  <c r="W28" i="9"/>
  <c r="W29" i="9"/>
  <c r="W30" i="9"/>
  <c r="W31" i="9"/>
  <c r="W32" i="9"/>
  <c r="W33" i="9"/>
  <c r="W34" i="9"/>
  <c r="X40" i="1"/>
  <c r="W5" i="9"/>
  <c r="W9" i="9"/>
  <c r="W6" i="4"/>
  <c r="W10" i="9"/>
  <c r="W11" i="9"/>
  <c r="B35" i="9"/>
  <c r="W35" i="9"/>
  <c r="W48" i="9"/>
  <c r="W16" i="8"/>
  <c r="W18" i="8"/>
  <c r="V23" i="8"/>
  <c r="X6" i="1"/>
  <c r="X4" i="1"/>
  <c r="W15" i="2"/>
  <c r="W18" i="2"/>
  <c r="W19" i="2"/>
  <c r="W16" i="2"/>
  <c r="X28" i="1"/>
  <c r="W11" i="2"/>
  <c r="W17" i="2"/>
  <c r="W20" i="2"/>
  <c r="W5" i="8"/>
  <c r="W7" i="8"/>
  <c r="W20" i="8"/>
  <c r="W22" i="8"/>
  <c r="W44" i="8"/>
  <c r="W45" i="8"/>
  <c r="W33" i="2"/>
  <c r="W46" i="8"/>
  <c r="W26" i="8"/>
  <c r="W48" i="8"/>
  <c r="V49" i="8"/>
  <c r="W50" i="8"/>
  <c r="W51" i="8"/>
  <c r="W34" i="2"/>
  <c r="W32" i="2"/>
  <c r="W35" i="2"/>
  <c r="W4" i="2"/>
  <c r="W38" i="2"/>
  <c r="W76" i="2"/>
  <c r="W77" i="2"/>
  <c r="W61" i="2"/>
  <c r="W62" i="2"/>
  <c r="W66" i="2"/>
  <c r="V64" i="2"/>
  <c r="V70" i="2"/>
  <c r="V72" i="2"/>
  <c r="V74" i="2"/>
  <c r="W68" i="2"/>
  <c r="W58" i="2"/>
  <c r="W82" i="2"/>
  <c r="W29" i="8"/>
  <c r="W12" i="8"/>
  <c r="W30" i="8"/>
  <c r="W31" i="8"/>
  <c r="X32" i="8"/>
  <c r="X10" i="8"/>
  <c r="X23" i="2"/>
  <c r="X25" i="2"/>
  <c r="X9" i="2"/>
  <c r="X10" i="2"/>
  <c r="X12" i="2"/>
  <c r="X13" i="2"/>
  <c r="X18" i="6"/>
  <c r="Y98" i="1"/>
  <c r="X23" i="6"/>
  <c r="X26" i="2"/>
  <c r="X27" i="2"/>
  <c r="X28" i="2"/>
  <c r="X24" i="2"/>
  <c r="X29" i="2"/>
  <c r="X6" i="8"/>
  <c r="X9" i="8"/>
  <c r="X2" i="9"/>
  <c r="X15" i="9"/>
  <c r="X16" i="9"/>
  <c r="X17" i="9"/>
  <c r="X18" i="9"/>
  <c r="X19" i="9"/>
  <c r="X20" i="9"/>
  <c r="X21" i="9"/>
  <c r="X22" i="9"/>
  <c r="X23" i="9"/>
  <c r="X24" i="9"/>
  <c r="X25" i="9"/>
  <c r="X26" i="9"/>
  <c r="X27" i="9"/>
  <c r="X28" i="9"/>
  <c r="X29" i="9"/>
  <c r="X30" i="9"/>
  <c r="X31" i="9"/>
  <c r="X32" i="9"/>
  <c r="X33" i="9"/>
  <c r="X34" i="9"/>
  <c r="X35" i="9"/>
  <c r="Y40" i="1"/>
  <c r="X5" i="9"/>
  <c r="X9" i="9"/>
  <c r="X6" i="4"/>
  <c r="X10" i="9"/>
  <c r="X11" i="9"/>
  <c r="B36" i="9"/>
  <c r="X36" i="9"/>
  <c r="X48" i="9"/>
  <c r="X16" i="8"/>
  <c r="X18" i="8"/>
  <c r="W23" i="8"/>
  <c r="Y6" i="1"/>
  <c r="Y4" i="1"/>
  <c r="X15" i="2"/>
  <c r="X18" i="2"/>
  <c r="X19" i="2"/>
  <c r="X16" i="2"/>
  <c r="Y28" i="1"/>
  <c r="X11" i="2"/>
  <c r="X17" i="2"/>
  <c r="X20" i="2"/>
  <c r="X5" i="8"/>
  <c r="X7" i="8"/>
  <c r="X20" i="8"/>
  <c r="X22" i="8"/>
  <c r="X44" i="8"/>
  <c r="X45" i="8"/>
  <c r="X33" i="2"/>
  <c r="X46" i="8"/>
  <c r="X26" i="8"/>
  <c r="X48" i="8"/>
  <c r="W49" i="8"/>
  <c r="X50" i="8"/>
  <c r="X51" i="8"/>
  <c r="X34" i="2"/>
  <c r="X32" i="2"/>
  <c r="X35" i="2"/>
  <c r="X4" i="2"/>
  <c r="X38" i="2"/>
  <c r="X76" i="2"/>
  <c r="X77" i="2"/>
  <c r="X61" i="2"/>
  <c r="X62" i="2"/>
  <c r="X66" i="2"/>
  <c r="W64" i="2"/>
  <c r="W70" i="2"/>
  <c r="W72" i="2"/>
  <c r="W74" i="2"/>
  <c r="X68" i="2"/>
  <c r="X58" i="2"/>
  <c r="X82" i="2"/>
  <c r="X29" i="8"/>
  <c r="X12" i="8"/>
  <c r="X30" i="8"/>
  <c r="X31" i="8"/>
  <c r="Y32" i="8"/>
  <c r="Y10" i="8"/>
  <c r="Y23" i="2"/>
  <c r="Y25" i="2"/>
  <c r="Y9" i="2"/>
  <c r="Y10" i="2"/>
  <c r="Y12" i="2"/>
  <c r="Y13" i="2"/>
  <c r="Y18" i="6"/>
  <c r="Z98" i="1"/>
  <c r="Y23" i="6"/>
  <c r="Y26" i="2"/>
  <c r="Y27" i="2"/>
  <c r="Y28" i="2"/>
  <c r="Y24" i="2"/>
  <c r="Y29" i="2"/>
  <c r="Y6" i="8"/>
  <c r="Y9" i="8"/>
  <c r="Y2" i="9"/>
  <c r="Y15" i="9"/>
  <c r="Y16" i="9"/>
  <c r="Y17" i="9"/>
  <c r="Y18" i="9"/>
  <c r="Y19" i="9"/>
  <c r="Y20" i="9"/>
  <c r="Y21" i="9"/>
  <c r="Y22" i="9"/>
  <c r="Y23" i="9"/>
  <c r="Y24" i="9"/>
  <c r="Y25" i="9"/>
  <c r="Y26" i="9"/>
  <c r="Y27" i="9"/>
  <c r="Y28" i="9"/>
  <c r="Y29" i="9"/>
  <c r="Y30" i="9"/>
  <c r="Y31" i="9"/>
  <c r="Y32" i="9"/>
  <c r="Y33" i="9"/>
  <c r="Y34" i="9"/>
  <c r="Y35" i="9"/>
  <c r="Y36" i="9"/>
  <c r="Z40" i="1"/>
  <c r="Y5" i="9"/>
  <c r="Y9" i="9"/>
  <c r="Y6" i="4"/>
  <c r="Y10" i="9"/>
  <c r="Y11" i="9"/>
  <c r="B37" i="9"/>
  <c r="Y37" i="9"/>
  <c r="Y48" i="9"/>
  <c r="Y16" i="8"/>
  <c r="Y18" i="8"/>
  <c r="X23" i="8"/>
  <c r="Z6" i="1"/>
  <c r="Z4" i="1"/>
  <c r="Y15" i="2"/>
  <c r="Y18" i="2"/>
  <c r="Y19" i="2"/>
  <c r="Y16" i="2"/>
  <c r="Z28" i="1"/>
  <c r="Y11" i="2"/>
  <c r="Y17" i="2"/>
  <c r="Y20" i="2"/>
  <c r="Y5" i="8"/>
  <c r="Y7" i="8"/>
  <c r="Y20" i="8"/>
  <c r="Y22" i="8"/>
  <c r="Y44" i="8"/>
  <c r="Y45" i="8"/>
  <c r="Y33" i="2"/>
  <c r="Y46" i="8"/>
  <c r="Y26" i="8"/>
  <c r="Y48" i="8"/>
  <c r="X49" i="8"/>
  <c r="Y50" i="8"/>
  <c r="Y51" i="8"/>
  <c r="Y34" i="2"/>
  <c r="Y32" i="2"/>
  <c r="Y35" i="2"/>
  <c r="Y4" i="2"/>
  <c r="Y38" i="2"/>
  <c r="Y76" i="2"/>
  <c r="Y77" i="2"/>
  <c r="Y61" i="2"/>
  <c r="Y62" i="2"/>
  <c r="Y66" i="2"/>
  <c r="X64" i="2"/>
  <c r="X70" i="2"/>
  <c r="X72" i="2"/>
  <c r="X74" i="2"/>
  <c r="Y68" i="2"/>
  <c r="Y58" i="2"/>
  <c r="Y82" i="2"/>
  <c r="Y29" i="8"/>
  <c r="Y12" i="8"/>
  <c r="Y30" i="8"/>
  <c r="Y31" i="8"/>
  <c r="Z32" i="8"/>
  <c r="Z10" i="8"/>
  <c r="Z23" i="2"/>
  <c r="Z25" i="2"/>
  <c r="Z9" i="2"/>
  <c r="Z10" i="2"/>
  <c r="Z12" i="2"/>
  <c r="Z13" i="2"/>
  <c r="Z18" i="6"/>
  <c r="AA98" i="1"/>
  <c r="Z23" i="6"/>
  <c r="Z26" i="2"/>
  <c r="Z27" i="2"/>
  <c r="Z28" i="2"/>
  <c r="Z24" i="2"/>
  <c r="Z29" i="2"/>
  <c r="Z6" i="8"/>
  <c r="Z9" i="8"/>
  <c r="Z2" i="9"/>
  <c r="Z15" i="9"/>
  <c r="Z16" i="9"/>
  <c r="Z17" i="9"/>
  <c r="Z18" i="9"/>
  <c r="Z19" i="9"/>
  <c r="Z20" i="9"/>
  <c r="Z21" i="9"/>
  <c r="Z22" i="9"/>
  <c r="Z23" i="9"/>
  <c r="Z24" i="9"/>
  <c r="Z25" i="9"/>
  <c r="Z26" i="9"/>
  <c r="Z27" i="9"/>
  <c r="Z28" i="9"/>
  <c r="Z29" i="9"/>
  <c r="Z30" i="9"/>
  <c r="Z31" i="9"/>
  <c r="Z32" i="9"/>
  <c r="Z33" i="9"/>
  <c r="Z34" i="9"/>
  <c r="Z35" i="9"/>
  <c r="Z36" i="9"/>
  <c r="Z37" i="9"/>
  <c r="AA40" i="1"/>
  <c r="Z5" i="9"/>
  <c r="Z9" i="9"/>
  <c r="Z6" i="4"/>
  <c r="Z10" i="9"/>
  <c r="Z11" i="9"/>
  <c r="B38" i="9"/>
  <c r="Z38" i="9"/>
  <c r="Z48" i="9"/>
  <c r="Z16" i="8"/>
  <c r="Z18" i="8"/>
  <c r="Y23" i="8"/>
  <c r="AA6" i="1"/>
  <c r="AA4" i="1"/>
  <c r="Z15" i="2"/>
  <c r="Z18" i="2"/>
  <c r="Z19" i="2"/>
  <c r="Z16" i="2"/>
  <c r="AA28" i="1"/>
  <c r="Z11" i="2"/>
  <c r="Z17" i="2"/>
  <c r="Z20" i="2"/>
  <c r="Z5" i="8"/>
  <c r="Z7" i="8"/>
  <c r="Z20" i="8"/>
  <c r="Z22" i="8"/>
  <c r="Z44" i="8"/>
  <c r="Z45" i="8"/>
  <c r="Z33" i="2"/>
  <c r="Z46" i="8"/>
  <c r="Z26" i="8"/>
  <c r="Z48" i="8"/>
  <c r="Y49" i="8"/>
  <c r="Z50" i="8"/>
  <c r="Z51" i="8"/>
  <c r="Z34" i="2"/>
  <c r="Z32" i="2"/>
  <c r="Z35" i="2"/>
  <c r="Z4" i="2"/>
  <c r="Z38" i="2"/>
  <c r="Z76" i="2"/>
  <c r="Z77" i="2"/>
  <c r="Z61" i="2"/>
  <c r="Z62" i="2"/>
  <c r="Z66" i="2"/>
  <c r="Y64" i="2"/>
  <c r="Y70" i="2"/>
  <c r="Y72" i="2"/>
  <c r="Y74" i="2"/>
  <c r="Z68" i="2"/>
  <c r="Z58" i="2"/>
  <c r="Z82" i="2"/>
  <c r="Z29" i="8"/>
  <c r="Z12" i="8"/>
  <c r="Z30" i="8"/>
  <c r="Z31" i="8"/>
  <c r="AA32" i="8"/>
  <c r="AA10" i="8"/>
  <c r="AA23" i="2"/>
  <c r="AA25" i="2"/>
  <c r="AA9" i="2"/>
  <c r="AA10" i="2"/>
  <c r="AA12" i="2"/>
  <c r="AA13" i="2"/>
  <c r="AA18" i="6"/>
  <c r="AB98" i="1"/>
  <c r="AA23" i="6"/>
  <c r="AA26" i="2"/>
  <c r="AA27" i="2"/>
  <c r="AA28" i="2"/>
  <c r="AA24" i="2"/>
  <c r="AA29" i="2"/>
  <c r="AA6" i="8"/>
  <c r="AA9" i="8"/>
  <c r="AA2" i="9"/>
  <c r="AA15" i="9"/>
  <c r="AA16" i="9"/>
  <c r="AA17" i="9"/>
  <c r="AA18" i="9"/>
  <c r="AA19" i="9"/>
  <c r="AA20" i="9"/>
  <c r="AA21" i="9"/>
  <c r="AA22" i="9"/>
  <c r="AA23" i="9"/>
  <c r="AA24" i="9"/>
  <c r="AA25" i="9"/>
  <c r="AA26" i="9"/>
  <c r="AA27" i="9"/>
  <c r="AA28" i="9"/>
  <c r="AA29" i="9"/>
  <c r="AA30" i="9"/>
  <c r="AA31" i="9"/>
  <c r="AA32" i="9"/>
  <c r="AA33" i="9"/>
  <c r="AA34" i="9"/>
  <c r="AA35" i="9"/>
  <c r="AA36" i="9"/>
  <c r="AA37" i="9"/>
  <c r="AA38" i="9"/>
  <c r="AB40" i="1"/>
  <c r="AA5" i="9"/>
  <c r="AA9" i="9"/>
  <c r="AA6" i="4"/>
  <c r="AA10" i="9"/>
  <c r="AA11" i="9"/>
  <c r="B39" i="9"/>
  <c r="AA39" i="9"/>
  <c r="AA48" i="9"/>
  <c r="AA16" i="8"/>
  <c r="AA18" i="8"/>
  <c r="Z23" i="8"/>
  <c r="AB6" i="1"/>
  <c r="AB4" i="1"/>
  <c r="AA15" i="2"/>
  <c r="AA18" i="2"/>
  <c r="AA19" i="2"/>
  <c r="AA16" i="2"/>
  <c r="AB28" i="1"/>
  <c r="AA11" i="2"/>
  <c r="AA17" i="2"/>
  <c r="AA20" i="2"/>
  <c r="AA5" i="8"/>
  <c r="AA7" i="8"/>
  <c r="AA20" i="8"/>
  <c r="AA22" i="8"/>
  <c r="AA44" i="8"/>
  <c r="AA45" i="8"/>
  <c r="AA33" i="2"/>
  <c r="AA46" i="8"/>
  <c r="AA26" i="8"/>
  <c r="AA48" i="8"/>
  <c r="Z49" i="8"/>
  <c r="AA50" i="8"/>
  <c r="AA51" i="8"/>
  <c r="AA34" i="2"/>
  <c r="AA32" i="2"/>
  <c r="AA35" i="2"/>
  <c r="AA4" i="2"/>
  <c r="AA38" i="2"/>
  <c r="AA76" i="2"/>
  <c r="AA77" i="2"/>
  <c r="AA61" i="2"/>
  <c r="AA62" i="2"/>
  <c r="AA66" i="2"/>
  <c r="Z64" i="2"/>
  <c r="Z70" i="2"/>
  <c r="Z72" i="2"/>
  <c r="Z74" i="2"/>
  <c r="AA68" i="2"/>
  <c r="AA58" i="2"/>
  <c r="AA82" i="2"/>
  <c r="AA29" i="8"/>
  <c r="AA12" i="8"/>
  <c r="AA30" i="8"/>
  <c r="AA31" i="8"/>
  <c r="AB32" i="8"/>
  <c r="AB10" i="8"/>
  <c r="AB23" i="2"/>
  <c r="AB25" i="2"/>
  <c r="AB9" i="2"/>
  <c r="AB10" i="2"/>
  <c r="AB12" i="2"/>
  <c r="AB13" i="2"/>
  <c r="AB18" i="6"/>
  <c r="AC98" i="1"/>
  <c r="AB23" i="6"/>
  <c r="AB26" i="2"/>
  <c r="AB27" i="2"/>
  <c r="AB28" i="2"/>
  <c r="AB24" i="2"/>
  <c r="AB29" i="2"/>
  <c r="AB6" i="8"/>
  <c r="AB9" i="8"/>
  <c r="AB2" i="9"/>
  <c r="AB15" i="9"/>
  <c r="AB16" i="9"/>
  <c r="AB17" i="9"/>
  <c r="AB18" i="9"/>
  <c r="AB19" i="9"/>
  <c r="AB20" i="9"/>
  <c r="AB21" i="9"/>
  <c r="AB22" i="9"/>
  <c r="AB23" i="9"/>
  <c r="AB24" i="9"/>
  <c r="AB25" i="9"/>
  <c r="AB26" i="9"/>
  <c r="AB27" i="9"/>
  <c r="AB28" i="9"/>
  <c r="AB29" i="9"/>
  <c r="AB30" i="9"/>
  <c r="AB31" i="9"/>
  <c r="AB32" i="9"/>
  <c r="AB33" i="9"/>
  <c r="AB34" i="9"/>
  <c r="AB35" i="9"/>
  <c r="AB36" i="9"/>
  <c r="AB37" i="9"/>
  <c r="AB38" i="9"/>
  <c r="AB39" i="9"/>
  <c r="AC40" i="1"/>
  <c r="AB5" i="9"/>
  <c r="AB9" i="9"/>
  <c r="AB6" i="4"/>
  <c r="AB10" i="9"/>
  <c r="AB11" i="9"/>
  <c r="B40" i="9"/>
  <c r="AB40" i="9"/>
  <c r="AB48" i="9"/>
  <c r="AB16" i="8"/>
  <c r="AB18" i="8"/>
  <c r="AA23" i="8"/>
  <c r="AC6" i="1"/>
  <c r="AC4" i="1"/>
  <c r="AB15" i="2"/>
  <c r="AB18" i="2"/>
  <c r="AB19" i="2"/>
  <c r="AB16" i="2"/>
  <c r="AC28" i="1"/>
  <c r="AB11" i="2"/>
  <c r="AB17" i="2"/>
  <c r="AB20" i="2"/>
  <c r="AB5" i="8"/>
  <c r="AB7" i="8"/>
  <c r="AB20" i="8"/>
  <c r="AB22" i="8"/>
  <c r="AB44" i="8"/>
  <c r="AB45" i="8"/>
  <c r="AB33" i="2"/>
  <c r="AB46" i="8"/>
  <c r="AB26" i="8"/>
  <c r="AB48" i="8"/>
  <c r="AA49" i="8"/>
  <c r="AB50" i="8"/>
  <c r="AB51" i="8"/>
  <c r="AB34" i="2"/>
  <c r="AB32" i="2"/>
  <c r="AB35" i="2"/>
  <c r="AB4" i="2"/>
  <c r="AB38" i="2"/>
  <c r="AB76" i="2"/>
  <c r="AB77" i="2"/>
  <c r="AB61" i="2"/>
  <c r="AB62" i="2"/>
  <c r="AB66" i="2"/>
  <c r="AA64" i="2"/>
  <c r="AA70" i="2"/>
  <c r="AA72" i="2"/>
  <c r="AA74" i="2"/>
  <c r="AB68" i="2"/>
  <c r="AB58" i="2"/>
  <c r="AB82" i="2"/>
  <c r="AB29" i="8"/>
  <c r="AB12" i="8"/>
  <c r="AB30" i="8"/>
  <c r="AB31" i="8"/>
  <c r="AC32" i="8"/>
  <c r="AC10" i="8"/>
  <c r="AC23" i="2"/>
  <c r="AC25" i="2"/>
  <c r="AC9" i="2"/>
  <c r="AC10" i="2"/>
  <c r="AC12" i="2"/>
  <c r="AC13" i="2"/>
  <c r="AC18" i="6"/>
  <c r="AD98" i="1"/>
  <c r="AC23" i="6"/>
  <c r="AC26" i="2"/>
  <c r="AC27" i="2"/>
  <c r="AC28" i="2"/>
  <c r="AC24" i="2"/>
  <c r="AC29" i="2"/>
  <c r="AC6" i="8"/>
  <c r="AC9" i="8"/>
  <c r="AC2" i="9"/>
  <c r="AC15" i="9"/>
  <c r="AC16" i="9"/>
  <c r="AC17" i="9"/>
  <c r="AC18" i="9"/>
  <c r="AC19" i="9"/>
  <c r="AC20" i="9"/>
  <c r="AC21" i="9"/>
  <c r="AC22" i="9"/>
  <c r="AC23" i="9"/>
  <c r="AC24" i="9"/>
  <c r="AC25" i="9"/>
  <c r="AC26" i="9"/>
  <c r="AC27" i="9"/>
  <c r="AC28" i="9"/>
  <c r="AC29" i="9"/>
  <c r="AC30" i="9"/>
  <c r="AC31" i="9"/>
  <c r="AC32" i="9"/>
  <c r="AC33" i="9"/>
  <c r="AC34" i="9"/>
  <c r="AC35" i="9"/>
  <c r="AC36" i="9"/>
  <c r="AC37" i="9"/>
  <c r="AC38" i="9"/>
  <c r="AC39" i="9"/>
  <c r="AC40" i="9"/>
  <c r="AD40" i="1"/>
  <c r="AC5" i="9"/>
  <c r="AC9" i="9"/>
  <c r="AC6" i="4"/>
  <c r="AC10" i="9"/>
  <c r="AC11" i="9"/>
  <c r="B41" i="9"/>
  <c r="AC41" i="9"/>
  <c r="AC48" i="9"/>
  <c r="AC16" i="8"/>
  <c r="AC18" i="8"/>
  <c r="AB23" i="8"/>
  <c r="AD6" i="1"/>
  <c r="AD4" i="1"/>
  <c r="AC15" i="2"/>
  <c r="AC18" i="2"/>
  <c r="AC19" i="2"/>
  <c r="AC16" i="2"/>
  <c r="AD28" i="1"/>
  <c r="AC11" i="2"/>
  <c r="AC17" i="2"/>
  <c r="AC20" i="2"/>
  <c r="AC5" i="8"/>
  <c r="AC7" i="8"/>
  <c r="AC20" i="8"/>
  <c r="AC22" i="8"/>
  <c r="AC44" i="8"/>
  <c r="AC45" i="8"/>
  <c r="AC33" i="2"/>
  <c r="AC46" i="8"/>
  <c r="AC26" i="8"/>
  <c r="AC48" i="8"/>
  <c r="AB49" i="8"/>
  <c r="AC50" i="8"/>
  <c r="AC51" i="8"/>
  <c r="AC34" i="2"/>
  <c r="AC32" i="2"/>
  <c r="AC35" i="2"/>
  <c r="AC4" i="2"/>
  <c r="AC38" i="2"/>
  <c r="AC76" i="2"/>
  <c r="AC77" i="2"/>
  <c r="AC61" i="2"/>
  <c r="AC62" i="2"/>
  <c r="AC66" i="2"/>
  <c r="AB64" i="2"/>
  <c r="AB70" i="2"/>
  <c r="AB72" i="2"/>
  <c r="AB74" i="2"/>
  <c r="AC68" i="2"/>
  <c r="AC58" i="2"/>
  <c r="AC82" i="2"/>
  <c r="AC29" i="8"/>
  <c r="AC12" i="8"/>
  <c r="AC30" i="8"/>
  <c r="AC31" i="8"/>
  <c r="AD32" i="8"/>
  <c r="AD10" i="8"/>
  <c r="AD23" i="2"/>
  <c r="AD25" i="2"/>
  <c r="AD9" i="2"/>
  <c r="AD10" i="2"/>
  <c r="AD12" i="2"/>
  <c r="AD13" i="2"/>
  <c r="AD18" i="6"/>
  <c r="AE98" i="1"/>
  <c r="AD23" i="6"/>
  <c r="AD26" i="2"/>
  <c r="AD27" i="2"/>
  <c r="AD28" i="2"/>
  <c r="AD24" i="2"/>
  <c r="AD29" i="2"/>
  <c r="AD6" i="8"/>
  <c r="AD9" i="8"/>
  <c r="AD2" i="9"/>
  <c r="AD15" i="9"/>
  <c r="AD16" i="9"/>
  <c r="AD17" i="9"/>
  <c r="AD18" i="9"/>
  <c r="AD19" i="9"/>
  <c r="AD20" i="9"/>
  <c r="AD21" i="9"/>
  <c r="AD22" i="9"/>
  <c r="AD23" i="9"/>
  <c r="AD24" i="9"/>
  <c r="AD25" i="9"/>
  <c r="AD26" i="9"/>
  <c r="AD27" i="9"/>
  <c r="AD28" i="9"/>
  <c r="AD29" i="9"/>
  <c r="AD30" i="9"/>
  <c r="AD31" i="9"/>
  <c r="AD32" i="9"/>
  <c r="AD33" i="9"/>
  <c r="AD34" i="9"/>
  <c r="AD35" i="9"/>
  <c r="AD36" i="9"/>
  <c r="AD37" i="9"/>
  <c r="AD38" i="9"/>
  <c r="AD39" i="9"/>
  <c r="AD40" i="9"/>
  <c r="AD41" i="9"/>
  <c r="AE40" i="1"/>
  <c r="AD5" i="9"/>
  <c r="AD9" i="9"/>
  <c r="AD6" i="4"/>
  <c r="AD10" i="9"/>
  <c r="AD11" i="9"/>
  <c r="B42" i="9"/>
  <c r="AD42" i="9"/>
  <c r="AD48" i="9"/>
  <c r="AD16" i="8"/>
  <c r="AD18" i="8"/>
  <c r="AC23" i="8"/>
  <c r="AE6" i="1"/>
  <c r="AE4" i="1"/>
  <c r="AD15" i="2"/>
  <c r="AD18" i="2"/>
  <c r="AD19" i="2"/>
  <c r="AD16" i="2"/>
  <c r="AE28" i="1"/>
  <c r="AD11" i="2"/>
  <c r="AD17" i="2"/>
  <c r="AD20" i="2"/>
  <c r="AD5" i="8"/>
  <c r="AD7" i="8"/>
  <c r="AD20" i="8"/>
  <c r="AD22" i="8"/>
  <c r="AD44" i="8"/>
  <c r="AD45" i="8"/>
  <c r="AD33" i="2"/>
  <c r="AD46" i="8"/>
  <c r="AD26" i="8"/>
  <c r="AD48" i="8"/>
  <c r="AC49" i="8"/>
  <c r="AD50" i="8"/>
  <c r="AD51" i="8"/>
  <c r="AD34" i="2"/>
  <c r="AD32" i="2"/>
  <c r="AD35" i="2"/>
  <c r="AD4" i="2"/>
  <c r="AD38" i="2"/>
  <c r="AD76" i="2"/>
  <c r="AD77" i="2"/>
  <c r="AD61" i="2"/>
  <c r="AD62" i="2"/>
  <c r="AD66" i="2"/>
  <c r="AC64" i="2"/>
  <c r="AC70" i="2"/>
  <c r="AC72" i="2"/>
  <c r="AC74" i="2"/>
  <c r="AD68" i="2"/>
  <c r="AD58" i="2"/>
  <c r="AD82" i="2"/>
  <c r="AD29" i="8"/>
  <c r="AD12" i="8"/>
  <c r="AD30" i="8"/>
  <c r="AD31" i="8"/>
  <c r="AE32" i="8"/>
  <c r="AE10" i="8"/>
  <c r="AE23" i="2"/>
  <c r="AE25" i="2"/>
  <c r="AE9" i="2"/>
  <c r="AE10" i="2"/>
  <c r="AE12" i="2"/>
  <c r="AE13" i="2"/>
  <c r="AE18" i="6"/>
  <c r="AF98" i="1"/>
  <c r="AE23" i="6"/>
  <c r="AE26" i="2"/>
  <c r="AE27" i="2"/>
  <c r="AE28" i="2"/>
  <c r="AE24" i="2"/>
  <c r="AE29" i="2"/>
  <c r="AE6" i="8"/>
  <c r="AE9" i="8"/>
  <c r="AE2" i="9"/>
  <c r="AE15" i="9"/>
  <c r="AE16" i="9"/>
  <c r="AE17" i="9"/>
  <c r="AE18" i="9"/>
  <c r="AE19" i="9"/>
  <c r="AE20" i="9"/>
  <c r="AE21" i="9"/>
  <c r="AE22" i="9"/>
  <c r="AE23" i="9"/>
  <c r="AE24" i="9"/>
  <c r="AE25" i="9"/>
  <c r="AE26" i="9"/>
  <c r="AE27" i="9"/>
  <c r="AE28" i="9"/>
  <c r="AE29" i="9"/>
  <c r="AE30" i="9"/>
  <c r="AE31" i="9"/>
  <c r="AE32" i="9"/>
  <c r="AE33" i="9"/>
  <c r="AE34" i="9"/>
  <c r="AE35" i="9"/>
  <c r="AE36" i="9"/>
  <c r="AE37" i="9"/>
  <c r="AE38" i="9"/>
  <c r="AE39" i="9"/>
  <c r="AE40" i="9"/>
  <c r="AE41" i="9"/>
  <c r="AE42" i="9"/>
  <c r="AF40" i="1"/>
  <c r="AE5" i="9"/>
  <c r="AE9" i="9"/>
  <c r="AE6" i="4"/>
  <c r="AE10" i="9"/>
  <c r="AE11" i="9"/>
  <c r="B43" i="9"/>
  <c r="AE43" i="9"/>
  <c r="AE48" i="9"/>
  <c r="AE16" i="8"/>
  <c r="AE18" i="8"/>
  <c r="AD23" i="8"/>
  <c r="AF6" i="1"/>
  <c r="AF4" i="1"/>
  <c r="AE15" i="2"/>
  <c r="AE18" i="2"/>
  <c r="AE19" i="2"/>
  <c r="AE16" i="2"/>
  <c r="AF28" i="1"/>
  <c r="AE11" i="2"/>
  <c r="AE17" i="2"/>
  <c r="AE20" i="2"/>
  <c r="AE5" i="8"/>
  <c r="AE7" i="8"/>
  <c r="AE20" i="8"/>
  <c r="AE22" i="8"/>
  <c r="AE44" i="8"/>
  <c r="AE45" i="8"/>
  <c r="AE33" i="2"/>
  <c r="AE46" i="8"/>
  <c r="AE26" i="8"/>
  <c r="AE48" i="8"/>
  <c r="AD49" i="8"/>
  <c r="AE50" i="8"/>
  <c r="AE51" i="8"/>
  <c r="AE34" i="2"/>
  <c r="AE32" i="2"/>
  <c r="AE35" i="2"/>
  <c r="AE4" i="2"/>
  <c r="AE38" i="2"/>
  <c r="AE76" i="2"/>
  <c r="AE77" i="2"/>
  <c r="AE61" i="2"/>
  <c r="AE62" i="2"/>
  <c r="AE66" i="2"/>
  <c r="AD64" i="2"/>
  <c r="AD70" i="2"/>
  <c r="AD72" i="2"/>
  <c r="AD74" i="2"/>
  <c r="AE68" i="2"/>
  <c r="AE58" i="2"/>
  <c r="AE82" i="2"/>
  <c r="AE29" i="8"/>
  <c r="AE12" i="8"/>
  <c r="AE30" i="8"/>
  <c r="AE31" i="8"/>
  <c r="AF32" i="8"/>
  <c r="AF10" i="8"/>
  <c r="AF23" i="2"/>
  <c r="AF25" i="2"/>
  <c r="AF9" i="2"/>
  <c r="AF10" i="2"/>
  <c r="AF12" i="2"/>
  <c r="AF13" i="2"/>
  <c r="AF18" i="6"/>
  <c r="AG98" i="1"/>
  <c r="AF23" i="6"/>
  <c r="AF26" i="2"/>
  <c r="AF27" i="2"/>
  <c r="AF28" i="2"/>
  <c r="AF24" i="2"/>
  <c r="AF29" i="2"/>
  <c r="AF6" i="8"/>
  <c r="AF9" i="8"/>
  <c r="AF2" i="9"/>
  <c r="AF15" i="9"/>
  <c r="AF16" i="9"/>
  <c r="AF17" i="9"/>
  <c r="AF18" i="9"/>
  <c r="AF19" i="9"/>
  <c r="AF20" i="9"/>
  <c r="AF21" i="9"/>
  <c r="AF22" i="9"/>
  <c r="AF23" i="9"/>
  <c r="AF24" i="9"/>
  <c r="AF25" i="9"/>
  <c r="AF26" i="9"/>
  <c r="AF27" i="9"/>
  <c r="AF28" i="9"/>
  <c r="AF29" i="9"/>
  <c r="AF30" i="9"/>
  <c r="AF31" i="9"/>
  <c r="AF32" i="9"/>
  <c r="AF33" i="9"/>
  <c r="AF34" i="9"/>
  <c r="AF35" i="9"/>
  <c r="AF36" i="9"/>
  <c r="AF37" i="9"/>
  <c r="AF38" i="9"/>
  <c r="AF39" i="9"/>
  <c r="AF40" i="9"/>
  <c r="AF41" i="9"/>
  <c r="AF42" i="9"/>
  <c r="AF43" i="9"/>
  <c r="AG40" i="1"/>
  <c r="AF5" i="9"/>
  <c r="AF9" i="9"/>
  <c r="AF6" i="4"/>
  <c r="AF10" i="9"/>
  <c r="AF11" i="9"/>
  <c r="B44" i="9"/>
  <c r="AF44" i="9"/>
  <c r="AF48" i="9"/>
  <c r="AF16" i="8"/>
  <c r="AF18" i="8"/>
  <c r="AE23" i="8"/>
  <c r="AG6" i="1"/>
  <c r="AG4" i="1"/>
  <c r="AF15" i="2"/>
  <c r="AF18" i="2"/>
  <c r="AF19" i="2"/>
  <c r="AF16" i="2"/>
  <c r="AG28" i="1"/>
  <c r="AF11" i="2"/>
  <c r="AF17" i="2"/>
  <c r="AF20" i="2"/>
  <c r="AF5" i="8"/>
  <c r="AF7" i="8"/>
  <c r="AF20" i="8"/>
  <c r="AF22" i="8"/>
  <c r="AF44" i="8"/>
  <c r="AF45" i="8"/>
  <c r="AF33" i="2"/>
  <c r="AF46" i="8"/>
  <c r="AF26" i="8"/>
  <c r="AF48" i="8"/>
  <c r="AE49" i="8"/>
  <c r="AF50" i="8"/>
  <c r="AF51" i="8"/>
  <c r="AF34" i="2"/>
  <c r="AF32" i="2"/>
  <c r="AF35" i="2"/>
  <c r="AF4" i="2"/>
  <c r="AF38" i="2"/>
  <c r="AF76" i="2"/>
  <c r="AF77" i="2"/>
  <c r="AF61" i="2"/>
  <c r="AF62" i="2"/>
  <c r="AF66" i="2"/>
  <c r="AE64" i="2"/>
  <c r="AE70" i="2"/>
  <c r="AE72" i="2"/>
  <c r="AE74" i="2"/>
  <c r="AF68" i="2"/>
  <c r="AF58" i="2"/>
  <c r="AF82" i="2"/>
  <c r="AF29" i="8"/>
  <c r="AF12" i="8"/>
  <c r="AF30" i="8"/>
  <c r="AF31" i="8"/>
  <c r="AG32" i="8"/>
  <c r="AG10" i="8"/>
  <c r="AG23" i="2"/>
  <c r="AG25" i="2"/>
  <c r="AG9" i="2"/>
  <c r="AG10" i="2"/>
  <c r="AG12" i="2"/>
  <c r="AG13" i="2"/>
  <c r="AG18" i="6"/>
  <c r="AH98" i="1"/>
  <c r="AG23" i="6"/>
  <c r="AG26" i="2"/>
  <c r="AG27" i="2"/>
  <c r="AG28" i="2"/>
  <c r="AG24" i="2"/>
  <c r="AG29" i="2"/>
  <c r="AG6" i="8"/>
  <c r="AG9" i="8"/>
  <c r="AG2" i="9"/>
  <c r="AG15" i="9"/>
  <c r="AG16" i="9"/>
  <c r="AG17" i="9"/>
  <c r="AG18" i="9"/>
  <c r="AG19" i="9"/>
  <c r="AG20" i="9"/>
  <c r="AG21" i="9"/>
  <c r="AG22" i="9"/>
  <c r="AG23" i="9"/>
  <c r="AG24" i="9"/>
  <c r="AG25" i="9"/>
  <c r="AG26" i="9"/>
  <c r="AG27" i="9"/>
  <c r="AG28" i="9"/>
  <c r="AG29" i="9"/>
  <c r="AG30" i="9"/>
  <c r="AG31" i="9"/>
  <c r="AG32" i="9"/>
  <c r="AG33" i="9"/>
  <c r="AG34" i="9"/>
  <c r="AG35" i="9"/>
  <c r="AG36" i="9"/>
  <c r="AG37" i="9"/>
  <c r="AG38" i="9"/>
  <c r="AG39" i="9"/>
  <c r="AG40" i="9"/>
  <c r="AG41" i="9"/>
  <c r="AG42" i="9"/>
  <c r="AG43" i="9"/>
  <c r="AG44" i="9"/>
  <c r="AH40" i="1"/>
  <c r="AG5" i="9"/>
  <c r="AG9" i="9"/>
  <c r="AG6" i="4"/>
  <c r="AG10" i="9"/>
  <c r="AG11" i="9"/>
  <c r="B45" i="9"/>
  <c r="AG45" i="9"/>
  <c r="AG48" i="9"/>
  <c r="AG16" i="8"/>
  <c r="AG18" i="8"/>
  <c r="AF23" i="8"/>
  <c r="AH6" i="1"/>
  <c r="AH4" i="1"/>
  <c r="AG15" i="2"/>
  <c r="AG18" i="2"/>
  <c r="AG19" i="2"/>
  <c r="AG16" i="2"/>
  <c r="AH28" i="1"/>
  <c r="AG11" i="2"/>
  <c r="AG17" i="2"/>
  <c r="AG20" i="2"/>
  <c r="AG5" i="8"/>
  <c r="AG7" i="8"/>
  <c r="AG20" i="8"/>
  <c r="AG22" i="8"/>
  <c r="AG44" i="8"/>
  <c r="AG45" i="8"/>
  <c r="AG33" i="2"/>
  <c r="AG46" i="8"/>
  <c r="AG26" i="8"/>
  <c r="AG48" i="8"/>
  <c r="AF49" i="8"/>
  <c r="AG50" i="8"/>
  <c r="AG51" i="8"/>
  <c r="AG34" i="2"/>
  <c r="AG32" i="2"/>
  <c r="AG35" i="2"/>
  <c r="AG4" i="2"/>
  <c r="AG38" i="2"/>
  <c r="AG76" i="2"/>
  <c r="AG77" i="2"/>
  <c r="AG61" i="2"/>
  <c r="AG62" i="2"/>
  <c r="AG66" i="2"/>
  <c r="AF64" i="2"/>
  <c r="AF70" i="2"/>
  <c r="AF72" i="2"/>
  <c r="AF74" i="2"/>
  <c r="AG68" i="2"/>
  <c r="AG58" i="2"/>
  <c r="AG82" i="2"/>
  <c r="AG29" i="8"/>
  <c r="AG12" i="8"/>
  <c r="AG30" i="8"/>
  <c r="AG31" i="8"/>
  <c r="AH32" i="8"/>
  <c r="AH10" i="8"/>
  <c r="AH23" i="2"/>
  <c r="AH25" i="2"/>
  <c r="AH9" i="2"/>
  <c r="AH10" i="2"/>
  <c r="AH12" i="2"/>
  <c r="AH13" i="2"/>
  <c r="AH18" i="6"/>
  <c r="AI98" i="1"/>
  <c r="AH23" i="6"/>
  <c r="AH26" i="2"/>
  <c r="AH27" i="2"/>
  <c r="AH28" i="2"/>
  <c r="AH24" i="2"/>
  <c r="AH29" i="2"/>
  <c r="AH6" i="8"/>
  <c r="AH9" i="8"/>
  <c r="AH2"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H42" i="9"/>
  <c r="AH43" i="9"/>
  <c r="AH44" i="9"/>
  <c r="AH45" i="9"/>
  <c r="AI40" i="1"/>
  <c r="AH5" i="9"/>
  <c r="AH9" i="9"/>
  <c r="AH6" i="4"/>
  <c r="AH10" i="9"/>
  <c r="AH11" i="9"/>
  <c r="B46" i="9"/>
  <c r="AH46" i="9"/>
  <c r="AH48" i="9"/>
  <c r="AH16" i="8"/>
  <c r="AH18" i="8"/>
  <c r="AG23" i="8"/>
  <c r="AI6" i="1"/>
  <c r="AI4" i="1"/>
  <c r="AH15" i="2"/>
  <c r="AH18" i="2"/>
  <c r="AH19" i="2"/>
  <c r="AH16" i="2"/>
  <c r="AI28" i="1"/>
  <c r="AH11" i="2"/>
  <c r="AH17" i="2"/>
  <c r="AH20" i="2"/>
  <c r="AH5" i="8"/>
  <c r="AH7" i="8"/>
  <c r="AH20" i="8"/>
  <c r="AH22" i="8"/>
  <c r="AH44" i="8"/>
  <c r="AH45" i="8"/>
  <c r="AH33" i="2"/>
  <c r="AH46" i="8"/>
  <c r="AH26" i="8"/>
  <c r="AH48" i="8"/>
  <c r="AG49" i="8"/>
  <c r="AH50" i="8"/>
  <c r="AH51" i="8"/>
  <c r="AH34" i="2"/>
  <c r="AH32" i="2"/>
  <c r="AH35" i="2"/>
  <c r="AH4" i="2"/>
  <c r="AH38" i="2"/>
  <c r="AH76" i="2"/>
  <c r="AH77" i="2"/>
  <c r="AH61" i="2"/>
  <c r="AH62" i="2"/>
  <c r="AH66" i="2"/>
  <c r="AG64" i="2"/>
  <c r="AG70" i="2"/>
  <c r="AG72" i="2"/>
  <c r="AG74" i="2"/>
  <c r="AH68" i="2"/>
  <c r="AH58" i="2"/>
  <c r="AH82" i="2"/>
  <c r="AH29" i="8"/>
  <c r="AH12" i="8"/>
  <c r="AH30" i="8"/>
  <c r="AH31" i="8"/>
  <c r="AI32" i="8"/>
  <c r="AI10" i="8"/>
  <c r="AI23" i="2"/>
  <c r="AI25" i="2"/>
  <c r="AI9" i="2"/>
  <c r="AI10" i="2"/>
  <c r="AI12" i="2"/>
  <c r="AI13" i="2"/>
  <c r="AI18" i="6"/>
  <c r="AJ98" i="1"/>
  <c r="AI23" i="6"/>
  <c r="AI26" i="2"/>
  <c r="AI27" i="2"/>
  <c r="AI28" i="2"/>
  <c r="AI24" i="2"/>
  <c r="AI29" i="2"/>
  <c r="AI6" i="8"/>
  <c r="AI9" i="8"/>
  <c r="AI2" i="9"/>
  <c r="AI15" i="9"/>
  <c r="AI16" i="9"/>
  <c r="AI17" i="9"/>
  <c r="AI18" i="9"/>
  <c r="AI19" i="9"/>
  <c r="AI20" i="9"/>
  <c r="AI21" i="9"/>
  <c r="AI22" i="9"/>
  <c r="AI23" i="9"/>
  <c r="AI24" i="9"/>
  <c r="AI25" i="9"/>
  <c r="AI26" i="9"/>
  <c r="AI27" i="9"/>
  <c r="AI28" i="9"/>
  <c r="AI29" i="9"/>
  <c r="AI30" i="9"/>
  <c r="AI31" i="9"/>
  <c r="AI32" i="9"/>
  <c r="AI33" i="9"/>
  <c r="AI34" i="9"/>
  <c r="AI35" i="9"/>
  <c r="AI36" i="9"/>
  <c r="AI37" i="9"/>
  <c r="AI38" i="9"/>
  <c r="AI39" i="9"/>
  <c r="AI40" i="9"/>
  <c r="AI41" i="9"/>
  <c r="AI42" i="9"/>
  <c r="AI43" i="9"/>
  <c r="AI44" i="9"/>
  <c r="AI45" i="9"/>
  <c r="AI46" i="9"/>
  <c r="AJ40" i="1"/>
  <c r="AI5" i="9"/>
  <c r="AI9" i="9"/>
  <c r="AI6" i="4"/>
  <c r="AI10" i="9"/>
  <c r="AI11" i="9"/>
  <c r="B47" i="9"/>
  <c r="AI47" i="9"/>
  <c r="AI48" i="9"/>
  <c r="AI16" i="8"/>
  <c r="AI18" i="8"/>
  <c r="AH23" i="8"/>
  <c r="AJ6" i="1"/>
  <c r="AJ4" i="1"/>
  <c r="AI15" i="2"/>
  <c r="AI18" i="2"/>
  <c r="AI19" i="2"/>
  <c r="AI16" i="2"/>
  <c r="AJ28" i="1"/>
  <c r="AI11" i="2"/>
  <c r="AI17" i="2"/>
  <c r="AI20" i="2"/>
  <c r="AI5" i="8"/>
  <c r="AI7" i="8"/>
  <c r="AI20" i="8"/>
  <c r="AI22" i="8"/>
  <c r="AI44" i="8"/>
  <c r="AI45" i="8"/>
  <c r="AI33" i="2"/>
  <c r="AI46" i="8"/>
  <c r="AI26" i="8"/>
  <c r="AI48" i="8"/>
  <c r="AH49" i="8"/>
  <c r="AI50" i="8"/>
  <c r="AI51" i="8"/>
  <c r="AI34" i="2"/>
  <c r="AI32" i="2"/>
  <c r="AI35" i="2"/>
  <c r="AI4" i="2"/>
  <c r="AI38" i="2"/>
  <c r="AI76" i="2"/>
  <c r="AI77" i="2"/>
  <c r="AI61" i="2"/>
  <c r="AI62" i="2"/>
  <c r="AI66" i="2"/>
  <c r="AH64" i="2"/>
  <c r="AH70" i="2"/>
  <c r="AH72" i="2"/>
  <c r="AH74" i="2"/>
  <c r="AI68" i="2"/>
  <c r="AI58" i="2"/>
  <c r="AI82" i="2"/>
  <c r="B83" i="2"/>
  <c r="C83" i="2"/>
  <c r="AI13" i="6"/>
  <c r="AH13" i="6"/>
  <c r="AG13" i="6"/>
  <c r="AF13" i="6"/>
  <c r="AE13" i="6"/>
  <c r="AD13" i="6"/>
  <c r="AC13" i="6"/>
  <c r="AB13" i="6"/>
  <c r="AA13" i="6"/>
  <c r="Z13" i="6"/>
  <c r="Y13" i="6"/>
  <c r="X13" i="6"/>
  <c r="W13" i="6"/>
  <c r="V13" i="6"/>
  <c r="U13" i="6"/>
  <c r="T13" i="6"/>
  <c r="S13" i="6"/>
  <c r="R13" i="6"/>
  <c r="Q13" i="6"/>
  <c r="P13" i="6"/>
  <c r="O13" i="6"/>
  <c r="N13" i="6"/>
  <c r="M13" i="6"/>
  <c r="L13" i="6"/>
  <c r="K13" i="6"/>
  <c r="J13" i="6"/>
  <c r="I13" i="6"/>
  <c r="H13" i="6"/>
  <c r="G13" i="6"/>
  <c r="F13" i="6"/>
  <c r="E13" i="6"/>
  <c r="D13" i="6"/>
  <c r="C13" i="6"/>
  <c r="AI16" i="4"/>
  <c r="AH16" i="4"/>
  <c r="AG16" i="4"/>
  <c r="AF16" i="4"/>
  <c r="AE16" i="4"/>
  <c r="AD16" i="4"/>
  <c r="AC16" i="4"/>
  <c r="AB16" i="4"/>
  <c r="AA16" i="4"/>
  <c r="Z16" i="4"/>
  <c r="Y16" i="4"/>
  <c r="X16" i="4"/>
  <c r="W16" i="4"/>
  <c r="V16" i="4"/>
  <c r="U16" i="4"/>
  <c r="T16" i="4"/>
  <c r="S16" i="4"/>
  <c r="R16" i="4"/>
  <c r="Q16" i="4"/>
  <c r="P16" i="4"/>
  <c r="O16" i="4"/>
  <c r="N16" i="4"/>
  <c r="M16" i="4"/>
  <c r="L16" i="4"/>
  <c r="K16" i="4"/>
  <c r="J16" i="4"/>
  <c r="I16" i="4"/>
  <c r="H16" i="4"/>
  <c r="G16" i="4"/>
  <c r="F16" i="4"/>
  <c r="E16" i="4"/>
  <c r="D16" i="4"/>
  <c r="C16" i="4"/>
  <c r="C15" i="11"/>
  <c r="C9" i="11"/>
  <c r="C10" i="11"/>
  <c r="C12" i="11"/>
  <c r="C18" i="11"/>
  <c r="C13" i="11"/>
  <c r="C19" i="11"/>
  <c r="C16" i="11"/>
  <c r="C11" i="11"/>
  <c r="C17" i="11"/>
  <c r="C20" i="11"/>
  <c r="C5" i="13"/>
  <c r="C19" i="6"/>
  <c r="C24" i="6"/>
  <c r="C6" i="13"/>
  <c r="C7" i="13"/>
  <c r="C20" i="13"/>
  <c r="C26" i="11"/>
  <c r="C25" i="11"/>
  <c r="C23" i="11"/>
  <c r="C24" i="11"/>
  <c r="C27" i="11"/>
  <c r="C28" i="11"/>
  <c r="C29" i="11"/>
  <c r="C9" i="13"/>
  <c r="C10" i="13"/>
  <c r="C2" i="10"/>
  <c r="B15" i="10"/>
  <c r="C3" i="10"/>
  <c r="D49" i="1"/>
  <c r="D5" i="10"/>
  <c r="C9" i="10"/>
  <c r="C10" i="10"/>
  <c r="C11" i="10"/>
  <c r="C15" i="10"/>
  <c r="C48" i="10"/>
  <c r="C16" i="13"/>
  <c r="C17" i="13"/>
  <c r="C18" i="13"/>
  <c r="C22" i="13"/>
  <c r="C23" i="13"/>
  <c r="D15" i="11"/>
  <c r="D9" i="11"/>
  <c r="D10" i="11"/>
  <c r="D12" i="11"/>
  <c r="D18" i="11"/>
  <c r="D13" i="11"/>
  <c r="D19" i="11"/>
  <c r="D16" i="11"/>
  <c r="D11" i="11"/>
  <c r="D17" i="11"/>
  <c r="D20" i="11"/>
  <c r="D5" i="13"/>
  <c r="D19" i="6"/>
  <c r="D24" i="6"/>
  <c r="D6" i="13"/>
  <c r="D7" i="13"/>
  <c r="D20" i="13"/>
  <c r="D26" i="11"/>
  <c r="D25" i="11"/>
  <c r="D23" i="11"/>
  <c r="D24" i="11"/>
  <c r="D27" i="11"/>
  <c r="D28" i="11"/>
  <c r="D29" i="11"/>
  <c r="D9" i="13"/>
  <c r="D10" i="13"/>
  <c r="D2" i="10"/>
  <c r="D15" i="10"/>
  <c r="B16" i="10"/>
  <c r="E49" i="1"/>
  <c r="E5" i="10"/>
  <c r="D9" i="10"/>
  <c r="D10" i="10"/>
  <c r="D11" i="10"/>
  <c r="D16" i="10"/>
  <c r="D48" i="10"/>
  <c r="D16" i="13"/>
  <c r="D18" i="13"/>
  <c r="D22" i="13"/>
  <c r="D23" i="13"/>
  <c r="E15" i="11"/>
  <c r="E9" i="11"/>
  <c r="E10" i="11"/>
  <c r="E12" i="11"/>
  <c r="E18" i="11"/>
  <c r="E13" i="11"/>
  <c r="E19" i="11"/>
  <c r="E16" i="11"/>
  <c r="E11" i="11"/>
  <c r="E17" i="11"/>
  <c r="E20" i="11"/>
  <c r="E5" i="13"/>
  <c r="E19" i="6"/>
  <c r="E24" i="6"/>
  <c r="E6" i="13"/>
  <c r="E7" i="13"/>
  <c r="E20" i="13"/>
  <c r="E26" i="11"/>
  <c r="E25" i="11"/>
  <c r="E23" i="11"/>
  <c r="E24" i="11"/>
  <c r="E27" i="11"/>
  <c r="E28" i="11"/>
  <c r="E29" i="11"/>
  <c r="E9" i="13"/>
  <c r="E10" i="13"/>
  <c r="E2" i="10"/>
  <c r="E15" i="10"/>
  <c r="E16" i="10"/>
  <c r="B17" i="10"/>
  <c r="F49" i="1"/>
  <c r="F5" i="10"/>
  <c r="E9" i="10"/>
  <c r="E10" i="10"/>
  <c r="E11" i="10"/>
  <c r="E17" i="10"/>
  <c r="E48" i="10"/>
  <c r="E16" i="13"/>
  <c r="E18" i="13"/>
  <c r="E22" i="13"/>
  <c r="E23" i="13"/>
  <c r="F15" i="11"/>
  <c r="F9" i="11"/>
  <c r="F10" i="11"/>
  <c r="F12" i="11"/>
  <c r="F18" i="11"/>
  <c r="F13" i="11"/>
  <c r="F19" i="11"/>
  <c r="F16" i="11"/>
  <c r="F11" i="11"/>
  <c r="F17" i="11"/>
  <c r="F20" i="11"/>
  <c r="F5" i="13"/>
  <c r="F19" i="6"/>
  <c r="F24" i="6"/>
  <c r="F6" i="13"/>
  <c r="F7" i="13"/>
  <c r="F20" i="13"/>
  <c r="F26" i="11"/>
  <c r="F25" i="11"/>
  <c r="F23" i="11"/>
  <c r="F24" i="11"/>
  <c r="F27" i="11"/>
  <c r="F28" i="11"/>
  <c r="F29" i="11"/>
  <c r="F9" i="13"/>
  <c r="F10" i="13"/>
  <c r="F2" i="10"/>
  <c r="F15" i="10"/>
  <c r="F16" i="10"/>
  <c r="F17" i="10"/>
  <c r="B18" i="10"/>
  <c r="G49" i="1"/>
  <c r="G5" i="10"/>
  <c r="F9" i="10"/>
  <c r="F10" i="10"/>
  <c r="F11" i="10"/>
  <c r="F18" i="10"/>
  <c r="F48" i="10"/>
  <c r="F16" i="13"/>
  <c r="F18" i="13"/>
  <c r="F22" i="13"/>
  <c r="F23" i="13"/>
  <c r="G15" i="11"/>
  <c r="G9" i="11"/>
  <c r="G10" i="11"/>
  <c r="G12" i="11"/>
  <c r="G18" i="11"/>
  <c r="G13" i="11"/>
  <c r="G19" i="11"/>
  <c r="G16" i="11"/>
  <c r="G11" i="11"/>
  <c r="G17" i="11"/>
  <c r="G20" i="11"/>
  <c r="G5" i="13"/>
  <c r="G19" i="6"/>
  <c r="G24" i="6"/>
  <c r="G6" i="13"/>
  <c r="G7" i="13"/>
  <c r="G20" i="13"/>
  <c r="G26" i="11"/>
  <c r="G25" i="11"/>
  <c r="G23" i="11"/>
  <c r="G24" i="11"/>
  <c r="G27" i="11"/>
  <c r="G28" i="11"/>
  <c r="G29" i="11"/>
  <c r="G9" i="13"/>
  <c r="G10" i="13"/>
  <c r="G2" i="10"/>
  <c r="G15" i="10"/>
  <c r="G16" i="10"/>
  <c r="G17" i="10"/>
  <c r="G18" i="10"/>
  <c r="B19" i="10"/>
  <c r="H49" i="1"/>
  <c r="H5" i="10"/>
  <c r="G9" i="10"/>
  <c r="G10" i="10"/>
  <c r="G11" i="10"/>
  <c r="G19" i="10"/>
  <c r="G48" i="10"/>
  <c r="G16" i="13"/>
  <c r="G18" i="13"/>
  <c r="G22" i="13"/>
  <c r="G23" i="13"/>
  <c r="H15" i="11"/>
  <c r="H9" i="11"/>
  <c r="H10" i="11"/>
  <c r="H12" i="11"/>
  <c r="H18" i="11"/>
  <c r="H13" i="11"/>
  <c r="H19" i="11"/>
  <c r="H16" i="11"/>
  <c r="H11" i="11"/>
  <c r="H17" i="11"/>
  <c r="H20" i="11"/>
  <c r="H5" i="13"/>
  <c r="H19" i="6"/>
  <c r="H24" i="6"/>
  <c r="H6" i="13"/>
  <c r="H7" i="13"/>
  <c r="H20" i="13"/>
  <c r="H26" i="11"/>
  <c r="H25" i="11"/>
  <c r="H23" i="11"/>
  <c r="H24" i="11"/>
  <c r="H27" i="11"/>
  <c r="H28" i="11"/>
  <c r="H29" i="11"/>
  <c r="H9" i="13"/>
  <c r="H10" i="13"/>
  <c r="H2" i="10"/>
  <c r="H15" i="10"/>
  <c r="H16" i="10"/>
  <c r="H17" i="10"/>
  <c r="H18" i="10"/>
  <c r="H19" i="10"/>
  <c r="B20" i="10"/>
  <c r="I49" i="1"/>
  <c r="I5" i="10"/>
  <c r="H9" i="10"/>
  <c r="H10" i="10"/>
  <c r="H11" i="10"/>
  <c r="H20" i="10"/>
  <c r="H48" i="10"/>
  <c r="H16" i="13"/>
  <c r="H18" i="13"/>
  <c r="H22" i="13"/>
  <c r="H23" i="13"/>
  <c r="I15" i="11"/>
  <c r="I9" i="11"/>
  <c r="I10" i="11"/>
  <c r="I12" i="11"/>
  <c r="I18" i="11"/>
  <c r="I13" i="11"/>
  <c r="I19" i="11"/>
  <c r="I16" i="11"/>
  <c r="I11" i="11"/>
  <c r="I17" i="11"/>
  <c r="I20" i="11"/>
  <c r="I5" i="13"/>
  <c r="I19" i="6"/>
  <c r="I24" i="6"/>
  <c r="I6" i="13"/>
  <c r="I7" i="13"/>
  <c r="I20" i="13"/>
  <c r="I26" i="11"/>
  <c r="I25" i="11"/>
  <c r="I23" i="11"/>
  <c r="I24" i="11"/>
  <c r="I27" i="11"/>
  <c r="I28" i="11"/>
  <c r="I29" i="11"/>
  <c r="I9" i="13"/>
  <c r="I10" i="13"/>
  <c r="I2" i="10"/>
  <c r="I15" i="10"/>
  <c r="I16" i="10"/>
  <c r="I17" i="10"/>
  <c r="I18" i="10"/>
  <c r="I19" i="10"/>
  <c r="I20" i="10"/>
  <c r="B21" i="10"/>
  <c r="J49" i="1"/>
  <c r="J5" i="10"/>
  <c r="I9" i="10"/>
  <c r="I10" i="10"/>
  <c r="I11" i="10"/>
  <c r="I21" i="10"/>
  <c r="I48" i="10"/>
  <c r="I16" i="13"/>
  <c r="I18" i="13"/>
  <c r="I22" i="13"/>
  <c r="I23" i="13"/>
  <c r="J15" i="11"/>
  <c r="J9" i="11"/>
  <c r="J10" i="11"/>
  <c r="J12" i="11"/>
  <c r="J18" i="11"/>
  <c r="J13" i="11"/>
  <c r="J19" i="11"/>
  <c r="J16" i="11"/>
  <c r="J11" i="11"/>
  <c r="J17" i="11"/>
  <c r="J20" i="11"/>
  <c r="J5" i="13"/>
  <c r="J19" i="6"/>
  <c r="J24" i="6"/>
  <c r="J6" i="13"/>
  <c r="J7" i="13"/>
  <c r="J20" i="13"/>
  <c r="J26" i="11"/>
  <c r="J25" i="11"/>
  <c r="J23" i="11"/>
  <c r="J24" i="11"/>
  <c r="J27" i="11"/>
  <c r="J28" i="11"/>
  <c r="J29" i="11"/>
  <c r="J9" i="13"/>
  <c r="J10" i="13"/>
  <c r="J2" i="10"/>
  <c r="J15" i="10"/>
  <c r="J16" i="10"/>
  <c r="J17" i="10"/>
  <c r="J18" i="10"/>
  <c r="J19" i="10"/>
  <c r="J20" i="10"/>
  <c r="J21" i="10"/>
  <c r="B22" i="10"/>
  <c r="K49" i="1"/>
  <c r="K5" i="10"/>
  <c r="J9" i="10"/>
  <c r="J10" i="10"/>
  <c r="J11" i="10"/>
  <c r="J22" i="10"/>
  <c r="J48" i="10"/>
  <c r="J16" i="13"/>
  <c r="J18" i="13"/>
  <c r="J22" i="13"/>
  <c r="J23" i="13"/>
  <c r="K15" i="11"/>
  <c r="K9" i="11"/>
  <c r="K10" i="11"/>
  <c r="K12" i="11"/>
  <c r="K18" i="11"/>
  <c r="K13" i="11"/>
  <c r="K19" i="11"/>
  <c r="K16" i="11"/>
  <c r="K11" i="11"/>
  <c r="K17" i="11"/>
  <c r="K20" i="11"/>
  <c r="K5" i="13"/>
  <c r="K19" i="6"/>
  <c r="K24" i="6"/>
  <c r="K6" i="13"/>
  <c r="K7" i="13"/>
  <c r="K20" i="13"/>
  <c r="K26" i="11"/>
  <c r="K25" i="11"/>
  <c r="K23" i="11"/>
  <c r="K24" i="11"/>
  <c r="K27" i="11"/>
  <c r="K28" i="11"/>
  <c r="K29" i="11"/>
  <c r="K9" i="13"/>
  <c r="K10" i="13"/>
  <c r="K2" i="10"/>
  <c r="K15" i="10"/>
  <c r="K16" i="10"/>
  <c r="K17" i="10"/>
  <c r="K18" i="10"/>
  <c r="K19" i="10"/>
  <c r="K20" i="10"/>
  <c r="K21" i="10"/>
  <c r="K22" i="10"/>
  <c r="B23" i="10"/>
  <c r="L49" i="1"/>
  <c r="L5" i="10"/>
  <c r="K9" i="10"/>
  <c r="K10" i="10"/>
  <c r="K11" i="10"/>
  <c r="K23" i="10"/>
  <c r="K48" i="10"/>
  <c r="K16" i="13"/>
  <c r="K18" i="13"/>
  <c r="K22" i="13"/>
  <c r="K23" i="13"/>
  <c r="L15" i="11"/>
  <c r="L9" i="11"/>
  <c r="L10" i="11"/>
  <c r="L12" i="11"/>
  <c r="L18" i="11"/>
  <c r="L13" i="11"/>
  <c r="L19" i="11"/>
  <c r="L16" i="11"/>
  <c r="L11" i="11"/>
  <c r="L17" i="11"/>
  <c r="L20" i="11"/>
  <c r="L5" i="13"/>
  <c r="L19" i="6"/>
  <c r="L24" i="6"/>
  <c r="L6" i="13"/>
  <c r="L7" i="13"/>
  <c r="L20" i="13"/>
  <c r="L26" i="11"/>
  <c r="L25" i="11"/>
  <c r="L23" i="11"/>
  <c r="L24" i="11"/>
  <c r="L27" i="11"/>
  <c r="L28" i="11"/>
  <c r="L29" i="11"/>
  <c r="L9" i="13"/>
  <c r="L10" i="13"/>
  <c r="L2" i="10"/>
  <c r="L15" i="10"/>
  <c r="L16" i="10"/>
  <c r="L17" i="10"/>
  <c r="L18" i="10"/>
  <c r="L19" i="10"/>
  <c r="L20" i="10"/>
  <c r="L21" i="10"/>
  <c r="L22" i="10"/>
  <c r="L23" i="10"/>
  <c r="B24" i="10"/>
  <c r="M49" i="1"/>
  <c r="M5" i="10"/>
  <c r="L9" i="10"/>
  <c r="L10" i="10"/>
  <c r="L11" i="10"/>
  <c r="L24" i="10"/>
  <c r="L48" i="10"/>
  <c r="L16" i="13"/>
  <c r="L18" i="13"/>
  <c r="L22" i="13"/>
  <c r="L23" i="13"/>
  <c r="M15" i="11"/>
  <c r="M9" i="11"/>
  <c r="M10" i="11"/>
  <c r="M12" i="11"/>
  <c r="M18" i="11"/>
  <c r="M13" i="11"/>
  <c r="M19" i="11"/>
  <c r="M16" i="11"/>
  <c r="M11" i="11"/>
  <c r="M17" i="11"/>
  <c r="M20" i="11"/>
  <c r="M5" i="13"/>
  <c r="M19" i="6"/>
  <c r="M24" i="6"/>
  <c r="M6" i="13"/>
  <c r="M7" i="13"/>
  <c r="M20" i="13"/>
  <c r="M26" i="11"/>
  <c r="M25" i="11"/>
  <c r="M23" i="11"/>
  <c r="M24" i="11"/>
  <c r="M27" i="11"/>
  <c r="M28" i="11"/>
  <c r="M29" i="11"/>
  <c r="M9" i="13"/>
  <c r="M10" i="13"/>
  <c r="M2" i="10"/>
  <c r="M15" i="10"/>
  <c r="M16" i="10"/>
  <c r="M17" i="10"/>
  <c r="M18" i="10"/>
  <c r="M19" i="10"/>
  <c r="M20" i="10"/>
  <c r="M21" i="10"/>
  <c r="M22" i="10"/>
  <c r="M23" i="10"/>
  <c r="M24" i="10"/>
  <c r="B25" i="10"/>
  <c r="N49" i="1"/>
  <c r="N5" i="10"/>
  <c r="M9" i="10"/>
  <c r="M10" i="10"/>
  <c r="M11" i="10"/>
  <c r="M25" i="10"/>
  <c r="M48" i="10"/>
  <c r="M16" i="13"/>
  <c r="M18" i="13"/>
  <c r="M22" i="13"/>
  <c r="M23" i="13"/>
  <c r="N15" i="11"/>
  <c r="N9" i="11"/>
  <c r="N10" i="11"/>
  <c r="N12" i="11"/>
  <c r="N18" i="11"/>
  <c r="N13" i="11"/>
  <c r="N19" i="11"/>
  <c r="N16" i="11"/>
  <c r="N11" i="11"/>
  <c r="N17" i="11"/>
  <c r="N20" i="11"/>
  <c r="N5" i="13"/>
  <c r="N19" i="6"/>
  <c r="N24" i="6"/>
  <c r="N6" i="13"/>
  <c r="N7" i="13"/>
  <c r="N20" i="13"/>
  <c r="N26" i="11"/>
  <c r="N25" i="11"/>
  <c r="N23" i="11"/>
  <c r="N24" i="11"/>
  <c r="N27" i="11"/>
  <c r="N28" i="11"/>
  <c r="N29" i="11"/>
  <c r="N9" i="13"/>
  <c r="N10" i="13"/>
  <c r="N2" i="10"/>
  <c r="N15" i="10"/>
  <c r="N16" i="10"/>
  <c r="N17" i="10"/>
  <c r="N18" i="10"/>
  <c r="N19" i="10"/>
  <c r="N20" i="10"/>
  <c r="N21" i="10"/>
  <c r="N22" i="10"/>
  <c r="N23" i="10"/>
  <c r="N24" i="10"/>
  <c r="N25" i="10"/>
  <c r="B26" i="10"/>
  <c r="O49" i="1"/>
  <c r="O5" i="10"/>
  <c r="N9" i="10"/>
  <c r="N10" i="10"/>
  <c r="N11" i="10"/>
  <c r="N26" i="10"/>
  <c r="N48" i="10"/>
  <c r="N16" i="13"/>
  <c r="N18" i="13"/>
  <c r="N22" i="13"/>
  <c r="N23" i="13"/>
  <c r="O15" i="11"/>
  <c r="O9" i="11"/>
  <c r="O10" i="11"/>
  <c r="O12" i="11"/>
  <c r="O18" i="11"/>
  <c r="O13" i="11"/>
  <c r="O19" i="11"/>
  <c r="O16" i="11"/>
  <c r="O11" i="11"/>
  <c r="O17" i="11"/>
  <c r="O20" i="11"/>
  <c r="O5" i="13"/>
  <c r="O19" i="6"/>
  <c r="O24" i="6"/>
  <c r="O6" i="13"/>
  <c r="O7" i="13"/>
  <c r="O20" i="13"/>
  <c r="O26" i="11"/>
  <c r="O25" i="11"/>
  <c r="O23" i="11"/>
  <c r="O24" i="11"/>
  <c r="O27" i="11"/>
  <c r="O28" i="11"/>
  <c r="O29" i="11"/>
  <c r="O9" i="13"/>
  <c r="O10" i="13"/>
  <c r="O2" i="10"/>
  <c r="O15" i="10"/>
  <c r="O16" i="10"/>
  <c r="O17" i="10"/>
  <c r="O18" i="10"/>
  <c r="O19" i="10"/>
  <c r="O20" i="10"/>
  <c r="O21" i="10"/>
  <c r="O22" i="10"/>
  <c r="O23" i="10"/>
  <c r="O24" i="10"/>
  <c r="O25" i="10"/>
  <c r="O26" i="10"/>
  <c r="B27" i="10"/>
  <c r="P49" i="1"/>
  <c r="P5" i="10"/>
  <c r="O9" i="10"/>
  <c r="O10" i="10"/>
  <c r="O11" i="10"/>
  <c r="O27" i="10"/>
  <c r="O48" i="10"/>
  <c r="O16" i="13"/>
  <c r="O18" i="13"/>
  <c r="O22" i="13"/>
  <c r="O23" i="13"/>
  <c r="P15" i="11"/>
  <c r="P9" i="11"/>
  <c r="P10" i="11"/>
  <c r="P12" i="11"/>
  <c r="P18" i="11"/>
  <c r="P13" i="11"/>
  <c r="P19" i="11"/>
  <c r="P16" i="11"/>
  <c r="P11" i="11"/>
  <c r="P17" i="11"/>
  <c r="P20" i="11"/>
  <c r="P5" i="13"/>
  <c r="P19" i="6"/>
  <c r="P24" i="6"/>
  <c r="P6" i="13"/>
  <c r="P7" i="13"/>
  <c r="P20" i="13"/>
  <c r="P26" i="11"/>
  <c r="P25" i="11"/>
  <c r="P23" i="11"/>
  <c r="P24" i="11"/>
  <c r="P27" i="11"/>
  <c r="P28" i="11"/>
  <c r="P29" i="11"/>
  <c r="P9" i="13"/>
  <c r="P10" i="13"/>
  <c r="P2" i="10"/>
  <c r="P15" i="10"/>
  <c r="P16" i="10"/>
  <c r="P17" i="10"/>
  <c r="P18" i="10"/>
  <c r="P19" i="10"/>
  <c r="P20" i="10"/>
  <c r="P21" i="10"/>
  <c r="P22" i="10"/>
  <c r="P23" i="10"/>
  <c r="P24" i="10"/>
  <c r="P25" i="10"/>
  <c r="P26" i="10"/>
  <c r="P27" i="10"/>
  <c r="B28" i="10"/>
  <c r="Q49" i="1"/>
  <c r="Q5" i="10"/>
  <c r="P9" i="10"/>
  <c r="P10" i="10"/>
  <c r="P11" i="10"/>
  <c r="P28" i="10"/>
  <c r="P48" i="10"/>
  <c r="P16" i="13"/>
  <c r="P18" i="13"/>
  <c r="P22" i="13"/>
  <c r="P23" i="13"/>
  <c r="Q15" i="11"/>
  <c r="Q9" i="11"/>
  <c r="Q10" i="11"/>
  <c r="Q12" i="11"/>
  <c r="Q18" i="11"/>
  <c r="Q13" i="11"/>
  <c r="Q19" i="11"/>
  <c r="Q16" i="11"/>
  <c r="Q11" i="11"/>
  <c r="Q17" i="11"/>
  <c r="Q20" i="11"/>
  <c r="Q5" i="13"/>
  <c r="Q19" i="6"/>
  <c r="Q24" i="6"/>
  <c r="Q6" i="13"/>
  <c r="Q7" i="13"/>
  <c r="Q20" i="13"/>
  <c r="Q26" i="11"/>
  <c r="Q25" i="11"/>
  <c r="Q23" i="11"/>
  <c r="Q24" i="11"/>
  <c r="Q27" i="11"/>
  <c r="Q28" i="11"/>
  <c r="Q29" i="11"/>
  <c r="Q9" i="13"/>
  <c r="Q10" i="13"/>
  <c r="Q2" i="10"/>
  <c r="Q15" i="10"/>
  <c r="Q16" i="10"/>
  <c r="Q17" i="10"/>
  <c r="Q18" i="10"/>
  <c r="Q19" i="10"/>
  <c r="Q20" i="10"/>
  <c r="Q21" i="10"/>
  <c r="Q22" i="10"/>
  <c r="Q23" i="10"/>
  <c r="Q24" i="10"/>
  <c r="Q25" i="10"/>
  <c r="Q26" i="10"/>
  <c r="Q27" i="10"/>
  <c r="Q28" i="10"/>
  <c r="B29" i="10"/>
  <c r="R49" i="1"/>
  <c r="R5" i="10"/>
  <c r="Q9" i="10"/>
  <c r="Q10" i="10"/>
  <c r="Q11" i="10"/>
  <c r="Q29" i="10"/>
  <c r="Q48" i="10"/>
  <c r="Q16" i="13"/>
  <c r="Q18" i="13"/>
  <c r="Q22" i="13"/>
  <c r="Q23" i="13"/>
  <c r="R15" i="11"/>
  <c r="R9" i="11"/>
  <c r="R10" i="11"/>
  <c r="R12" i="11"/>
  <c r="R18" i="11"/>
  <c r="R13" i="11"/>
  <c r="R19" i="11"/>
  <c r="R16" i="11"/>
  <c r="R11" i="11"/>
  <c r="R17" i="11"/>
  <c r="R20" i="11"/>
  <c r="R5" i="13"/>
  <c r="R19" i="6"/>
  <c r="R24" i="6"/>
  <c r="R6" i="13"/>
  <c r="R7" i="13"/>
  <c r="R20" i="13"/>
  <c r="R26" i="11"/>
  <c r="R25" i="11"/>
  <c r="R23" i="11"/>
  <c r="R24" i="11"/>
  <c r="R27" i="11"/>
  <c r="R28" i="11"/>
  <c r="R29" i="11"/>
  <c r="R9" i="13"/>
  <c r="R10" i="13"/>
  <c r="R2" i="10"/>
  <c r="R15" i="10"/>
  <c r="R16" i="10"/>
  <c r="R17" i="10"/>
  <c r="R18" i="10"/>
  <c r="R19" i="10"/>
  <c r="R20" i="10"/>
  <c r="R21" i="10"/>
  <c r="R22" i="10"/>
  <c r="R23" i="10"/>
  <c r="R24" i="10"/>
  <c r="R25" i="10"/>
  <c r="R26" i="10"/>
  <c r="R27" i="10"/>
  <c r="R28" i="10"/>
  <c r="R29" i="10"/>
  <c r="B30" i="10"/>
  <c r="S49" i="1"/>
  <c r="S5" i="10"/>
  <c r="R9" i="10"/>
  <c r="R10" i="10"/>
  <c r="R11" i="10"/>
  <c r="R30" i="10"/>
  <c r="R48" i="10"/>
  <c r="R16" i="13"/>
  <c r="R18" i="13"/>
  <c r="R22" i="13"/>
  <c r="R23" i="13"/>
  <c r="S15" i="11"/>
  <c r="S9" i="11"/>
  <c r="S10" i="11"/>
  <c r="S12" i="11"/>
  <c r="S18" i="11"/>
  <c r="S13" i="11"/>
  <c r="S19" i="11"/>
  <c r="S16" i="11"/>
  <c r="S11" i="11"/>
  <c r="S17" i="11"/>
  <c r="S20" i="11"/>
  <c r="S5" i="13"/>
  <c r="S19" i="6"/>
  <c r="S24" i="6"/>
  <c r="S6" i="13"/>
  <c r="S7" i="13"/>
  <c r="S20" i="13"/>
  <c r="S26" i="11"/>
  <c r="S25" i="11"/>
  <c r="S23" i="11"/>
  <c r="S24" i="11"/>
  <c r="S27" i="11"/>
  <c r="S28" i="11"/>
  <c r="S29" i="11"/>
  <c r="S9" i="13"/>
  <c r="S10" i="13"/>
  <c r="S2" i="10"/>
  <c r="S15" i="10"/>
  <c r="S16" i="10"/>
  <c r="S17" i="10"/>
  <c r="S18" i="10"/>
  <c r="S19" i="10"/>
  <c r="S20" i="10"/>
  <c r="S21" i="10"/>
  <c r="S22" i="10"/>
  <c r="S23" i="10"/>
  <c r="S24" i="10"/>
  <c r="S25" i="10"/>
  <c r="S26" i="10"/>
  <c r="S27" i="10"/>
  <c r="S28" i="10"/>
  <c r="S29" i="10"/>
  <c r="S30" i="10"/>
  <c r="B31" i="10"/>
  <c r="T49" i="1"/>
  <c r="T5" i="10"/>
  <c r="S9" i="10"/>
  <c r="S10" i="10"/>
  <c r="S11" i="10"/>
  <c r="S31" i="10"/>
  <c r="S48" i="10"/>
  <c r="S16" i="13"/>
  <c r="S18" i="13"/>
  <c r="S22" i="13"/>
  <c r="S23" i="13"/>
  <c r="T15" i="11"/>
  <c r="T9" i="11"/>
  <c r="T10" i="11"/>
  <c r="T12" i="11"/>
  <c r="T18" i="11"/>
  <c r="T13" i="11"/>
  <c r="T19" i="11"/>
  <c r="T16" i="11"/>
  <c r="T11" i="11"/>
  <c r="T17" i="11"/>
  <c r="T20" i="11"/>
  <c r="T5" i="13"/>
  <c r="T19" i="6"/>
  <c r="T24" i="6"/>
  <c r="T6" i="13"/>
  <c r="T7" i="13"/>
  <c r="T20" i="13"/>
  <c r="T26" i="11"/>
  <c r="T25" i="11"/>
  <c r="T23" i="11"/>
  <c r="T24" i="11"/>
  <c r="T27" i="11"/>
  <c r="T28" i="11"/>
  <c r="T29" i="11"/>
  <c r="T9" i="13"/>
  <c r="T10" i="13"/>
  <c r="T2" i="10"/>
  <c r="T15" i="10"/>
  <c r="T16" i="10"/>
  <c r="T17" i="10"/>
  <c r="T18" i="10"/>
  <c r="T19" i="10"/>
  <c r="T20" i="10"/>
  <c r="T21" i="10"/>
  <c r="T22" i="10"/>
  <c r="T23" i="10"/>
  <c r="T24" i="10"/>
  <c r="T25" i="10"/>
  <c r="T26" i="10"/>
  <c r="T27" i="10"/>
  <c r="T28" i="10"/>
  <c r="T29" i="10"/>
  <c r="T30" i="10"/>
  <c r="T31" i="10"/>
  <c r="B32" i="10"/>
  <c r="U49" i="1"/>
  <c r="U5" i="10"/>
  <c r="T9" i="10"/>
  <c r="T10" i="10"/>
  <c r="T11" i="10"/>
  <c r="T32" i="10"/>
  <c r="T48" i="10"/>
  <c r="T16" i="13"/>
  <c r="T18" i="13"/>
  <c r="T22" i="13"/>
  <c r="T23" i="13"/>
  <c r="U15" i="11"/>
  <c r="U9" i="11"/>
  <c r="U10" i="11"/>
  <c r="U12" i="11"/>
  <c r="U18" i="11"/>
  <c r="U13" i="11"/>
  <c r="U19" i="11"/>
  <c r="U16" i="11"/>
  <c r="U11" i="11"/>
  <c r="U17" i="11"/>
  <c r="U20" i="11"/>
  <c r="U5" i="13"/>
  <c r="U19" i="6"/>
  <c r="U24" i="6"/>
  <c r="U6" i="13"/>
  <c r="U7" i="13"/>
  <c r="U20" i="13"/>
  <c r="U26" i="11"/>
  <c r="U25" i="11"/>
  <c r="U23" i="11"/>
  <c r="U24" i="11"/>
  <c r="U27" i="11"/>
  <c r="U28" i="11"/>
  <c r="U29" i="11"/>
  <c r="U9" i="13"/>
  <c r="U10" i="13"/>
  <c r="U2" i="10"/>
  <c r="U15" i="10"/>
  <c r="U16" i="10"/>
  <c r="U17" i="10"/>
  <c r="U18" i="10"/>
  <c r="U19" i="10"/>
  <c r="U20" i="10"/>
  <c r="U21" i="10"/>
  <c r="U22" i="10"/>
  <c r="U23" i="10"/>
  <c r="U24" i="10"/>
  <c r="U25" i="10"/>
  <c r="U26" i="10"/>
  <c r="U27" i="10"/>
  <c r="U28" i="10"/>
  <c r="U29" i="10"/>
  <c r="U30" i="10"/>
  <c r="U31" i="10"/>
  <c r="U32" i="10"/>
  <c r="B33" i="10"/>
  <c r="V49" i="1"/>
  <c r="V5" i="10"/>
  <c r="U9" i="10"/>
  <c r="U10" i="10"/>
  <c r="U11" i="10"/>
  <c r="U33" i="10"/>
  <c r="U48" i="10"/>
  <c r="U16" i="13"/>
  <c r="U18" i="13"/>
  <c r="U22" i="13"/>
  <c r="U23" i="13"/>
  <c r="V15" i="11"/>
  <c r="V9" i="11"/>
  <c r="V10" i="11"/>
  <c r="V12" i="11"/>
  <c r="V18" i="11"/>
  <c r="V13" i="11"/>
  <c r="V19" i="11"/>
  <c r="V16" i="11"/>
  <c r="V11" i="11"/>
  <c r="V17" i="11"/>
  <c r="V20" i="11"/>
  <c r="V5" i="13"/>
  <c r="V19" i="6"/>
  <c r="V24" i="6"/>
  <c r="V6" i="13"/>
  <c r="V7" i="13"/>
  <c r="V20" i="13"/>
  <c r="V26" i="11"/>
  <c r="V25" i="11"/>
  <c r="V23" i="11"/>
  <c r="V24" i="11"/>
  <c r="V27" i="11"/>
  <c r="V28" i="11"/>
  <c r="V29" i="11"/>
  <c r="V9" i="13"/>
  <c r="V10" i="13"/>
  <c r="V2" i="10"/>
  <c r="V15" i="10"/>
  <c r="V16" i="10"/>
  <c r="V17" i="10"/>
  <c r="V18" i="10"/>
  <c r="V19" i="10"/>
  <c r="V20" i="10"/>
  <c r="V21" i="10"/>
  <c r="V22" i="10"/>
  <c r="V23" i="10"/>
  <c r="V24" i="10"/>
  <c r="V25" i="10"/>
  <c r="V26" i="10"/>
  <c r="V27" i="10"/>
  <c r="V28" i="10"/>
  <c r="V29" i="10"/>
  <c r="V30" i="10"/>
  <c r="V31" i="10"/>
  <c r="V32" i="10"/>
  <c r="V33" i="10"/>
  <c r="B34" i="10"/>
  <c r="W49" i="1"/>
  <c r="W5" i="10"/>
  <c r="V9" i="10"/>
  <c r="V10" i="10"/>
  <c r="V11" i="10"/>
  <c r="V34" i="10"/>
  <c r="V48" i="10"/>
  <c r="V16" i="13"/>
  <c r="V18" i="13"/>
  <c r="V22" i="13"/>
  <c r="V23" i="13"/>
  <c r="W15" i="11"/>
  <c r="W9" i="11"/>
  <c r="W10" i="11"/>
  <c r="W12" i="11"/>
  <c r="W18" i="11"/>
  <c r="W13" i="11"/>
  <c r="W19" i="11"/>
  <c r="W16" i="11"/>
  <c r="W11" i="11"/>
  <c r="W17" i="11"/>
  <c r="W20" i="11"/>
  <c r="W5" i="13"/>
  <c r="W19" i="6"/>
  <c r="W24" i="6"/>
  <c r="W6" i="13"/>
  <c r="W7" i="13"/>
  <c r="W20" i="13"/>
  <c r="W26" i="11"/>
  <c r="W25" i="11"/>
  <c r="W23" i="11"/>
  <c r="W24" i="11"/>
  <c r="W27" i="11"/>
  <c r="W28" i="11"/>
  <c r="W29" i="11"/>
  <c r="W9" i="13"/>
  <c r="W10" i="13"/>
  <c r="W2" i="10"/>
  <c r="W15" i="10"/>
  <c r="W16" i="10"/>
  <c r="W17" i="10"/>
  <c r="W18" i="10"/>
  <c r="W19" i="10"/>
  <c r="W20" i="10"/>
  <c r="W21" i="10"/>
  <c r="W22" i="10"/>
  <c r="W23" i="10"/>
  <c r="W24" i="10"/>
  <c r="W25" i="10"/>
  <c r="W26" i="10"/>
  <c r="W27" i="10"/>
  <c r="W28" i="10"/>
  <c r="W29" i="10"/>
  <c r="W30" i="10"/>
  <c r="W31" i="10"/>
  <c r="W32" i="10"/>
  <c r="W33" i="10"/>
  <c r="W34" i="10"/>
  <c r="B35" i="10"/>
  <c r="X49" i="1"/>
  <c r="X5" i="10"/>
  <c r="W9" i="10"/>
  <c r="W10" i="10"/>
  <c r="W11" i="10"/>
  <c r="W35" i="10"/>
  <c r="W48" i="10"/>
  <c r="W16" i="13"/>
  <c r="W18" i="13"/>
  <c r="W22" i="13"/>
  <c r="W23" i="13"/>
  <c r="X15" i="11"/>
  <c r="X9" i="11"/>
  <c r="X10" i="11"/>
  <c r="X12" i="11"/>
  <c r="X18" i="11"/>
  <c r="X13" i="11"/>
  <c r="X19" i="11"/>
  <c r="X16" i="11"/>
  <c r="X11" i="11"/>
  <c r="X17" i="11"/>
  <c r="X20" i="11"/>
  <c r="X5" i="13"/>
  <c r="X19" i="6"/>
  <c r="X24" i="6"/>
  <c r="X6" i="13"/>
  <c r="X7" i="13"/>
  <c r="X20" i="13"/>
  <c r="X26" i="11"/>
  <c r="X25" i="11"/>
  <c r="X23" i="11"/>
  <c r="X24" i="11"/>
  <c r="X27" i="11"/>
  <c r="X28" i="11"/>
  <c r="X29" i="11"/>
  <c r="X9" i="13"/>
  <c r="X10" i="13"/>
  <c r="X2" i="10"/>
  <c r="X15" i="10"/>
  <c r="X16" i="10"/>
  <c r="X17" i="10"/>
  <c r="X18" i="10"/>
  <c r="X19" i="10"/>
  <c r="X20" i="10"/>
  <c r="X21" i="10"/>
  <c r="X22" i="10"/>
  <c r="X23" i="10"/>
  <c r="X24" i="10"/>
  <c r="X25" i="10"/>
  <c r="X26" i="10"/>
  <c r="X27" i="10"/>
  <c r="X28" i="10"/>
  <c r="X29" i="10"/>
  <c r="X30" i="10"/>
  <c r="X31" i="10"/>
  <c r="X32" i="10"/>
  <c r="X33" i="10"/>
  <c r="X34" i="10"/>
  <c r="X35" i="10"/>
  <c r="B36" i="10"/>
  <c r="Y49" i="1"/>
  <c r="Y5" i="10"/>
  <c r="X9" i="10"/>
  <c r="X10" i="10"/>
  <c r="X11" i="10"/>
  <c r="X36" i="10"/>
  <c r="X48" i="10"/>
  <c r="X16" i="13"/>
  <c r="X18" i="13"/>
  <c r="X22" i="13"/>
  <c r="X23" i="13"/>
  <c r="Y15" i="11"/>
  <c r="Y9" i="11"/>
  <c r="Y10" i="11"/>
  <c r="Y12" i="11"/>
  <c r="Y18" i="11"/>
  <c r="Y13" i="11"/>
  <c r="Y19" i="11"/>
  <c r="Y16" i="11"/>
  <c r="Y11" i="11"/>
  <c r="Y17" i="11"/>
  <c r="Y20" i="11"/>
  <c r="Y5" i="13"/>
  <c r="Y19" i="6"/>
  <c r="Y24" i="6"/>
  <c r="Y6" i="13"/>
  <c r="Y7" i="13"/>
  <c r="Y20" i="13"/>
  <c r="Y26" i="11"/>
  <c r="Y25" i="11"/>
  <c r="Y23" i="11"/>
  <c r="Y24" i="11"/>
  <c r="Y27" i="11"/>
  <c r="Y28" i="11"/>
  <c r="Y29" i="11"/>
  <c r="Y9" i="13"/>
  <c r="Y10" i="13"/>
  <c r="Y2" i="10"/>
  <c r="Y15" i="10"/>
  <c r="Y16" i="10"/>
  <c r="Y17" i="10"/>
  <c r="Y18" i="10"/>
  <c r="Y19" i="10"/>
  <c r="Y20" i="10"/>
  <c r="Y21" i="10"/>
  <c r="Y22" i="10"/>
  <c r="Y23" i="10"/>
  <c r="Y24" i="10"/>
  <c r="Y25" i="10"/>
  <c r="Y26" i="10"/>
  <c r="Y27" i="10"/>
  <c r="Y28" i="10"/>
  <c r="Y29" i="10"/>
  <c r="Y30" i="10"/>
  <c r="Y31" i="10"/>
  <c r="Y32" i="10"/>
  <c r="Y33" i="10"/>
  <c r="Y34" i="10"/>
  <c r="Y35" i="10"/>
  <c r="Y36" i="10"/>
  <c r="B37" i="10"/>
  <c r="Z49" i="1"/>
  <c r="Z5" i="10"/>
  <c r="Y9" i="10"/>
  <c r="Y10" i="10"/>
  <c r="Y11" i="10"/>
  <c r="Y37" i="10"/>
  <c r="Y48" i="10"/>
  <c r="Y16" i="13"/>
  <c r="Y18" i="13"/>
  <c r="Y22" i="13"/>
  <c r="Y23" i="13"/>
  <c r="Z15" i="11"/>
  <c r="Z9" i="11"/>
  <c r="Z10" i="11"/>
  <c r="Z12" i="11"/>
  <c r="Z18" i="11"/>
  <c r="Z13" i="11"/>
  <c r="Z19" i="11"/>
  <c r="Z16" i="11"/>
  <c r="Z11" i="11"/>
  <c r="Z17" i="11"/>
  <c r="Z20" i="11"/>
  <c r="Z5" i="13"/>
  <c r="Z19" i="6"/>
  <c r="Z24" i="6"/>
  <c r="Z6" i="13"/>
  <c r="Z7" i="13"/>
  <c r="Z20" i="13"/>
  <c r="Z26" i="11"/>
  <c r="Z25" i="11"/>
  <c r="Z23" i="11"/>
  <c r="Z24" i="11"/>
  <c r="Z27" i="11"/>
  <c r="Z28" i="11"/>
  <c r="Z29" i="11"/>
  <c r="Z9" i="13"/>
  <c r="Z10" i="13"/>
  <c r="Z2" i="10"/>
  <c r="Z15" i="10"/>
  <c r="Z16" i="10"/>
  <c r="Z17" i="10"/>
  <c r="Z18" i="10"/>
  <c r="Z19" i="10"/>
  <c r="Z20" i="10"/>
  <c r="Z21" i="10"/>
  <c r="Z22" i="10"/>
  <c r="Z23" i="10"/>
  <c r="Z24" i="10"/>
  <c r="Z25" i="10"/>
  <c r="Z26" i="10"/>
  <c r="Z27" i="10"/>
  <c r="Z28" i="10"/>
  <c r="Z29" i="10"/>
  <c r="Z30" i="10"/>
  <c r="Z31" i="10"/>
  <c r="Z32" i="10"/>
  <c r="Z33" i="10"/>
  <c r="Z34" i="10"/>
  <c r="Z35" i="10"/>
  <c r="Z36" i="10"/>
  <c r="Z37" i="10"/>
  <c r="B38" i="10"/>
  <c r="AA49" i="1"/>
  <c r="AA5" i="10"/>
  <c r="Z9" i="10"/>
  <c r="Z10" i="10"/>
  <c r="Z11" i="10"/>
  <c r="Z38" i="10"/>
  <c r="Z48" i="10"/>
  <c r="Z16" i="13"/>
  <c r="Z18" i="13"/>
  <c r="Z22" i="13"/>
  <c r="Z23" i="13"/>
  <c r="AA15" i="11"/>
  <c r="AA9" i="11"/>
  <c r="AA10" i="11"/>
  <c r="AA12" i="11"/>
  <c r="AA18" i="11"/>
  <c r="AA13" i="11"/>
  <c r="AA19" i="11"/>
  <c r="AA16" i="11"/>
  <c r="AA11" i="11"/>
  <c r="AA17" i="11"/>
  <c r="AA20" i="11"/>
  <c r="AA5" i="13"/>
  <c r="AA19" i="6"/>
  <c r="AA24" i="6"/>
  <c r="AA6" i="13"/>
  <c r="AA7" i="13"/>
  <c r="AA20" i="13"/>
  <c r="AA26" i="11"/>
  <c r="AA25" i="11"/>
  <c r="AA23" i="11"/>
  <c r="AA24" i="11"/>
  <c r="AA27" i="11"/>
  <c r="AA28" i="11"/>
  <c r="AA29" i="11"/>
  <c r="AA9" i="13"/>
  <c r="AA10" i="13"/>
  <c r="AA2" i="10"/>
  <c r="AA15" i="10"/>
  <c r="AA16" i="10"/>
  <c r="AA17" i="10"/>
  <c r="AA18" i="10"/>
  <c r="AA19" i="10"/>
  <c r="AA20" i="10"/>
  <c r="AA21" i="10"/>
  <c r="AA22" i="10"/>
  <c r="AA23" i="10"/>
  <c r="AA24" i="10"/>
  <c r="AA25" i="10"/>
  <c r="AA26" i="10"/>
  <c r="AA27" i="10"/>
  <c r="AA28" i="10"/>
  <c r="AA29" i="10"/>
  <c r="AA30" i="10"/>
  <c r="AA31" i="10"/>
  <c r="AA32" i="10"/>
  <c r="AA33" i="10"/>
  <c r="AA34" i="10"/>
  <c r="AA35" i="10"/>
  <c r="AA36" i="10"/>
  <c r="AA37" i="10"/>
  <c r="AA38" i="10"/>
  <c r="B39" i="10"/>
  <c r="AB49" i="1"/>
  <c r="AB5" i="10"/>
  <c r="AA9" i="10"/>
  <c r="AA10" i="10"/>
  <c r="AA11" i="10"/>
  <c r="AA39" i="10"/>
  <c r="AA48" i="10"/>
  <c r="AA16" i="13"/>
  <c r="AA18" i="13"/>
  <c r="AA22" i="13"/>
  <c r="AA23" i="13"/>
  <c r="AB15" i="11"/>
  <c r="AB9" i="11"/>
  <c r="AB10" i="11"/>
  <c r="AB12" i="11"/>
  <c r="AB18" i="11"/>
  <c r="AB13" i="11"/>
  <c r="AB19" i="11"/>
  <c r="AB16" i="11"/>
  <c r="AB11" i="11"/>
  <c r="AB17" i="11"/>
  <c r="AB20" i="11"/>
  <c r="AB5" i="13"/>
  <c r="AB19" i="6"/>
  <c r="AB24" i="6"/>
  <c r="AB6" i="13"/>
  <c r="AB7" i="13"/>
  <c r="AB20" i="13"/>
  <c r="AB26" i="11"/>
  <c r="AB25" i="11"/>
  <c r="AB23" i="11"/>
  <c r="AB24" i="11"/>
  <c r="AB27" i="11"/>
  <c r="AB28" i="11"/>
  <c r="AB29" i="11"/>
  <c r="AB9" i="13"/>
  <c r="AB10" i="13"/>
  <c r="AB2" i="10"/>
  <c r="AB15" i="10"/>
  <c r="AB16" i="10"/>
  <c r="AB17" i="10"/>
  <c r="AB18" i="10"/>
  <c r="AB19" i="10"/>
  <c r="AB20" i="10"/>
  <c r="AB21" i="10"/>
  <c r="AB22" i="10"/>
  <c r="AB23" i="10"/>
  <c r="AB24" i="10"/>
  <c r="AB25" i="10"/>
  <c r="AB26" i="10"/>
  <c r="AB27" i="10"/>
  <c r="AB28" i="10"/>
  <c r="AB29" i="10"/>
  <c r="AB30" i="10"/>
  <c r="AB31" i="10"/>
  <c r="AB32" i="10"/>
  <c r="AB33" i="10"/>
  <c r="AB34" i="10"/>
  <c r="AB35" i="10"/>
  <c r="AB36" i="10"/>
  <c r="AB37" i="10"/>
  <c r="AB38" i="10"/>
  <c r="AB39" i="10"/>
  <c r="B40" i="10"/>
  <c r="AC49" i="1"/>
  <c r="AC5" i="10"/>
  <c r="AB9" i="10"/>
  <c r="AB10" i="10"/>
  <c r="AB11" i="10"/>
  <c r="AB40" i="10"/>
  <c r="AB48" i="10"/>
  <c r="AB16" i="13"/>
  <c r="AB18" i="13"/>
  <c r="AB22" i="13"/>
  <c r="AB23" i="13"/>
  <c r="AC15" i="11"/>
  <c r="AC9" i="11"/>
  <c r="AC10" i="11"/>
  <c r="AC12" i="11"/>
  <c r="AC18" i="11"/>
  <c r="AC13" i="11"/>
  <c r="AC19" i="11"/>
  <c r="AC16" i="11"/>
  <c r="AC11" i="11"/>
  <c r="AC17" i="11"/>
  <c r="AC20" i="11"/>
  <c r="AC5" i="13"/>
  <c r="AC19" i="6"/>
  <c r="AC24" i="6"/>
  <c r="AC6" i="13"/>
  <c r="AC7" i="13"/>
  <c r="AC20" i="13"/>
  <c r="AC26" i="11"/>
  <c r="AC25" i="11"/>
  <c r="AC23" i="11"/>
  <c r="AC24" i="11"/>
  <c r="AC27" i="11"/>
  <c r="AC28" i="11"/>
  <c r="AC29" i="11"/>
  <c r="AC9" i="13"/>
  <c r="AC10" i="13"/>
  <c r="AC2" i="10"/>
  <c r="AC15" i="10"/>
  <c r="AC16" i="10"/>
  <c r="AC17" i="10"/>
  <c r="AC18" i="10"/>
  <c r="AC19" i="10"/>
  <c r="AC20" i="10"/>
  <c r="AC21" i="10"/>
  <c r="AC22" i="10"/>
  <c r="AC23" i="10"/>
  <c r="AC24" i="10"/>
  <c r="AC25" i="10"/>
  <c r="AC26" i="10"/>
  <c r="AC27" i="10"/>
  <c r="AC28" i="10"/>
  <c r="AC29" i="10"/>
  <c r="AC30" i="10"/>
  <c r="AC31" i="10"/>
  <c r="AC32" i="10"/>
  <c r="AC33" i="10"/>
  <c r="AC34" i="10"/>
  <c r="AC35" i="10"/>
  <c r="AC36" i="10"/>
  <c r="AC37" i="10"/>
  <c r="AC38" i="10"/>
  <c r="AC39" i="10"/>
  <c r="AC40" i="10"/>
  <c r="B41" i="10"/>
  <c r="AD49" i="1"/>
  <c r="AD5" i="10"/>
  <c r="AC9" i="10"/>
  <c r="AC10" i="10"/>
  <c r="AC11" i="10"/>
  <c r="AC41" i="10"/>
  <c r="AC48" i="10"/>
  <c r="AC16" i="13"/>
  <c r="AC18" i="13"/>
  <c r="AC22" i="13"/>
  <c r="AC23" i="13"/>
  <c r="AD15" i="11"/>
  <c r="AD9" i="11"/>
  <c r="AD10" i="11"/>
  <c r="AD12" i="11"/>
  <c r="AD18" i="11"/>
  <c r="AD13" i="11"/>
  <c r="AD19" i="11"/>
  <c r="AD16" i="11"/>
  <c r="AD11" i="11"/>
  <c r="AD17" i="11"/>
  <c r="AD20" i="11"/>
  <c r="AD5" i="13"/>
  <c r="AD19" i="6"/>
  <c r="AD24" i="6"/>
  <c r="AD6" i="13"/>
  <c r="AD7" i="13"/>
  <c r="AD20" i="13"/>
  <c r="AD26" i="11"/>
  <c r="AD25" i="11"/>
  <c r="AD23" i="11"/>
  <c r="AD24" i="11"/>
  <c r="AD27" i="11"/>
  <c r="AD28" i="11"/>
  <c r="AD29" i="11"/>
  <c r="AD9" i="13"/>
  <c r="AD10" i="13"/>
  <c r="AD2" i="10"/>
  <c r="AD15" i="10"/>
  <c r="AD16" i="10"/>
  <c r="AD17" i="10"/>
  <c r="AD18" i="10"/>
  <c r="AD19" i="10"/>
  <c r="AD20" i="10"/>
  <c r="AD21" i="10"/>
  <c r="AD22" i="10"/>
  <c r="AD23" i="10"/>
  <c r="AD24" i="10"/>
  <c r="AD25" i="10"/>
  <c r="AD26" i="10"/>
  <c r="AD27" i="10"/>
  <c r="AD28" i="10"/>
  <c r="AD29" i="10"/>
  <c r="AD30" i="10"/>
  <c r="AD31" i="10"/>
  <c r="AD32" i="10"/>
  <c r="AD33" i="10"/>
  <c r="AD34" i="10"/>
  <c r="AD35" i="10"/>
  <c r="AD36" i="10"/>
  <c r="AD37" i="10"/>
  <c r="AD38" i="10"/>
  <c r="AD39" i="10"/>
  <c r="AD40" i="10"/>
  <c r="AD41" i="10"/>
  <c r="B42" i="10"/>
  <c r="AE49" i="1"/>
  <c r="AE5" i="10"/>
  <c r="AD9" i="10"/>
  <c r="AD10" i="10"/>
  <c r="AD11" i="10"/>
  <c r="AD42" i="10"/>
  <c r="AD48" i="10"/>
  <c r="AD16" i="13"/>
  <c r="AD18" i="13"/>
  <c r="AD22" i="13"/>
  <c r="AD23" i="13"/>
  <c r="AE15" i="11"/>
  <c r="AE9" i="11"/>
  <c r="AE10" i="11"/>
  <c r="AE12" i="11"/>
  <c r="AE18" i="11"/>
  <c r="AE13" i="11"/>
  <c r="AE19" i="11"/>
  <c r="AE16" i="11"/>
  <c r="AE11" i="11"/>
  <c r="AE17" i="11"/>
  <c r="AE20" i="11"/>
  <c r="AE5" i="13"/>
  <c r="AE19" i="6"/>
  <c r="AE24" i="6"/>
  <c r="AE6" i="13"/>
  <c r="AE7" i="13"/>
  <c r="AE20" i="13"/>
  <c r="AE26" i="11"/>
  <c r="AE25" i="11"/>
  <c r="AE23" i="11"/>
  <c r="AE24" i="11"/>
  <c r="AE27" i="11"/>
  <c r="AE28" i="11"/>
  <c r="AE29" i="11"/>
  <c r="AE9" i="13"/>
  <c r="AE10" i="13"/>
  <c r="AE2" i="10"/>
  <c r="AE15" i="10"/>
  <c r="AE16" i="10"/>
  <c r="AE17" i="10"/>
  <c r="AE18" i="10"/>
  <c r="AE19" i="10"/>
  <c r="AE20" i="10"/>
  <c r="AE21" i="10"/>
  <c r="AE22" i="10"/>
  <c r="AE23" i="10"/>
  <c r="AE24" i="10"/>
  <c r="AE25" i="10"/>
  <c r="AE26" i="10"/>
  <c r="AE27" i="10"/>
  <c r="AE28" i="10"/>
  <c r="AE29" i="10"/>
  <c r="AE30" i="10"/>
  <c r="AE31" i="10"/>
  <c r="AE32" i="10"/>
  <c r="AE33" i="10"/>
  <c r="AE34" i="10"/>
  <c r="AE35" i="10"/>
  <c r="AE36" i="10"/>
  <c r="AE37" i="10"/>
  <c r="AE38" i="10"/>
  <c r="AE39" i="10"/>
  <c r="AE40" i="10"/>
  <c r="AE41" i="10"/>
  <c r="AE42" i="10"/>
  <c r="B43" i="10"/>
  <c r="AF49" i="1"/>
  <c r="AF5" i="10"/>
  <c r="AE9" i="10"/>
  <c r="AE10" i="10"/>
  <c r="AE11" i="10"/>
  <c r="AE43" i="10"/>
  <c r="AE48" i="10"/>
  <c r="AE16" i="13"/>
  <c r="AE18" i="13"/>
  <c r="AE22" i="13"/>
  <c r="AE23" i="13"/>
  <c r="AF15" i="11"/>
  <c r="AF9" i="11"/>
  <c r="AF10" i="11"/>
  <c r="AF12" i="11"/>
  <c r="AF18" i="11"/>
  <c r="AF13" i="11"/>
  <c r="AF19" i="11"/>
  <c r="AF16" i="11"/>
  <c r="AF11" i="11"/>
  <c r="AF17" i="11"/>
  <c r="AF20" i="11"/>
  <c r="AF5" i="13"/>
  <c r="AF19" i="6"/>
  <c r="AF24" i="6"/>
  <c r="AF6" i="13"/>
  <c r="AF7" i="13"/>
  <c r="AF20" i="13"/>
  <c r="AF26" i="11"/>
  <c r="AF25" i="11"/>
  <c r="AF23" i="11"/>
  <c r="AF24" i="11"/>
  <c r="AF27" i="11"/>
  <c r="AF28" i="11"/>
  <c r="AF29" i="11"/>
  <c r="AF9" i="13"/>
  <c r="AF10" i="13"/>
  <c r="AF2" i="10"/>
  <c r="AF15" i="10"/>
  <c r="AF16" i="10"/>
  <c r="AF17" i="10"/>
  <c r="AF18" i="10"/>
  <c r="AF19" i="10"/>
  <c r="AF20" i="10"/>
  <c r="AF21" i="10"/>
  <c r="AF22" i="10"/>
  <c r="AF23" i="10"/>
  <c r="AF24" i="10"/>
  <c r="AF25" i="10"/>
  <c r="AF26" i="10"/>
  <c r="AF27" i="10"/>
  <c r="AF28" i="10"/>
  <c r="AF29" i="10"/>
  <c r="AF30" i="10"/>
  <c r="AF31" i="10"/>
  <c r="AF32" i="10"/>
  <c r="AF33" i="10"/>
  <c r="AF34" i="10"/>
  <c r="AF35" i="10"/>
  <c r="AF36" i="10"/>
  <c r="AF37" i="10"/>
  <c r="AF38" i="10"/>
  <c r="AF39" i="10"/>
  <c r="AF40" i="10"/>
  <c r="AF41" i="10"/>
  <c r="AF42" i="10"/>
  <c r="AF43" i="10"/>
  <c r="B44" i="10"/>
  <c r="AG49" i="1"/>
  <c r="AG5" i="10"/>
  <c r="AF9" i="10"/>
  <c r="AF10" i="10"/>
  <c r="AF11" i="10"/>
  <c r="AF44" i="10"/>
  <c r="AF48" i="10"/>
  <c r="AF16" i="13"/>
  <c r="AF18" i="13"/>
  <c r="AF22" i="13"/>
  <c r="AF23" i="13"/>
  <c r="AG15" i="11"/>
  <c r="AG9" i="11"/>
  <c r="AG10" i="11"/>
  <c r="AG12" i="11"/>
  <c r="AG18" i="11"/>
  <c r="AG13" i="11"/>
  <c r="AG19" i="11"/>
  <c r="AG16" i="11"/>
  <c r="AG11" i="11"/>
  <c r="AG17" i="11"/>
  <c r="AG20" i="11"/>
  <c r="AG5" i="13"/>
  <c r="AG19" i="6"/>
  <c r="AG24" i="6"/>
  <c r="AG6" i="13"/>
  <c r="AG7" i="13"/>
  <c r="AG20" i="13"/>
  <c r="AG26" i="11"/>
  <c r="AG25" i="11"/>
  <c r="AG23" i="11"/>
  <c r="AG24" i="11"/>
  <c r="AG27" i="11"/>
  <c r="AG28" i="11"/>
  <c r="AG29" i="11"/>
  <c r="AG9" i="13"/>
  <c r="AG10" i="13"/>
  <c r="AG2" i="10"/>
  <c r="AG15" i="10"/>
  <c r="AG16" i="10"/>
  <c r="AG17" i="10"/>
  <c r="AG18" i="10"/>
  <c r="AG19" i="10"/>
  <c r="AG20" i="10"/>
  <c r="AG21" i="10"/>
  <c r="AG22" i="10"/>
  <c r="AG23" i="10"/>
  <c r="AG24" i="10"/>
  <c r="AG25" i="10"/>
  <c r="AG26" i="10"/>
  <c r="AG27" i="10"/>
  <c r="AG28" i="10"/>
  <c r="AG29" i="10"/>
  <c r="AG30" i="10"/>
  <c r="AG31" i="10"/>
  <c r="AG32" i="10"/>
  <c r="AG33" i="10"/>
  <c r="AG34" i="10"/>
  <c r="AG35" i="10"/>
  <c r="AG36" i="10"/>
  <c r="AG37" i="10"/>
  <c r="AG38" i="10"/>
  <c r="AG39" i="10"/>
  <c r="AG40" i="10"/>
  <c r="AG41" i="10"/>
  <c r="AG42" i="10"/>
  <c r="AG43" i="10"/>
  <c r="AG44" i="10"/>
  <c r="B45" i="10"/>
  <c r="AH49" i="1"/>
  <c r="AH5" i="10"/>
  <c r="AG9" i="10"/>
  <c r="AG10" i="10"/>
  <c r="AG11" i="10"/>
  <c r="AG45" i="10"/>
  <c r="AG48" i="10"/>
  <c r="AG16" i="13"/>
  <c r="AG18" i="13"/>
  <c r="AG22" i="13"/>
  <c r="AG23" i="13"/>
  <c r="AH15" i="11"/>
  <c r="AH9" i="11"/>
  <c r="AH10" i="11"/>
  <c r="AH12" i="11"/>
  <c r="AH18" i="11"/>
  <c r="AH13" i="11"/>
  <c r="AH19" i="11"/>
  <c r="AH16" i="11"/>
  <c r="AH11" i="11"/>
  <c r="AH17" i="11"/>
  <c r="AH20" i="11"/>
  <c r="AH5" i="13"/>
  <c r="AH19" i="6"/>
  <c r="AH24" i="6"/>
  <c r="AH6" i="13"/>
  <c r="AH7" i="13"/>
  <c r="AH20" i="13"/>
  <c r="AH26" i="11"/>
  <c r="AH25" i="11"/>
  <c r="AH23" i="11"/>
  <c r="AH24" i="11"/>
  <c r="AH27" i="11"/>
  <c r="AH28" i="11"/>
  <c r="AH29" i="11"/>
  <c r="AH9" i="13"/>
  <c r="AH10" i="13"/>
  <c r="AH2" i="10"/>
  <c r="AH15" i="10"/>
  <c r="AH16" i="10"/>
  <c r="AH17" i="10"/>
  <c r="AH18" i="10"/>
  <c r="AH19" i="10"/>
  <c r="AH20" i="10"/>
  <c r="AH21" i="10"/>
  <c r="AH22" i="10"/>
  <c r="AH23" i="10"/>
  <c r="AH24" i="10"/>
  <c r="AH25" i="10"/>
  <c r="AH26" i="10"/>
  <c r="AH27" i="10"/>
  <c r="AH28" i="10"/>
  <c r="AH29" i="10"/>
  <c r="AH30" i="10"/>
  <c r="AH31" i="10"/>
  <c r="AH32" i="10"/>
  <c r="AH33" i="10"/>
  <c r="AH34" i="10"/>
  <c r="AH35" i="10"/>
  <c r="AH36" i="10"/>
  <c r="AH37" i="10"/>
  <c r="AH38" i="10"/>
  <c r="AH39" i="10"/>
  <c r="AH40" i="10"/>
  <c r="AH41" i="10"/>
  <c r="AH42" i="10"/>
  <c r="AH43" i="10"/>
  <c r="AH44" i="10"/>
  <c r="AH45" i="10"/>
  <c r="B46" i="10"/>
  <c r="AI49" i="1"/>
  <c r="AI5" i="10"/>
  <c r="AH9" i="10"/>
  <c r="AH10" i="10"/>
  <c r="AH11" i="10"/>
  <c r="AH46" i="10"/>
  <c r="AH48" i="10"/>
  <c r="AH16" i="13"/>
  <c r="AH18" i="13"/>
  <c r="AH22" i="13"/>
  <c r="AH23" i="13"/>
  <c r="AI15" i="11"/>
  <c r="AI9" i="11"/>
  <c r="AI10" i="11"/>
  <c r="AI12" i="11"/>
  <c r="AI18" i="11"/>
  <c r="AI13" i="11"/>
  <c r="AI19" i="11"/>
  <c r="AI16" i="11"/>
  <c r="AI11" i="11"/>
  <c r="AI17" i="11"/>
  <c r="AI20" i="11"/>
  <c r="AI5" i="13"/>
  <c r="AI19" i="6"/>
  <c r="AI24" i="6"/>
  <c r="AI6" i="13"/>
  <c r="AI7" i="13"/>
  <c r="AI20" i="13"/>
  <c r="AI26" i="11"/>
  <c r="AI25" i="11"/>
  <c r="AI23" i="11"/>
  <c r="AI24" i="11"/>
  <c r="AI27" i="11"/>
  <c r="AI28" i="11"/>
  <c r="AI29" i="11"/>
  <c r="AI9" i="13"/>
  <c r="AI10" i="13"/>
  <c r="AI2" i="10"/>
  <c r="AI15" i="10"/>
  <c r="AI16" i="10"/>
  <c r="AI17" i="10"/>
  <c r="AI18" i="10"/>
  <c r="AI19" i="10"/>
  <c r="AI20" i="10"/>
  <c r="AI21" i="10"/>
  <c r="AI22" i="10"/>
  <c r="AI23" i="10"/>
  <c r="AI24" i="10"/>
  <c r="AI25" i="10"/>
  <c r="AI26" i="10"/>
  <c r="AI27" i="10"/>
  <c r="AI28" i="10"/>
  <c r="AI29" i="10"/>
  <c r="AI30" i="10"/>
  <c r="AI31" i="10"/>
  <c r="AI32" i="10"/>
  <c r="AI33" i="10"/>
  <c r="AI34" i="10"/>
  <c r="AI35" i="10"/>
  <c r="AI36" i="10"/>
  <c r="AI37" i="10"/>
  <c r="AI38" i="10"/>
  <c r="AI39" i="10"/>
  <c r="AI40" i="10"/>
  <c r="AI41" i="10"/>
  <c r="AI42" i="10"/>
  <c r="AI43" i="10"/>
  <c r="AI44" i="10"/>
  <c r="AI45" i="10"/>
  <c r="AI46" i="10"/>
  <c r="B47" i="10"/>
  <c r="AI9" i="10"/>
  <c r="AI10" i="10"/>
  <c r="AI11" i="10"/>
  <c r="AI47" i="10"/>
  <c r="AI48" i="10"/>
  <c r="AI16" i="13"/>
  <c r="AI18" i="13"/>
  <c r="AI22" i="13"/>
  <c r="AI61" i="11"/>
  <c r="AI62" i="11"/>
  <c r="AI66" i="11"/>
  <c r="C61" i="11"/>
  <c r="C62" i="11"/>
  <c r="C66" i="11"/>
  <c r="C4" i="11"/>
  <c r="C58" i="11"/>
  <c r="C64" i="11"/>
  <c r="C68" i="11"/>
  <c r="C65" i="11"/>
  <c r="C70" i="11"/>
  <c r="C72" i="11"/>
  <c r="C74" i="11"/>
  <c r="D61" i="11"/>
  <c r="D62" i="11"/>
  <c r="D66" i="11"/>
  <c r="D68" i="11"/>
  <c r="D4" i="11"/>
  <c r="D58" i="11"/>
  <c r="D64" i="11"/>
  <c r="D70" i="11"/>
  <c r="D72" i="11"/>
  <c r="D74" i="11"/>
  <c r="E61" i="11"/>
  <c r="E62" i="11"/>
  <c r="E66" i="11"/>
  <c r="E68" i="11"/>
  <c r="E4" i="11"/>
  <c r="E58" i="11"/>
  <c r="E64" i="11"/>
  <c r="E70" i="11"/>
  <c r="E72" i="11"/>
  <c r="E74" i="11"/>
  <c r="F61" i="11"/>
  <c r="F62" i="11"/>
  <c r="F66" i="11"/>
  <c r="F68" i="11"/>
  <c r="F4" i="11"/>
  <c r="F58" i="11"/>
  <c r="F64" i="11"/>
  <c r="F70" i="11"/>
  <c r="F72" i="11"/>
  <c r="F74" i="11"/>
  <c r="G61" i="11"/>
  <c r="G62" i="11"/>
  <c r="G66" i="11"/>
  <c r="G68" i="11"/>
  <c r="G4" i="11"/>
  <c r="G58" i="11"/>
  <c r="G64" i="11"/>
  <c r="G70" i="11"/>
  <c r="G72" i="11"/>
  <c r="G74" i="11"/>
  <c r="H61" i="11"/>
  <c r="H62" i="11"/>
  <c r="H66" i="11"/>
  <c r="H68" i="11"/>
  <c r="H4" i="11"/>
  <c r="H58" i="11"/>
  <c r="H64" i="11"/>
  <c r="H70" i="11"/>
  <c r="H72" i="11"/>
  <c r="H74" i="11"/>
  <c r="I61" i="11"/>
  <c r="I62" i="11"/>
  <c r="I66" i="11"/>
  <c r="I68" i="11"/>
  <c r="I4" i="11"/>
  <c r="I58" i="11"/>
  <c r="I64" i="11"/>
  <c r="I70" i="11"/>
  <c r="I72" i="11"/>
  <c r="I74" i="11"/>
  <c r="J61" i="11"/>
  <c r="J62" i="11"/>
  <c r="J66" i="11"/>
  <c r="J68" i="11"/>
  <c r="J4" i="11"/>
  <c r="J58" i="11"/>
  <c r="J64" i="11"/>
  <c r="J70" i="11"/>
  <c r="J72" i="11"/>
  <c r="J74" i="11"/>
  <c r="K61" i="11"/>
  <c r="K62" i="11"/>
  <c r="K66" i="11"/>
  <c r="K68" i="11"/>
  <c r="K4" i="11"/>
  <c r="K58" i="11"/>
  <c r="K64" i="11"/>
  <c r="K70" i="11"/>
  <c r="K72" i="11"/>
  <c r="K74" i="11"/>
  <c r="L61" i="11"/>
  <c r="L62" i="11"/>
  <c r="L66" i="11"/>
  <c r="L68" i="11"/>
  <c r="L4" i="11"/>
  <c r="L58" i="11"/>
  <c r="L64" i="11"/>
  <c r="L70" i="11"/>
  <c r="L72" i="11"/>
  <c r="L74" i="11"/>
  <c r="M61" i="11"/>
  <c r="M62" i="11"/>
  <c r="M66" i="11"/>
  <c r="M68" i="11"/>
  <c r="M4" i="11"/>
  <c r="M58" i="11"/>
  <c r="M64" i="11"/>
  <c r="M70" i="11"/>
  <c r="M72" i="11"/>
  <c r="M74" i="11"/>
  <c r="N61" i="11"/>
  <c r="N62" i="11"/>
  <c r="N66" i="11"/>
  <c r="N68" i="11"/>
  <c r="N4" i="11"/>
  <c r="N58" i="11"/>
  <c r="N64" i="11"/>
  <c r="N70" i="11"/>
  <c r="N72" i="11"/>
  <c r="N74" i="11"/>
  <c r="O61" i="11"/>
  <c r="O62" i="11"/>
  <c r="O66" i="11"/>
  <c r="O68" i="11"/>
  <c r="O4" i="11"/>
  <c r="O58" i="11"/>
  <c r="O64" i="11"/>
  <c r="O70" i="11"/>
  <c r="O72" i="11"/>
  <c r="O74" i="11"/>
  <c r="P61" i="11"/>
  <c r="P62" i="11"/>
  <c r="P66" i="11"/>
  <c r="P68" i="11"/>
  <c r="P4" i="11"/>
  <c r="P58" i="11"/>
  <c r="P64" i="11"/>
  <c r="P70" i="11"/>
  <c r="P72" i="11"/>
  <c r="P74" i="11"/>
  <c r="Q61" i="11"/>
  <c r="Q62" i="11"/>
  <c r="Q66" i="11"/>
  <c r="Q68" i="11"/>
  <c r="Q4" i="11"/>
  <c r="Q58" i="11"/>
  <c r="Q64" i="11"/>
  <c r="Q70" i="11"/>
  <c r="Q72" i="11"/>
  <c r="Q74" i="11"/>
  <c r="R61" i="11"/>
  <c r="R62" i="11"/>
  <c r="R66" i="11"/>
  <c r="R68" i="11"/>
  <c r="R4" i="11"/>
  <c r="R58" i="11"/>
  <c r="R64" i="11"/>
  <c r="R70" i="11"/>
  <c r="R72" i="11"/>
  <c r="R74" i="11"/>
  <c r="S61" i="11"/>
  <c r="S62" i="11"/>
  <c r="S66" i="11"/>
  <c r="S68" i="11"/>
  <c r="S4" i="11"/>
  <c r="S58" i="11"/>
  <c r="S64" i="11"/>
  <c r="S70" i="11"/>
  <c r="S72" i="11"/>
  <c r="S74" i="11"/>
  <c r="T61" i="11"/>
  <c r="T62" i="11"/>
  <c r="T66" i="11"/>
  <c r="T68" i="11"/>
  <c r="T4" i="11"/>
  <c r="T58" i="11"/>
  <c r="T64" i="11"/>
  <c r="T70" i="11"/>
  <c r="T72" i="11"/>
  <c r="T74" i="11"/>
  <c r="U61" i="11"/>
  <c r="U62" i="11"/>
  <c r="U66" i="11"/>
  <c r="U68" i="11"/>
  <c r="U4" i="11"/>
  <c r="U58" i="11"/>
  <c r="U64" i="11"/>
  <c r="U70" i="11"/>
  <c r="U72" i="11"/>
  <c r="U74" i="11"/>
  <c r="V61" i="11"/>
  <c r="V62" i="11"/>
  <c r="V66" i="11"/>
  <c r="V68" i="11"/>
  <c r="V4" i="11"/>
  <c r="V58" i="11"/>
  <c r="V64" i="11"/>
  <c r="V70" i="11"/>
  <c r="V72" i="11"/>
  <c r="V74" i="11"/>
  <c r="W61" i="11"/>
  <c r="W62" i="11"/>
  <c r="W66" i="11"/>
  <c r="W68" i="11"/>
  <c r="W4" i="11"/>
  <c r="W58" i="11"/>
  <c r="W64" i="11"/>
  <c r="W70" i="11"/>
  <c r="W72" i="11"/>
  <c r="W74" i="11"/>
  <c r="X61" i="11"/>
  <c r="X62" i="11"/>
  <c r="X66" i="11"/>
  <c r="X68" i="11"/>
  <c r="X4" i="11"/>
  <c r="X58" i="11"/>
  <c r="X64" i="11"/>
  <c r="X70" i="11"/>
  <c r="X72" i="11"/>
  <c r="X74" i="11"/>
  <c r="Y61" i="11"/>
  <c r="Y62" i="11"/>
  <c r="Y66" i="11"/>
  <c r="Y68" i="11"/>
  <c r="Y4" i="11"/>
  <c r="Y58" i="11"/>
  <c r="Y64" i="11"/>
  <c r="Y70" i="11"/>
  <c r="Y72" i="11"/>
  <c r="Y74" i="11"/>
  <c r="Z61" i="11"/>
  <c r="Z62" i="11"/>
  <c r="Z66" i="11"/>
  <c r="Z68" i="11"/>
  <c r="Z4" i="11"/>
  <c r="Z58" i="11"/>
  <c r="Z64" i="11"/>
  <c r="Z70" i="11"/>
  <c r="Z72" i="11"/>
  <c r="Z74" i="11"/>
  <c r="AA61" i="11"/>
  <c r="AA62" i="11"/>
  <c r="AA66" i="11"/>
  <c r="AA68" i="11"/>
  <c r="AA4" i="11"/>
  <c r="AA58" i="11"/>
  <c r="AA64" i="11"/>
  <c r="AA70" i="11"/>
  <c r="AA72" i="11"/>
  <c r="AA74" i="11"/>
  <c r="AB61" i="11"/>
  <c r="AB62" i="11"/>
  <c r="AB66" i="11"/>
  <c r="AB68" i="11"/>
  <c r="AB4" i="11"/>
  <c r="AB58" i="11"/>
  <c r="AB64" i="11"/>
  <c r="AB70" i="11"/>
  <c r="AB72" i="11"/>
  <c r="AB74" i="11"/>
  <c r="AC61" i="11"/>
  <c r="AC62" i="11"/>
  <c r="AC66" i="11"/>
  <c r="AC68" i="11"/>
  <c r="AC4" i="11"/>
  <c r="AC58" i="11"/>
  <c r="AC64" i="11"/>
  <c r="AC70" i="11"/>
  <c r="AC72" i="11"/>
  <c r="AC74" i="11"/>
  <c r="AD61" i="11"/>
  <c r="AD62" i="11"/>
  <c r="AD66" i="11"/>
  <c r="AD68" i="11"/>
  <c r="AD4" i="11"/>
  <c r="AD58" i="11"/>
  <c r="AD64" i="11"/>
  <c r="AD70" i="11"/>
  <c r="AD72" i="11"/>
  <c r="AD74" i="11"/>
  <c r="AE61" i="11"/>
  <c r="AE62" i="11"/>
  <c r="AE66" i="11"/>
  <c r="AE68" i="11"/>
  <c r="AE4" i="11"/>
  <c r="AE58" i="11"/>
  <c r="AE64" i="11"/>
  <c r="AE70" i="11"/>
  <c r="AE72" i="11"/>
  <c r="AE74" i="11"/>
  <c r="AF61" i="11"/>
  <c r="AF62" i="11"/>
  <c r="AF66" i="11"/>
  <c r="AF68" i="11"/>
  <c r="AF4" i="11"/>
  <c r="AF58" i="11"/>
  <c r="AF64" i="11"/>
  <c r="AF70" i="11"/>
  <c r="AF72" i="11"/>
  <c r="AF74" i="11"/>
  <c r="AG61" i="11"/>
  <c r="AG62" i="11"/>
  <c r="AG66" i="11"/>
  <c r="AG68" i="11"/>
  <c r="AG4" i="11"/>
  <c r="AG58" i="11"/>
  <c r="AG64" i="11"/>
  <c r="AG70" i="11"/>
  <c r="AG72" i="11"/>
  <c r="AG74" i="11"/>
  <c r="AH61" i="11"/>
  <c r="AH62" i="11"/>
  <c r="AH66" i="11"/>
  <c r="AH68" i="11"/>
  <c r="AH4" i="11"/>
  <c r="AH58" i="11"/>
  <c r="AH64" i="11"/>
  <c r="AH70" i="11"/>
  <c r="AH72" i="11"/>
  <c r="AH74" i="11"/>
  <c r="AI68" i="11"/>
  <c r="C15" i="14"/>
  <c r="C9" i="14"/>
  <c r="C10" i="14"/>
  <c r="C12" i="14"/>
  <c r="C18" i="14"/>
  <c r="C13" i="14"/>
  <c r="C19" i="14"/>
  <c r="C16" i="14"/>
  <c r="C11" i="14"/>
  <c r="C17" i="14"/>
  <c r="C20" i="14"/>
  <c r="C5" i="15"/>
  <c r="C20" i="6"/>
  <c r="C25" i="6"/>
  <c r="C6" i="15"/>
  <c r="C7" i="15"/>
  <c r="C20" i="15"/>
  <c r="C26" i="14"/>
  <c r="C25" i="14"/>
  <c r="C23" i="14"/>
  <c r="C24" i="14"/>
  <c r="C27" i="14"/>
  <c r="C28" i="14"/>
  <c r="C29" i="14"/>
  <c r="C9" i="15"/>
  <c r="C10" i="15"/>
  <c r="C2" i="12"/>
  <c r="B14" i="12"/>
  <c r="C3" i="12"/>
  <c r="D58" i="1"/>
  <c r="C5" i="12"/>
  <c r="C8" i="12"/>
  <c r="C9" i="12"/>
  <c r="C10" i="12"/>
  <c r="C14" i="12"/>
  <c r="C47" i="12"/>
  <c r="C16" i="15"/>
  <c r="C17" i="15"/>
  <c r="C18" i="15"/>
  <c r="C22" i="15"/>
  <c r="C23" i="15"/>
  <c r="D15" i="14"/>
  <c r="D9" i="14"/>
  <c r="D10" i="14"/>
  <c r="D12" i="14"/>
  <c r="D18" i="14"/>
  <c r="D13" i="14"/>
  <c r="D19" i="14"/>
  <c r="D16" i="14"/>
  <c r="D11" i="14"/>
  <c r="D17" i="14"/>
  <c r="D20" i="14"/>
  <c r="D5" i="15"/>
  <c r="D20" i="6"/>
  <c r="D25" i="6"/>
  <c r="D6" i="15"/>
  <c r="D7" i="15"/>
  <c r="D20" i="15"/>
  <c r="D26" i="14"/>
  <c r="D25" i="14"/>
  <c r="D23" i="14"/>
  <c r="D24" i="14"/>
  <c r="D27" i="14"/>
  <c r="D28" i="14"/>
  <c r="D29" i="14"/>
  <c r="D9" i="15"/>
  <c r="D10" i="15"/>
  <c r="D2" i="12"/>
  <c r="D14" i="12"/>
  <c r="B15" i="12"/>
  <c r="E58" i="1"/>
  <c r="D5" i="12"/>
  <c r="D8" i="12"/>
  <c r="D9" i="12"/>
  <c r="D10" i="12"/>
  <c r="D15" i="12"/>
  <c r="D47" i="12"/>
  <c r="D16" i="15"/>
  <c r="D18" i="15"/>
  <c r="D22" i="15"/>
  <c r="D23" i="15"/>
  <c r="E15" i="14"/>
  <c r="E9" i="14"/>
  <c r="E10" i="14"/>
  <c r="E12" i="14"/>
  <c r="E18" i="14"/>
  <c r="E13" i="14"/>
  <c r="E19" i="14"/>
  <c r="E16" i="14"/>
  <c r="E11" i="14"/>
  <c r="E17" i="14"/>
  <c r="E20" i="14"/>
  <c r="E5" i="15"/>
  <c r="E20" i="6"/>
  <c r="E25" i="6"/>
  <c r="E6" i="15"/>
  <c r="E7" i="15"/>
  <c r="E20" i="15"/>
  <c r="E26" i="14"/>
  <c r="E25" i="14"/>
  <c r="E23" i="14"/>
  <c r="E24" i="14"/>
  <c r="E27" i="14"/>
  <c r="E28" i="14"/>
  <c r="E29" i="14"/>
  <c r="E9" i="15"/>
  <c r="E10" i="15"/>
  <c r="E2" i="12"/>
  <c r="E14" i="12"/>
  <c r="E15" i="12"/>
  <c r="B16" i="12"/>
  <c r="F58" i="1"/>
  <c r="E5" i="12"/>
  <c r="E8" i="12"/>
  <c r="E9" i="12"/>
  <c r="E10" i="12"/>
  <c r="E16" i="12"/>
  <c r="E47" i="12"/>
  <c r="E16" i="15"/>
  <c r="E18" i="15"/>
  <c r="E22" i="15"/>
  <c r="E23" i="15"/>
  <c r="F15" i="14"/>
  <c r="F9" i="14"/>
  <c r="F10" i="14"/>
  <c r="F12" i="14"/>
  <c r="F18" i="14"/>
  <c r="F13" i="14"/>
  <c r="F19" i="14"/>
  <c r="F16" i="14"/>
  <c r="F11" i="14"/>
  <c r="F17" i="14"/>
  <c r="F20" i="14"/>
  <c r="F5" i="15"/>
  <c r="F20" i="6"/>
  <c r="F25" i="6"/>
  <c r="F6" i="15"/>
  <c r="F7" i="15"/>
  <c r="F20" i="15"/>
  <c r="F26" i="14"/>
  <c r="F25" i="14"/>
  <c r="F23" i="14"/>
  <c r="F24" i="14"/>
  <c r="F27" i="14"/>
  <c r="F28" i="14"/>
  <c r="F29" i="14"/>
  <c r="F9" i="15"/>
  <c r="F10" i="15"/>
  <c r="F2" i="12"/>
  <c r="F14" i="12"/>
  <c r="F15" i="12"/>
  <c r="F16" i="12"/>
  <c r="B17" i="12"/>
  <c r="G58" i="1"/>
  <c r="F5" i="12"/>
  <c r="F8" i="12"/>
  <c r="F9" i="12"/>
  <c r="F10" i="12"/>
  <c r="F17" i="12"/>
  <c r="F47" i="12"/>
  <c r="F16" i="15"/>
  <c r="F18" i="15"/>
  <c r="F22" i="15"/>
  <c r="F23" i="15"/>
  <c r="G15" i="14"/>
  <c r="G9" i="14"/>
  <c r="G10" i="14"/>
  <c r="G12" i="14"/>
  <c r="G18" i="14"/>
  <c r="G13" i="14"/>
  <c r="G19" i="14"/>
  <c r="G16" i="14"/>
  <c r="G11" i="14"/>
  <c r="G17" i="14"/>
  <c r="G20" i="14"/>
  <c r="G5" i="15"/>
  <c r="G20" i="6"/>
  <c r="G25" i="6"/>
  <c r="G6" i="15"/>
  <c r="G7" i="15"/>
  <c r="G20" i="15"/>
  <c r="G26" i="14"/>
  <c r="G25" i="14"/>
  <c r="G23" i="14"/>
  <c r="G24" i="14"/>
  <c r="G27" i="14"/>
  <c r="G28" i="14"/>
  <c r="G29" i="14"/>
  <c r="G9" i="15"/>
  <c r="G10" i="15"/>
  <c r="G2" i="12"/>
  <c r="G14" i="12"/>
  <c r="G15" i="12"/>
  <c r="G16" i="12"/>
  <c r="G17" i="12"/>
  <c r="B18" i="12"/>
  <c r="H58" i="1"/>
  <c r="G5" i="12"/>
  <c r="G8" i="12"/>
  <c r="G9" i="12"/>
  <c r="G10" i="12"/>
  <c r="G18" i="12"/>
  <c r="G47" i="12"/>
  <c r="G16" i="15"/>
  <c r="G18" i="15"/>
  <c r="G22" i="15"/>
  <c r="G23" i="15"/>
  <c r="H15" i="14"/>
  <c r="H9" i="14"/>
  <c r="H10" i="14"/>
  <c r="H12" i="14"/>
  <c r="H18" i="14"/>
  <c r="H13" i="14"/>
  <c r="H19" i="14"/>
  <c r="H16" i="14"/>
  <c r="H11" i="14"/>
  <c r="H17" i="14"/>
  <c r="H20" i="14"/>
  <c r="H5" i="15"/>
  <c r="H20" i="6"/>
  <c r="H25" i="6"/>
  <c r="H6" i="15"/>
  <c r="H7" i="15"/>
  <c r="H20" i="15"/>
  <c r="H26" i="14"/>
  <c r="H25" i="14"/>
  <c r="H23" i="14"/>
  <c r="H24" i="14"/>
  <c r="H27" i="14"/>
  <c r="H28" i="14"/>
  <c r="H29" i="14"/>
  <c r="H9" i="15"/>
  <c r="H10" i="15"/>
  <c r="H2" i="12"/>
  <c r="H14" i="12"/>
  <c r="H15" i="12"/>
  <c r="H16" i="12"/>
  <c r="H17" i="12"/>
  <c r="H18" i="12"/>
  <c r="B19" i="12"/>
  <c r="I58" i="1"/>
  <c r="H5" i="12"/>
  <c r="H8" i="12"/>
  <c r="H9" i="12"/>
  <c r="H10" i="12"/>
  <c r="H19" i="12"/>
  <c r="H47" i="12"/>
  <c r="H16" i="15"/>
  <c r="H18" i="15"/>
  <c r="H22" i="15"/>
  <c r="H23" i="15"/>
  <c r="I15" i="14"/>
  <c r="I9" i="14"/>
  <c r="I10" i="14"/>
  <c r="I12" i="14"/>
  <c r="I18" i="14"/>
  <c r="I13" i="14"/>
  <c r="I19" i="14"/>
  <c r="I16" i="14"/>
  <c r="I11" i="14"/>
  <c r="I17" i="14"/>
  <c r="I20" i="14"/>
  <c r="I5" i="15"/>
  <c r="I20" i="6"/>
  <c r="I25" i="6"/>
  <c r="I6" i="15"/>
  <c r="I7" i="15"/>
  <c r="I20" i="15"/>
  <c r="I26" i="14"/>
  <c r="I25" i="14"/>
  <c r="I23" i="14"/>
  <c r="I24" i="14"/>
  <c r="I27" i="14"/>
  <c r="I28" i="14"/>
  <c r="I29" i="14"/>
  <c r="I9" i="15"/>
  <c r="I10" i="15"/>
  <c r="I2" i="12"/>
  <c r="I14" i="12"/>
  <c r="I15" i="12"/>
  <c r="I16" i="12"/>
  <c r="I17" i="12"/>
  <c r="I18" i="12"/>
  <c r="I19" i="12"/>
  <c r="B20" i="12"/>
  <c r="J58" i="1"/>
  <c r="I5" i="12"/>
  <c r="I8" i="12"/>
  <c r="I9" i="12"/>
  <c r="I10" i="12"/>
  <c r="I20" i="12"/>
  <c r="I47" i="12"/>
  <c r="I16" i="15"/>
  <c r="I18" i="15"/>
  <c r="I22" i="15"/>
  <c r="I23" i="15"/>
  <c r="J15" i="14"/>
  <c r="J9" i="14"/>
  <c r="J10" i="14"/>
  <c r="J12" i="14"/>
  <c r="J18" i="14"/>
  <c r="J13" i="14"/>
  <c r="J19" i="14"/>
  <c r="J16" i="14"/>
  <c r="J11" i="14"/>
  <c r="J17" i="14"/>
  <c r="J20" i="14"/>
  <c r="J5" i="15"/>
  <c r="J20" i="6"/>
  <c r="J25" i="6"/>
  <c r="J6" i="15"/>
  <c r="J7" i="15"/>
  <c r="J20" i="15"/>
  <c r="J26" i="14"/>
  <c r="J25" i="14"/>
  <c r="J23" i="14"/>
  <c r="J24" i="14"/>
  <c r="J27" i="14"/>
  <c r="J28" i="14"/>
  <c r="J29" i="14"/>
  <c r="J9" i="15"/>
  <c r="J10" i="15"/>
  <c r="J2" i="12"/>
  <c r="J14" i="12"/>
  <c r="J15" i="12"/>
  <c r="J16" i="12"/>
  <c r="J17" i="12"/>
  <c r="J18" i="12"/>
  <c r="J19" i="12"/>
  <c r="J20" i="12"/>
  <c r="B21" i="12"/>
  <c r="K58" i="1"/>
  <c r="J5" i="12"/>
  <c r="J8" i="12"/>
  <c r="J9" i="12"/>
  <c r="J10" i="12"/>
  <c r="J21" i="12"/>
  <c r="J47" i="12"/>
  <c r="J16" i="15"/>
  <c r="J18" i="15"/>
  <c r="J22" i="15"/>
  <c r="J23" i="15"/>
  <c r="K15" i="14"/>
  <c r="K9" i="14"/>
  <c r="K10" i="14"/>
  <c r="K12" i="14"/>
  <c r="K18" i="14"/>
  <c r="K13" i="14"/>
  <c r="K19" i="14"/>
  <c r="K16" i="14"/>
  <c r="K11" i="14"/>
  <c r="K17" i="14"/>
  <c r="K20" i="14"/>
  <c r="K5" i="15"/>
  <c r="K20" i="6"/>
  <c r="K25" i="6"/>
  <c r="K6" i="15"/>
  <c r="K7" i="15"/>
  <c r="K20" i="15"/>
  <c r="K26" i="14"/>
  <c r="K25" i="14"/>
  <c r="K23" i="14"/>
  <c r="K24" i="14"/>
  <c r="K27" i="14"/>
  <c r="K28" i="14"/>
  <c r="K29" i="14"/>
  <c r="K9" i="15"/>
  <c r="K10" i="15"/>
  <c r="K2" i="12"/>
  <c r="K14" i="12"/>
  <c r="K15" i="12"/>
  <c r="K16" i="12"/>
  <c r="K17" i="12"/>
  <c r="K18" i="12"/>
  <c r="K19" i="12"/>
  <c r="K20" i="12"/>
  <c r="K21" i="12"/>
  <c r="B22" i="12"/>
  <c r="L58" i="1"/>
  <c r="K5" i="12"/>
  <c r="K8" i="12"/>
  <c r="K9" i="12"/>
  <c r="K10" i="12"/>
  <c r="K22" i="12"/>
  <c r="K47" i="12"/>
  <c r="K16" i="15"/>
  <c r="K18" i="15"/>
  <c r="K22" i="15"/>
  <c r="K23" i="15"/>
  <c r="L15" i="14"/>
  <c r="L9" i="14"/>
  <c r="L10" i="14"/>
  <c r="L12" i="14"/>
  <c r="L18" i="14"/>
  <c r="L13" i="14"/>
  <c r="L19" i="14"/>
  <c r="L16" i="14"/>
  <c r="L11" i="14"/>
  <c r="L17" i="14"/>
  <c r="L20" i="14"/>
  <c r="L5" i="15"/>
  <c r="L20" i="6"/>
  <c r="L25" i="6"/>
  <c r="L6" i="15"/>
  <c r="L7" i="15"/>
  <c r="L20" i="15"/>
  <c r="L26" i="14"/>
  <c r="L25" i="14"/>
  <c r="L23" i="14"/>
  <c r="L24" i="14"/>
  <c r="L27" i="14"/>
  <c r="L28" i="14"/>
  <c r="L29" i="14"/>
  <c r="L9" i="15"/>
  <c r="L10" i="15"/>
  <c r="L2" i="12"/>
  <c r="L14" i="12"/>
  <c r="L15" i="12"/>
  <c r="L16" i="12"/>
  <c r="L17" i="12"/>
  <c r="L18" i="12"/>
  <c r="L19" i="12"/>
  <c r="L20" i="12"/>
  <c r="L21" i="12"/>
  <c r="L22" i="12"/>
  <c r="B23" i="12"/>
  <c r="M58" i="1"/>
  <c r="L5" i="12"/>
  <c r="L8" i="12"/>
  <c r="L9" i="12"/>
  <c r="L10" i="12"/>
  <c r="L23" i="12"/>
  <c r="L47" i="12"/>
  <c r="L16" i="15"/>
  <c r="L18" i="15"/>
  <c r="L22" i="15"/>
  <c r="L23" i="15"/>
  <c r="M15" i="14"/>
  <c r="M9" i="14"/>
  <c r="M10" i="14"/>
  <c r="M12" i="14"/>
  <c r="M18" i="14"/>
  <c r="M13" i="14"/>
  <c r="M19" i="14"/>
  <c r="M16" i="14"/>
  <c r="M11" i="14"/>
  <c r="M17" i="14"/>
  <c r="M20" i="14"/>
  <c r="M5" i="15"/>
  <c r="M20" i="6"/>
  <c r="M25" i="6"/>
  <c r="M6" i="15"/>
  <c r="M7" i="15"/>
  <c r="M20" i="15"/>
  <c r="M26" i="14"/>
  <c r="M25" i="14"/>
  <c r="M23" i="14"/>
  <c r="M24" i="14"/>
  <c r="M27" i="14"/>
  <c r="M28" i="14"/>
  <c r="M29" i="14"/>
  <c r="M9" i="15"/>
  <c r="M10" i="15"/>
  <c r="M2" i="12"/>
  <c r="M14" i="12"/>
  <c r="M15" i="12"/>
  <c r="M16" i="12"/>
  <c r="M17" i="12"/>
  <c r="M18" i="12"/>
  <c r="M19" i="12"/>
  <c r="M20" i="12"/>
  <c r="M21" i="12"/>
  <c r="M22" i="12"/>
  <c r="M23" i="12"/>
  <c r="B24" i="12"/>
  <c r="N58" i="1"/>
  <c r="M5" i="12"/>
  <c r="M8" i="12"/>
  <c r="M9" i="12"/>
  <c r="M10" i="12"/>
  <c r="M24" i="12"/>
  <c r="M47" i="12"/>
  <c r="M16" i="15"/>
  <c r="M18" i="15"/>
  <c r="M22" i="15"/>
  <c r="M23" i="15"/>
  <c r="N15" i="14"/>
  <c r="N9" i="14"/>
  <c r="N10" i="14"/>
  <c r="N12" i="14"/>
  <c r="N18" i="14"/>
  <c r="N13" i="14"/>
  <c r="N19" i="14"/>
  <c r="N16" i="14"/>
  <c r="N11" i="14"/>
  <c r="N17" i="14"/>
  <c r="N20" i="14"/>
  <c r="N5" i="15"/>
  <c r="N20" i="6"/>
  <c r="N25" i="6"/>
  <c r="N6" i="15"/>
  <c r="N7" i="15"/>
  <c r="N20" i="15"/>
  <c r="N26" i="14"/>
  <c r="N25" i="14"/>
  <c r="N23" i="14"/>
  <c r="N24" i="14"/>
  <c r="N27" i="14"/>
  <c r="N28" i="14"/>
  <c r="N29" i="14"/>
  <c r="N9" i="15"/>
  <c r="N10" i="15"/>
  <c r="N2" i="12"/>
  <c r="N14" i="12"/>
  <c r="N15" i="12"/>
  <c r="N16" i="12"/>
  <c r="N17" i="12"/>
  <c r="N18" i="12"/>
  <c r="N19" i="12"/>
  <c r="N20" i="12"/>
  <c r="N21" i="12"/>
  <c r="N22" i="12"/>
  <c r="N23" i="12"/>
  <c r="N24" i="12"/>
  <c r="B25" i="12"/>
  <c r="O58" i="1"/>
  <c r="N5" i="12"/>
  <c r="N8" i="12"/>
  <c r="N9" i="12"/>
  <c r="N10" i="12"/>
  <c r="N25" i="12"/>
  <c r="N47" i="12"/>
  <c r="N16" i="15"/>
  <c r="N18" i="15"/>
  <c r="N22" i="15"/>
  <c r="N23" i="15"/>
  <c r="O15" i="14"/>
  <c r="O9" i="14"/>
  <c r="O10" i="14"/>
  <c r="O12" i="14"/>
  <c r="O18" i="14"/>
  <c r="O13" i="14"/>
  <c r="O19" i="14"/>
  <c r="O16" i="14"/>
  <c r="O11" i="14"/>
  <c r="O17" i="14"/>
  <c r="O20" i="14"/>
  <c r="O5" i="15"/>
  <c r="O20" i="6"/>
  <c r="O25" i="6"/>
  <c r="O6" i="15"/>
  <c r="O7" i="15"/>
  <c r="O20" i="15"/>
  <c r="O26" i="14"/>
  <c r="O25" i="14"/>
  <c r="O23" i="14"/>
  <c r="O24" i="14"/>
  <c r="O27" i="14"/>
  <c r="O28" i="14"/>
  <c r="O29" i="14"/>
  <c r="O9" i="15"/>
  <c r="O10" i="15"/>
  <c r="O2" i="12"/>
  <c r="O14" i="12"/>
  <c r="O15" i="12"/>
  <c r="O16" i="12"/>
  <c r="O17" i="12"/>
  <c r="O18" i="12"/>
  <c r="O19" i="12"/>
  <c r="O20" i="12"/>
  <c r="O21" i="12"/>
  <c r="O22" i="12"/>
  <c r="O23" i="12"/>
  <c r="O24" i="12"/>
  <c r="O25" i="12"/>
  <c r="B26" i="12"/>
  <c r="P58" i="1"/>
  <c r="O5" i="12"/>
  <c r="O8" i="12"/>
  <c r="O9" i="12"/>
  <c r="O10" i="12"/>
  <c r="O26" i="12"/>
  <c r="O47" i="12"/>
  <c r="O16" i="15"/>
  <c r="O18" i="15"/>
  <c r="O22" i="15"/>
  <c r="O23" i="15"/>
  <c r="P15" i="14"/>
  <c r="P9" i="14"/>
  <c r="P10" i="14"/>
  <c r="P12" i="14"/>
  <c r="P18" i="14"/>
  <c r="P13" i="14"/>
  <c r="P19" i="14"/>
  <c r="P16" i="14"/>
  <c r="P11" i="14"/>
  <c r="P17" i="14"/>
  <c r="P20" i="14"/>
  <c r="P5" i="15"/>
  <c r="P20" i="6"/>
  <c r="P25" i="6"/>
  <c r="P6" i="15"/>
  <c r="P7" i="15"/>
  <c r="P20" i="15"/>
  <c r="P26" i="14"/>
  <c r="P25" i="14"/>
  <c r="P23" i="14"/>
  <c r="P24" i="14"/>
  <c r="P27" i="14"/>
  <c r="P28" i="14"/>
  <c r="P29" i="14"/>
  <c r="P9" i="15"/>
  <c r="P10" i="15"/>
  <c r="P2" i="12"/>
  <c r="P14" i="12"/>
  <c r="P15" i="12"/>
  <c r="P16" i="12"/>
  <c r="P17" i="12"/>
  <c r="P18" i="12"/>
  <c r="P19" i="12"/>
  <c r="P20" i="12"/>
  <c r="P21" i="12"/>
  <c r="P22" i="12"/>
  <c r="P23" i="12"/>
  <c r="P24" i="12"/>
  <c r="P25" i="12"/>
  <c r="P26" i="12"/>
  <c r="B27" i="12"/>
  <c r="Q58" i="1"/>
  <c r="P5" i="12"/>
  <c r="P8" i="12"/>
  <c r="P9" i="12"/>
  <c r="P10" i="12"/>
  <c r="P27" i="12"/>
  <c r="P47" i="12"/>
  <c r="P16" i="15"/>
  <c r="P18" i="15"/>
  <c r="P22" i="15"/>
  <c r="P23" i="15"/>
  <c r="Q15" i="14"/>
  <c r="Q9" i="14"/>
  <c r="Q10" i="14"/>
  <c r="Q12" i="14"/>
  <c r="Q18" i="14"/>
  <c r="Q13" i="14"/>
  <c r="Q19" i="14"/>
  <c r="Q16" i="14"/>
  <c r="Q11" i="14"/>
  <c r="Q17" i="14"/>
  <c r="Q20" i="14"/>
  <c r="Q5" i="15"/>
  <c r="Q20" i="6"/>
  <c r="Q25" i="6"/>
  <c r="Q6" i="15"/>
  <c r="Q7" i="15"/>
  <c r="Q20" i="15"/>
  <c r="Q26" i="14"/>
  <c r="Q25" i="14"/>
  <c r="Q23" i="14"/>
  <c r="Q24" i="14"/>
  <c r="Q27" i="14"/>
  <c r="Q28" i="14"/>
  <c r="Q29" i="14"/>
  <c r="Q9" i="15"/>
  <c r="Q10" i="15"/>
  <c r="Q2" i="12"/>
  <c r="Q14" i="12"/>
  <c r="Q15" i="12"/>
  <c r="Q16" i="12"/>
  <c r="Q17" i="12"/>
  <c r="Q18" i="12"/>
  <c r="Q19" i="12"/>
  <c r="Q20" i="12"/>
  <c r="Q21" i="12"/>
  <c r="Q22" i="12"/>
  <c r="Q23" i="12"/>
  <c r="Q24" i="12"/>
  <c r="Q25" i="12"/>
  <c r="Q26" i="12"/>
  <c r="Q27" i="12"/>
  <c r="B28" i="12"/>
  <c r="R58" i="1"/>
  <c r="Q5" i="12"/>
  <c r="Q8" i="12"/>
  <c r="Q9" i="12"/>
  <c r="Q10" i="12"/>
  <c r="Q28" i="12"/>
  <c r="Q47" i="12"/>
  <c r="Q16" i="15"/>
  <c r="Q18" i="15"/>
  <c r="Q22" i="15"/>
  <c r="Q23" i="15"/>
  <c r="R15" i="14"/>
  <c r="R9" i="14"/>
  <c r="R10" i="14"/>
  <c r="R12" i="14"/>
  <c r="R18" i="14"/>
  <c r="R13" i="14"/>
  <c r="R19" i="14"/>
  <c r="R16" i="14"/>
  <c r="R11" i="14"/>
  <c r="R17" i="14"/>
  <c r="R20" i="14"/>
  <c r="R5" i="15"/>
  <c r="R20" i="6"/>
  <c r="R25" i="6"/>
  <c r="R6" i="15"/>
  <c r="R7" i="15"/>
  <c r="R20" i="15"/>
  <c r="R26" i="14"/>
  <c r="R25" i="14"/>
  <c r="R23" i="14"/>
  <c r="R24" i="14"/>
  <c r="R27" i="14"/>
  <c r="R28" i="14"/>
  <c r="R29" i="14"/>
  <c r="R9" i="15"/>
  <c r="R10" i="15"/>
  <c r="R2" i="12"/>
  <c r="R14" i="12"/>
  <c r="R15" i="12"/>
  <c r="R16" i="12"/>
  <c r="R17" i="12"/>
  <c r="R18" i="12"/>
  <c r="R19" i="12"/>
  <c r="R20" i="12"/>
  <c r="R21" i="12"/>
  <c r="R22" i="12"/>
  <c r="R23" i="12"/>
  <c r="R24" i="12"/>
  <c r="R25" i="12"/>
  <c r="R26" i="12"/>
  <c r="R27" i="12"/>
  <c r="R28" i="12"/>
  <c r="B29" i="12"/>
  <c r="S58" i="1"/>
  <c r="R5" i="12"/>
  <c r="R8" i="12"/>
  <c r="R9" i="12"/>
  <c r="R10" i="12"/>
  <c r="R29" i="12"/>
  <c r="R47" i="12"/>
  <c r="R16" i="15"/>
  <c r="R18" i="15"/>
  <c r="R22" i="15"/>
  <c r="R23" i="15"/>
  <c r="S15" i="14"/>
  <c r="S9" i="14"/>
  <c r="S10" i="14"/>
  <c r="S12" i="14"/>
  <c r="S18" i="14"/>
  <c r="S13" i="14"/>
  <c r="S19" i="14"/>
  <c r="S16" i="14"/>
  <c r="S11" i="14"/>
  <c r="S17" i="14"/>
  <c r="S20" i="14"/>
  <c r="S5" i="15"/>
  <c r="S20" i="6"/>
  <c r="S25" i="6"/>
  <c r="S6" i="15"/>
  <c r="S7" i="15"/>
  <c r="S20" i="15"/>
  <c r="S26" i="14"/>
  <c r="S25" i="14"/>
  <c r="S23" i="14"/>
  <c r="S24" i="14"/>
  <c r="S27" i="14"/>
  <c r="S28" i="14"/>
  <c r="S29" i="14"/>
  <c r="S9" i="15"/>
  <c r="S10" i="15"/>
  <c r="S2" i="12"/>
  <c r="S14" i="12"/>
  <c r="S15" i="12"/>
  <c r="S16" i="12"/>
  <c r="S17" i="12"/>
  <c r="S18" i="12"/>
  <c r="S19" i="12"/>
  <c r="S20" i="12"/>
  <c r="S21" i="12"/>
  <c r="S22" i="12"/>
  <c r="S23" i="12"/>
  <c r="S24" i="12"/>
  <c r="S25" i="12"/>
  <c r="S26" i="12"/>
  <c r="S27" i="12"/>
  <c r="S28" i="12"/>
  <c r="S29" i="12"/>
  <c r="B30" i="12"/>
  <c r="T58" i="1"/>
  <c r="S5" i="12"/>
  <c r="S8" i="12"/>
  <c r="S9" i="12"/>
  <c r="S10" i="12"/>
  <c r="S30" i="12"/>
  <c r="S47" i="12"/>
  <c r="S16" i="15"/>
  <c r="S18" i="15"/>
  <c r="S22" i="15"/>
  <c r="S23" i="15"/>
  <c r="T15" i="14"/>
  <c r="T9" i="14"/>
  <c r="T10" i="14"/>
  <c r="T12" i="14"/>
  <c r="T18" i="14"/>
  <c r="T13" i="14"/>
  <c r="T19" i="14"/>
  <c r="T16" i="14"/>
  <c r="T11" i="14"/>
  <c r="T17" i="14"/>
  <c r="T20" i="14"/>
  <c r="T5" i="15"/>
  <c r="T20" i="6"/>
  <c r="T25" i="6"/>
  <c r="T6" i="15"/>
  <c r="T7" i="15"/>
  <c r="T20" i="15"/>
  <c r="T26" i="14"/>
  <c r="T25" i="14"/>
  <c r="T23" i="14"/>
  <c r="T24" i="14"/>
  <c r="T27" i="14"/>
  <c r="T28" i="14"/>
  <c r="T29" i="14"/>
  <c r="T9" i="15"/>
  <c r="T10" i="15"/>
  <c r="T2" i="12"/>
  <c r="T14" i="12"/>
  <c r="T15" i="12"/>
  <c r="T16" i="12"/>
  <c r="T17" i="12"/>
  <c r="T18" i="12"/>
  <c r="T19" i="12"/>
  <c r="T20" i="12"/>
  <c r="T21" i="12"/>
  <c r="T22" i="12"/>
  <c r="T23" i="12"/>
  <c r="T24" i="12"/>
  <c r="T25" i="12"/>
  <c r="T26" i="12"/>
  <c r="T27" i="12"/>
  <c r="T28" i="12"/>
  <c r="T29" i="12"/>
  <c r="T30" i="12"/>
  <c r="B31" i="12"/>
  <c r="U58" i="1"/>
  <c r="T5" i="12"/>
  <c r="T8" i="12"/>
  <c r="T9" i="12"/>
  <c r="T10" i="12"/>
  <c r="T31" i="12"/>
  <c r="T47" i="12"/>
  <c r="T16" i="15"/>
  <c r="T18" i="15"/>
  <c r="T22" i="15"/>
  <c r="T23" i="15"/>
  <c r="U15" i="14"/>
  <c r="U9" i="14"/>
  <c r="U10" i="14"/>
  <c r="U12" i="14"/>
  <c r="U18" i="14"/>
  <c r="U13" i="14"/>
  <c r="U19" i="14"/>
  <c r="U16" i="14"/>
  <c r="U11" i="14"/>
  <c r="U17" i="14"/>
  <c r="U20" i="14"/>
  <c r="U5" i="15"/>
  <c r="U20" i="6"/>
  <c r="U25" i="6"/>
  <c r="U6" i="15"/>
  <c r="U7" i="15"/>
  <c r="U20" i="15"/>
  <c r="U26" i="14"/>
  <c r="U25" i="14"/>
  <c r="U23" i="14"/>
  <c r="U24" i="14"/>
  <c r="U27" i="14"/>
  <c r="U28" i="14"/>
  <c r="U29" i="14"/>
  <c r="U9" i="15"/>
  <c r="U10" i="15"/>
  <c r="U2" i="12"/>
  <c r="U14" i="12"/>
  <c r="U15" i="12"/>
  <c r="U16" i="12"/>
  <c r="U17" i="12"/>
  <c r="U18" i="12"/>
  <c r="U19" i="12"/>
  <c r="U20" i="12"/>
  <c r="U21" i="12"/>
  <c r="U22" i="12"/>
  <c r="U23" i="12"/>
  <c r="U24" i="12"/>
  <c r="U25" i="12"/>
  <c r="U26" i="12"/>
  <c r="U27" i="12"/>
  <c r="U28" i="12"/>
  <c r="U29" i="12"/>
  <c r="U30" i="12"/>
  <c r="U31" i="12"/>
  <c r="B32" i="12"/>
  <c r="V58" i="1"/>
  <c r="U5" i="12"/>
  <c r="U8" i="12"/>
  <c r="U9" i="12"/>
  <c r="U10" i="12"/>
  <c r="U32" i="12"/>
  <c r="U47" i="12"/>
  <c r="U16" i="15"/>
  <c r="U18" i="15"/>
  <c r="U22" i="15"/>
  <c r="U23" i="15"/>
  <c r="V15" i="14"/>
  <c r="V9" i="14"/>
  <c r="V10" i="14"/>
  <c r="V12" i="14"/>
  <c r="V18" i="14"/>
  <c r="V13" i="14"/>
  <c r="V19" i="14"/>
  <c r="V16" i="14"/>
  <c r="V11" i="14"/>
  <c r="V17" i="14"/>
  <c r="V20" i="14"/>
  <c r="V5" i="15"/>
  <c r="V20" i="6"/>
  <c r="V25" i="6"/>
  <c r="V6" i="15"/>
  <c r="V7" i="15"/>
  <c r="V20" i="15"/>
  <c r="V26" i="14"/>
  <c r="V25" i="14"/>
  <c r="V23" i="14"/>
  <c r="V24" i="14"/>
  <c r="V27" i="14"/>
  <c r="V28" i="14"/>
  <c r="V29" i="14"/>
  <c r="V9" i="15"/>
  <c r="V10" i="15"/>
  <c r="V2" i="12"/>
  <c r="V14" i="12"/>
  <c r="V15" i="12"/>
  <c r="V16" i="12"/>
  <c r="V17" i="12"/>
  <c r="V18" i="12"/>
  <c r="V19" i="12"/>
  <c r="V20" i="12"/>
  <c r="V21" i="12"/>
  <c r="V22" i="12"/>
  <c r="V23" i="12"/>
  <c r="V24" i="12"/>
  <c r="V25" i="12"/>
  <c r="V26" i="12"/>
  <c r="V27" i="12"/>
  <c r="V28" i="12"/>
  <c r="V29" i="12"/>
  <c r="V30" i="12"/>
  <c r="V31" i="12"/>
  <c r="V32" i="12"/>
  <c r="B33" i="12"/>
  <c r="W58" i="1"/>
  <c r="V5" i="12"/>
  <c r="V8" i="12"/>
  <c r="V9" i="12"/>
  <c r="V10" i="12"/>
  <c r="V33" i="12"/>
  <c r="V47" i="12"/>
  <c r="V16" i="15"/>
  <c r="V18" i="15"/>
  <c r="V22" i="15"/>
  <c r="V23" i="15"/>
  <c r="W15" i="14"/>
  <c r="W9" i="14"/>
  <c r="W10" i="14"/>
  <c r="W12" i="14"/>
  <c r="W18" i="14"/>
  <c r="W13" i="14"/>
  <c r="W19" i="14"/>
  <c r="W16" i="14"/>
  <c r="W11" i="14"/>
  <c r="W17" i="14"/>
  <c r="W20" i="14"/>
  <c r="W5" i="15"/>
  <c r="W20" i="6"/>
  <c r="W25" i="6"/>
  <c r="W6" i="15"/>
  <c r="W7" i="15"/>
  <c r="W20" i="15"/>
  <c r="W26" i="14"/>
  <c r="W25" i="14"/>
  <c r="W23" i="14"/>
  <c r="W24" i="14"/>
  <c r="W27" i="14"/>
  <c r="W28" i="14"/>
  <c r="W29" i="14"/>
  <c r="W9" i="15"/>
  <c r="W10" i="15"/>
  <c r="W2" i="12"/>
  <c r="W14" i="12"/>
  <c r="W15" i="12"/>
  <c r="W16" i="12"/>
  <c r="W17" i="12"/>
  <c r="W18" i="12"/>
  <c r="W19" i="12"/>
  <c r="W20" i="12"/>
  <c r="W21" i="12"/>
  <c r="W22" i="12"/>
  <c r="W23" i="12"/>
  <c r="W24" i="12"/>
  <c r="W25" i="12"/>
  <c r="W26" i="12"/>
  <c r="W27" i="12"/>
  <c r="W28" i="12"/>
  <c r="W29" i="12"/>
  <c r="W30" i="12"/>
  <c r="W31" i="12"/>
  <c r="W32" i="12"/>
  <c r="W33" i="12"/>
  <c r="B34" i="12"/>
  <c r="X58" i="1"/>
  <c r="W5" i="12"/>
  <c r="W8" i="12"/>
  <c r="W9" i="12"/>
  <c r="W10" i="12"/>
  <c r="W34" i="12"/>
  <c r="W47" i="12"/>
  <c r="W16" i="15"/>
  <c r="W18" i="15"/>
  <c r="W22" i="15"/>
  <c r="W23" i="15"/>
  <c r="X15" i="14"/>
  <c r="X9" i="14"/>
  <c r="X10" i="14"/>
  <c r="X12" i="14"/>
  <c r="X18" i="14"/>
  <c r="X13" i="14"/>
  <c r="X19" i="14"/>
  <c r="X16" i="14"/>
  <c r="X11" i="14"/>
  <c r="X17" i="14"/>
  <c r="X20" i="14"/>
  <c r="X5" i="15"/>
  <c r="X20" i="6"/>
  <c r="X25" i="6"/>
  <c r="X6" i="15"/>
  <c r="X7" i="15"/>
  <c r="X20" i="15"/>
  <c r="X26" i="14"/>
  <c r="X25" i="14"/>
  <c r="X23" i="14"/>
  <c r="X24" i="14"/>
  <c r="X27" i="14"/>
  <c r="X28" i="14"/>
  <c r="X29" i="14"/>
  <c r="X9" i="15"/>
  <c r="X10" i="15"/>
  <c r="X2" i="12"/>
  <c r="X14" i="12"/>
  <c r="X15" i="12"/>
  <c r="X16" i="12"/>
  <c r="X17" i="12"/>
  <c r="X18" i="12"/>
  <c r="X19" i="12"/>
  <c r="X20" i="12"/>
  <c r="X21" i="12"/>
  <c r="X22" i="12"/>
  <c r="X23" i="12"/>
  <c r="X24" i="12"/>
  <c r="X25" i="12"/>
  <c r="X26" i="12"/>
  <c r="X27" i="12"/>
  <c r="X28" i="12"/>
  <c r="X29" i="12"/>
  <c r="X30" i="12"/>
  <c r="X31" i="12"/>
  <c r="X32" i="12"/>
  <c r="X33" i="12"/>
  <c r="X34" i="12"/>
  <c r="B35" i="12"/>
  <c r="Y58" i="1"/>
  <c r="X5" i="12"/>
  <c r="X8" i="12"/>
  <c r="X9" i="12"/>
  <c r="X10" i="12"/>
  <c r="X35" i="12"/>
  <c r="X47" i="12"/>
  <c r="X16" i="15"/>
  <c r="X18" i="15"/>
  <c r="X22" i="15"/>
  <c r="X23" i="15"/>
  <c r="Y15" i="14"/>
  <c r="Y9" i="14"/>
  <c r="Y10" i="14"/>
  <c r="Y12" i="14"/>
  <c r="Y18" i="14"/>
  <c r="Y13" i="14"/>
  <c r="Y19" i="14"/>
  <c r="Y16" i="14"/>
  <c r="Y11" i="14"/>
  <c r="Y17" i="14"/>
  <c r="Y20" i="14"/>
  <c r="Y5" i="15"/>
  <c r="Y20" i="6"/>
  <c r="Y25" i="6"/>
  <c r="Y6" i="15"/>
  <c r="Y7" i="15"/>
  <c r="Y20" i="15"/>
  <c r="Y26" i="14"/>
  <c r="Y25" i="14"/>
  <c r="Y23" i="14"/>
  <c r="Y24" i="14"/>
  <c r="Y27" i="14"/>
  <c r="Y28" i="14"/>
  <c r="Y29" i="14"/>
  <c r="Y9" i="15"/>
  <c r="Y10" i="15"/>
  <c r="Y2" i="12"/>
  <c r="Y14" i="12"/>
  <c r="Y15" i="12"/>
  <c r="Y16" i="12"/>
  <c r="Y17" i="12"/>
  <c r="Y18" i="12"/>
  <c r="Y19" i="12"/>
  <c r="Y20" i="12"/>
  <c r="Y21" i="12"/>
  <c r="Y22" i="12"/>
  <c r="Y23" i="12"/>
  <c r="Y24" i="12"/>
  <c r="Y25" i="12"/>
  <c r="Y26" i="12"/>
  <c r="Y27" i="12"/>
  <c r="Y28" i="12"/>
  <c r="Y29" i="12"/>
  <c r="Y30" i="12"/>
  <c r="Y31" i="12"/>
  <c r="Y32" i="12"/>
  <c r="Y33" i="12"/>
  <c r="Y34" i="12"/>
  <c r="Y35" i="12"/>
  <c r="B36" i="12"/>
  <c r="Z58" i="1"/>
  <c r="Y5" i="12"/>
  <c r="Y8" i="12"/>
  <c r="Y9" i="12"/>
  <c r="Y10" i="12"/>
  <c r="Y36" i="12"/>
  <c r="Y47" i="12"/>
  <c r="Y16" i="15"/>
  <c r="Y18" i="15"/>
  <c r="Y22" i="15"/>
  <c r="Y23" i="15"/>
  <c r="Z15" i="14"/>
  <c r="Z9" i="14"/>
  <c r="Z10" i="14"/>
  <c r="Z12" i="14"/>
  <c r="Z18" i="14"/>
  <c r="Z13" i="14"/>
  <c r="Z19" i="14"/>
  <c r="Z16" i="14"/>
  <c r="Z11" i="14"/>
  <c r="Z17" i="14"/>
  <c r="Z20" i="14"/>
  <c r="Z5" i="15"/>
  <c r="Z20" i="6"/>
  <c r="Z25" i="6"/>
  <c r="Z6" i="15"/>
  <c r="Z7" i="15"/>
  <c r="Z20" i="15"/>
  <c r="Z26" i="14"/>
  <c r="Z25" i="14"/>
  <c r="Z23" i="14"/>
  <c r="Z24" i="14"/>
  <c r="Z27" i="14"/>
  <c r="Z28" i="14"/>
  <c r="Z29" i="14"/>
  <c r="Z9" i="15"/>
  <c r="Z10" i="15"/>
  <c r="Z2" i="12"/>
  <c r="Z14" i="12"/>
  <c r="Z15" i="12"/>
  <c r="Z16" i="12"/>
  <c r="Z17" i="12"/>
  <c r="Z18" i="12"/>
  <c r="Z19" i="12"/>
  <c r="Z20" i="12"/>
  <c r="Z21" i="12"/>
  <c r="Z22" i="12"/>
  <c r="Z23" i="12"/>
  <c r="Z24" i="12"/>
  <c r="Z25" i="12"/>
  <c r="Z26" i="12"/>
  <c r="Z27" i="12"/>
  <c r="Z28" i="12"/>
  <c r="Z29" i="12"/>
  <c r="Z30" i="12"/>
  <c r="Z31" i="12"/>
  <c r="Z32" i="12"/>
  <c r="Z33" i="12"/>
  <c r="Z34" i="12"/>
  <c r="Z35" i="12"/>
  <c r="Z36" i="12"/>
  <c r="B37" i="12"/>
  <c r="AA58" i="1"/>
  <c r="Z5" i="12"/>
  <c r="Z8" i="12"/>
  <c r="Z9" i="12"/>
  <c r="Z10" i="12"/>
  <c r="Z37" i="12"/>
  <c r="Z47" i="12"/>
  <c r="Z16" i="15"/>
  <c r="Z18" i="15"/>
  <c r="Z22" i="15"/>
  <c r="Z23" i="15"/>
  <c r="AA15" i="14"/>
  <c r="AA9" i="14"/>
  <c r="AA10" i="14"/>
  <c r="AA12" i="14"/>
  <c r="AA18" i="14"/>
  <c r="AA13" i="14"/>
  <c r="AA19" i="14"/>
  <c r="AA16" i="14"/>
  <c r="AA11" i="14"/>
  <c r="AA17" i="14"/>
  <c r="AA20" i="14"/>
  <c r="AA5" i="15"/>
  <c r="AA20" i="6"/>
  <c r="AA25" i="6"/>
  <c r="AA6" i="15"/>
  <c r="AA7" i="15"/>
  <c r="AA20" i="15"/>
  <c r="AA26" i="14"/>
  <c r="AA25" i="14"/>
  <c r="AA23" i="14"/>
  <c r="AA24" i="14"/>
  <c r="AA27" i="14"/>
  <c r="AA28" i="14"/>
  <c r="AA29" i="14"/>
  <c r="AA9" i="15"/>
  <c r="AA10" i="15"/>
  <c r="AA2" i="12"/>
  <c r="AA14" i="12"/>
  <c r="AA15" i="12"/>
  <c r="AA16" i="12"/>
  <c r="AA17" i="12"/>
  <c r="AA18" i="12"/>
  <c r="AA19" i="12"/>
  <c r="AA20" i="12"/>
  <c r="AA21" i="12"/>
  <c r="AA22" i="12"/>
  <c r="AA23" i="12"/>
  <c r="AA24" i="12"/>
  <c r="AA25" i="12"/>
  <c r="AA26" i="12"/>
  <c r="AA27" i="12"/>
  <c r="AA28" i="12"/>
  <c r="AA29" i="12"/>
  <c r="AA30" i="12"/>
  <c r="AA31" i="12"/>
  <c r="AA32" i="12"/>
  <c r="AA33" i="12"/>
  <c r="AA34" i="12"/>
  <c r="AA35" i="12"/>
  <c r="AA36" i="12"/>
  <c r="AA37" i="12"/>
  <c r="B38" i="12"/>
  <c r="AB58" i="1"/>
  <c r="AA5" i="12"/>
  <c r="AA8" i="12"/>
  <c r="AA9" i="12"/>
  <c r="AA10" i="12"/>
  <c r="AA38" i="12"/>
  <c r="AA47" i="12"/>
  <c r="AA16" i="15"/>
  <c r="AA18" i="15"/>
  <c r="AA22" i="15"/>
  <c r="AA23" i="15"/>
  <c r="AB15" i="14"/>
  <c r="AB9" i="14"/>
  <c r="AB10" i="14"/>
  <c r="AB12" i="14"/>
  <c r="AB18" i="14"/>
  <c r="AB13" i="14"/>
  <c r="AB19" i="14"/>
  <c r="AB16" i="14"/>
  <c r="AB11" i="14"/>
  <c r="AB17" i="14"/>
  <c r="AB20" i="14"/>
  <c r="AB5" i="15"/>
  <c r="AB20" i="6"/>
  <c r="AB25" i="6"/>
  <c r="AB6" i="15"/>
  <c r="AB7" i="15"/>
  <c r="AB20" i="15"/>
  <c r="AB26" i="14"/>
  <c r="AB25" i="14"/>
  <c r="AB23" i="14"/>
  <c r="AB24" i="14"/>
  <c r="AB27" i="14"/>
  <c r="AB28" i="14"/>
  <c r="AB29" i="14"/>
  <c r="AB9" i="15"/>
  <c r="AB10" i="15"/>
  <c r="AB2" i="12"/>
  <c r="AB14" i="12"/>
  <c r="AB15" i="12"/>
  <c r="AB16" i="12"/>
  <c r="AB17" i="12"/>
  <c r="AB18" i="12"/>
  <c r="AB19" i="12"/>
  <c r="AB20" i="12"/>
  <c r="AB21" i="12"/>
  <c r="AB22" i="12"/>
  <c r="AB23" i="12"/>
  <c r="AB24" i="12"/>
  <c r="AB25" i="12"/>
  <c r="AB26" i="12"/>
  <c r="AB27" i="12"/>
  <c r="AB28" i="12"/>
  <c r="AB29" i="12"/>
  <c r="AB30" i="12"/>
  <c r="AB31" i="12"/>
  <c r="AB32" i="12"/>
  <c r="AB33" i="12"/>
  <c r="AB34" i="12"/>
  <c r="AB35" i="12"/>
  <c r="AB36" i="12"/>
  <c r="AB37" i="12"/>
  <c r="AB38" i="12"/>
  <c r="B39" i="12"/>
  <c r="AC58" i="1"/>
  <c r="AB5" i="12"/>
  <c r="AB8" i="12"/>
  <c r="AB9" i="12"/>
  <c r="AB10" i="12"/>
  <c r="AB39" i="12"/>
  <c r="AB47" i="12"/>
  <c r="AB16" i="15"/>
  <c r="AB18" i="15"/>
  <c r="AB22" i="15"/>
  <c r="AB23" i="15"/>
  <c r="AC15" i="14"/>
  <c r="AC9" i="14"/>
  <c r="AC10" i="14"/>
  <c r="AC12" i="14"/>
  <c r="AC18" i="14"/>
  <c r="AC13" i="14"/>
  <c r="AC19" i="14"/>
  <c r="AC16" i="14"/>
  <c r="AC11" i="14"/>
  <c r="AC17" i="14"/>
  <c r="AC20" i="14"/>
  <c r="AC5" i="15"/>
  <c r="AC20" i="6"/>
  <c r="AC25" i="6"/>
  <c r="AC6" i="15"/>
  <c r="AC7" i="15"/>
  <c r="AC20" i="15"/>
  <c r="AC26" i="14"/>
  <c r="AC25" i="14"/>
  <c r="AC23" i="14"/>
  <c r="AC24" i="14"/>
  <c r="AC27" i="14"/>
  <c r="AC28" i="14"/>
  <c r="AC29" i="14"/>
  <c r="AC9" i="15"/>
  <c r="AC10" i="15"/>
  <c r="AC2" i="12"/>
  <c r="AC14" i="12"/>
  <c r="AC15" i="12"/>
  <c r="AC16" i="12"/>
  <c r="AC17" i="12"/>
  <c r="AC18" i="12"/>
  <c r="AC19" i="12"/>
  <c r="AC20" i="12"/>
  <c r="AC21" i="12"/>
  <c r="AC22" i="12"/>
  <c r="AC23" i="12"/>
  <c r="AC24" i="12"/>
  <c r="AC25" i="12"/>
  <c r="AC26" i="12"/>
  <c r="AC27" i="12"/>
  <c r="AC28" i="12"/>
  <c r="AC29" i="12"/>
  <c r="AC30" i="12"/>
  <c r="AC31" i="12"/>
  <c r="AC32" i="12"/>
  <c r="AC33" i="12"/>
  <c r="AC34" i="12"/>
  <c r="AC35" i="12"/>
  <c r="AC36" i="12"/>
  <c r="AC37" i="12"/>
  <c r="AC38" i="12"/>
  <c r="AC39" i="12"/>
  <c r="B40" i="12"/>
  <c r="AD58" i="1"/>
  <c r="AC5" i="12"/>
  <c r="AC8" i="12"/>
  <c r="AC9" i="12"/>
  <c r="AC10" i="12"/>
  <c r="AC40" i="12"/>
  <c r="AC47" i="12"/>
  <c r="AC16" i="15"/>
  <c r="AC18" i="15"/>
  <c r="AC22" i="15"/>
  <c r="AC23" i="15"/>
  <c r="AD15" i="14"/>
  <c r="AD9" i="14"/>
  <c r="AD10" i="14"/>
  <c r="AD12" i="14"/>
  <c r="AD18" i="14"/>
  <c r="AD13" i="14"/>
  <c r="AD19" i="14"/>
  <c r="AD16" i="14"/>
  <c r="AD11" i="14"/>
  <c r="AD17" i="14"/>
  <c r="AD20" i="14"/>
  <c r="AD5" i="15"/>
  <c r="AD20" i="6"/>
  <c r="AD25" i="6"/>
  <c r="AD6" i="15"/>
  <c r="AD7" i="15"/>
  <c r="AD20" i="15"/>
  <c r="AD26" i="14"/>
  <c r="AD25" i="14"/>
  <c r="AD23" i="14"/>
  <c r="AD24" i="14"/>
  <c r="AD27" i="14"/>
  <c r="AD28" i="14"/>
  <c r="AD29" i="14"/>
  <c r="AD9" i="15"/>
  <c r="AD10" i="15"/>
  <c r="AD2" i="12"/>
  <c r="AD14" i="12"/>
  <c r="AD15" i="12"/>
  <c r="AD16" i="12"/>
  <c r="AD17" i="12"/>
  <c r="AD18" i="12"/>
  <c r="AD19" i="12"/>
  <c r="AD20" i="12"/>
  <c r="AD21" i="12"/>
  <c r="AD22" i="12"/>
  <c r="AD23" i="12"/>
  <c r="AD24" i="12"/>
  <c r="AD25" i="12"/>
  <c r="AD26" i="12"/>
  <c r="AD27" i="12"/>
  <c r="AD28" i="12"/>
  <c r="AD29" i="12"/>
  <c r="AD30" i="12"/>
  <c r="AD31" i="12"/>
  <c r="AD32" i="12"/>
  <c r="AD33" i="12"/>
  <c r="AD34" i="12"/>
  <c r="AD35" i="12"/>
  <c r="AD36" i="12"/>
  <c r="AD37" i="12"/>
  <c r="AD38" i="12"/>
  <c r="AD39" i="12"/>
  <c r="AD40" i="12"/>
  <c r="B41" i="12"/>
  <c r="AE58" i="1"/>
  <c r="AD5" i="12"/>
  <c r="AD8" i="12"/>
  <c r="AD9" i="12"/>
  <c r="AD10" i="12"/>
  <c r="AD41" i="12"/>
  <c r="AD47" i="12"/>
  <c r="AD16" i="15"/>
  <c r="AD18" i="15"/>
  <c r="AD22" i="15"/>
  <c r="AD23" i="15"/>
  <c r="AE15" i="14"/>
  <c r="AE9" i="14"/>
  <c r="AE10" i="14"/>
  <c r="AE12" i="14"/>
  <c r="AE18" i="14"/>
  <c r="AE13" i="14"/>
  <c r="AE19" i="14"/>
  <c r="AE16" i="14"/>
  <c r="AE11" i="14"/>
  <c r="AE17" i="14"/>
  <c r="AE20" i="14"/>
  <c r="AE5" i="15"/>
  <c r="AE20" i="6"/>
  <c r="AE25" i="6"/>
  <c r="AE6" i="15"/>
  <c r="AE7" i="15"/>
  <c r="AE20" i="15"/>
  <c r="AE26" i="14"/>
  <c r="AE25" i="14"/>
  <c r="AE23" i="14"/>
  <c r="AE24" i="14"/>
  <c r="AE27" i="14"/>
  <c r="AE28" i="14"/>
  <c r="AE29" i="14"/>
  <c r="AE9" i="15"/>
  <c r="AE10" i="15"/>
  <c r="AE2" i="12"/>
  <c r="AE14" i="12"/>
  <c r="AE15" i="12"/>
  <c r="AE16" i="12"/>
  <c r="AE17" i="12"/>
  <c r="AE18" i="12"/>
  <c r="AE19" i="12"/>
  <c r="AE20" i="12"/>
  <c r="AE21" i="12"/>
  <c r="AE22" i="12"/>
  <c r="AE23" i="12"/>
  <c r="AE24" i="12"/>
  <c r="AE25" i="12"/>
  <c r="AE26" i="12"/>
  <c r="AE27" i="12"/>
  <c r="AE28" i="12"/>
  <c r="AE29" i="12"/>
  <c r="AE30" i="12"/>
  <c r="AE31" i="12"/>
  <c r="AE32" i="12"/>
  <c r="AE33" i="12"/>
  <c r="AE34" i="12"/>
  <c r="AE35" i="12"/>
  <c r="AE36" i="12"/>
  <c r="AE37" i="12"/>
  <c r="AE38" i="12"/>
  <c r="AE39" i="12"/>
  <c r="AE40" i="12"/>
  <c r="AE41" i="12"/>
  <c r="B42" i="12"/>
  <c r="AF58" i="1"/>
  <c r="AE5" i="12"/>
  <c r="AE8" i="12"/>
  <c r="AE9" i="12"/>
  <c r="AE10" i="12"/>
  <c r="AE42" i="12"/>
  <c r="AE47" i="12"/>
  <c r="AE16" i="15"/>
  <c r="AE18" i="15"/>
  <c r="AE22" i="15"/>
  <c r="AE23" i="15"/>
  <c r="AF15" i="14"/>
  <c r="AF9" i="14"/>
  <c r="AF10" i="14"/>
  <c r="AF12" i="14"/>
  <c r="AF18" i="14"/>
  <c r="AF13" i="14"/>
  <c r="AF19" i="14"/>
  <c r="AF16" i="14"/>
  <c r="AF11" i="14"/>
  <c r="AF17" i="14"/>
  <c r="AF20" i="14"/>
  <c r="AF5" i="15"/>
  <c r="AF20" i="6"/>
  <c r="AF25" i="6"/>
  <c r="AF6" i="15"/>
  <c r="AF7" i="15"/>
  <c r="AF20" i="15"/>
  <c r="AF26" i="14"/>
  <c r="AF25" i="14"/>
  <c r="AF23" i="14"/>
  <c r="AF24" i="14"/>
  <c r="AF27" i="14"/>
  <c r="AF28" i="14"/>
  <c r="AF29" i="14"/>
  <c r="AF9" i="15"/>
  <c r="AF10" i="15"/>
  <c r="AF2" i="12"/>
  <c r="AF14" i="12"/>
  <c r="AF15" i="12"/>
  <c r="AF16" i="12"/>
  <c r="AF17" i="12"/>
  <c r="AF18" i="12"/>
  <c r="AF19" i="12"/>
  <c r="AF20" i="12"/>
  <c r="AF21" i="12"/>
  <c r="AF22" i="12"/>
  <c r="AF23" i="12"/>
  <c r="AF24" i="12"/>
  <c r="AF25" i="12"/>
  <c r="AF26" i="12"/>
  <c r="AF27" i="12"/>
  <c r="AF28" i="12"/>
  <c r="AF29" i="12"/>
  <c r="AF30" i="12"/>
  <c r="AF31" i="12"/>
  <c r="AF32" i="12"/>
  <c r="AF33" i="12"/>
  <c r="AF34" i="12"/>
  <c r="AF35" i="12"/>
  <c r="AF36" i="12"/>
  <c r="AF37" i="12"/>
  <c r="AF38" i="12"/>
  <c r="AF39" i="12"/>
  <c r="AF40" i="12"/>
  <c r="AF41" i="12"/>
  <c r="AF42" i="12"/>
  <c r="B43" i="12"/>
  <c r="AG58" i="1"/>
  <c r="AF5" i="12"/>
  <c r="AF8" i="12"/>
  <c r="AF9" i="12"/>
  <c r="AF10" i="12"/>
  <c r="AF43" i="12"/>
  <c r="AF47" i="12"/>
  <c r="AF16" i="15"/>
  <c r="AF18" i="15"/>
  <c r="AF22" i="15"/>
  <c r="AF23" i="15"/>
  <c r="AG15" i="14"/>
  <c r="AG9" i="14"/>
  <c r="AG10" i="14"/>
  <c r="AG12" i="14"/>
  <c r="AG18" i="14"/>
  <c r="AG13" i="14"/>
  <c r="AG19" i="14"/>
  <c r="AG16" i="14"/>
  <c r="AG11" i="14"/>
  <c r="AG17" i="14"/>
  <c r="AG20" i="14"/>
  <c r="AG5" i="15"/>
  <c r="AG20" i="6"/>
  <c r="AG25" i="6"/>
  <c r="AG6" i="15"/>
  <c r="AG7" i="15"/>
  <c r="AG20" i="15"/>
  <c r="AG26" i="14"/>
  <c r="AG25" i="14"/>
  <c r="AG23" i="14"/>
  <c r="AG24" i="14"/>
  <c r="AG27" i="14"/>
  <c r="AG28" i="14"/>
  <c r="AG29" i="14"/>
  <c r="AG9" i="15"/>
  <c r="AG10" i="15"/>
  <c r="AG2" i="12"/>
  <c r="AG14" i="12"/>
  <c r="AG15" i="12"/>
  <c r="AG16" i="12"/>
  <c r="AG17" i="12"/>
  <c r="AG18" i="12"/>
  <c r="AG19" i="12"/>
  <c r="AG20" i="12"/>
  <c r="AG21" i="12"/>
  <c r="AG22" i="12"/>
  <c r="AG23" i="12"/>
  <c r="AG24" i="12"/>
  <c r="AG25" i="12"/>
  <c r="AG26" i="12"/>
  <c r="AG27" i="12"/>
  <c r="AG28" i="12"/>
  <c r="AG29" i="12"/>
  <c r="AG30" i="12"/>
  <c r="AG31" i="12"/>
  <c r="AG32" i="12"/>
  <c r="AG33" i="12"/>
  <c r="AG34" i="12"/>
  <c r="AG35" i="12"/>
  <c r="AG36" i="12"/>
  <c r="AG37" i="12"/>
  <c r="AG38" i="12"/>
  <c r="AG39" i="12"/>
  <c r="AG40" i="12"/>
  <c r="AG41" i="12"/>
  <c r="AG42" i="12"/>
  <c r="AG43" i="12"/>
  <c r="B44" i="12"/>
  <c r="AH58" i="1"/>
  <c r="AG5" i="12"/>
  <c r="AG8" i="12"/>
  <c r="AG9" i="12"/>
  <c r="AG10" i="12"/>
  <c r="AG44" i="12"/>
  <c r="AG47" i="12"/>
  <c r="AG16" i="15"/>
  <c r="AG18" i="15"/>
  <c r="AG22" i="15"/>
  <c r="AG23" i="15"/>
  <c r="AH15" i="14"/>
  <c r="AH9" i="14"/>
  <c r="AH10" i="14"/>
  <c r="AH12" i="14"/>
  <c r="AH18" i="14"/>
  <c r="AH13" i="14"/>
  <c r="AH19" i="14"/>
  <c r="AH16" i="14"/>
  <c r="AH11" i="14"/>
  <c r="AH17" i="14"/>
  <c r="AH20" i="14"/>
  <c r="AH5" i="15"/>
  <c r="AH20" i="6"/>
  <c r="AH25" i="6"/>
  <c r="AH6" i="15"/>
  <c r="AH7" i="15"/>
  <c r="AH20" i="15"/>
  <c r="AH26" i="14"/>
  <c r="AH25" i="14"/>
  <c r="AH23" i="14"/>
  <c r="AH24" i="14"/>
  <c r="AH27" i="14"/>
  <c r="AH28" i="14"/>
  <c r="AH29" i="14"/>
  <c r="AH9" i="15"/>
  <c r="AH10" i="15"/>
  <c r="AH2" i="12"/>
  <c r="AH14" i="12"/>
  <c r="AH15" i="12"/>
  <c r="AH16" i="12"/>
  <c r="AH17" i="12"/>
  <c r="AH18" i="12"/>
  <c r="AH19" i="12"/>
  <c r="AH20" i="12"/>
  <c r="AH21" i="12"/>
  <c r="AH22" i="12"/>
  <c r="AH23" i="12"/>
  <c r="AH24" i="12"/>
  <c r="AH25" i="12"/>
  <c r="AH26" i="12"/>
  <c r="AH27" i="12"/>
  <c r="AH28" i="12"/>
  <c r="AH29" i="12"/>
  <c r="AH30" i="12"/>
  <c r="AH31" i="12"/>
  <c r="AH32" i="12"/>
  <c r="AH33" i="12"/>
  <c r="AH34" i="12"/>
  <c r="AH35" i="12"/>
  <c r="AH36" i="12"/>
  <c r="AH37" i="12"/>
  <c r="AH38" i="12"/>
  <c r="AH39" i="12"/>
  <c r="AH40" i="12"/>
  <c r="AH41" i="12"/>
  <c r="AH42" i="12"/>
  <c r="AH43" i="12"/>
  <c r="AH44" i="12"/>
  <c r="B45" i="12"/>
  <c r="AI58" i="1"/>
  <c r="AH5" i="12"/>
  <c r="AH8" i="12"/>
  <c r="AH9" i="12"/>
  <c r="AH10" i="12"/>
  <c r="AH45" i="12"/>
  <c r="AH47" i="12"/>
  <c r="AH16" i="15"/>
  <c r="AH18" i="15"/>
  <c r="AH22" i="15"/>
  <c r="AH23" i="15"/>
  <c r="AI15" i="14"/>
  <c r="AI9" i="14"/>
  <c r="AI10" i="14"/>
  <c r="AI12" i="14"/>
  <c r="AI18" i="14"/>
  <c r="AI13" i="14"/>
  <c r="AI19" i="14"/>
  <c r="AI16" i="14"/>
  <c r="AI11" i="14"/>
  <c r="AI17" i="14"/>
  <c r="AI20" i="14"/>
  <c r="AI5" i="15"/>
  <c r="AI20" i="6"/>
  <c r="AI25" i="6"/>
  <c r="AI6" i="15"/>
  <c r="AI7" i="15"/>
  <c r="AI20" i="15"/>
  <c r="AI26" i="14"/>
  <c r="AI25" i="14"/>
  <c r="AI23" i="14"/>
  <c r="AI24" i="14"/>
  <c r="AI27" i="14"/>
  <c r="AI28" i="14"/>
  <c r="AI29" i="14"/>
  <c r="AI9" i="15"/>
  <c r="AI10" i="15"/>
  <c r="AI2" i="12"/>
  <c r="AI14" i="12"/>
  <c r="AI15" i="12"/>
  <c r="AI16" i="12"/>
  <c r="AI17" i="12"/>
  <c r="AI18" i="12"/>
  <c r="AI19" i="12"/>
  <c r="AI20" i="12"/>
  <c r="AI21" i="12"/>
  <c r="AI22" i="12"/>
  <c r="AI23" i="12"/>
  <c r="AI24" i="12"/>
  <c r="AI25" i="12"/>
  <c r="AI26" i="12"/>
  <c r="AI27" i="12"/>
  <c r="AI28" i="12"/>
  <c r="AI29" i="12"/>
  <c r="AI30" i="12"/>
  <c r="AI31" i="12"/>
  <c r="AI32" i="12"/>
  <c r="AI33" i="12"/>
  <c r="AI34" i="12"/>
  <c r="AI35" i="12"/>
  <c r="AI36" i="12"/>
  <c r="AI37" i="12"/>
  <c r="AI38" i="12"/>
  <c r="AI39" i="12"/>
  <c r="AI40" i="12"/>
  <c r="AI41" i="12"/>
  <c r="AI42" i="12"/>
  <c r="AI43" i="12"/>
  <c r="AI44" i="12"/>
  <c r="AI45" i="12"/>
  <c r="B46" i="12"/>
  <c r="AJ58" i="1"/>
  <c r="AI5" i="12"/>
  <c r="AI8" i="12"/>
  <c r="AI9" i="12"/>
  <c r="AI10" i="12"/>
  <c r="AI46" i="12"/>
  <c r="AI47" i="12"/>
  <c r="AI16" i="15"/>
  <c r="AI18" i="15"/>
  <c r="AI22" i="15"/>
  <c r="AI61" i="14"/>
  <c r="AI62" i="14"/>
  <c r="AI66" i="14"/>
  <c r="C61" i="14"/>
  <c r="C62" i="14"/>
  <c r="C66" i="14"/>
  <c r="C4" i="14"/>
  <c r="C58" i="14"/>
  <c r="C64" i="14"/>
  <c r="C68" i="14"/>
  <c r="C65" i="14"/>
  <c r="C70" i="14"/>
  <c r="C72" i="14"/>
  <c r="C74" i="14"/>
  <c r="D61" i="14"/>
  <c r="D62" i="14"/>
  <c r="D66" i="14"/>
  <c r="D68" i="14"/>
  <c r="D4" i="14"/>
  <c r="D58" i="14"/>
  <c r="D64" i="14"/>
  <c r="D70" i="14"/>
  <c r="D72" i="14"/>
  <c r="D74" i="14"/>
  <c r="E61" i="14"/>
  <c r="E62" i="14"/>
  <c r="E66" i="14"/>
  <c r="E68" i="14"/>
  <c r="E4" i="14"/>
  <c r="E58" i="14"/>
  <c r="E64" i="14"/>
  <c r="E70" i="14"/>
  <c r="E72" i="14"/>
  <c r="E74" i="14"/>
  <c r="F61" i="14"/>
  <c r="F62" i="14"/>
  <c r="F66" i="14"/>
  <c r="F68" i="14"/>
  <c r="F4" i="14"/>
  <c r="F58" i="14"/>
  <c r="F64" i="14"/>
  <c r="F70" i="14"/>
  <c r="F72" i="14"/>
  <c r="F74" i="14"/>
  <c r="G61" i="14"/>
  <c r="G62" i="14"/>
  <c r="G66" i="14"/>
  <c r="G68" i="14"/>
  <c r="G4" i="14"/>
  <c r="G58" i="14"/>
  <c r="G64" i="14"/>
  <c r="G70" i="14"/>
  <c r="G72" i="14"/>
  <c r="G74" i="14"/>
  <c r="H61" i="14"/>
  <c r="H62" i="14"/>
  <c r="H66" i="14"/>
  <c r="H68" i="14"/>
  <c r="H4" i="14"/>
  <c r="H58" i="14"/>
  <c r="H64" i="14"/>
  <c r="H70" i="14"/>
  <c r="H72" i="14"/>
  <c r="H74" i="14"/>
  <c r="I61" i="14"/>
  <c r="I62" i="14"/>
  <c r="I66" i="14"/>
  <c r="I68" i="14"/>
  <c r="I4" i="14"/>
  <c r="I58" i="14"/>
  <c r="I64" i="14"/>
  <c r="I70" i="14"/>
  <c r="I72" i="14"/>
  <c r="I74" i="14"/>
  <c r="J61" i="14"/>
  <c r="J62" i="14"/>
  <c r="J66" i="14"/>
  <c r="J68" i="14"/>
  <c r="J4" i="14"/>
  <c r="J58" i="14"/>
  <c r="J64" i="14"/>
  <c r="J70" i="14"/>
  <c r="J72" i="14"/>
  <c r="J74" i="14"/>
  <c r="K61" i="14"/>
  <c r="K62" i="14"/>
  <c r="K66" i="14"/>
  <c r="K68" i="14"/>
  <c r="K4" i="14"/>
  <c r="K58" i="14"/>
  <c r="K64" i="14"/>
  <c r="K70" i="14"/>
  <c r="K72" i="14"/>
  <c r="K74" i="14"/>
  <c r="L61" i="14"/>
  <c r="L62" i="14"/>
  <c r="L66" i="14"/>
  <c r="L68" i="14"/>
  <c r="L4" i="14"/>
  <c r="L58" i="14"/>
  <c r="L64" i="14"/>
  <c r="L70" i="14"/>
  <c r="L72" i="14"/>
  <c r="L74" i="14"/>
  <c r="M61" i="14"/>
  <c r="M62" i="14"/>
  <c r="M66" i="14"/>
  <c r="M68" i="14"/>
  <c r="M4" i="14"/>
  <c r="M58" i="14"/>
  <c r="M64" i="14"/>
  <c r="M70" i="14"/>
  <c r="M72" i="14"/>
  <c r="M74" i="14"/>
  <c r="N61" i="14"/>
  <c r="N62" i="14"/>
  <c r="N66" i="14"/>
  <c r="N68" i="14"/>
  <c r="N4" i="14"/>
  <c r="N58" i="14"/>
  <c r="N64" i="14"/>
  <c r="N70" i="14"/>
  <c r="N72" i="14"/>
  <c r="N74" i="14"/>
  <c r="O61" i="14"/>
  <c r="O62" i="14"/>
  <c r="O66" i="14"/>
  <c r="O68" i="14"/>
  <c r="O4" i="14"/>
  <c r="O58" i="14"/>
  <c r="O64" i="14"/>
  <c r="O70" i="14"/>
  <c r="O72" i="14"/>
  <c r="O74" i="14"/>
  <c r="P61" i="14"/>
  <c r="P62" i="14"/>
  <c r="P66" i="14"/>
  <c r="P68" i="14"/>
  <c r="P4" i="14"/>
  <c r="P58" i="14"/>
  <c r="P64" i="14"/>
  <c r="P70" i="14"/>
  <c r="P72" i="14"/>
  <c r="P74" i="14"/>
  <c r="Q61" i="14"/>
  <c r="Q62" i="14"/>
  <c r="Q66" i="14"/>
  <c r="Q68" i="14"/>
  <c r="Q4" i="14"/>
  <c r="Q58" i="14"/>
  <c r="Q64" i="14"/>
  <c r="Q70" i="14"/>
  <c r="Q72" i="14"/>
  <c r="Q74" i="14"/>
  <c r="R61" i="14"/>
  <c r="R62" i="14"/>
  <c r="R66" i="14"/>
  <c r="R68" i="14"/>
  <c r="R4" i="14"/>
  <c r="R58" i="14"/>
  <c r="R64" i="14"/>
  <c r="R70" i="14"/>
  <c r="R72" i="14"/>
  <c r="R74" i="14"/>
  <c r="S61" i="14"/>
  <c r="S62" i="14"/>
  <c r="S66" i="14"/>
  <c r="S68" i="14"/>
  <c r="S4" i="14"/>
  <c r="S58" i="14"/>
  <c r="S64" i="14"/>
  <c r="S70" i="14"/>
  <c r="S72" i="14"/>
  <c r="S74" i="14"/>
  <c r="T61" i="14"/>
  <c r="T62" i="14"/>
  <c r="T66" i="14"/>
  <c r="T68" i="14"/>
  <c r="T4" i="14"/>
  <c r="T58" i="14"/>
  <c r="T64" i="14"/>
  <c r="T70" i="14"/>
  <c r="T72" i="14"/>
  <c r="T74" i="14"/>
  <c r="U61" i="14"/>
  <c r="U62" i="14"/>
  <c r="U66" i="14"/>
  <c r="U68" i="14"/>
  <c r="U4" i="14"/>
  <c r="U58" i="14"/>
  <c r="U64" i="14"/>
  <c r="U70" i="14"/>
  <c r="U72" i="14"/>
  <c r="U74" i="14"/>
  <c r="V61" i="14"/>
  <c r="V62" i="14"/>
  <c r="V66" i="14"/>
  <c r="V68" i="14"/>
  <c r="V4" i="14"/>
  <c r="V58" i="14"/>
  <c r="V64" i="14"/>
  <c r="V70" i="14"/>
  <c r="V72" i="14"/>
  <c r="V74" i="14"/>
  <c r="W61" i="14"/>
  <c r="W62" i="14"/>
  <c r="W66" i="14"/>
  <c r="W68" i="14"/>
  <c r="W4" i="14"/>
  <c r="W58" i="14"/>
  <c r="W64" i="14"/>
  <c r="W70" i="14"/>
  <c r="W72" i="14"/>
  <c r="W74" i="14"/>
  <c r="X61" i="14"/>
  <c r="X62" i="14"/>
  <c r="X66" i="14"/>
  <c r="X68" i="14"/>
  <c r="X4" i="14"/>
  <c r="X58" i="14"/>
  <c r="X64" i="14"/>
  <c r="X70" i="14"/>
  <c r="X72" i="14"/>
  <c r="X74" i="14"/>
  <c r="Y61" i="14"/>
  <c r="Y62" i="14"/>
  <c r="Y66" i="14"/>
  <c r="Y68" i="14"/>
  <c r="Y4" i="14"/>
  <c r="Y58" i="14"/>
  <c r="Y64" i="14"/>
  <c r="Y70" i="14"/>
  <c r="Y72" i="14"/>
  <c r="Y74" i="14"/>
  <c r="Z61" i="14"/>
  <c r="Z62" i="14"/>
  <c r="Z66" i="14"/>
  <c r="Z68" i="14"/>
  <c r="Z4" i="14"/>
  <c r="Z58" i="14"/>
  <c r="Z64" i="14"/>
  <c r="Z70" i="14"/>
  <c r="Z72" i="14"/>
  <c r="Z74" i="14"/>
  <c r="AA61" i="14"/>
  <c r="AA62" i="14"/>
  <c r="AA66" i="14"/>
  <c r="AA68" i="14"/>
  <c r="AA4" i="14"/>
  <c r="AA58" i="14"/>
  <c r="AA64" i="14"/>
  <c r="AA70" i="14"/>
  <c r="AA72" i="14"/>
  <c r="AA74" i="14"/>
  <c r="AB61" i="14"/>
  <c r="AB62" i="14"/>
  <c r="AB66" i="14"/>
  <c r="AB68" i="14"/>
  <c r="AB4" i="14"/>
  <c r="AB58" i="14"/>
  <c r="AB64" i="14"/>
  <c r="AB70" i="14"/>
  <c r="AB72" i="14"/>
  <c r="AB74" i="14"/>
  <c r="AC61" i="14"/>
  <c r="AC62" i="14"/>
  <c r="AC66" i="14"/>
  <c r="AC68" i="14"/>
  <c r="AC4" i="14"/>
  <c r="AC58" i="14"/>
  <c r="AC64" i="14"/>
  <c r="AC70" i="14"/>
  <c r="AC72" i="14"/>
  <c r="AC74" i="14"/>
  <c r="AD61" i="14"/>
  <c r="AD62" i="14"/>
  <c r="AD66" i="14"/>
  <c r="AD68" i="14"/>
  <c r="AD4" i="14"/>
  <c r="AD58" i="14"/>
  <c r="AD64" i="14"/>
  <c r="AD70" i="14"/>
  <c r="AD72" i="14"/>
  <c r="AD74" i="14"/>
  <c r="AE61" i="14"/>
  <c r="AE62" i="14"/>
  <c r="AE66" i="14"/>
  <c r="AE68" i="14"/>
  <c r="AE4" i="14"/>
  <c r="AE58" i="14"/>
  <c r="AE64" i="14"/>
  <c r="AE70" i="14"/>
  <c r="AE72" i="14"/>
  <c r="AE74" i="14"/>
  <c r="AF61" i="14"/>
  <c r="AF62" i="14"/>
  <c r="AF66" i="14"/>
  <c r="AF68" i="14"/>
  <c r="AF4" i="14"/>
  <c r="AF58" i="14"/>
  <c r="AF64" i="14"/>
  <c r="AF70" i="14"/>
  <c r="AF72" i="14"/>
  <c r="AF74" i="14"/>
  <c r="AG61" i="14"/>
  <c r="AG62" i="14"/>
  <c r="AG66" i="14"/>
  <c r="AG68" i="14"/>
  <c r="AG4" i="14"/>
  <c r="AG58" i="14"/>
  <c r="AG64" i="14"/>
  <c r="AG70" i="14"/>
  <c r="AG72" i="14"/>
  <c r="AG74" i="14"/>
  <c r="AH61" i="14"/>
  <c r="AH62" i="14"/>
  <c r="AH66" i="14"/>
  <c r="AH68" i="14"/>
  <c r="AH4" i="14"/>
  <c r="AH58" i="14"/>
  <c r="AH64" i="14"/>
  <c r="AH70" i="14"/>
  <c r="AH72" i="14"/>
  <c r="AH74" i="14"/>
  <c r="AI68" i="14"/>
  <c r="AI92" i="17"/>
  <c r="AI93" i="17"/>
  <c r="AI108" i="17"/>
  <c r="AI94" i="17"/>
  <c r="AI109" i="17"/>
  <c r="AI95" i="17"/>
  <c r="AI110" i="17"/>
  <c r="AI111" i="17"/>
  <c r="AI112" i="17"/>
  <c r="AI116" i="17"/>
  <c r="AI118" i="17"/>
  <c r="AH92" i="17"/>
  <c r="AH93" i="17"/>
  <c r="AH108" i="17"/>
  <c r="AH94" i="17"/>
  <c r="AH109" i="17"/>
  <c r="AH95" i="17"/>
  <c r="AH110" i="17"/>
  <c r="AH111" i="17"/>
  <c r="AH112" i="17"/>
  <c r="AH116" i="17"/>
  <c r="AH118" i="17"/>
  <c r="AG92" i="17"/>
  <c r="AG93" i="17"/>
  <c r="AG108" i="17"/>
  <c r="AG94" i="17"/>
  <c r="AG109" i="17"/>
  <c r="AG95" i="17"/>
  <c r="AG110" i="17"/>
  <c r="AG111" i="17"/>
  <c r="AG112" i="17"/>
  <c r="AG116" i="17"/>
  <c r="AG118" i="17"/>
  <c r="AF92" i="17"/>
  <c r="AF93" i="17"/>
  <c r="AF108" i="17"/>
  <c r="AF94" i="17"/>
  <c r="AF109" i="17"/>
  <c r="AF95" i="17"/>
  <c r="AF110" i="17"/>
  <c r="AF111" i="17"/>
  <c r="AF112" i="17"/>
  <c r="AF116" i="17"/>
  <c r="AF118" i="17"/>
  <c r="AE92" i="17"/>
  <c r="AE93" i="17"/>
  <c r="AE108" i="17"/>
  <c r="AE94" i="17"/>
  <c r="AE109" i="17"/>
  <c r="AE95" i="17"/>
  <c r="AE110" i="17"/>
  <c r="AE111" i="17"/>
  <c r="AE112" i="17"/>
  <c r="AE116" i="17"/>
  <c r="AE118" i="17"/>
  <c r="AD92" i="17"/>
  <c r="AD93" i="17"/>
  <c r="AD108" i="17"/>
  <c r="AD94" i="17"/>
  <c r="AD109" i="17"/>
  <c r="AD95" i="17"/>
  <c r="AD110" i="17"/>
  <c r="AD111" i="17"/>
  <c r="AD112" i="17"/>
  <c r="AD116" i="17"/>
  <c r="AD118" i="17"/>
  <c r="AC92" i="17"/>
  <c r="AC93" i="17"/>
  <c r="AC108" i="17"/>
  <c r="AC94" i="17"/>
  <c r="AC109" i="17"/>
  <c r="AC95" i="17"/>
  <c r="AC110" i="17"/>
  <c r="AC111" i="17"/>
  <c r="AC112" i="17"/>
  <c r="AC116" i="17"/>
  <c r="AC118" i="17"/>
  <c r="AB92" i="17"/>
  <c r="AB93" i="17"/>
  <c r="AB108" i="17"/>
  <c r="AB94" i="17"/>
  <c r="AB109" i="17"/>
  <c r="AB95" i="17"/>
  <c r="AB110" i="17"/>
  <c r="AB111" i="17"/>
  <c r="AB112" i="17"/>
  <c r="AB116" i="17"/>
  <c r="AB118" i="17"/>
  <c r="AA92" i="17"/>
  <c r="AA93" i="17"/>
  <c r="AA108" i="17"/>
  <c r="AA94" i="17"/>
  <c r="AA109" i="17"/>
  <c r="AA95" i="17"/>
  <c r="AA110" i="17"/>
  <c r="AA111" i="17"/>
  <c r="AA112" i="17"/>
  <c r="AA116" i="17"/>
  <c r="AA118" i="17"/>
  <c r="Z92" i="17"/>
  <c r="Z93" i="17"/>
  <c r="Z108" i="17"/>
  <c r="Z94" i="17"/>
  <c r="Z109" i="17"/>
  <c r="Z95" i="17"/>
  <c r="Z110" i="17"/>
  <c r="Z111" i="17"/>
  <c r="Z112" i="17"/>
  <c r="Z116" i="17"/>
  <c r="Z118" i="17"/>
  <c r="Y92" i="17"/>
  <c r="Y93" i="17"/>
  <c r="Y108" i="17"/>
  <c r="Y94" i="17"/>
  <c r="Y109" i="17"/>
  <c r="Y95" i="17"/>
  <c r="Y110" i="17"/>
  <c r="Y111" i="17"/>
  <c r="Y112" i="17"/>
  <c r="Y116" i="17"/>
  <c r="Y118" i="17"/>
  <c r="X92" i="17"/>
  <c r="X93" i="17"/>
  <c r="X108" i="17"/>
  <c r="X94" i="17"/>
  <c r="X109" i="17"/>
  <c r="X95" i="17"/>
  <c r="X110" i="17"/>
  <c r="X111" i="17"/>
  <c r="X112" i="17"/>
  <c r="X116" i="17"/>
  <c r="X118" i="17"/>
  <c r="W92" i="17"/>
  <c r="W93" i="17"/>
  <c r="W108" i="17"/>
  <c r="W94" i="17"/>
  <c r="W109" i="17"/>
  <c r="W95" i="17"/>
  <c r="W110" i="17"/>
  <c r="W111" i="17"/>
  <c r="W112" i="17"/>
  <c r="W116" i="17"/>
  <c r="W118" i="17"/>
  <c r="V92" i="17"/>
  <c r="V93" i="17"/>
  <c r="V108" i="17"/>
  <c r="V94" i="17"/>
  <c r="V109" i="17"/>
  <c r="V95" i="17"/>
  <c r="V110" i="17"/>
  <c r="V111" i="17"/>
  <c r="V112" i="17"/>
  <c r="V116" i="17"/>
  <c r="V118" i="17"/>
  <c r="U92" i="17"/>
  <c r="U93" i="17"/>
  <c r="U108" i="17"/>
  <c r="U94" i="17"/>
  <c r="U109" i="17"/>
  <c r="U95" i="17"/>
  <c r="U110" i="17"/>
  <c r="U111" i="17"/>
  <c r="U112" i="17"/>
  <c r="U116" i="17"/>
  <c r="U118" i="17"/>
  <c r="T92" i="17"/>
  <c r="T93" i="17"/>
  <c r="T108" i="17"/>
  <c r="T94" i="17"/>
  <c r="T109" i="17"/>
  <c r="T95" i="17"/>
  <c r="T110" i="17"/>
  <c r="T111" i="17"/>
  <c r="T112" i="17"/>
  <c r="T116" i="17"/>
  <c r="T118" i="17"/>
  <c r="S92" i="17"/>
  <c r="S93" i="17"/>
  <c r="S108" i="17"/>
  <c r="S94" i="17"/>
  <c r="S109" i="17"/>
  <c r="S95" i="17"/>
  <c r="S110" i="17"/>
  <c r="S111" i="17"/>
  <c r="S112" i="17"/>
  <c r="S116" i="17"/>
  <c r="S118" i="17"/>
  <c r="R92" i="17"/>
  <c r="R93" i="17"/>
  <c r="R108" i="17"/>
  <c r="R94" i="17"/>
  <c r="R109" i="17"/>
  <c r="R95" i="17"/>
  <c r="R110" i="17"/>
  <c r="R111" i="17"/>
  <c r="R112" i="17"/>
  <c r="R116" i="17"/>
  <c r="R118" i="17"/>
  <c r="Q92" i="17"/>
  <c r="Q93" i="17"/>
  <c r="Q108" i="17"/>
  <c r="Q94" i="17"/>
  <c r="Q109" i="17"/>
  <c r="Q95" i="17"/>
  <c r="Q110" i="17"/>
  <c r="Q111" i="17"/>
  <c r="Q112" i="17"/>
  <c r="Q116" i="17"/>
  <c r="Q118" i="17"/>
  <c r="P92" i="17"/>
  <c r="P93" i="17"/>
  <c r="P108" i="17"/>
  <c r="P94" i="17"/>
  <c r="P109" i="17"/>
  <c r="P95" i="17"/>
  <c r="P110" i="17"/>
  <c r="P111" i="17"/>
  <c r="P112" i="17"/>
  <c r="P116" i="17"/>
  <c r="P118" i="17"/>
  <c r="O92" i="17"/>
  <c r="O93" i="17"/>
  <c r="O108" i="17"/>
  <c r="O94" i="17"/>
  <c r="O109" i="17"/>
  <c r="O95" i="17"/>
  <c r="O110" i="17"/>
  <c r="O111" i="17"/>
  <c r="O112" i="17"/>
  <c r="O116" i="17"/>
  <c r="O118" i="17"/>
  <c r="N92" i="17"/>
  <c r="N93" i="17"/>
  <c r="N108" i="17"/>
  <c r="N94" i="17"/>
  <c r="N109" i="17"/>
  <c r="N95" i="17"/>
  <c r="N110" i="17"/>
  <c r="N111" i="17"/>
  <c r="N112" i="17"/>
  <c r="N116" i="17"/>
  <c r="N118" i="17"/>
  <c r="M92" i="17"/>
  <c r="M93" i="17"/>
  <c r="M108" i="17"/>
  <c r="M94" i="17"/>
  <c r="M109" i="17"/>
  <c r="M95" i="17"/>
  <c r="M110" i="17"/>
  <c r="M111" i="17"/>
  <c r="M112" i="17"/>
  <c r="M116" i="17"/>
  <c r="M118" i="17"/>
  <c r="L92" i="17"/>
  <c r="L93" i="17"/>
  <c r="L108" i="17"/>
  <c r="L94" i="17"/>
  <c r="L109" i="17"/>
  <c r="L95" i="17"/>
  <c r="L110" i="17"/>
  <c r="L111" i="17"/>
  <c r="L112" i="17"/>
  <c r="L116" i="17"/>
  <c r="L118" i="17"/>
  <c r="K92" i="17"/>
  <c r="K93" i="17"/>
  <c r="K108" i="17"/>
  <c r="K94" i="17"/>
  <c r="K109" i="17"/>
  <c r="K95" i="17"/>
  <c r="K110" i="17"/>
  <c r="K111" i="17"/>
  <c r="K112" i="17"/>
  <c r="K116" i="17"/>
  <c r="K118" i="17"/>
  <c r="J92" i="17"/>
  <c r="J93" i="17"/>
  <c r="J108" i="17"/>
  <c r="J94" i="17"/>
  <c r="J109" i="17"/>
  <c r="J95" i="17"/>
  <c r="J110" i="17"/>
  <c r="J111" i="17"/>
  <c r="J112" i="17"/>
  <c r="J116" i="17"/>
  <c r="J118" i="17"/>
  <c r="I92" i="17"/>
  <c r="I93" i="17"/>
  <c r="I108" i="17"/>
  <c r="I94" i="17"/>
  <c r="I109" i="17"/>
  <c r="I95" i="17"/>
  <c r="I110" i="17"/>
  <c r="I111" i="17"/>
  <c r="I112" i="17"/>
  <c r="I116" i="17"/>
  <c r="I118" i="17"/>
  <c r="H92" i="17"/>
  <c r="H93" i="17"/>
  <c r="H108" i="17"/>
  <c r="H94" i="17"/>
  <c r="H109" i="17"/>
  <c r="H95" i="17"/>
  <c r="H110" i="17"/>
  <c r="H111" i="17"/>
  <c r="H112" i="17"/>
  <c r="H116" i="17"/>
  <c r="H118" i="17"/>
  <c r="G92" i="17"/>
  <c r="G93" i="17"/>
  <c r="G108" i="17"/>
  <c r="G94" i="17"/>
  <c r="G109" i="17"/>
  <c r="G95" i="17"/>
  <c r="G110" i="17"/>
  <c r="G111" i="17"/>
  <c r="G112" i="17"/>
  <c r="G116" i="17"/>
  <c r="G118" i="17"/>
  <c r="F92" i="17"/>
  <c r="F93" i="17"/>
  <c r="F108" i="17"/>
  <c r="F94" i="17"/>
  <c r="F109" i="17"/>
  <c r="F95" i="17"/>
  <c r="F110" i="17"/>
  <c r="F111" i="17"/>
  <c r="F112" i="17"/>
  <c r="F116" i="17"/>
  <c r="F118" i="17"/>
  <c r="F21" i="1"/>
  <c r="E92" i="17"/>
  <c r="E93" i="17"/>
  <c r="E108" i="17"/>
  <c r="E94" i="17"/>
  <c r="E109" i="17"/>
  <c r="E95" i="17"/>
  <c r="E110" i="17"/>
  <c r="E111" i="17"/>
  <c r="E112" i="17"/>
  <c r="E116" i="17"/>
  <c r="E118" i="17"/>
  <c r="E21" i="1"/>
  <c r="D92" i="17"/>
  <c r="D93" i="17"/>
  <c r="D108" i="17"/>
  <c r="D94" i="17"/>
  <c r="D109" i="17"/>
  <c r="D95" i="17"/>
  <c r="D110" i="17"/>
  <c r="D111" i="17"/>
  <c r="D112" i="17"/>
  <c r="D116" i="17"/>
  <c r="D118" i="17"/>
  <c r="D21" i="1"/>
  <c r="C92" i="17"/>
  <c r="C93" i="17"/>
  <c r="C108" i="17"/>
  <c r="C94" i="17"/>
  <c r="C109" i="17"/>
  <c r="C95" i="17"/>
  <c r="C110" i="17"/>
  <c r="C111" i="17"/>
  <c r="C112" i="17"/>
  <c r="C116" i="17"/>
  <c r="C117" i="17"/>
  <c r="C118" i="17"/>
  <c r="C101" i="17"/>
  <c r="C96" i="17"/>
  <c r="C102" i="17"/>
  <c r="C97" i="17"/>
  <c r="C100" i="17"/>
  <c r="C103" i="17"/>
  <c r="C105" i="17"/>
  <c r="C120" i="17"/>
  <c r="C122" i="17"/>
  <c r="C123" i="17"/>
  <c r="D101" i="17"/>
  <c r="D96" i="17"/>
  <c r="D102" i="17"/>
  <c r="D97" i="17"/>
  <c r="D100" i="17"/>
  <c r="D103" i="17"/>
  <c r="D105" i="17"/>
  <c r="D120" i="17"/>
  <c r="D122" i="17"/>
  <c r="D123" i="17"/>
  <c r="E101" i="17"/>
  <c r="E96" i="17"/>
  <c r="E102" i="17"/>
  <c r="E97" i="17"/>
  <c r="E100" i="17"/>
  <c r="E103" i="17"/>
  <c r="E105" i="17"/>
  <c r="E120" i="17"/>
  <c r="E122" i="17"/>
  <c r="E123" i="17"/>
  <c r="F101" i="17"/>
  <c r="F96" i="17"/>
  <c r="F102" i="17"/>
  <c r="F97" i="17"/>
  <c r="F100" i="17"/>
  <c r="F103" i="17"/>
  <c r="F105" i="17"/>
  <c r="F120" i="17"/>
  <c r="F122" i="17"/>
  <c r="F123" i="17"/>
  <c r="G101" i="17"/>
  <c r="G96" i="17"/>
  <c r="G102" i="17"/>
  <c r="G97" i="17"/>
  <c r="G100" i="17"/>
  <c r="G103" i="17"/>
  <c r="G105" i="17"/>
  <c r="G120" i="17"/>
  <c r="G122" i="17"/>
  <c r="G123" i="17"/>
  <c r="H101" i="17"/>
  <c r="H96" i="17"/>
  <c r="H102" i="17"/>
  <c r="H97" i="17"/>
  <c r="H100" i="17"/>
  <c r="H103" i="17"/>
  <c r="H105" i="17"/>
  <c r="H120" i="17"/>
  <c r="H122" i="17"/>
  <c r="H123" i="17"/>
  <c r="I101" i="17"/>
  <c r="I96" i="17"/>
  <c r="I102" i="17"/>
  <c r="I97" i="17"/>
  <c r="I100" i="17"/>
  <c r="I103" i="17"/>
  <c r="I105" i="17"/>
  <c r="I120" i="17"/>
  <c r="I122" i="17"/>
  <c r="I123" i="17"/>
  <c r="J101" i="17"/>
  <c r="J96" i="17"/>
  <c r="J102" i="17"/>
  <c r="J97" i="17"/>
  <c r="J100" i="17"/>
  <c r="J103" i="17"/>
  <c r="J105" i="17"/>
  <c r="J120" i="17"/>
  <c r="J122" i="17"/>
  <c r="J123" i="17"/>
  <c r="K101" i="17"/>
  <c r="K96" i="17"/>
  <c r="K102" i="17"/>
  <c r="K97" i="17"/>
  <c r="K100" i="17"/>
  <c r="K103" i="17"/>
  <c r="K105" i="17"/>
  <c r="K120" i="17"/>
  <c r="K122" i="17"/>
  <c r="K123" i="17"/>
  <c r="L101" i="17"/>
  <c r="L96" i="17"/>
  <c r="L102" i="17"/>
  <c r="L97" i="17"/>
  <c r="L100" i="17"/>
  <c r="L103" i="17"/>
  <c r="L105" i="17"/>
  <c r="L120" i="17"/>
  <c r="L122" i="17"/>
  <c r="L123" i="17"/>
  <c r="M101" i="17"/>
  <c r="M96" i="17"/>
  <c r="M102" i="17"/>
  <c r="M97" i="17"/>
  <c r="M100" i="17"/>
  <c r="M103" i="17"/>
  <c r="M105" i="17"/>
  <c r="M120" i="17"/>
  <c r="M122" i="17"/>
  <c r="M123" i="17"/>
  <c r="N101" i="17"/>
  <c r="N96" i="17"/>
  <c r="N102" i="17"/>
  <c r="N97" i="17"/>
  <c r="N100" i="17"/>
  <c r="N103" i="17"/>
  <c r="N105" i="17"/>
  <c r="N120" i="17"/>
  <c r="N122" i="17"/>
  <c r="N123" i="17"/>
  <c r="O101" i="17"/>
  <c r="O96" i="17"/>
  <c r="O102" i="17"/>
  <c r="O97" i="17"/>
  <c r="O100" i="17"/>
  <c r="O103" i="17"/>
  <c r="O105" i="17"/>
  <c r="O120" i="17"/>
  <c r="O122" i="17"/>
  <c r="O123" i="17"/>
  <c r="P101" i="17"/>
  <c r="P96" i="17"/>
  <c r="P102" i="17"/>
  <c r="P97" i="17"/>
  <c r="P100" i="17"/>
  <c r="P103" i="17"/>
  <c r="P105" i="17"/>
  <c r="P120" i="17"/>
  <c r="P122" i="17"/>
  <c r="P123" i="17"/>
  <c r="Q101" i="17"/>
  <c r="Q96" i="17"/>
  <c r="Q102" i="17"/>
  <c r="Q97" i="17"/>
  <c r="Q100" i="17"/>
  <c r="Q103" i="17"/>
  <c r="Q105" i="17"/>
  <c r="Q120" i="17"/>
  <c r="Q122" i="17"/>
  <c r="Q123" i="17"/>
  <c r="R101" i="17"/>
  <c r="R96" i="17"/>
  <c r="R102" i="17"/>
  <c r="R97" i="17"/>
  <c r="R100" i="17"/>
  <c r="R103" i="17"/>
  <c r="R105" i="17"/>
  <c r="R120" i="17"/>
  <c r="R122" i="17"/>
  <c r="R123" i="17"/>
  <c r="S101" i="17"/>
  <c r="S96" i="17"/>
  <c r="S102" i="17"/>
  <c r="S97" i="17"/>
  <c r="S100" i="17"/>
  <c r="S103" i="17"/>
  <c r="S105" i="17"/>
  <c r="S120" i="17"/>
  <c r="S122" i="17"/>
  <c r="S123" i="17"/>
  <c r="T101" i="17"/>
  <c r="T96" i="17"/>
  <c r="T102" i="17"/>
  <c r="T97" i="17"/>
  <c r="T100" i="17"/>
  <c r="T103" i="17"/>
  <c r="T105" i="17"/>
  <c r="T120" i="17"/>
  <c r="T122" i="17"/>
  <c r="T123" i="17"/>
  <c r="U101" i="17"/>
  <c r="U96" i="17"/>
  <c r="U102" i="17"/>
  <c r="U97" i="17"/>
  <c r="U100" i="17"/>
  <c r="U103" i="17"/>
  <c r="U105" i="17"/>
  <c r="U120" i="17"/>
  <c r="U122" i="17"/>
  <c r="U123" i="17"/>
  <c r="V101" i="17"/>
  <c r="V96" i="17"/>
  <c r="V102" i="17"/>
  <c r="V97" i="17"/>
  <c r="V100" i="17"/>
  <c r="V103" i="17"/>
  <c r="V105" i="17"/>
  <c r="V120" i="17"/>
  <c r="V122" i="17"/>
  <c r="V123" i="17"/>
  <c r="W101" i="17"/>
  <c r="W96" i="17"/>
  <c r="W102" i="17"/>
  <c r="W97" i="17"/>
  <c r="W100" i="17"/>
  <c r="W103" i="17"/>
  <c r="W105" i="17"/>
  <c r="W120" i="17"/>
  <c r="W122" i="17"/>
  <c r="W123" i="17"/>
  <c r="X101" i="17"/>
  <c r="X96" i="17"/>
  <c r="X102" i="17"/>
  <c r="X97" i="17"/>
  <c r="X100" i="17"/>
  <c r="X103" i="17"/>
  <c r="X105" i="17"/>
  <c r="X120" i="17"/>
  <c r="X122" i="17"/>
  <c r="X123" i="17"/>
  <c r="Y101" i="17"/>
  <c r="Y96" i="17"/>
  <c r="Y102" i="17"/>
  <c r="Y97" i="17"/>
  <c r="Y100" i="17"/>
  <c r="Y103" i="17"/>
  <c r="Y105" i="17"/>
  <c r="Y120" i="17"/>
  <c r="Y122" i="17"/>
  <c r="Y123" i="17"/>
  <c r="Z101" i="17"/>
  <c r="Z96" i="17"/>
  <c r="Z102" i="17"/>
  <c r="Z97" i="17"/>
  <c r="Z100" i="17"/>
  <c r="Z103" i="17"/>
  <c r="Z105" i="17"/>
  <c r="Z120" i="17"/>
  <c r="Z122" i="17"/>
  <c r="Z123" i="17"/>
  <c r="AA101" i="17"/>
  <c r="AA96" i="17"/>
  <c r="AA102" i="17"/>
  <c r="AA97" i="17"/>
  <c r="AA100" i="17"/>
  <c r="AA103" i="17"/>
  <c r="AA105" i="17"/>
  <c r="AA120" i="17"/>
  <c r="AA122" i="17"/>
  <c r="AA123" i="17"/>
  <c r="AB101" i="17"/>
  <c r="AB96" i="17"/>
  <c r="AB102" i="17"/>
  <c r="AB97" i="17"/>
  <c r="AB100" i="17"/>
  <c r="AB103" i="17"/>
  <c r="AB105" i="17"/>
  <c r="AB120" i="17"/>
  <c r="AB122" i="17"/>
  <c r="AB123" i="17"/>
  <c r="AC101" i="17"/>
  <c r="AC96" i="17"/>
  <c r="AC102" i="17"/>
  <c r="AC97" i="17"/>
  <c r="AC100" i="17"/>
  <c r="AC103" i="17"/>
  <c r="AC105" i="17"/>
  <c r="AC120" i="17"/>
  <c r="AC122" i="17"/>
  <c r="AC123" i="17"/>
  <c r="AD101" i="17"/>
  <c r="AD96" i="17"/>
  <c r="AD102" i="17"/>
  <c r="AD97" i="17"/>
  <c r="AD100" i="17"/>
  <c r="AD103" i="17"/>
  <c r="AD105" i="17"/>
  <c r="AD120" i="17"/>
  <c r="AD122" i="17"/>
  <c r="AD123" i="17"/>
  <c r="AE101" i="17"/>
  <c r="AE96" i="17"/>
  <c r="AE102" i="17"/>
  <c r="AE97" i="17"/>
  <c r="AE100" i="17"/>
  <c r="AE103" i="17"/>
  <c r="AE105" i="17"/>
  <c r="AE120" i="17"/>
  <c r="AE122" i="17"/>
  <c r="AE123" i="17"/>
  <c r="AF101" i="17"/>
  <c r="AF96" i="17"/>
  <c r="AF102" i="17"/>
  <c r="AF97" i="17"/>
  <c r="AF100" i="17"/>
  <c r="AF103" i="17"/>
  <c r="AF105" i="17"/>
  <c r="AF120" i="17"/>
  <c r="AF122" i="17"/>
  <c r="AF123" i="17"/>
  <c r="AG101" i="17"/>
  <c r="AG96" i="17"/>
  <c r="AG102" i="17"/>
  <c r="AG97" i="17"/>
  <c r="AG100" i="17"/>
  <c r="AG103" i="17"/>
  <c r="AG105" i="17"/>
  <c r="AG120" i="17"/>
  <c r="AG122" i="17"/>
  <c r="AG123" i="17"/>
  <c r="AH101" i="17"/>
  <c r="AH96" i="17"/>
  <c r="AH102" i="17"/>
  <c r="AH97" i="17"/>
  <c r="AH100" i="17"/>
  <c r="AH103" i="17"/>
  <c r="AH105" i="17"/>
  <c r="AH120" i="17"/>
  <c r="AH122" i="17"/>
  <c r="AH123" i="17"/>
  <c r="AI101" i="17"/>
  <c r="AI96" i="17"/>
  <c r="AI102" i="17"/>
  <c r="AI97" i="17"/>
  <c r="AI100" i="17"/>
  <c r="AI103" i="17"/>
  <c r="AI105" i="17"/>
  <c r="AI120" i="17"/>
  <c r="AI122" i="17"/>
  <c r="AI124" i="17"/>
  <c r="AI126" i="17"/>
  <c r="AI127" i="17"/>
  <c r="AI132" i="17"/>
  <c r="C124" i="17"/>
  <c r="C126" i="17"/>
  <c r="C127" i="17"/>
  <c r="C132" i="17"/>
  <c r="C43" i="17"/>
  <c r="C130" i="17"/>
  <c r="C134" i="17"/>
  <c r="C131" i="17"/>
  <c r="C136" i="17"/>
  <c r="C138" i="17"/>
  <c r="C140" i="17"/>
  <c r="D124" i="17"/>
  <c r="D126" i="17"/>
  <c r="D127" i="17"/>
  <c r="D132" i="17"/>
  <c r="D134" i="17"/>
  <c r="D43" i="17"/>
  <c r="D130" i="17"/>
  <c r="D136" i="17"/>
  <c r="D138" i="17"/>
  <c r="D140" i="17"/>
  <c r="E124" i="17"/>
  <c r="E126" i="17"/>
  <c r="E127" i="17"/>
  <c r="E132" i="17"/>
  <c r="E134" i="17"/>
  <c r="E43" i="17"/>
  <c r="E130" i="17"/>
  <c r="E136" i="17"/>
  <c r="E138" i="17"/>
  <c r="E140" i="17"/>
  <c r="F124" i="17"/>
  <c r="F126" i="17"/>
  <c r="F127" i="17"/>
  <c r="F132" i="17"/>
  <c r="F134" i="17"/>
  <c r="F43" i="17"/>
  <c r="F130" i="17"/>
  <c r="F136" i="17"/>
  <c r="F138" i="17"/>
  <c r="F140" i="17"/>
  <c r="G124" i="17"/>
  <c r="G126" i="17"/>
  <c r="G127" i="17"/>
  <c r="G132" i="17"/>
  <c r="G134" i="17"/>
  <c r="G43" i="17"/>
  <c r="G130" i="17"/>
  <c r="G136" i="17"/>
  <c r="G138" i="17"/>
  <c r="G140" i="17"/>
  <c r="H124" i="17"/>
  <c r="H126" i="17"/>
  <c r="H127" i="17"/>
  <c r="H132" i="17"/>
  <c r="H134" i="17"/>
  <c r="H43" i="17"/>
  <c r="H130" i="17"/>
  <c r="H136" i="17"/>
  <c r="H138" i="17"/>
  <c r="H140" i="17"/>
  <c r="I124" i="17"/>
  <c r="I126" i="17"/>
  <c r="I127" i="17"/>
  <c r="I132" i="17"/>
  <c r="I134" i="17"/>
  <c r="I43" i="17"/>
  <c r="I130" i="17"/>
  <c r="I136" i="17"/>
  <c r="I138" i="17"/>
  <c r="I140" i="17"/>
  <c r="J124" i="17"/>
  <c r="J126" i="17"/>
  <c r="J127" i="17"/>
  <c r="J132" i="17"/>
  <c r="J134" i="17"/>
  <c r="J43" i="17"/>
  <c r="J130" i="17"/>
  <c r="J136" i="17"/>
  <c r="J138" i="17"/>
  <c r="J140" i="17"/>
  <c r="K124" i="17"/>
  <c r="K126" i="17"/>
  <c r="K127" i="17"/>
  <c r="K132" i="17"/>
  <c r="K134" i="17"/>
  <c r="K43" i="17"/>
  <c r="K130" i="17"/>
  <c r="K136" i="17"/>
  <c r="K138" i="17"/>
  <c r="K140" i="17"/>
  <c r="L124" i="17"/>
  <c r="L126" i="17"/>
  <c r="L127" i="17"/>
  <c r="L132" i="17"/>
  <c r="L134" i="17"/>
  <c r="L43" i="17"/>
  <c r="L130" i="17"/>
  <c r="L136" i="17"/>
  <c r="L138" i="17"/>
  <c r="L140" i="17"/>
  <c r="M124" i="17"/>
  <c r="M126" i="17"/>
  <c r="M127" i="17"/>
  <c r="M132" i="17"/>
  <c r="M134" i="17"/>
  <c r="M43" i="17"/>
  <c r="M130" i="17"/>
  <c r="M136" i="17"/>
  <c r="M138" i="17"/>
  <c r="M140" i="17"/>
  <c r="N124" i="17"/>
  <c r="N126" i="17"/>
  <c r="N127" i="17"/>
  <c r="N132" i="17"/>
  <c r="N134" i="17"/>
  <c r="N43" i="17"/>
  <c r="N130" i="17"/>
  <c r="N136" i="17"/>
  <c r="N138" i="17"/>
  <c r="N140" i="17"/>
  <c r="O124" i="17"/>
  <c r="O126" i="17"/>
  <c r="O127" i="17"/>
  <c r="O132" i="17"/>
  <c r="O134" i="17"/>
  <c r="O43" i="17"/>
  <c r="O130" i="17"/>
  <c r="O136" i="17"/>
  <c r="O138" i="17"/>
  <c r="O140" i="17"/>
  <c r="P124" i="17"/>
  <c r="P126" i="17"/>
  <c r="P127" i="17"/>
  <c r="P132" i="17"/>
  <c r="P134" i="17"/>
  <c r="P43" i="17"/>
  <c r="P130" i="17"/>
  <c r="P136" i="17"/>
  <c r="P138" i="17"/>
  <c r="P140" i="17"/>
  <c r="Q124" i="17"/>
  <c r="Q126" i="17"/>
  <c r="Q127" i="17"/>
  <c r="Q132" i="17"/>
  <c r="Q134" i="17"/>
  <c r="Q43" i="17"/>
  <c r="Q130" i="17"/>
  <c r="Q136" i="17"/>
  <c r="Q138" i="17"/>
  <c r="Q140" i="17"/>
  <c r="R124" i="17"/>
  <c r="R126" i="17"/>
  <c r="R127" i="17"/>
  <c r="R132" i="17"/>
  <c r="R134" i="17"/>
  <c r="R43" i="17"/>
  <c r="R130" i="17"/>
  <c r="R136" i="17"/>
  <c r="R138" i="17"/>
  <c r="R140" i="17"/>
  <c r="S124" i="17"/>
  <c r="S126" i="17"/>
  <c r="S127" i="17"/>
  <c r="S132" i="17"/>
  <c r="S134" i="17"/>
  <c r="S43" i="17"/>
  <c r="S130" i="17"/>
  <c r="S136" i="17"/>
  <c r="S138" i="17"/>
  <c r="S140" i="17"/>
  <c r="T124" i="17"/>
  <c r="T126" i="17"/>
  <c r="T127" i="17"/>
  <c r="T132" i="17"/>
  <c r="T134" i="17"/>
  <c r="T43" i="17"/>
  <c r="T130" i="17"/>
  <c r="T136" i="17"/>
  <c r="T138" i="17"/>
  <c r="T140" i="17"/>
  <c r="U124" i="17"/>
  <c r="U126" i="17"/>
  <c r="U127" i="17"/>
  <c r="U132" i="17"/>
  <c r="U134" i="17"/>
  <c r="U43" i="17"/>
  <c r="U130" i="17"/>
  <c r="U136" i="17"/>
  <c r="U138" i="17"/>
  <c r="U140" i="17"/>
  <c r="V124" i="17"/>
  <c r="V126" i="17"/>
  <c r="V127" i="17"/>
  <c r="V132" i="17"/>
  <c r="V134" i="17"/>
  <c r="V43" i="17"/>
  <c r="V130" i="17"/>
  <c r="V136" i="17"/>
  <c r="V138" i="17"/>
  <c r="V140" i="17"/>
  <c r="W124" i="17"/>
  <c r="W126" i="17"/>
  <c r="W127" i="17"/>
  <c r="W132" i="17"/>
  <c r="W134" i="17"/>
  <c r="W43" i="17"/>
  <c r="W130" i="17"/>
  <c r="W136" i="17"/>
  <c r="W138" i="17"/>
  <c r="W140" i="17"/>
  <c r="X124" i="17"/>
  <c r="X126" i="17"/>
  <c r="X127" i="17"/>
  <c r="X132" i="17"/>
  <c r="X134" i="17"/>
  <c r="X43" i="17"/>
  <c r="X130" i="17"/>
  <c r="X136" i="17"/>
  <c r="X138" i="17"/>
  <c r="X140" i="17"/>
  <c r="Y124" i="17"/>
  <c r="Y126" i="17"/>
  <c r="Y127" i="17"/>
  <c r="Y132" i="17"/>
  <c r="Y134" i="17"/>
  <c r="Y43" i="17"/>
  <c r="Y130" i="17"/>
  <c r="Y136" i="17"/>
  <c r="Y138" i="17"/>
  <c r="Y140" i="17"/>
  <c r="Z124" i="17"/>
  <c r="Z126" i="17"/>
  <c r="Z127" i="17"/>
  <c r="Z132" i="17"/>
  <c r="Z134" i="17"/>
  <c r="Z43" i="17"/>
  <c r="Z130" i="17"/>
  <c r="Z136" i="17"/>
  <c r="Z138" i="17"/>
  <c r="Z140" i="17"/>
  <c r="AA124" i="17"/>
  <c r="AA126" i="17"/>
  <c r="AA127" i="17"/>
  <c r="AA132" i="17"/>
  <c r="AA134" i="17"/>
  <c r="AA43" i="17"/>
  <c r="AA130" i="17"/>
  <c r="AA136" i="17"/>
  <c r="AA138" i="17"/>
  <c r="AA140" i="17"/>
  <c r="AB124" i="17"/>
  <c r="AB126" i="17"/>
  <c r="AB127" i="17"/>
  <c r="AB132" i="17"/>
  <c r="AB134" i="17"/>
  <c r="AB43" i="17"/>
  <c r="AB130" i="17"/>
  <c r="AB136" i="17"/>
  <c r="AB138" i="17"/>
  <c r="AB140" i="17"/>
  <c r="AC124" i="17"/>
  <c r="AC126" i="17"/>
  <c r="AC127" i="17"/>
  <c r="AC132" i="17"/>
  <c r="AC134" i="17"/>
  <c r="AC43" i="17"/>
  <c r="AC130" i="17"/>
  <c r="AC136" i="17"/>
  <c r="AC138" i="17"/>
  <c r="AC140" i="17"/>
  <c r="AD124" i="17"/>
  <c r="AD126" i="17"/>
  <c r="AD127" i="17"/>
  <c r="AD132" i="17"/>
  <c r="AD134" i="17"/>
  <c r="AD43" i="17"/>
  <c r="AD130" i="17"/>
  <c r="AD136" i="17"/>
  <c r="AD138" i="17"/>
  <c r="AD140" i="17"/>
  <c r="AE124" i="17"/>
  <c r="AE126" i="17"/>
  <c r="AE127" i="17"/>
  <c r="AE132" i="17"/>
  <c r="AE134" i="17"/>
  <c r="AE43" i="17"/>
  <c r="AE130" i="17"/>
  <c r="AE136" i="17"/>
  <c r="AE138" i="17"/>
  <c r="AE140" i="17"/>
  <c r="AF124" i="17"/>
  <c r="AF126" i="17"/>
  <c r="AF127" i="17"/>
  <c r="AF132" i="17"/>
  <c r="AF134" i="17"/>
  <c r="AF43" i="17"/>
  <c r="AF130" i="17"/>
  <c r="AF136" i="17"/>
  <c r="AF138" i="17"/>
  <c r="AF140" i="17"/>
  <c r="AG124" i="17"/>
  <c r="AG126" i="17"/>
  <c r="AG127" i="17"/>
  <c r="AG132" i="17"/>
  <c r="AG134" i="17"/>
  <c r="AG43" i="17"/>
  <c r="AG130" i="17"/>
  <c r="AG136" i="17"/>
  <c r="AG138" i="17"/>
  <c r="AG140" i="17"/>
  <c r="AH124" i="17"/>
  <c r="AH126" i="17"/>
  <c r="AH127" i="17"/>
  <c r="AH132" i="17"/>
  <c r="AH134" i="17"/>
  <c r="AH43" i="17"/>
  <c r="AH130" i="17"/>
  <c r="AH136" i="17"/>
  <c r="AH138" i="17"/>
  <c r="AH140" i="17"/>
  <c r="AI134" i="17"/>
  <c r="AI76" i="17"/>
  <c r="AH76" i="17"/>
  <c r="AG76" i="17"/>
  <c r="AF76" i="17"/>
  <c r="AE76" i="17"/>
  <c r="AD76" i="17"/>
  <c r="AC76" i="17"/>
  <c r="AB76" i="17"/>
  <c r="AA76" i="17"/>
  <c r="Z76" i="17"/>
  <c r="Y76" i="17"/>
  <c r="X76" i="17"/>
  <c r="W76" i="17"/>
  <c r="V76" i="17"/>
  <c r="U76" i="17"/>
  <c r="T76" i="17"/>
  <c r="S76" i="17"/>
  <c r="R76" i="17"/>
  <c r="Q76" i="17"/>
  <c r="P76" i="17"/>
  <c r="O76" i="17"/>
  <c r="N76" i="17"/>
  <c r="M76" i="17"/>
  <c r="L76" i="17"/>
  <c r="K76" i="17"/>
  <c r="J76" i="17"/>
  <c r="I76" i="17"/>
  <c r="H76" i="17"/>
  <c r="G76" i="17"/>
  <c r="F76" i="17"/>
  <c r="E76" i="17"/>
  <c r="D76" i="17"/>
  <c r="C76" i="17"/>
  <c r="AI64" i="2"/>
  <c r="AJ49" i="1"/>
  <c r="AI43" i="17"/>
  <c r="AI130" i="17"/>
  <c r="AI4" i="11"/>
  <c r="AI58" i="11"/>
  <c r="AI64" i="11"/>
  <c r="AI4" i="14"/>
  <c r="AI58" i="14"/>
  <c r="AI64" i="14"/>
  <c r="AI74" i="17"/>
  <c r="AH74" i="17"/>
  <c r="AG74" i="17"/>
  <c r="AF74" i="17"/>
  <c r="AE74" i="17"/>
  <c r="AD74" i="17"/>
  <c r="AC74" i="17"/>
  <c r="AB74" i="17"/>
  <c r="AA74" i="17"/>
  <c r="Z74" i="17"/>
  <c r="Y74" i="17"/>
  <c r="X74" i="17"/>
  <c r="W74" i="17"/>
  <c r="V74" i="17"/>
  <c r="U74" i="17"/>
  <c r="T74" i="17"/>
  <c r="S74" i="17"/>
  <c r="R74" i="17"/>
  <c r="Q74" i="17"/>
  <c r="P74" i="17"/>
  <c r="O74" i="17"/>
  <c r="N74" i="17"/>
  <c r="M74" i="17"/>
  <c r="L74" i="17"/>
  <c r="K74" i="17"/>
  <c r="J74" i="17"/>
  <c r="I74" i="17"/>
  <c r="H74" i="17"/>
  <c r="G74" i="17"/>
  <c r="F74" i="17"/>
  <c r="E74" i="17"/>
  <c r="D74" i="17"/>
  <c r="C74" i="17"/>
  <c r="E83" i="1"/>
  <c r="D7" i="4"/>
  <c r="D25" i="20"/>
  <c r="F83" i="1"/>
  <c r="E7" i="4"/>
  <c r="E25" i="20"/>
  <c r="G83" i="1"/>
  <c r="F7" i="4"/>
  <c r="F25" i="20"/>
  <c r="H83" i="1"/>
  <c r="G7" i="4"/>
  <c r="G25" i="20"/>
  <c r="I83" i="1"/>
  <c r="H7" i="4"/>
  <c r="H25" i="20"/>
  <c r="J83" i="1"/>
  <c r="I7" i="4"/>
  <c r="I25" i="20"/>
  <c r="K83" i="1"/>
  <c r="J7" i="4"/>
  <c r="J25" i="20"/>
  <c r="L83" i="1"/>
  <c r="K7" i="4"/>
  <c r="K25" i="20"/>
  <c r="M83" i="1"/>
  <c r="L7" i="4"/>
  <c r="L25" i="20"/>
  <c r="N83" i="1"/>
  <c r="M7" i="4"/>
  <c r="M25" i="20"/>
  <c r="O83" i="1"/>
  <c r="N7" i="4"/>
  <c r="N25" i="20"/>
  <c r="P83" i="1"/>
  <c r="O7" i="4"/>
  <c r="O25" i="20"/>
  <c r="Q83" i="1"/>
  <c r="P7" i="4"/>
  <c r="P25" i="20"/>
  <c r="R83" i="1"/>
  <c r="Q7" i="4"/>
  <c r="Q25" i="20"/>
  <c r="S83" i="1"/>
  <c r="R7" i="4"/>
  <c r="R25" i="20"/>
  <c r="T83" i="1"/>
  <c r="S7" i="4"/>
  <c r="S25" i="20"/>
  <c r="U83" i="1"/>
  <c r="T7" i="4"/>
  <c r="T25" i="20"/>
  <c r="V83" i="1"/>
  <c r="U7" i="4"/>
  <c r="U25" i="20"/>
  <c r="W83" i="1"/>
  <c r="V7" i="4"/>
  <c r="V25" i="20"/>
  <c r="X83" i="1"/>
  <c r="W7" i="4"/>
  <c r="W25" i="20"/>
  <c r="Y83" i="1"/>
  <c r="X7" i="4"/>
  <c r="X25" i="20"/>
  <c r="Z83" i="1"/>
  <c r="Y7" i="4"/>
  <c r="Y25" i="20"/>
  <c r="AA83" i="1"/>
  <c r="Z7" i="4"/>
  <c r="Z25" i="20"/>
  <c r="AB83" i="1"/>
  <c r="AA7" i="4"/>
  <c r="AA25" i="20"/>
  <c r="AC83" i="1"/>
  <c r="AB7" i="4"/>
  <c r="AB25" i="20"/>
  <c r="AD83" i="1"/>
  <c r="AC7" i="4"/>
  <c r="AC25" i="20"/>
  <c r="AE83" i="1"/>
  <c r="AD7" i="4"/>
  <c r="AD25" i="20"/>
  <c r="AF83" i="1"/>
  <c r="AE7" i="4"/>
  <c r="AE25" i="20"/>
  <c r="AG83" i="1"/>
  <c r="AF7" i="4"/>
  <c r="AF25" i="20"/>
  <c r="AH83" i="1"/>
  <c r="AG7" i="4"/>
  <c r="AG25" i="20"/>
  <c r="AI83" i="1"/>
  <c r="AH7" i="4"/>
  <c r="AH25" i="20"/>
  <c r="AJ83" i="1"/>
  <c r="AI7" i="4"/>
  <c r="AI25" i="20"/>
  <c r="D83" i="1"/>
  <c r="C7" i="4"/>
  <c r="C25" i="20"/>
  <c r="D4" i="6"/>
  <c r="E4" i="6"/>
  <c r="F4" i="6"/>
  <c r="G4" i="6"/>
  <c r="H4" i="6"/>
  <c r="I4" i="6"/>
  <c r="J4" i="6"/>
  <c r="K4" i="6"/>
  <c r="L4" i="6"/>
  <c r="M4" i="6"/>
  <c r="N4" i="6"/>
  <c r="O4" i="6"/>
  <c r="P4" i="6"/>
  <c r="Q4" i="6"/>
  <c r="R4" i="6"/>
  <c r="S4" i="6"/>
  <c r="T4" i="6"/>
  <c r="U4" i="6"/>
  <c r="V4" i="6"/>
  <c r="W4" i="6"/>
  <c r="X4" i="6"/>
  <c r="Y4" i="6"/>
  <c r="Z4" i="6"/>
  <c r="AA4" i="6"/>
  <c r="AB4" i="6"/>
  <c r="AC4" i="6"/>
  <c r="AD4" i="6"/>
  <c r="AE4" i="6"/>
  <c r="AF4" i="6"/>
  <c r="AG4" i="6"/>
  <c r="AH4" i="6"/>
  <c r="AI4" i="6"/>
  <c r="C4" i="6"/>
  <c r="D3" i="19"/>
  <c r="D8" i="19"/>
  <c r="E3" i="19"/>
  <c r="E8" i="19"/>
  <c r="F3" i="19"/>
  <c r="F8" i="19"/>
  <c r="G3" i="19"/>
  <c r="G8" i="19"/>
  <c r="H3" i="19"/>
  <c r="H8" i="19"/>
  <c r="I3" i="19"/>
  <c r="I8" i="19"/>
  <c r="J3" i="19"/>
  <c r="J8" i="19"/>
  <c r="K3" i="19"/>
  <c r="K8" i="19"/>
  <c r="L3" i="19"/>
  <c r="L8" i="19"/>
  <c r="M3" i="19"/>
  <c r="M8" i="19"/>
  <c r="N3" i="19"/>
  <c r="N8" i="19"/>
  <c r="O3" i="19"/>
  <c r="O8" i="19"/>
  <c r="P3" i="19"/>
  <c r="P8" i="19"/>
  <c r="Q3" i="19"/>
  <c r="Q8" i="19"/>
  <c r="R3" i="19"/>
  <c r="R8" i="19"/>
  <c r="S3" i="19"/>
  <c r="S8" i="19"/>
  <c r="T3" i="19"/>
  <c r="T8" i="19"/>
  <c r="U3" i="19"/>
  <c r="U8" i="19"/>
  <c r="V3" i="19"/>
  <c r="V8" i="19"/>
  <c r="W3" i="19"/>
  <c r="W8" i="19"/>
  <c r="X3" i="19"/>
  <c r="X8" i="19"/>
  <c r="Y3" i="19"/>
  <c r="Y8" i="19"/>
  <c r="Z3" i="19"/>
  <c r="Z8" i="19"/>
  <c r="AA3" i="19"/>
  <c r="AA8" i="19"/>
  <c r="AB3" i="19"/>
  <c r="AB8" i="19"/>
  <c r="AC3" i="19"/>
  <c r="AC8" i="19"/>
  <c r="AD3" i="19"/>
  <c r="AD8" i="19"/>
  <c r="AE3" i="19"/>
  <c r="AE8" i="19"/>
  <c r="AF3" i="19"/>
  <c r="AF8" i="19"/>
  <c r="AG3" i="19"/>
  <c r="AG8" i="19"/>
  <c r="AH3" i="19"/>
  <c r="AH8" i="19"/>
  <c r="AI3" i="19"/>
  <c r="AI8" i="19"/>
  <c r="C3" i="19"/>
  <c r="C8" i="19"/>
  <c r="D3" i="4"/>
  <c r="D9" i="4"/>
  <c r="E3" i="4"/>
  <c r="E9" i="4"/>
  <c r="F3" i="4"/>
  <c r="F9" i="4"/>
  <c r="G3" i="4"/>
  <c r="G9" i="4"/>
  <c r="H3" i="4"/>
  <c r="H9" i="4"/>
  <c r="I3" i="4"/>
  <c r="I9" i="4"/>
  <c r="J3" i="4"/>
  <c r="J9" i="4"/>
  <c r="K3" i="4"/>
  <c r="K9" i="4"/>
  <c r="L3" i="4"/>
  <c r="L9" i="4"/>
  <c r="M3" i="4"/>
  <c r="M9" i="4"/>
  <c r="N3" i="4"/>
  <c r="N9" i="4"/>
  <c r="O3" i="4"/>
  <c r="O9" i="4"/>
  <c r="P3" i="4"/>
  <c r="P9" i="4"/>
  <c r="Q3" i="4"/>
  <c r="Q9" i="4"/>
  <c r="R3" i="4"/>
  <c r="R9" i="4"/>
  <c r="S3" i="4"/>
  <c r="S9" i="4"/>
  <c r="T3" i="4"/>
  <c r="T9" i="4"/>
  <c r="U3" i="4"/>
  <c r="U9" i="4"/>
  <c r="V3" i="4"/>
  <c r="V9" i="4"/>
  <c r="W3" i="4"/>
  <c r="W9" i="4"/>
  <c r="X3" i="4"/>
  <c r="X9" i="4"/>
  <c r="Y3" i="4"/>
  <c r="Y9" i="4"/>
  <c r="Z3" i="4"/>
  <c r="Z9" i="4"/>
  <c r="AA3" i="4"/>
  <c r="AA9" i="4"/>
  <c r="AB3" i="4"/>
  <c r="AB9" i="4"/>
  <c r="AC3" i="4"/>
  <c r="AC9" i="4"/>
  <c r="AD3" i="4"/>
  <c r="AD9" i="4"/>
  <c r="AE3" i="4"/>
  <c r="AE9" i="4"/>
  <c r="AF3" i="4"/>
  <c r="AF9" i="4"/>
  <c r="AG3" i="4"/>
  <c r="AG9" i="4"/>
  <c r="AH3" i="4"/>
  <c r="AH9" i="4"/>
  <c r="AI3" i="4"/>
  <c r="AI9" i="4"/>
  <c r="C3" i="4"/>
  <c r="C9" i="4"/>
  <c r="D3" i="6"/>
  <c r="D6" i="6"/>
  <c r="E3" i="6"/>
  <c r="E6" i="6"/>
  <c r="F3" i="6"/>
  <c r="F6" i="6"/>
  <c r="G3" i="6"/>
  <c r="G6" i="6"/>
  <c r="H3" i="6"/>
  <c r="H6" i="6"/>
  <c r="I3" i="6"/>
  <c r="I6" i="6"/>
  <c r="J3" i="6"/>
  <c r="J6" i="6"/>
  <c r="K3" i="6"/>
  <c r="K6" i="6"/>
  <c r="L3" i="6"/>
  <c r="L6" i="6"/>
  <c r="M3" i="6"/>
  <c r="M6" i="6"/>
  <c r="N3" i="6"/>
  <c r="N6" i="6"/>
  <c r="O3" i="6"/>
  <c r="O6" i="6"/>
  <c r="P3" i="6"/>
  <c r="P6" i="6"/>
  <c r="Q3" i="6"/>
  <c r="Q6" i="6"/>
  <c r="R3" i="6"/>
  <c r="R6" i="6"/>
  <c r="S3" i="6"/>
  <c r="S6" i="6"/>
  <c r="T3" i="6"/>
  <c r="T6" i="6"/>
  <c r="U3" i="6"/>
  <c r="U6" i="6"/>
  <c r="V3" i="6"/>
  <c r="V6" i="6"/>
  <c r="W3" i="6"/>
  <c r="W6" i="6"/>
  <c r="X3" i="6"/>
  <c r="X6" i="6"/>
  <c r="Y3" i="6"/>
  <c r="Y6" i="6"/>
  <c r="Z3" i="6"/>
  <c r="Z6" i="6"/>
  <c r="AA3" i="6"/>
  <c r="AA6" i="6"/>
  <c r="AB3" i="6"/>
  <c r="AB6" i="6"/>
  <c r="AC3" i="6"/>
  <c r="AC6" i="6"/>
  <c r="AD3" i="6"/>
  <c r="AD6" i="6"/>
  <c r="AE3" i="6"/>
  <c r="AE6" i="6"/>
  <c r="AF3" i="6"/>
  <c r="AF6" i="6"/>
  <c r="AG3" i="6"/>
  <c r="AG6" i="6"/>
  <c r="AH3" i="6"/>
  <c r="AH6" i="6"/>
  <c r="AI3" i="6"/>
  <c r="AI6" i="6"/>
  <c r="C3" i="6"/>
  <c r="C6" i="6"/>
  <c r="AI6" i="19"/>
  <c r="AI10" i="19"/>
  <c r="AH6" i="19"/>
  <c r="AH10" i="19"/>
  <c r="AG6" i="19"/>
  <c r="AG10" i="19"/>
  <c r="AF6" i="19"/>
  <c r="AF10" i="19"/>
  <c r="AE6" i="19"/>
  <c r="AE10" i="19"/>
  <c r="AD6" i="19"/>
  <c r="AD10" i="19"/>
  <c r="AC6" i="19"/>
  <c r="AC10" i="19"/>
  <c r="AB6" i="19"/>
  <c r="AB10" i="19"/>
  <c r="AA6" i="19"/>
  <c r="AA10" i="19"/>
  <c r="Z6" i="19"/>
  <c r="Z10" i="19"/>
  <c r="Y6" i="19"/>
  <c r="Y10" i="19"/>
  <c r="X6" i="19"/>
  <c r="X10" i="19"/>
  <c r="W6" i="19"/>
  <c r="W10" i="19"/>
  <c r="V6" i="19"/>
  <c r="V10" i="19"/>
  <c r="U6" i="19"/>
  <c r="U10" i="19"/>
  <c r="T6" i="19"/>
  <c r="T10" i="19"/>
  <c r="S6" i="19"/>
  <c r="S10" i="19"/>
  <c r="R6" i="19"/>
  <c r="R10" i="19"/>
  <c r="Q6" i="19"/>
  <c r="Q10" i="19"/>
  <c r="P6" i="19"/>
  <c r="P10" i="19"/>
  <c r="O6" i="19"/>
  <c r="O10" i="19"/>
  <c r="N6" i="19"/>
  <c r="N10" i="19"/>
  <c r="M6" i="19"/>
  <c r="M10" i="19"/>
  <c r="L6" i="19"/>
  <c r="L10" i="19"/>
  <c r="K6" i="19"/>
  <c r="K10" i="19"/>
  <c r="J6" i="19"/>
  <c r="J10" i="19"/>
  <c r="I6" i="19"/>
  <c r="I10" i="19"/>
  <c r="H6" i="19"/>
  <c r="H10" i="19"/>
  <c r="G6" i="19"/>
  <c r="G10" i="19"/>
  <c r="F6" i="19"/>
  <c r="F10" i="19"/>
  <c r="E6" i="19"/>
  <c r="E10" i="19"/>
  <c r="D6" i="19"/>
  <c r="D10" i="19"/>
  <c r="C6" i="19"/>
  <c r="C10" i="19"/>
  <c r="C5" i="4"/>
  <c r="B78" i="6"/>
  <c r="C72" i="6"/>
  <c r="AI78" i="6"/>
  <c r="B79" i="6"/>
  <c r="AI79" i="6"/>
  <c r="B80" i="6"/>
  <c r="AI80" i="6"/>
  <c r="B81" i="6"/>
  <c r="AI81" i="6"/>
  <c r="B82" i="6"/>
  <c r="AI82" i="6"/>
  <c r="B83" i="6"/>
  <c r="AI83" i="6"/>
  <c r="B84" i="6"/>
  <c r="AI84" i="6"/>
  <c r="B85" i="6"/>
  <c r="AI85" i="6"/>
  <c r="B86" i="6"/>
  <c r="AI86" i="6"/>
  <c r="B87" i="6"/>
  <c r="AI87" i="6"/>
  <c r="B88" i="6"/>
  <c r="AI88" i="6"/>
  <c r="B89" i="6"/>
  <c r="AI89" i="6"/>
  <c r="B90" i="6"/>
  <c r="AI90" i="6"/>
  <c r="B91" i="6"/>
  <c r="AI91" i="6"/>
  <c r="B92" i="6"/>
  <c r="AI92" i="6"/>
  <c r="B93" i="6"/>
  <c r="AI93" i="6"/>
  <c r="B94" i="6"/>
  <c r="AI94" i="6"/>
  <c r="B95" i="6"/>
  <c r="AI95" i="6"/>
  <c r="B96" i="6"/>
  <c r="AI96" i="6"/>
  <c r="B97" i="6"/>
  <c r="AI97" i="6"/>
  <c r="B98" i="6"/>
  <c r="AI98" i="6"/>
  <c r="B99" i="6"/>
  <c r="AI99" i="6"/>
  <c r="B100" i="6"/>
  <c r="AI100" i="6"/>
  <c r="B101" i="6"/>
  <c r="AI101" i="6"/>
  <c r="B102" i="6"/>
  <c r="AI102" i="6"/>
  <c r="AB74" i="6"/>
  <c r="B103" i="6"/>
  <c r="AI103" i="6"/>
  <c r="AC74" i="6"/>
  <c r="B104" i="6"/>
  <c r="AI104" i="6"/>
  <c r="AD74" i="6"/>
  <c r="B105" i="6"/>
  <c r="AI105" i="6"/>
  <c r="AE74" i="6"/>
  <c r="B106" i="6"/>
  <c r="AI106" i="6"/>
  <c r="AF74" i="6"/>
  <c r="B107" i="6"/>
  <c r="AI107" i="6"/>
  <c r="AG74" i="6"/>
  <c r="B108" i="6"/>
  <c r="AI108" i="6"/>
  <c r="AH74" i="6"/>
  <c r="B109" i="6"/>
  <c r="AI109" i="6"/>
  <c r="AI74" i="6"/>
  <c r="B110" i="6"/>
  <c r="AI110" i="6"/>
  <c r="AI111" i="6"/>
  <c r="AI29" i="6"/>
  <c r="AH78" i="6"/>
  <c r="AH79" i="6"/>
  <c r="AH80" i="6"/>
  <c r="AH81" i="6"/>
  <c r="AH82" i="6"/>
  <c r="AH83" i="6"/>
  <c r="AH84" i="6"/>
  <c r="AH85" i="6"/>
  <c r="AH86" i="6"/>
  <c r="AH87" i="6"/>
  <c r="AH88" i="6"/>
  <c r="AH89" i="6"/>
  <c r="AH90" i="6"/>
  <c r="AH91" i="6"/>
  <c r="AH92" i="6"/>
  <c r="AH93" i="6"/>
  <c r="AH94" i="6"/>
  <c r="AH95" i="6"/>
  <c r="AH96" i="6"/>
  <c r="AH97" i="6"/>
  <c r="AH98" i="6"/>
  <c r="AH99" i="6"/>
  <c r="AH100" i="6"/>
  <c r="AH101" i="6"/>
  <c r="AA74" i="6"/>
  <c r="AH102" i="6"/>
  <c r="AH103" i="6"/>
  <c r="AH104" i="6"/>
  <c r="AH105" i="6"/>
  <c r="AH106" i="6"/>
  <c r="AH107" i="6"/>
  <c r="AH108" i="6"/>
  <c r="AH109" i="6"/>
  <c r="AH111" i="6"/>
  <c r="AH29" i="6"/>
  <c r="AG78" i="6"/>
  <c r="AG79" i="6"/>
  <c r="AG80" i="6"/>
  <c r="AG81" i="6"/>
  <c r="AG82" i="6"/>
  <c r="AG83" i="6"/>
  <c r="AG84" i="6"/>
  <c r="AG85" i="6"/>
  <c r="AG86" i="6"/>
  <c r="AG87" i="6"/>
  <c r="AG88" i="6"/>
  <c r="AG89" i="6"/>
  <c r="AG90" i="6"/>
  <c r="AG91" i="6"/>
  <c r="AG92" i="6"/>
  <c r="AG93" i="6"/>
  <c r="AG94" i="6"/>
  <c r="AG95" i="6"/>
  <c r="AG96" i="6"/>
  <c r="AG97" i="6"/>
  <c r="AG98" i="6"/>
  <c r="AG99" i="6"/>
  <c r="AG100" i="6"/>
  <c r="Z74" i="6"/>
  <c r="AG101" i="6"/>
  <c r="AG102" i="6"/>
  <c r="AG103" i="6"/>
  <c r="AG104" i="6"/>
  <c r="AG105" i="6"/>
  <c r="AG106" i="6"/>
  <c r="AG107" i="6"/>
  <c r="AG108" i="6"/>
  <c r="AG111" i="6"/>
  <c r="AG29" i="6"/>
  <c r="AF78" i="6"/>
  <c r="AF79" i="6"/>
  <c r="AF80" i="6"/>
  <c r="AF81" i="6"/>
  <c r="AF82" i="6"/>
  <c r="AF83" i="6"/>
  <c r="AF84" i="6"/>
  <c r="AF85" i="6"/>
  <c r="AF86" i="6"/>
  <c r="AF87" i="6"/>
  <c r="AF88" i="6"/>
  <c r="AF89" i="6"/>
  <c r="AF90" i="6"/>
  <c r="AF91" i="6"/>
  <c r="AF92" i="6"/>
  <c r="AF93" i="6"/>
  <c r="AF94" i="6"/>
  <c r="AF95" i="6"/>
  <c r="AF96" i="6"/>
  <c r="AF97" i="6"/>
  <c r="AF98" i="6"/>
  <c r="AF99" i="6"/>
  <c r="Y74" i="6"/>
  <c r="AF100" i="6"/>
  <c r="AF101" i="6"/>
  <c r="AF102" i="6"/>
  <c r="AF103" i="6"/>
  <c r="AF104" i="6"/>
  <c r="AF105" i="6"/>
  <c r="AF106" i="6"/>
  <c r="AF107" i="6"/>
  <c r="AF111" i="6"/>
  <c r="AF29" i="6"/>
  <c r="AE78" i="6"/>
  <c r="AE79" i="6"/>
  <c r="AE80" i="6"/>
  <c r="AE81" i="6"/>
  <c r="AE82" i="6"/>
  <c r="AE83" i="6"/>
  <c r="AE84" i="6"/>
  <c r="AE85" i="6"/>
  <c r="AE86" i="6"/>
  <c r="AE87" i="6"/>
  <c r="AE88" i="6"/>
  <c r="AE89" i="6"/>
  <c r="AE90" i="6"/>
  <c r="AE91" i="6"/>
  <c r="AE92" i="6"/>
  <c r="AE93" i="6"/>
  <c r="AE94" i="6"/>
  <c r="AE95" i="6"/>
  <c r="AE96" i="6"/>
  <c r="AE97" i="6"/>
  <c r="AE98" i="6"/>
  <c r="X74" i="6"/>
  <c r="AE99" i="6"/>
  <c r="AE100" i="6"/>
  <c r="AE101" i="6"/>
  <c r="AE102" i="6"/>
  <c r="AE103" i="6"/>
  <c r="AE104" i="6"/>
  <c r="AE105" i="6"/>
  <c r="AE106" i="6"/>
  <c r="AE111" i="6"/>
  <c r="AE29" i="6"/>
  <c r="AD78" i="6"/>
  <c r="AD79" i="6"/>
  <c r="AD80" i="6"/>
  <c r="AD81" i="6"/>
  <c r="AD82" i="6"/>
  <c r="AD83" i="6"/>
  <c r="AD84" i="6"/>
  <c r="AD85" i="6"/>
  <c r="AD86" i="6"/>
  <c r="AD87" i="6"/>
  <c r="AD88" i="6"/>
  <c r="AD89" i="6"/>
  <c r="AD90" i="6"/>
  <c r="AD91" i="6"/>
  <c r="AD92" i="6"/>
  <c r="AD93" i="6"/>
  <c r="AD94" i="6"/>
  <c r="AD95" i="6"/>
  <c r="AD96" i="6"/>
  <c r="AD97" i="6"/>
  <c r="W74" i="6"/>
  <c r="AD98" i="6"/>
  <c r="AD99" i="6"/>
  <c r="AD100" i="6"/>
  <c r="AD101" i="6"/>
  <c r="AD102" i="6"/>
  <c r="AD103" i="6"/>
  <c r="AD104" i="6"/>
  <c r="AD105" i="6"/>
  <c r="AD111" i="6"/>
  <c r="AD29" i="6"/>
  <c r="AC78" i="6"/>
  <c r="AC79" i="6"/>
  <c r="AC80" i="6"/>
  <c r="AC81" i="6"/>
  <c r="AC82" i="6"/>
  <c r="AC83" i="6"/>
  <c r="AC84" i="6"/>
  <c r="AC85" i="6"/>
  <c r="AC86" i="6"/>
  <c r="AC87" i="6"/>
  <c r="AC88" i="6"/>
  <c r="AC89" i="6"/>
  <c r="AC90" i="6"/>
  <c r="AC91" i="6"/>
  <c r="AC92" i="6"/>
  <c r="AC93" i="6"/>
  <c r="AC94" i="6"/>
  <c r="AC95" i="6"/>
  <c r="AC96" i="6"/>
  <c r="V74" i="6"/>
  <c r="AC97" i="6"/>
  <c r="AC98" i="6"/>
  <c r="AC99" i="6"/>
  <c r="AC100" i="6"/>
  <c r="AC101" i="6"/>
  <c r="AC102" i="6"/>
  <c r="AC103" i="6"/>
  <c r="AC104" i="6"/>
  <c r="AC111" i="6"/>
  <c r="AC29" i="6"/>
  <c r="AB78" i="6"/>
  <c r="AB79" i="6"/>
  <c r="AB80" i="6"/>
  <c r="AB81" i="6"/>
  <c r="AB82" i="6"/>
  <c r="AB83" i="6"/>
  <c r="AB84" i="6"/>
  <c r="AB85" i="6"/>
  <c r="AB86" i="6"/>
  <c r="AB87" i="6"/>
  <c r="AB88" i="6"/>
  <c r="AB89" i="6"/>
  <c r="AB90" i="6"/>
  <c r="AB91" i="6"/>
  <c r="AB92" i="6"/>
  <c r="AB93" i="6"/>
  <c r="AB94" i="6"/>
  <c r="AB95" i="6"/>
  <c r="U74" i="6"/>
  <c r="AB96" i="6"/>
  <c r="AB97" i="6"/>
  <c r="AB98" i="6"/>
  <c r="AB99" i="6"/>
  <c r="AB100" i="6"/>
  <c r="AB101" i="6"/>
  <c r="AB102" i="6"/>
  <c r="AB103" i="6"/>
  <c r="AB111" i="6"/>
  <c r="AB29" i="6"/>
  <c r="AA78" i="6"/>
  <c r="AA79" i="6"/>
  <c r="AA80" i="6"/>
  <c r="AA81" i="6"/>
  <c r="AA82" i="6"/>
  <c r="AA83" i="6"/>
  <c r="AA84" i="6"/>
  <c r="AA85" i="6"/>
  <c r="AA86" i="6"/>
  <c r="AA87" i="6"/>
  <c r="AA88" i="6"/>
  <c r="AA89" i="6"/>
  <c r="AA90" i="6"/>
  <c r="AA91" i="6"/>
  <c r="AA92" i="6"/>
  <c r="AA93" i="6"/>
  <c r="AA94" i="6"/>
  <c r="T74" i="6"/>
  <c r="AA95" i="6"/>
  <c r="AA96" i="6"/>
  <c r="AA97" i="6"/>
  <c r="AA98" i="6"/>
  <c r="AA99" i="6"/>
  <c r="AA100" i="6"/>
  <c r="AA101" i="6"/>
  <c r="AA102" i="6"/>
  <c r="AA111" i="6"/>
  <c r="AA29" i="6"/>
  <c r="Z78" i="6"/>
  <c r="Z79" i="6"/>
  <c r="Z80" i="6"/>
  <c r="Z81" i="6"/>
  <c r="Z82" i="6"/>
  <c r="Z83" i="6"/>
  <c r="Z84" i="6"/>
  <c r="Z85" i="6"/>
  <c r="Z86" i="6"/>
  <c r="Z87" i="6"/>
  <c r="Z88" i="6"/>
  <c r="Z89" i="6"/>
  <c r="Z90" i="6"/>
  <c r="Z91" i="6"/>
  <c r="Z92" i="6"/>
  <c r="Z93" i="6"/>
  <c r="S74" i="6"/>
  <c r="Z94" i="6"/>
  <c r="Z95" i="6"/>
  <c r="Z96" i="6"/>
  <c r="Z97" i="6"/>
  <c r="Z98" i="6"/>
  <c r="Z99" i="6"/>
  <c r="Z100" i="6"/>
  <c r="Z101" i="6"/>
  <c r="Z111" i="6"/>
  <c r="Z29" i="6"/>
  <c r="Y78" i="6"/>
  <c r="Y79" i="6"/>
  <c r="Y80" i="6"/>
  <c r="Y81" i="6"/>
  <c r="Y82" i="6"/>
  <c r="Y83" i="6"/>
  <c r="Y84" i="6"/>
  <c r="Y85" i="6"/>
  <c r="Y86" i="6"/>
  <c r="Y87" i="6"/>
  <c r="Y88" i="6"/>
  <c r="Y89" i="6"/>
  <c r="Y90" i="6"/>
  <c r="Y91" i="6"/>
  <c r="Y92" i="6"/>
  <c r="R74" i="6"/>
  <c r="Y93" i="6"/>
  <c r="Y94" i="6"/>
  <c r="Y95" i="6"/>
  <c r="Y96" i="6"/>
  <c r="Y97" i="6"/>
  <c r="Y98" i="6"/>
  <c r="Y99" i="6"/>
  <c r="Y100" i="6"/>
  <c r="Y111" i="6"/>
  <c r="Y29" i="6"/>
  <c r="X78" i="6"/>
  <c r="X79" i="6"/>
  <c r="X80" i="6"/>
  <c r="X81" i="6"/>
  <c r="X82" i="6"/>
  <c r="X83" i="6"/>
  <c r="X84" i="6"/>
  <c r="X85" i="6"/>
  <c r="X86" i="6"/>
  <c r="X87" i="6"/>
  <c r="X88" i="6"/>
  <c r="X89" i="6"/>
  <c r="X90" i="6"/>
  <c r="X91" i="6"/>
  <c r="Q74" i="6"/>
  <c r="X92" i="6"/>
  <c r="X93" i="6"/>
  <c r="X94" i="6"/>
  <c r="X95" i="6"/>
  <c r="X96" i="6"/>
  <c r="X97" i="6"/>
  <c r="X98" i="6"/>
  <c r="X99" i="6"/>
  <c r="X111" i="6"/>
  <c r="X29" i="6"/>
  <c r="W78" i="6"/>
  <c r="W79" i="6"/>
  <c r="W80" i="6"/>
  <c r="W81" i="6"/>
  <c r="W82" i="6"/>
  <c r="W83" i="6"/>
  <c r="W84" i="6"/>
  <c r="W85" i="6"/>
  <c r="W86" i="6"/>
  <c r="W87" i="6"/>
  <c r="W88" i="6"/>
  <c r="W89" i="6"/>
  <c r="W90" i="6"/>
  <c r="P74" i="6"/>
  <c r="W91" i="6"/>
  <c r="W92" i="6"/>
  <c r="W93" i="6"/>
  <c r="W94" i="6"/>
  <c r="W95" i="6"/>
  <c r="W96" i="6"/>
  <c r="W97" i="6"/>
  <c r="W98" i="6"/>
  <c r="W111" i="6"/>
  <c r="W29" i="6"/>
  <c r="V78" i="6"/>
  <c r="V79" i="6"/>
  <c r="V80" i="6"/>
  <c r="V81" i="6"/>
  <c r="V82" i="6"/>
  <c r="V83" i="6"/>
  <c r="V84" i="6"/>
  <c r="V85" i="6"/>
  <c r="V86" i="6"/>
  <c r="V87" i="6"/>
  <c r="V88" i="6"/>
  <c r="V89" i="6"/>
  <c r="O74" i="6"/>
  <c r="V90" i="6"/>
  <c r="V91" i="6"/>
  <c r="V92" i="6"/>
  <c r="V93" i="6"/>
  <c r="V94" i="6"/>
  <c r="V95" i="6"/>
  <c r="V96" i="6"/>
  <c r="V97" i="6"/>
  <c r="V111" i="6"/>
  <c r="V29" i="6"/>
  <c r="U78" i="6"/>
  <c r="U79" i="6"/>
  <c r="U80" i="6"/>
  <c r="U81" i="6"/>
  <c r="U82" i="6"/>
  <c r="U83" i="6"/>
  <c r="U84" i="6"/>
  <c r="U85" i="6"/>
  <c r="U86" i="6"/>
  <c r="U87" i="6"/>
  <c r="U88" i="6"/>
  <c r="N74" i="6"/>
  <c r="U89" i="6"/>
  <c r="U90" i="6"/>
  <c r="U91" i="6"/>
  <c r="U92" i="6"/>
  <c r="U93" i="6"/>
  <c r="U94" i="6"/>
  <c r="U95" i="6"/>
  <c r="U96" i="6"/>
  <c r="U111" i="6"/>
  <c r="U29" i="6"/>
  <c r="T78" i="6"/>
  <c r="T79" i="6"/>
  <c r="T80" i="6"/>
  <c r="T81" i="6"/>
  <c r="T82" i="6"/>
  <c r="T83" i="6"/>
  <c r="T84" i="6"/>
  <c r="T85" i="6"/>
  <c r="T86" i="6"/>
  <c r="T87" i="6"/>
  <c r="M74" i="6"/>
  <c r="T88" i="6"/>
  <c r="T89" i="6"/>
  <c r="T90" i="6"/>
  <c r="T91" i="6"/>
  <c r="T92" i="6"/>
  <c r="T93" i="6"/>
  <c r="T94" i="6"/>
  <c r="T95" i="6"/>
  <c r="T111" i="6"/>
  <c r="T29" i="6"/>
  <c r="S78" i="6"/>
  <c r="S79" i="6"/>
  <c r="S80" i="6"/>
  <c r="S81" i="6"/>
  <c r="S82" i="6"/>
  <c r="S83" i="6"/>
  <c r="S84" i="6"/>
  <c r="S85" i="6"/>
  <c r="S86" i="6"/>
  <c r="L74" i="6"/>
  <c r="S87" i="6"/>
  <c r="S88" i="6"/>
  <c r="S89" i="6"/>
  <c r="S90" i="6"/>
  <c r="S91" i="6"/>
  <c r="S92" i="6"/>
  <c r="S93" i="6"/>
  <c r="S94" i="6"/>
  <c r="S111" i="6"/>
  <c r="S29" i="6"/>
  <c r="R78" i="6"/>
  <c r="R79" i="6"/>
  <c r="R80" i="6"/>
  <c r="R81" i="6"/>
  <c r="R82" i="6"/>
  <c r="R83" i="6"/>
  <c r="R84" i="6"/>
  <c r="R85" i="6"/>
  <c r="K74" i="6"/>
  <c r="R86" i="6"/>
  <c r="R87" i="6"/>
  <c r="R88" i="6"/>
  <c r="R89" i="6"/>
  <c r="R90" i="6"/>
  <c r="R91" i="6"/>
  <c r="R92" i="6"/>
  <c r="R93" i="6"/>
  <c r="R111" i="6"/>
  <c r="R29" i="6"/>
  <c r="Q78" i="6"/>
  <c r="Q79" i="6"/>
  <c r="Q80" i="6"/>
  <c r="Q81" i="6"/>
  <c r="Q82" i="6"/>
  <c r="Q83" i="6"/>
  <c r="Q84" i="6"/>
  <c r="J74" i="6"/>
  <c r="Q85" i="6"/>
  <c r="Q86" i="6"/>
  <c r="Q87" i="6"/>
  <c r="Q88" i="6"/>
  <c r="Q89" i="6"/>
  <c r="Q90" i="6"/>
  <c r="Q91" i="6"/>
  <c r="Q92" i="6"/>
  <c r="Q111" i="6"/>
  <c r="Q29" i="6"/>
  <c r="P78" i="6"/>
  <c r="P79" i="6"/>
  <c r="P80" i="6"/>
  <c r="P81" i="6"/>
  <c r="P82" i="6"/>
  <c r="P83" i="6"/>
  <c r="I74" i="6"/>
  <c r="P84" i="6"/>
  <c r="P85" i="6"/>
  <c r="P86" i="6"/>
  <c r="P87" i="6"/>
  <c r="P88" i="6"/>
  <c r="P89" i="6"/>
  <c r="P90" i="6"/>
  <c r="P91" i="6"/>
  <c r="P111" i="6"/>
  <c r="P29" i="6"/>
  <c r="O78" i="6"/>
  <c r="O79" i="6"/>
  <c r="O80" i="6"/>
  <c r="O81" i="6"/>
  <c r="O82" i="6"/>
  <c r="H74" i="6"/>
  <c r="O83" i="6"/>
  <c r="O84" i="6"/>
  <c r="O85" i="6"/>
  <c r="O86" i="6"/>
  <c r="O87" i="6"/>
  <c r="O88" i="6"/>
  <c r="O89" i="6"/>
  <c r="O90" i="6"/>
  <c r="O111" i="6"/>
  <c r="O29" i="6"/>
  <c r="N78" i="6"/>
  <c r="N79" i="6"/>
  <c r="N80" i="6"/>
  <c r="N81" i="6"/>
  <c r="G74" i="6"/>
  <c r="N82" i="6"/>
  <c r="N83" i="6"/>
  <c r="N84" i="6"/>
  <c r="N85" i="6"/>
  <c r="N86" i="6"/>
  <c r="N87" i="6"/>
  <c r="N88" i="6"/>
  <c r="N89" i="6"/>
  <c r="N111" i="6"/>
  <c r="N29" i="6"/>
  <c r="M78" i="6"/>
  <c r="M79" i="6"/>
  <c r="M80" i="6"/>
  <c r="F74" i="6"/>
  <c r="M81" i="6"/>
  <c r="M82" i="6"/>
  <c r="M83" i="6"/>
  <c r="M84" i="6"/>
  <c r="M85" i="6"/>
  <c r="M86" i="6"/>
  <c r="M87" i="6"/>
  <c r="M88" i="6"/>
  <c r="M111" i="6"/>
  <c r="M29" i="6"/>
  <c r="L78" i="6"/>
  <c r="L79" i="6"/>
  <c r="E74" i="6"/>
  <c r="L80" i="6"/>
  <c r="L81" i="6"/>
  <c r="L82" i="6"/>
  <c r="L83" i="6"/>
  <c r="L84" i="6"/>
  <c r="L85" i="6"/>
  <c r="L86" i="6"/>
  <c r="L87" i="6"/>
  <c r="L111" i="6"/>
  <c r="L29" i="6"/>
  <c r="K78" i="6"/>
  <c r="D74" i="6"/>
  <c r="K79" i="6"/>
  <c r="K80" i="6"/>
  <c r="K81" i="6"/>
  <c r="K82" i="6"/>
  <c r="K83" i="6"/>
  <c r="K84" i="6"/>
  <c r="K85" i="6"/>
  <c r="K86" i="6"/>
  <c r="K111" i="6"/>
  <c r="K29" i="6"/>
  <c r="C74" i="6"/>
  <c r="J78" i="6"/>
  <c r="J79" i="6"/>
  <c r="J80" i="6"/>
  <c r="J81" i="6"/>
  <c r="J82" i="6"/>
  <c r="J83" i="6"/>
  <c r="J84" i="6"/>
  <c r="J85" i="6"/>
  <c r="J111" i="6"/>
  <c r="J29" i="6"/>
  <c r="I78" i="6"/>
  <c r="I79" i="6"/>
  <c r="I80" i="6"/>
  <c r="I81" i="6"/>
  <c r="I82" i="6"/>
  <c r="I83" i="6"/>
  <c r="I84" i="6"/>
  <c r="I111" i="6"/>
  <c r="I29" i="6"/>
  <c r="H78" i="6"/>
  <c r="H79" i="6"/>
  <c r="H80" i="6"/>
  <c r="H81" i="6"/>
  <c r="H82" i="6"/>
  <c r="H83" i="6"/>
  <c r="H111" i="6"/>
  <c r="H29" i="6"/>
  <c r="G78" i="6"/>
  <c r="G79" i="6"/>
  <c r="G80" i="6"/>
  <c r="G81" i="6"/>
  <c r="G82" i="6"/>
  <c r="G111" i="6"/>
  <c r="G29" i="6"/>
  <c r="F78" i="6"/>
  <c r="F79" i="6"/>
  <c r="F80" i="6"/>
  <c r="F81" i="6"/>
  <c r="F111" i="6"/>
  <c r="F29" i="6"/>
  <c r="E78" i="6"/>
  <c r="E79" i="6"/>
  <c r="E80" i="6"/>
  <c r="E111" i="6"/>
  <c r="E29" i="6"/>
  <c r="D78" i="6"/>
  <c r="D79" i="6"/>
  <c r="D111" i="6"/>
  <c r="D29" i="6"/>
  <c r="C78" i="6"/>
  <c r="C111" i="6"/>
  <c r="C29" i="6"/>
  <c r="B77" i="4"/>
  <c r="C71" i="4"/>
  <c r="AI77" i="4"/>
  <c r="B78" i="4"/>
  <c r="AI78" i="4"/>
  <c r="B79" i="4"/>
  <c r="AI79" i="4"/>
  <c r="B80" i="4"/>
  <c r="AI80" i="4"/>
  <c r="B81" i="4"/>
  <c r="AI81" i="4"/>
  <c r="B82" i="4"/>
  <c r="AI82" i="4"/>
  <c r="B83" i="4"/>
  <c r="AI83" i="4"/>
  <c r="B84" i="4"/>
  <c r="AI84" i="4"/>
  <c r="B85" i="4"/>
  <c r="AI85" i="4"/>
  <c r="B86" i="4"/>
  <c r="AI86" i="4"/>
  <c r="B87" i="4"/>
  <c r="AI87" i="4"/>
  <c r="B88" i="4"/>
  <c r="AI88" i="4"/>
  <c r="B89" i="4"/>
  <c r="AI89" i="4"/>
  <c r="B90" i="4"/>
  <c r="AI90" i="4"/>
  <c r="B91" i="4"/>
  <c r="AI91" i="4"/>
  <c r="B92" i="4"/>
  <c r="AI92" i="4"/>
  <c r="B93" i="4"/>
  <c r="AI93" i="4"/>
  <c r="B94" i="4"/>
  <c r="AI94" i="4"/>
  <c r="B95" i="4"/>
  <c r="AI95" i="4"/>
  <c r="B96" i="4"/>
  <c r="AI96" i="4"/>
  <c r="B97" i="4"/>
  <c r="AI97" i="4"/>
  <c r="B98" i="4"/>
  <c r="AI98" i="4"/>
  <c r="B99" i="4"/>
  <c r="AI99" i="4"/>
  <c r="B100" i="4"/>
  <c r="AI100" i="4"/>
  <c r="B101" i="4"/>
  <c r="AI101" i="4"/>
  <c r="AB73" i="4"/>
  <c r="B102" i="4"/>
  <c r="AI102" i="4"/>
  <c r="AC73" i="4"/>
  <c r="B103" i="4"/>
  <c r="AI103" i="4"/>
  <c r="AD73" i="4"/>
  <c r="B104" i="4"/>
  <c r="AI104" i="4"/>
  <c r="AE73" i="4"/>
  <c r="B105" i="4"/>
  <c r="AI105" i="4"/>
  <c r="AF73" i="4"/>
  <c r="B106" i="4"/>
  <c r="AI106" i="4"/>
  <c r="AG73" i="4"/>
  <c r="B107" i="4"/>
  <c r="AI107" i="4"/>
  <c r="AH73" i="4"/>
  <c r="B108" i="4"/>
  <c r="AI108" i="4"/>
  <c r="AI73" i="4"/>
  <c r="B109" i="4"/>
  <c r="AI109" i="4"/>
  <c r="AI110" i="4"/>
  <c r="AI39" i="4"/>
  <c r="AH77" i="4"/>
  <c r="AH78" i="4"/>
  <c r="AH79" i="4"/>
  <c r="AH80" i="4"/>
  <c r="AH81" i="4"/>
  <c r="AH82" i="4"/>
  <c r="AH83" i="4"/>
  <c r="AH84" i="4"/>
  <c r="AH85" i="4"/>
  <c r="AH86" i="4"/>
  <c r="AH87" i="4"/>
  <c r="AH88" i="4"/>
  <c r="AH89" i="4"/>
  <c r="AH90" i="4"/>
  <c r="AH91" i="4"/>
  <c r="AH92" i="4"/>
  <c r="AH93" i="4"/>
  <c r="AH94" i="4"/>
  <c r="AH95" i="4"/>
  <c r="AH96" i="4"/>
  <c r="AH97" i="4"/>
  <c r="AH98" i="4"/>
  <c r="AH99" i="4"/>
  <c r="AH100" i="4"/>
  <c r="AA73" i="4"/>
  <c r="AH101" i="4"/>
  <c r="AH102" i="4"/>
  <c r="AH103" i="4"/>
  <c r="AH104" i="4"/>
  <c r="AH105" i="4"/>
  <c r="AH106" i="4"/>
  <c r="AH107" i="4"/>
  <c r="AH108" i="4"/>
  <c r="AH110" i="4"/>
  <c r="AH39" i="4"/>
  <c r="AG77" i="4"/>
  <c r="AG78" i="4"/>
  <c r="AG79" i="4"/>
  <c r="AG80" i="4"/>
  <c r="AG81" i="4"/>
  <c r="AG82" i="4"/>
  <c r="AG83" i="4"/>
  <c r="AG84" i="4"/>
  <c r="AG85" i="4"/>
  <c r="AG86" i="4"/>
  <c r="AG87" i="4"/>
  <c r="AG88" i="4"/>
  <c r="AG89" i="4"/>
  <c r="AG90" i="4"/>
  <c r="AG91" i="4"/>
  <c r="AG92" i="4"/>
  <c r="AG93" i="4"/>
  <c r="AG94" i="4"/>
  <c r="AG95" i="4"/>
  <c r="AG96" i="4"/>
  <c r="AG97" i="4"/>
  <c r="AG98" i="4"/>
  <c r="AG99" i="4"/>
  <c r="Z73" i="4"/>
  <c r="AG100" i="4"/>
  <c r="AG101" i="4"/>
  <c r="AG102" i="4"/>
  <c r="AG103" i="4"/>
  <c r="AG104" i="4"/>
  <c r="AG105" i="4"/>
  <c r="AG106" i="4"/>
  <c r="AG107" i="4"/>
  <c r="AG110" i="4"/>
  <c r="AG39" i="4"/>
  <c r="AF77" i="4"/>
  <c r="AF78" i="4"/>
  <c r="AF79" i="4"/>
  <c r="AF80" i="4"/>
  <c r="AF81" i="4"/>
  <c r="AF82" i="4"/>
  <c r="AF83" i="4"/>
  <c r="AF84" i="4"/>
  <c r="AF85" i="4"/>
  <c r="AF86" i="4"/>
  <c r="AF87" i="4"/>
  <c r="AF88" i="4"/>
  <c r="AF89" i="4"/>
  <c r="AF90" i="4"/>
  <c r="AF91" i="4"/>
  <c r="AF92" i="4"/>
  <c r="AF93" i="4"/>
  <c r="AF94" i="4"/>
  <c r="AF95" i="4"/>
  <c r="AF96" i="4"/>
  <c r="AF97" i="4"/>
  <c r="AF98" i="4"/>
  <c r="Y73" i="4"/>
  <c r="AF99" i="4"/>
  <c r="AF100" i="4"/>
  <c r="AF101" i="4"/>
  <c r="AF102" i="4"/>
  <c r="AF103" i="4"/>
  <c r="AF104" i="4"/>
  <c r="AF105" i="4"/>
  <c r="AF106" i="4"/>
  <c r="AF110" i="4"/>
  <c r="AF39" i="4"/>
  <c r="AE77" i="4"/>
  <c r="AE78" i="4"/>
  <c r="AE79" i="4"/>
  <c r="AE80" i="4"/>
  <c r="AE81" i="4"/>
  <c r="AE82" i="4"/>
  <c r="AE83" i="4"/>
  <c r="AE84" i="4"/>
  <c r="AE85" i="4"/>
  <c r="AE86" i="4"/>
  <c r="AE87" i="4"/>
  <c r="AE88" i="4"/>
  <c r="AE89" i="4"/>
  <c r="AE90" i="4"/>
  <c r="AE91" i="4"/>
  <c r="AE92" i="4"/>
  <c r="AE93" i="4"/>
  <c r="AE94" i="4"/>
  <c r="AE95" i="4"/>
  <c r="AE96" i="4"/>
  <c r="AE97" i="4"/>
  <c r="X73" i="4"/>
  <c r="AE98" i="4"/>
  <c r="AE99" i="4"/>
  <c r="AE100" i="4"/>
  <c r="AE101" i="4"/>
  <c r="AE102" i="4"/>
  <c r="AE103" i="4"/>
  <c r="AE104" i="4"/>
  <c r="AE105" i="4"/>
  <c r="AE110" i="4"/>
  <c r="AE39" i="4"/>
  <c r="AD77" i="4"/>
  <c r="AD78" i="4"/>
  <c r="AD79" i="4"/>
  <c r="AD80" i="4"/>
  <c r="AD81" i="4"/>
  <c r="AD82" i="4"/>
  <c r="AD83" i="4"/>
  <c r="AD84" i="4"/>
  <c r="AD85" i="4"/>
  <c r="AD86" i="4"/>
  <c r="AD87" i="4"/>
  <c r="AD88" i="4"/>
  <c r="AD89" i="4"/>
  <c r="AD90" i="4"/>
  <c r="AD91" i="4"/>
  <c r="AD92" i="4"/>
  <c r="AD93" i="4"/>
  <c r="AD94" i="4"/>
  <c r="AD95" i="4"/>
  <c r="AD96" i="4"/>
  <c r="W73" i="4"/>
  <c r="AD97" i="4"/>
  <c r="AD98" i="4"/>
  <c r="AD99" i="4"/>
  <c r="AD100" i="4"/>
  <c r="AD101" i="4"/>
  <c r="AD102" i="4"/>
  <c r="AD103" i="4"/>
  <c r="AD104" i="4"/>
  <c r="AD110" i="4"/>
  <c r="AD39" i="4"/>
  <c r="AC77" i="4"/>
  <c r="AC78" i="4"/>
  <c r="AC79" i="4"/>
  <c r="AC80" i="4"/>
  <c r="AC81" i="4"/>
  <c r="AC82" i="4"/>
  <c r="AC83" i="4"/>
  <c r="AC84" i="4"/>
  <c r="AC85" i="4"/>
  <c r="AC86" i="4"/>
  <c r="AC87" i="4"/>
  <c r="AC88" i="4"/>
  <c r="AC89" i="4"/>
  <c r="AC90" i="4"/>
  <c r="AC91" i="4"/>
  <c r="AC92" i="4"/>
  <c r="AC93" i="4"/>
  <c r="AC94" i="4"/>
  <c r="AC95" i="4"/>
  <c r="V73" i="4"/>
  <c r="AC96" i="4"/>
  <c r="AC97" i="4"/>
  <c r="AC98" i="4"/>
  <c r="AC99" i="4"/>
  <c r="AC100" i="4"/>
  <c r="AC101" i="4"/>
  <c r="AC102" i="4"/>
  <c r="AC103" i="4"/>
  <c r="AC110" i="4"/>
  <c r="AC39" i="4"/>
  <c r="AB77" i="4"/>
  <c r="AB78" i="4"/>
  <c r="AB79" i="4"/>
  <c r="AB80" i="4"/>
  <c r="AB81" i="4"/>
  <c r="AB82" i="4"/>
  <c r="AB83" i="4"/>
  <c r="AB84" i="4"/>
  <c r="AB85" i="4"/>
  <c r="AB86" i="4"/>
  <c r="AB87" i="4"/>
  <c r="AB88" i="4"/>
  <c r="AB89" i="4"/>
  <c r="AB90" i="4"/>
  <c r="AB91" i="4"/>
  <c r="AB92" i="4"/>
  <c r="AB93" i="4"/>
  <c r="AB94" i="4"/>
  <c r="U73" i="4"/>
  <c r="AB95" i="4"/>
  <c r="AB96" i="4"/>
  <c r="AB97" i="4"/>
  <c r="AB98" i="4"/>
  <c r="AB99" i="4"/>
  <c r="AB100" i="4"/>
  <c r="AB101" i="4"/>
  <c r="AB102" i="4"/>
  <c r="AB110" i="4"/>
  <c r="AB39" i="4"/>
  <c r="AA77" i="4"/>
  <c r="AA78" i="4"/>
  <c r="AA79" i="4"/>
  <c r="AA80" i="4"/>
  <c r="AA81" i="4"/>
  <c r="AA82" i="4"/>
  <c r="AA83" i="4"/>
  <c r="AA84" i="4"/>
  <c r="AA85" i="4"/>
  <c r="AA86" i="4"/>
  <c r="AA87" i="4"/>
  <c r="AA88" i="4"/>
  <c r="AA89" i="4"/>
  <c r="AA90" i="4"/>
  <c r="AA91" i="4"/>
  <c r="AA92" i="4"/>
  <c r="AA93" i="4"/>
  <c r="T73" i="4"/>
  <c r="AA94" i="4"/>
  <c r="AA95" i="4"/>
  <c r="AA96" i="4"/>
  <c r="AA97" i="4"/>
  <c r="AA98" i="4"/>
  <c r="AA99" i="4"/>
  <c r="AA100" i="4"/>
  <c r="AA101" i="4"/>
  <c r="AA110" i="4"/>
  <c r="AA39" i="4"/>
  <c r="Z77" i="4"/>
  <c r="Z78" i="4"/>
  <c r="Z79" i="4"/>
  <c r="Z80" i="4"/>
  <c r="Z81" i="4"/>
  <c r="Z82" i="4"/>
  <c r="Z83" i="4"/>
  <c r="Z84" i="4"/>
  <c r="Z85" i="4"/>
  <c r="Z86" i="4"/>
  <c r="Z87" i="4"/>
  <c r="Z88" i="4"/>
  <c r="Z89" i="4"/>
  <c r="Z90" i="4"/>
  <c r="Z91" i="4"/>
  <c r="Z92" i="4"/>
  <c r="S73" i="4"/>
  <c r="Z93" i="4"/>
  <c r="Z94" i="4"/>
  <c r="Z95" i="4"/>
  <c r="Z96" i="4"/>
  <c r="Z97" i="4"/>
  <c r="Z98" i="4"/>
  <c r="Z99" i="4"/>
  <c r="Z100" i="4"/>
  <c r="Z110" i="4"/>
  <c r="Z39" i="4"/>
  <c r="Y77" i="4"/>
  <c r="Y78" i="4"/>
  <c r="Y79" i="4"/>
  <c r="Y80" i="4"/>
  <c r="Y81" i="4"/>
  <c r="Y82" i="4"/>
  <c r="Y83" i="4"/>
  <c r="Y84" i="4"/>
  <c r="Y85" i="4"/>
  <c r="Y86" i="4"/>
  <c r="Y87" i="4"/>
  <c r="Y88" i="4"/>
  <c r="Y89" i="4"/>
  <c r="Y90" i="4"/>
  <c r="Y91" i="4"/>
  <c r="R73" i="4"/>
  <c r="Y92" i="4"/>
  <c r="Y93" i="4"/>
  <c r="Y94" i="4"/>
  <c r="Y95" i="4"/>
  <c r="Y96" i="4"/>
  <c r="Y97" i="4"/>
  <c r="Y98" i="4"/>
  <c r="Y99" i="4"/>
  <c r="Y110" i="4"/>
  <c r="Y39" i="4"/>
  <c r="X77" i="4"/>
  <c r="X78" i="4"/>
  <c r="X79" i="4"/>
  <c r="X80" i="4"/>
  <c r="X81" i="4"/>
  <c r="X82" i="4"/>
  <c r="X83" i="4"/>
  <c r="X84" i="4"/>
  <c r="X85" i="4"/>
  <c r="X86" i="4"/>
  <c r="X87" i="4"/>
  <c r="X88" i="4"/>
  <c r="X89" i="4"/>
  <c r="X90" i="4"/>
  <c r="Q73" i="4"/>
  <c r="X91" i="4"/>
  <c r="X92" i="4"/>
  <c r="X93" i="4"/>
  <c r="X94" i="4"/>
  <c r="X95" i="4"/>
  <c r="X96" i="4"/>
  <c r="X97" i="4"/>
  <c r="X98" i="4"/>
  <c r="X110" i="4"/>
  <c r="X39" i="4"/>
  <c r="W77" i="4"/>
  <c r="W78" i="4"/>
  <c r="W79" i="4"/>
  <c r="W80" i="4"/>
  <c r="W81" i="4"/>
  <c r="W82" i="4"/>
  <c r="W83" i="4"/>
  <c r="W84" i="4"/>
  <c r="W85" i="4"/>
  <c r="W86" i="4"/>
  <c r="W87" i="4"/>
  <c r="W88" i="4"/>
  <c r="W89" i="4"/>
  <c r="P73" i="4"/>
  <c r="W90" i="4"/>
  <c r="W91" i="4"/>
  <c r="W92" i="4"/>
  <c r="W93" i="4"/>
  <c r="W94" i="4"/>
  <c r="W95" i="4"/>
  <c r="W96" i="4"/>
  <c r="W97" i="4"/>
  <c r="W110" i="4"/>
  <c r="W39" i="4"/>
  <c r="V77" i="4"/>
  <c r="V78" i="4"/>
  <c r="V79" i="4"/>
  <c r="V80" i="4"/>
  <c r="V81" i="4"/>
  <c r="V82" i="4"/>
  <c r="V83" i="4"/>
  <c r="V84" i="4"/>
  <c r="V85" i="4"/>
  <c r="V86" i="4"/>
  <c r="V87" i="4"/>
  <c r="V88" i="4"/>
  <c r="O73" i="4"/>
  <c r="V89" i="4"/>
  <c r="V90" i="4"/>
  <c r="V91" i="4"/>
  <c r="V92" i="4"/>
  <c r="V93" i="4"/>
  <c r="V94" i="4"/>
  <c r="V95" i="4"/>
  <c r="V96" i="4"/>
  <c r="V110" i="4"/>
  <c r="V39" i="4"/>
  <c r="U77" i="4"/>
  <c r="U78" i="4"/>
  <c r="U79" i="4"/>
  <c r="U80" i="4"/>
  <c r="U81" i="4"/>
  <c r="U82" i="4"/>
  <c r="U83" i="4"/>
  <c r="U84" i="4"/>
  <c r="U85" i="4"/>
  <c r="U86" i="4"/>
  <c r="U87" i="4"/>
  <c r="N73" i="4"/>
  <c r="U88" i="4"/>
  <c r="U89" i="4"/>
  <c r="U90" i="4"/>
  <c r="U91" i="4"/>
  <c r="U92" i="4"/>
  <c r="U93" i="4"/>
  <c r="U94" i="4"/>
  <c r="U95" i="4"/>
  <c r="U110" i="4"/>
  <c r="U39" i="4"/>
  <c r="T77" i="4"/>
  <c r="T78" i="4"/>
  <c r="T79" i="4"/>
  <c r="T80" i="4"/>
  <c r="T81" i="4"/>
  <c r="T82" i="4"/>
  <c r="T83" i="4"/>
  <c r="T84" i="4"/>
  <c r="T85" i="4"/>
  <c r="T86" i="4"/>
  <c r="M73" i="4"/>
  <c r="T87" i="4"/>
  <c r="T88" i="4"/>
  <c r="T89" i="4"/>
  <c r="T90" i="4"/>
  <c r="T91" i="4"/>
  <c r="T92" i="4"/>
  <c r="T93" i="4"/>
  <c r="T94" i="4"/>
  <c r="T110" i="4"/>
  <c r="T39" i="4"/>
  <c r="S77" i="4"/>
  <c r="S78" i="4"/>
  <c r="S79" i="4"/>
  <c r="S80" i="4"/>
  <c r="S81" i="4"/>
  <c r="S82" i="4"/>
  <c r="S83" i="4"/>
  <c r="S84" i="4"/>
  <c r="S85" i="4"/>
  <c r="L73" i="4"/>
  <c r="S86" i="4"/>
  <c r="S87" i="4"/>
  <c r="S88" i="4"/>
  <c r="S89" i="4"/>
  <c r="S90" i="4"/>
  <c r="S91" i="4"/>
  <c r="S92" i="4"/>
  <c r="S93" i="4"/>
  <c r="S110" i="4"/>
  <c r="S39" i="4"/>
  <c r="R77" i="4"/>
  <c r="R78" i="4"/>
  <c r="R79" i="4"/>
  <c r="R80" i="4"/>
  <c r="R81" i="4"/>
  <c r="R82" i="4"/>
  <c r="R83" i="4"/>
  <c r="R84" i="4"/>
  <c r="K73" i="4"/>
  <c r="R85" i="4"/>
  <c r="R86" i="4"/>
  <c r="R87" i="4"/>
  <c r="R88" i="4"/>
  <c r="R89" i="4"/>
  <c r="R90" i="4"/>
  <c r="R91" i="4"/>
  <c r="R92" i="4"/>
  <c r="R110" i="4"/>
  <c r="R39" i="4"/>
  <c r="Q77" i="4"/>
  <c r="Q78" i="4"/>
  <c r="Q79" i="4"/>
  <c r="Q80" i="4"/>
  <c r="Q81" i="4"/>
  <c r="Q82" i="4"/>
  <c r="Q83" i="4"/>
  <c r="J73" i="4"/>
  <c r="Q84" i="4"/>
  <c r="Q85" i="4"/>
  <c r="Q86" i="4"/>
  <c r="Q87" i="4"/>
  <c r="Q88" i="4"/>
  <c r="Q89" i="4"/>
  <c r="Q90" i="4"/>
  <c r="Q91" i="4"/>
  <c r="Q110" i="4"/>
  <c r="Q39" i="4"/>
  <c r="P77" i="4"/>
  <c r="P78" i="4"/>
  <c r="P79" i="4"/>
  <c r="P80" i="4"/>
  <c r="P81" i="4"/>
  <c r="P82" i="4"/>
  <c r="I73" i="4"/>
  <c r="P83" i="4"/>
  <c r="P84" i="4"/>
  <c r="P85" i="4"/>
  <c r="P86" i="4"/>
  <c r="P87" i="4"/>
  <c r="P88" i="4"/>
  <c r="P89" i="4"/>
  <c r="P90" i="4"/>
  <c r="P110" i="4"/>
  <c r="P39" i="4"/>
  <c r="O77" i="4"/>
  <c r="O78" i="4"/>
  <c r="O79" i="4"/>
  <c r="O80" i="4"/>
  <c r="O81" i="4"/>
  <c r="H73" i="4"/>
  <c r="O82" i="4"/>
  <c r="O83" i="4"/>
  <c r="O84" i="4"/>
  <c r="O85" i="4"/>
  <c r="O86" i="4"/>
  <c r="O87" i="4"/>
  <c r="O88" i="4"/>
  <c r="O89" i="4"/>
  <c r="O110" i="4"/>
  <c r="O39" i="4"/>
  <c r="N77" i="4"/>
  <c r="N78" i="4"/>
  <c r="N79" i="4"/>
  <c r="N80" i="4"/>
  <c r="G73" i="4"/>
  <c r="N81" i="4"/>
  <c r="N82" i="4"/>
  <c r="N83" i="4"/>
  <c r="N84" i="4"/>
  <c r="N85" i="4"/>
  <c r="N86" i="4"/>
  <c r="N87" i="4"/>
  <c r="N88" i="4"/>
  <c r="N110" i="4"/>
  <c r="N39" i="4"/>
  <c r="M77" i="4"/>
  <c r="M78" i="4"/>
  <c r="M79" i="4"/>
  <c r="F73" i="4"/>
  <c r="M80" i="4"/>
  <c r="M81" i="4"/>
  <c r="M82" i="4"/>
  <c r="M83" i="4"/>
  <c r="M84" i="4"/>
  <c r="M85" i="4"/>
  <c r="M86" i="4"/>
  <c r="M87" i="4"/>
  <c r="M110" i="4"/>
  <c r="M39" i="4"/>
  <c r="L77" i="4"/>
  <c r="L78" i="4"/>
  <c r="E73" i="4"/>
  <c r="L79" i="4"/>
  <c r="L80" i="4"/>
  <c r="L81" i="4"/>
  <c r="L82" i="4"/>
  <c r="L83" i="4"/>
  <c r="L84" i="4"/>
  <c r="L85" i="4"/>
  <c r="L86" i="4"/>
  <c r="L110" i="4"/>
  <c r="L39" i="4"/>
  <c r="K77" i="4"/>
  <c r="D73" i="4"/>
  <c r="K78" i="4"/>
  <c r="K79" i="4"/>
  <c r="K80" i="4"/>
  <c r="K81" i="4"/>
  <c r="K82" i="4"/>
  <c r="K83" i="4"/>
  <c r="K84" i="4"/>
  <c r="K85" i="4"/>
  <c r="K110" i="4"/>
  <c r="K39" i="4"/>
  <c r="C73" i="4"/>
  <c r="J77" i="4"/>
  <c r="J78" i="4"/>
  <c r="J79" i="4"/>
  <c r="J80" i="4"/>
  <c r="J81" i="4"/>
  <c r="J82" i="4"/>
  <c r="J83" i="4"/>
  <c r="J84" i="4"/>
  <c r="J110" i="4"/>
  <c r="J39" i="4"/>
  <c r="I77" i="4"/>
  <c r="I78" i="4"/>
  <c r="I79" i="4"/>
  <c r="I80" i="4"/>
  <c r="I81" i="4"/>
  <c r="I82" i="4"/>
  <c r="I83" i="4"/>
  <c r="I110" i="4"/>
  <c r="I39" i="4"/>
  <c r="H77" i="4"/>
  <c r="H78" i="4"/>
  <c r="H79" i="4"/>
  <c r="H80" i="4"/>
  <c r="H81" i="4"/>
  <c r="H82" i="4"/>
  <c r="H110" i="4"/>
  <c r="H39" i="4"/>
  <c r="G77" i="4"/>
  <c r="G78" i="4"/>
  <c r="G79" i="4"/>
  <c r="G80" i="4"/>
  <c r="G81" i="4"/>
  <c r="G110" i="4"/>
  <c r="G39" i="4"/>
  <c r="F77" i="4"/>
  <c r="F78" i="4"/>
  <c r="F79" i="4"/>
  <c r="F80" i="4"/>
  <c r="F110" i="4"/>
  <c r="F39" i="4"/>
  <c r="E77" i="4"/>
  <c r="E78" i="4"/>
  <c r="E79" i="4"/>
  <c r="E110" i="4"/>
  <c r="E39" i="4"/>
  <c r="D77" i="4"/>
  <c r="D78" i="4"/>
  <c r="D110" i="4"/>
  <c r="D39" i="4"/>
  <c r="C77" i="4"/>
  <c r="C110" i="4"/>
  <c r="C39" i="4"/>
  <c r="I10" i="3"/>
  <c r="I74" i="3"/>
  <c r="G10" i="3"/>
  <c r="G74" i="3"/>
  <c r="AI71" i="3"/>
  <c r="AH71" i="3"/>
  <c r="AG71" i="3"/>
  <c r="AF71" i="3"/>
  <c r="AE71" i="3"/>
  <c r="AD71" i="3"/>
  <c r="AC71" i="3"/>
  <c r="AB71" i="3"/>
  <c r="AA71" i="3"/>
  <c r="Z71" i="3"/>
  <c r="Y71" i="3"/>
  <c r="X71" i="3"/>
  <c r="W71" i="3"/>
  <c r="V71" i="3"/>
  <c r="U71" i="3"/>
  <c r="T71" i="3"/>
  <c r="S71" i="3"/>
  <c r="R71" i="3"/>
  <c r="Q71" i="3"/>
  <c r="P71" i="3"/>
  <c r="O71" i="3"/>
  <c r="N71" i="3"/>
  <c r="M71" i="3"/>
  <c r="L71" i="3"/>
  <c r="K71" i="3"/>
  <c r="J71" i="3"/>
  <c r="I71" i="3"/>
  <c r="H71" i="3"/>
  <c r="G71" i="3"/>
  <c r="F71" i="3"/>
  <c r="E71" i="3"/>
  <c r="D71" i="3"/>
  <c r="AJ79" i="3"/>
  <c r="AJ80" i="3"/>
  <c r="AJ81" i="3"/>
  <c r="AJ82" i="3"/>
  <c r="AJ83" i="3"/>
  <c r="AJ84" i="3"/>
  <c r="AJ85" i="3"/>
  <c r="AJ86" i="3"/>
  <c r="AJ87" i="3"/>
  <c r="AJ88" i="3"/>
  <c r="AJ89" i="3"/>
  <c r="AJ90" i="3"/>
  <c r="AJ91" i="3"/>
  <c r="AJ92" i="3"/>
  <c r="AJ93" i="3"/>
  <c r="AJ94" i="3"/>
  <c r="AJ95" i="3"/>
  <c r="AJ96" i="3"/>
  <c r="AJ97" i="3"/>
  <c r="AJ98" i="3"/>
  <c r="AJ99" i="3"/>
  <c r="AJ100" i="3"/>
  <c r="AJ101" i="3"/>
  <c r="AJ102" i="3"/>
  <c r="AJ103" i="3"/>
  <c r="AJ104" i="3"/>
  <c r="AJ105" i="3"/>
  <c r="AJ106" i="3"/>
  <c r="AJ107" i="3"/>
  <c r="AJ108" i="3"/>
  <c r="AJ109" i="3"/>
  <c r="AJ110" i="3"/>
  <c r="AJ111" i="3"/>
  <c r="AJ112" i="3"/>
  <c r="AJ74" i="3"/>
  <c r="AK112" i="3"/>
  <c r="AK113" i="3"/>
  <c r="A74" i="3"/>
  <c r="B72" i="3"/>
  <c r="A72" i="3"/>
  <c r="AI71" i="6"/>
  <c r="AH71" i="6"/>
  <c r="AG71" i="6"/>
  <c r="AF71" i="6"/>
  <c r="AE71" i="6"/>
  <c r="AD71" i="6"/>
  <c r="AC71" i="6"/>
  <c r="AB71" i="6"/>
  <c r="AA71" i="6"/>
  <c r="Z71" i="6"/>
  <c r="Y71" i="6"/>
  <c r="X71" i="6"/>
  <c r="W71" i="6"/>
  <c r="V71" i="6"/>
  <c r="U71" i="6"/>
  <c r="T71" i="6"/>
  <c r="S71" i="6"/>
  <c r="R71" i="6"/>
  <c r="Q71" i="6"/>
  <c r="P71" i="6"/>
  <c r="O71" i="6"/>
  <c r="N71" i="6"/>
  <c r="M71" i="6"/>
  <c r="L71" i="6"/>
  <c r="K71" i="6"/>
  <c r="J71" i="6"/>
  <c r="I71" i="6"/>
  <c r="H71" i="6"/>
  <c r="G71" i="6"/>
  <c r="F71" i="6"/>
  <c r="E71" i="6"/>
  <c r="D71" i="6"/>
  <c r="A74" i="6"/>
  <c r="AJ78" i="6"/>
  <c r="AJ79" i="6"/>
  <c r="AJ80" i="6"/>
  <c r="AJ81" i="6"/>
  <c r="AJ82" i="6"/>
  <c r="AJ83" i="6"/>
  <c r="AJ84" i="6"/>
  <c r="AJ85" i="6"/>
  <c r="AJ86" i="6"/>
  <c r="AJ87" i="6"/>
  <c r="AJ88" i="6"/>
  <c r="AJ89" i="6"/>
  <c r="AJ90" i="6"/>
  <c r="AJ91" i="6"/>
  <c r="AJ92" i="6"/>
  <c r="AJ93" i="6"/>
  <c r="AJ94" i="6"/>
  <c r="AJ95" i="6"/>
  <c r="AJ96" i="6"/>
  <c r="AJ97" i="6"/>
  <c r="AJ98" i="6"/>
  <c r="AJ99" i="6"/>
  <c r="AJ100" i="6"/>
  <c r="AJ101" i="6"/>
  <c r="AJ102" i="6"/>
  <c r="AJ103" i="6"/>
  <c r="AJ104" i="6"/>
  <c r="AJ105" i="6"/>
  <c r="AJ106" i="6"/>
  <c r="AJ107" i="6"/>
  <c r="AJ108" i="6"/>
  <c r="AJ109" i="6"/>
  <c r="AJ110" i="6"/>
  <c r="AJ111" i="6"/>
  <c r="AJ74" i="6"/>
  <c r="AK111" i="6"/>
  <c r="AK112" i="6"/>
  <c r="B72" i="6"/>
  <c r="A72" i="6"/>
  <c r="C71" i="6"/>
  <c r="AJ73" i="4"/>
  <c r="C70" i="4"/>
  <c r="D70" i="4"/>
  <c r="E70" i="4"/>
  <c r="F70" i="4"/>
  <c r="G70" i="4"/>
  <c r="H70" i="4"/>
  <c r="I70" i="4"/>
  <c r="J70" i="4"/>
  <c r="K70" i="4"/>
  <c r="L70" i="4"/>
  <c r="M70" i="4"/>
  <c r="N70" i="4"/>
  <c r="O70" i="4"/>
  <c r="P70" i="4"/>
  <c r="Q70" i="4"/>
  <c r="R70" i="4"/>
  <c r="S70" i="4"/>
  <c r="T70" i="4"/>
  <c r="U70" i="4"/>
  <c r="V70" i="4"/>
  <c r="W70" i="4"/>
  <c r="X70" i="4"/>
  <c r="Y70" i="4"/>
  <c r="Z70" i="4"/>
  <c r="AA70" i="4"/>
  <c r="AB70" i="4"/>
  <c r="AC70" i="4"/>
  <c r="AD70" i="4"/>
  <c r="AE70" i="4"/>
  <c r="AF70" i="4"/>
  <c r="AG70" i="4"/>
  <c r="AH70" i="4"/>
  <c r="AI70" i="4"/>
  <c r="A71" i="4"/>
  <c r="B71" i="4"/>
  <c r="A73" i="4"/>
  <c r="AJ77" i="4"/>
  <c r="AJ78" i="4"/>
  <c r="AJ79" i="4"/>
  <c r="AJ80" i="4"/>
  <c r="AJ85" i="4"/>
  <c r="AJ86" i="4"/>
  <c r="AJ87" i="4"/>
  <c r="AJ88" i="4"/>
  <c r="AJ89" i="4"/>
  <c r="AJ90" i="4"/>
  <c r="AJ91" i="4"/>
  <c r="AJ92" i="4"/>
  <c r="AJ93" i="4"/>
  <c r="AJ94" i="4"/>
  <c r="AJ95" i="4"/>
  <c r="AJ96" i="4"/>
  <c r="AJ97" i="4"/>
  <c r="AJ98" i="4"/>
  <c r="AJ99" i="4"/>
  <c r="AJ100" i="4"/>
  <c r="AJ101" i="4"/>
  <c r="AJ102" i="4"/>
  <c r="AJ103" i="4"/>
  <c r="AJ104" i="4"/>
  <c r="AJ105" i="4"/>
  <c r="AJ106" i="4"/>
  <c r="AJ107" i="4"/>
  <c r="AJ108" i="4"/>
  <c r="AJ109" i="4"/>
  <c r="AJ81" i="4"/>
  <c r="AJ82" i="4"/>
  <c r="AJ83" i="4"/>
  <c r="AJ84" i="4"/>
  <c r="AJ110" i="4"/>
  <c r="AK110" i="4"/>
  <c r="AK111" i="4"/>
  <c r="C4" i="7"/>
  <c r="C11" i="6"/>
  <c r="C12" i="6"/>
  <c r="C6" i="7"/>
  <c r="C8" i="6"/>
  <c r="C8" i="7"/>
  <c r="C10" i="7"/>
  <c r="D4" i="7"/>
  <c r="D11" i="6"/>
  <c r="D12" i="6"/>
  <c r="D6" i="7"/>
  <c r="D8" i="6"/>
  <c r="D8" i="7"/>
  <c r="D10" i="7"/>
  <c r="E4" i="7"/>
  <c r="E11" i="6"/>
  <c r="E12" i="6"/>
  <c r="E6" i="7"/>
  <c r="E8" i="6"/>
  <c r="E8" i="7"/>
  <c r="E10" i="7"/>
  <c r="F4" i="7"/>
  <c r="F11" i="6"/>
  <c r="F12" i="6"/>
  <c r="F6" i="7"/>
  <c r="F8" i="6"/>
  <c r="F8" i="7"/>
  <c r="F10" i="7"/>
  <c r="G4" i="7"/>
  <c r="G11" i="6"/>
  <c r="G12" i="6"/>
  <c r="G6" i="7"/>
  <c r="G8" i="6"/>
  <c r="G8" i="7"/>
  <c r="G10" i="7"/>
  <c r="H4" i="7"/>
  <c r="H11" i="6"/>
  <c r="H12" i="6"/>
  <c r="H6" i="7"/>
  <c r="H8" i="6"/>
  <c r="H8" i="7"/>
  <c r="H10" i="7"/>
  <c r="I4" i="7"/>
  <c r="I11" i="6"/>
  <c r="I12" i="6"/>
  <c r="I6" i="7"/>
  <c r="I8" i="6"/>
  <c r="I8" i="7"/>
  <c r="I10" i="7"/>
  <c r="J4" i="7"/>
  <c r="J11" i="6"/>
  <c r="J12" i="6"/>
  <c r="J6" i="7"/>
  <c r="J8" i="6"/>
  <c r="J8" i="7"/>
  <c r="J10" i="7"/>
  <c r="K4" i="7"/>
  <c r="K11" i="6"/>
  <c r="K12" i="6"/>
  <c r="K6" i="7"/>
  <c r="K8" i="6"/>
  <c r="K8" i="7"/>
  <c r="K10" i="7"/>
  <c r="L4" i="7"/>
  <c r="L11" i="6"/>
  <c r="L12" i="6"/>
  <c r="L6" i="7"/>
  <c r="L8" i="6"/>
  <c r="L8" i="7"/>
  <c r="L10" i="7"/>
  <c r="M4" i="7"/>
  <c r="M11" i="6"/>
  <c r="M12" i="6"/>
  <c r="M6" i="7"/>
  <c r="M8" i="6"/>
  <c r="M8" i="7"/>
  <c r="M10" i="7"/>
  <c r="N4" i="7"/>
  <c r="N11" i="6"/>
  <c r="N12" i="6"/>
  <c r="N6" i="7"/>
  <c r="N8" i="6"/>
  <c r="N8" i="7"/>
  <c r="N10" i="7"/>
  <c r="O4" i="7"/>
  <c r="O11" i="6"/>
  <c r="O12" i="6"/>
  <c r="O6" i="7"/>
  <c r="O8" i="6"/>
  <c r="O8" i="7"/>
  <c r="O10" i="7"/>
  <c r="P4" i="7"/>
  <c r="P11" i="6"/>
  <c r="P12" i="6"/>
  <c r="P6" i="7"/>
  <c r="P8" i="6"/>
  <c r="P8" i="7"/>
  <c r="P10" i="7"/>
  <c r="Q4" i="7"/>
  <c r="Q11" i="6"/>
  <c r="Q12" i="6"/>
  <c r="Q6" i="7"/>
  <c r="Q8" i="6"/>
  <c r="Q8" i="7"/>
  <c r="Q10" i="7"/>
  <c r="R4" i="7"/>
  <c r="R11" i="6"/>
  <c r="R12" i="6"/>
  <c r="R6" i="7"/>
  <c r="R8" i="6"/>
  <c r="R8" i="7"/>
  <c r="R10" i="7"/>
  <c r="S4" i="7"/>
  <c r="S11" i="6"/>
  <c r="S12" i="6"/>
  <c r="S6" i="7"/>
  <c r="S8" i="6"/>
  <c r="S8" i="7"/>
  <c r="S10" i="7"/>
  <c r="T4" i="7"/>
  <c r="T11" i="6"/>
  <c r="T12" i="6"/>
  <c r="T6" i="7"/>
  <c r="T8" i="6"/>
  <c r="T8" i="7"/>
  <c r="T10" i="7"/>
  <c r="U4" i="7"/>
  <c r="U11" i="6"/>
  <c r="U12" i="6"/>
  <c r="U6" i="7"/>
  <c r="U8" i="6"/>
  <c r="U8" i="7"/>
  <c r="U10" i="7"/>
  <c r="V4" i="7"/>
  <c r="V11" i="6"/>
  <c r="V12" i="6"/>
  <c r="V6" i="7"/>
  <c r="V8" i="6"/>
  <c r="V8" i="7"/>
  <c r="V10" i="7"/>
  <c r="W4" i="7"/>
  <c r="W11" i="6"/>
  <c r="W12" i="6"/>
  <c r="W6" i="7"/>
  <c r="W8" i="6"/>
  <c r="W8" i="7"/>
  <c r="W10" i="7"/>
  <c r="X4" i="7"/>
  <c r="X11" i="6"/>
  <c r="X12" i="6"/>
  <c r="X6" i="7"/>
  <c r="X8" i="6"/>
  <c r="X8" i="7"/>
  <c r="X10" i="7"/>
  <c r="Y4" i="7"/>
  <c r="Y11" i="6"/>
  <c r="Y12" i="6"/>
  <c r="Y6" i="7"/>
  <c r="Y8" i="6"/>
  <c r="Y8" i="7"/>
  <c r="Y10" i="7"/>
  <c r="Z4" i="7"/>
  <c r="Z11" i="6"/>
  <c r="Z12" i="6"/>
  <c r="Z6" i="7"/>
  <c r="Z8" i="6"/>
  <c r="Z8" i="7"/>
  <c r="Z10" i="7"/>
  <c r="AA4" i="7"/>
  <c r="AA11" i="6"/>
  <c r="AA12" i="6"/>
  <c r="AA6" i="7"/>
  <c r="AA8" i="6"/>
  <c r="AA8" i="7"/>
  <c r="AA10" i="7"/>
  <c r="AB4" i="7"/>
  <c r="AB11" i="6"/>
  <c r="AB12" i="6"/>
  <c r="AB6" i="7"/>
  <c r="AB8" i="6"/>
  <c r="AB8" i="7"/>
  <c r="AB10" i="7"/>
  <c r="AC4" i="7"/>
  <c r="AC11" i="6"/>
  <c r="AC12" i="6"/>
  <c r="AC6" i="7"/>
  <c r="AC8" i="6"/>
  <c r="AC8" i="7"/>
  <c r="AC10" i="7"/>
  <c r="AD4" i="7"/>
  <c r="AD11" i="6"/>
  <c r="AD12" i="6"/>
  <c r="AD6" i="7"/>
  <c r="AD8" i="6"/>
  <c r="AD8" i="7"/>
  <c r="AD10" i="7"/>
  <c r="AE4" i="7"/>
  <c r="AE11" i="6"/>
  <c r="AE12" i="6"/>
  <c r="AE6" i="7"/>
  <c r="AE8" i="6"/>
  <c r="AE8" i="7"/>
  <c r="AE10" i="7"/>
  <c r="AF4" i="7"/>
  <c r="AF11" i="6"/>
  <c r="AF12" i="6"/>
  <c r="AF6" i="7"/>
  <c r="AF8" i="6"/>
  <c r="AF8" i="7"/>
  <c r="AF10" i="7"/>
  <c r="AG4" i="7"/>
  <c r="AG11" i="6"/>
  <c r="AG12" i="6"/>
  <c r="AG6" i="7"/>
  <c r="AG8" i="6"/>
  <c r="AG8" i="7"/>
  <c r="AG10" i="7"/>
  <c r="AH4" i="7"/>
  <c r="AH11" i="6"/>
  <c r="AH12" i="6"/>
  <c r="AH6" i="7"/>
  <c r="AH8" i="6"/>
  <c r="AH8" i="7"/>
  <c r="AH10" i="7"/>
  <c r="AI4" i="7"/>
  <c r="AI11" i="6"/>
  <c r="AI12" i="6"/>
  <c r="AI6" i="7"/>
  <c r="AI8" i="6"/>
  <c r="AI8" i="7"/>
  <c r="AI10" i="7"/>
  <c r="C26" i="4"/>
  <c r="C29" i="4"/>
  <c r="C28" i="4"/>
  <c r="C17" i="4"/>
  <c r="C30" i="4"/>
  <c r="C31" i="4"/>
  <c r="C32" i="4"/>
  <c r="C33" i="4"/>
  <c r="C34" i="4"/>
  <c r="C4" i="5"/>
  <c r="C15" i="4"/>
  <c r="C14" i="4"/>
  <c r="C6" i="5"/>
  <c r="C8" i="5"/>
  <c r="C10" i="5"/>
  <c r="D26" i="4"/>
  <c r="D29" i="4"/>
  <c r="D28" i="4"/>
  <c r="D17" i="4"/>
  <c r="D30" i="4"/>
  <c r="D31" i="4"/>
  <c r="D32" i="4"/>
  <c r="D33" i="4"/>
  <c r="D34" i="4"/>
  <c r="D4" i="5"/>
  <c r="D15" i="4"/>
  <c r="D14" i="4"/>
  <c r="D6" i="5"/>
  <c r="D5" i="4"/>
  <c r="D8" i="5"/>
  <c r="D10" i="5"/>
  <c r="E26" i="4"/>
  <c r="E29" i="4"/>
  <c r="E28" i="4"/>
  <c r="E17" i="4"/>
  <c r="E30" i="4"/>
  <c r="E31" i="4"/>
  <c r="E32" i="4"/>
  <c r="E33" i="4"/>
  <c r="E34" i="4"/>
  <c r="E4" i="5"/>
  <c r="E15" i="4"/>
  <c r="E14" i="4"/>
  <c r="E6" i="5"/>
  <c r="E5" i="4"/>
  <c r="E8" i="5"/>
  <c r="E10" i="5"/>
  <c r="F26" i="4"/>
  <c r="F29" i="4"/>
  <c r="F28" i="4"/>
  <c r="F17" i="4"/>
  <c r="F30" i="4"/>
  <c r="F31" i="4"/>
  <c r="F32" i="4"/>
  <c r="F33" i="4"/>
  <c r="F34" i="4"/>
  <c r="F4" i="5"/>
  <c r="F15" i="4"/>
  <c r="F14" i="4"/>
  <c r="F6" i="5"/>
  <c r="F5" i="4"/>
  <c r="F8" i="5"/>
  <c r="F10" i="5"/>
  <c r="G26" i="4"/>
  <c r="G29" i="4"/>
  <c r="G28" i="4"/>
  <c r="G17" i="4"/>
  <c r="G30" i="4"/>
  <c r="G31" i="4"/>
  <c r="G32" i="4"/>
  <c r="G33" i="4"/>
  <c r="G34" i="4"/>
  <c r="G4" i="5"/>
  <c r="G15" i="4"/>
  <c r="G14" i="4"/>
  <c r="G6" i="5"/>
  <c r="G5" i="4"/>
  <c r="G8" i="5"/>
  <c r="G10" i="5"/>
  <c r="H26" i="4"/>
  <c r="H29" i="4"/>
  <c r="H28" i="4"/>
  <c r="H17" i="4"/>
  <c r="H30" i="4"/>
  <c r="H31" i="4"/>
  <c r="H32" i="4"/>
  <c r="H33" i="4"/>
  <c r="H34" i="4"/>
  <c r="H4" i="5"/>
  <c r="H15" i="4"/>
  <c r="H14" i="4"/>
  <c r="H6" i="5"/>
  <c r="H5" i="4"/>
  <c r="H8" i="5"/>
  <c r="H10" i="5"/>
  <c r="I26" i="4"/>
  <c r="I29" i="4"/>
  <c r="I28" i="4"/>
  <c r="I17" i="4"/>
  <c r="I30" i="4"/>
  <c r="I31" i="4"/>
  <c r="I32" i="4"/>
  <c r="I33" i="4"/>
  <c r="I34" i="4"/>
  <c r="I4" i="5"/>
  <c r="I15" i="4"/>
  <c r="I14" i="4"/>
  <c r="I6" i="5"/>
  <c r="I5" i="4"/>
  <c r="I8" i="5"/>
  <c r="I10" i="5"/>
  <c r="J26" i="4"/>
  <c r="J29" i="4"/>
  <c r="J28" i="4"/>
  <c r="J17" i="4"/>
  <c r="J30" i="4"/>
  <c r="J31" i="4"/>
  <c r="J32" i="4"/>
  <c r="J33" i="4"/>
  <c r="J34" i="4"/>
  <c r="J4" i="5"/>
  <c r="J15" i="4"/>
  <c r="J14" i="4"/>
  <c r="J6" i="5"/>
  <c r="J5" i="4"/>
  <c r="J8" i="5"/>
  <c r="J10" i="5"/>
  <c r="K26" i="4"/>
  <c r="K29" i="4"/>
  <c r="K28" i="4"/>
  <c r="K17" i="4"/>
  <c r="K30" i="4"/>
  <c r="K31" i="4"/>
  <c r="K32" i="4"/>
  <c r="K33" i="4"/>
  <c r="K34" i="4"/>
  <c r="K4" i="5"/>
  <c r="K15" i="4"/>
  <c r="K14" i="4"/>
  <c r="K6" i="5"/>
  <c r="K5" i="4"/>
  <c r="K8" i="5"/>
  <c r="K10" i="5"/>
  <c r="L26" i="4"/>
  <c r="L29" i="4"/>
  <c r="L28" i="4"/>
  <c r="L17" i="4"/>
  <c r="L30" i="4"/>
  <c r="L31" i="4"/>
  <c r="L32" i="4"/>
  <c r="L33" i="4"/>
  <c r="L34" i="4"/>
  <c r="L4" i="5"/>
  <c r="L15" i="4"/>
  <c r="L14" i="4"/>
  <c r="L6" i="5"/>
  <c r="L5" i="4"/>
  <c r="L8" i="5"/>
  <c r="L10" i="5"/>
  <c r="M26" i="4"/>
  <c r="M29" i="4"/>
  <c r="M28" i="4"/>
  <c r="M17" i="4"/>
  <c r="M30" i="4"/>
  <c r="M31" i="4"/>
  <c r="M32" i="4"/>
  <c r="M33" i="4"/>
  <c r="M34" i="4"/>
  <c r="M4" i="5"/>
  <c r="M15" i="4"/>
  <c r="M14" i="4"/>
  <c r="M6" i="5"/>
  <c r="M5" i="4"/>
  <c r="M8" i="5"/>
  <c r="M10" i="5"/>
  <c r="N26" i="4"/>
  <c r="N29" i="4"/>
  <c r="N28" i="4"/>
  <c r="N17" i="4"/>
  <c r="N30" i="4"/>
  <c r="N31" i="4"/>
  <c r="N32" i="4"/>
  <c r="N33" i="4"/>
  <c r="N34" i="4"/>
  <c r="N4" i="5"/>
  <c r="N15" i="4"/>
  <c r="N14" i="4"/>
  <c r="N6" i="5"/>
  <c r="N5" i="4"/>
  <c r="N8" i="5"/>
  <c r="N10" i="5"/>
  <c r="O26" i="4"/>
  <c r="O29" i="4"/>
  <c r="O28" i="4"/>
  <c r="O17" i="4"/>
  <c r="O30" i="4"/>
  <c r="O31" i="4"/>
  <c r="O32" i="4"/>
  <c r="O33" i="4"/>
  <c r="O34" i="4"/>
  <c r="O4" i="5"/>
  <c r="O15" i="4"/>
  <c r="O14" i="4"/>
  <c r="O6" i="5"/>
  <c r="O5" i="4"/>
  <c r="O8" i="5"/>
  <c r="O10" i="5"/>
  <c r="P26" i="4"/>
  <c r="P29" i="4"/>
  <c r="P28" i="4"/>
  <c r="P17" i="4"/>
  <c r="P30" i="4"/>
  <c r="P31" i="4"/>
  <c r="P32" i="4"/>
  <c r="P33" i="4"/>
  <c r="P34" i="4"/>
  <c r="P4" i="5"/>
  <c r="P15" i="4"/>
  <c r="P14" i="4"/>
  <c r="P6" i="5"/>
  <c r="P5" i="4"/>
  <c r="P8" i="5"/>
  <c r="P10" i="5"/>
  <c r="Q26" i="4"/>
  <c r="Q29" i="4"/>
  <c r="Q28" i="4"/>
  <c r="Q17" i="4"/>
  <c r="Q30" i="4"/>
  <c r="Q31" i="4"/>
  <c r="Q32" i="4"/>
  <c r="Q33" i="4"/>
  <c r="Q34" i="4"/>
  <c r="Q4" i="5"/>
  <c r="Q15" i="4"/>
  <c r="Q14" i="4"/>
  <c r="Q6" i="5"/>
  <c r="Q5" i="4"/>
  <c r="Q8" i="5"/>
  <c r="Q10" i="5"/>
  <c r="R26" i="4"/>
  <c r="R29" i="4"/>
  <c r="R28" i="4"/>
  <c r="R17" i="4"/>
  <c r="R30" i="4"/>
  <c r="R31" i="4"/>
  <c r="R32" i="4"/>
  <c r="R33" i="4"/>
  <c r="R34" i="4"/>
  <c r="R4" i="5"/>
  <c r="R15" i="4"/>
  <c r="R14" i="4"/>
  <c r="R6" i="5"/>
  <c r="R5" i="4"/>
  <c r="R8" i="5"/>
  <c r="R10" i="5"/>
  <c r="S26" i="4"/>
  <c r="S29" i="4"/>
  <c r="S28" i="4"/>
  <c r="S17" i="4"/>
  <c r="S30" i="4"/>
  <c r="S31" i="4"/>
  <c r="S32" i="4"/>
  <c r="S33" i="4"/>
  <c r="S34" i="4"/>
  <c r="S4" i="5"/>
  <c r="S15" i="4"/>
  <c r="S14" i="4"/>
  <c r="S6" i="5"/>
  <c r="S5" i="4"/>
  <c r="S8" i="5"/>
  <c r="S10" i="5"/>
  <c r="T26" i="4"/>
  <c r="T29" i="4"/>
  <c r="T28" i="4"/>
  <c r="T17" i="4"/>
  <c r="T30" i="4"/>
  <c r="T31" i="4"/>
  <c r="T32" i="4"/>
  <c r="T33" i="4"/>
  <c r="T34" i="4"/>
  <c r="T4" i="5"/>
  <c r="T15" i="4"/>
  <c r="T14" i="4"/>
  <c r="T6" i="5"/>
  <c r="T5" i="4"/>
  <c r="T8" i="5"/>
  <c r="T10" i="5"/>
  <c r="U26" i="4"/>
  <c r="U29" i="4"/>
  <c r="U28" i="4"/>
  <c r="U17" i="4"/>
  <c r="U30" i="4"/>
  <c r="U31" i="4"/>
  <c r="U32" i="4"/>
  <c r="U33" i="4"/>
  <c r="U34" i="4"/>
  <c r="U4" i="5"/>
  <c r="U15" i="4"/>
  <c r="U14" i="4"/>
  <c r="U6" i="5"/>
  <c r="U5" i="4"/>
  <c r="U8" i="5"/>
  <c r="U10" i="5"/>
  <c r="V26" i="4"/>
  <c r="V29" i="4"/>
  <c r="V28" i="4"/>
  <c r="V17" i="4"/>
  <c r="V30" i="4"/>
  <c r="V31" i="4"/>
  <c r="V32" i="4"/>
  <c r="V33" i="4"/>
  <c r="V34" i="4"/>
  <c r="V4" i="5"/>
  <c r="V15" i="4"/>
  <c r="V14" i="4"/>
  <c r="V6" i="5"/>
  <c r="V5" i="4"/>
  <c r="V8" i="5"/>
  <c r="V10" i="5"/>
  <c r="W26" i="4"/>
  <c r="W29" i="4"/>
  <c r="W28" i="4"/>
  <c r="W17" i="4"/>
  <c r="W30" i="4"/>
  <c r="W31" i="4"/>
  <c r="W32" i="4"/>
  <c r="W33" i="4"/>
  <c r="W34" i="4"/>
  <c r="W4" i="5"/>
  <c r="W15" i="4"/>
  <c r="W14" i="4"/>
  <c r="W6" i="5"/>
  <c r="W5" i="4"/>
  <c r="W8" i="5"/>
  <c r="W10" i="5"/>
  <c r="X26" i="4"/>
  <c r="X29" i="4"/>
  <c r="X28" i="4"/>
  <c r="X17" i="4"/>
  <c r="X30" i="4"/>
  <c r="X31" i="4"/>
  <c r="X32" i="4"/>
  <c r="X33" i="4"/>
  <c r="X34" i="4"/>
  <c r="X4" i="5"/>
  <c r="X15" i="4"/>
  <c r="X14" i="4"/>
  <c r="X6" i="5"/>
  <c r="X5" i="4"/>
  <c r="X8" i="5"/>
  <c r="X10" i="5"/>
  <c r="Y26" i="4"/>
  <c r="Y29" i="4"/>
  <c r="Y28" i="4"/>
  <c r="Y17" i="4"/>
  <c r="Y30" i="4"/>
  <c r="Y31" i="4"/>
  <c r="Y32" i="4"/>
  <c r="Y33" i="4"/>
  <c r="Y34" i="4"/>
  <c r="Y4" i="5"/>
  <c r="Y15" i="4"/>
  <c r="Y14" i="4"/>
  <c r="Y6" i="5"/>
  <c r="Y5" i="4"/>
  <c r="Y8" i="5"/>
  <c r="Y10" i="5"/>
  <c r="Z26" i="4"/>
  <c r="Z29" i="4"/>
  <c r="Z28" i="4"/>
  <c r="Z17" i="4"/>
  <c r="Z30" i="4"/>
  <c r="Z31" i="4"/>
  <c r="Z32" i="4"/>
  <c r="Z33" i="4"/>
  <c r="Z34" i="4"/>
  <c r="Z4" i="5"/>
  <c r="Z15" i="4"/>
  <c r="Z14" i="4"/>
  <c r="Z6" i="5"/>
  <c r="Z5" i="4"/>
  <c r="Z8" i="5"/>
  <c r="Z10" i="5"/>
  <c r="AA26" i="4"/>
  <c r="AA29" i="4"/>
  <c r="AA28" i="4"/>
  <c r="AA17" i="4"/>
  <c r="AA30" i="4"/>
  <c r="AA31" i="4"/>
  <c r="AA32" i="4"/>
  <c r="AA33" i="4"/>
  <c r="AA34" i="4"/>
  <c r="AA4" i="5"/>
  <c r="AA15" i="4"/>
  <c r="AA14" i="4"/>
  <c r="AA6" i="5"/>
  <c r="AA5" i="4"/>
  <c r="AA8" i="5"/>
  <c r="AA10" i="5"/>
  <c r="AB26" i="4"/>
  <c r="AB29" i="4"/>
  <c r="AB28" i="4"/>
  <c r="AB17" i="4"/>
  <c r="AB30" i="4"/>
  <c r="AB31" i="4"/>
  <c r="AB32" i="4"/>
  <c r="AB33" i="4"/>
  <c r="AB34" i="4"/>
  <c r="AB4" i="5"/>
  <c r="AB15" i="4"/>
  <c r="AB14" i="4"/>
  <c r="AB6" i="5"/>
  <c r="AB5" i="4"/>
  <c r="AB8" i="5"/>
  <c r="AB10" i="5"/>
  <c r="AC26" i="4"/>
  <c r="AC29" i="4"/>
  <c r="AC28" i="4"/>
  <c r="AC17" i="4"/>
  <c r="AC30" i="4"/>
  <c r="AC31" i="4"/>
  <c r="AC32" i="4"/>
  <c r="AC33" i="4"/>
  <c r="AC34" i="4"/>
  <c r="AC4" i="5"/>
  <c r="AC15" i="4"/>
  <c r="AC14" i="4"/>
  <c r="AC6" i="5"/>
  <c r="AC5" i="4"/>
  <c r="AC8" i="5"/>
  <c r="AC10" i="5"/>
  <c r="AD26" i="4"/>
  <c r="AD29" i="4"/>
  <c r="AD28" i="4"/>
  <c r="AD17" i="4"/>
  <c r="AD30" i="4"/>
  <c r="AD31" i="4"/>
  <c r="AD32" i="4"/>
  <c r="AD33" i="4"/>
  <c r="AD34" i="4"/>
  <c r="AD4" i="5"/>
  <c r="AD15" i="4"/>
  <c r="AD14" i="4"/>
  <c r="AD6" i="5"/>
  <c r="AD5" i="4"/>
  <c r="AD8" i="5"/>
  <c r="AD10" i="5"/>
  <c r="AE26" i="4"/>
  <c r="AE29" i="4"/>
  <c r="AE28" i="4"/>
  <c r="AE17" i="4"/>
  <c r="AE30" i="4"/>
  <c r="AE31" i="4"/>
  <c r="AE32" i="4"/>
  <c r="AE33" i="4"/>
  <c r="AE34" i="4"/>
  <c r="AE4" i="5"/>
  <c r="AE15" i="4"/>
  <c r="AE14" i="4"/>
  <c r="AE6" i="5"/>
  <c r="AE5" i="4"/>
  <c r="AE8" i="5"/>
  <c r="AE10" i="5"/>
  <c r="AF26" i="4"/>
  <c r="AF29" i="4"/>
  <c r="AF28" i="4"/>
  <c r="AF17" i="4"/>
  <c r="AF30" i="4"/>
  <c r="AF31" i="4"/>
  <c r="AF32" i="4"/>
  <c r="AF33" i="4"/>
  <c r="AF34" i="4"/>
  <c r="AF4" i="5"/>
  <c r="AF15" i="4"/>
  <c r="AF14" i="4"/>
  <c r="AF6" i="5"/>
  <c r="AF5" i="4"/>
  <c r="AF8" i="5"/>
  <c r="AF10" i="5"/>
  <c r="AG26" i="4"/>
  <c r="AG29" i="4"/>
  <c r="AG28" i="4"/>
  <c r="AG17" i="4"/>
  <c r="AG30" i="4"/>
  <c r="AG31" i="4"/>
  <c r="AG32" i="4"/>
  <c r="AG33" i="4"/>
  <c r="AG34" i="4"/>
  <c r="AG4" i="5"/>
  <c r="AG15" i="4"/>
  <c r="AG14" i="4"/>
  <c r="AG6" i="5"/>
  <c r="AG5" i="4"/>
  <c r="AG8" i="5"/>
  <c r="AG10" i="5"/>
  <c r="AH26" i="4"/>
  <c r="AH29" i="4"/>
  <c r="AH28" i="4"/>
  <c r="AH17" i="4"/>
  <c r="AH30" i="4"/>
  <c r="AH31" i="4"/>
  <c r="AH32" i="4"/>
  <c r="AH33" i="4"/>
  <c r="AH34" i="4"/>
  <c r="AH4" i="5"/>
  <c r="AH15" i="4"/>
  <c r="AH14" i="4"/>
  <c r="AH6" i="5"/>
  <c r="AH5" i="4"/>
  <c r="AH8" i="5"/>
  <c r="AH10" i="5"/>
  <c r="AI26" i="4"/>
  <c r="AI29" i="4"/>
  <c r="AI28" i="4"/>
  <c r="AI17" i="4"/>
  <c r="AI30" i="4"/>
  <c r="AI31" i="4"/>
  <c r="AI32" i="4"/>
  <c r="AI33" i="4"/>
  <c r="AI34" i="4"/>
  <c r="AI4" i="5"/>
  <c r="AI15" i="4"/>
  <c r="AI14" i="4"/>
  <c r="AI6" i="5"/>
  <c r="AI5" i="4"/>
  <c r="AI8" i="5"/>
  <c r="AI10" i="5"/>
  <c r="C4" i="21"/>
  <c r="C6" i="21"/>
  <c r="C8" i="21"/>
  <c r="C10" i="21"/>
  <c r="D4" i="21"/>
  <c r="D6" i="21"/>
  <c r="D8" i="21"/>
  <c r="D10" i="21"/>
  <c r="E4" i="21"/>
  <c r="E6" i="21"/>
  <c r="E8" i="21"/>
  <c r="E10" i="21"/>
  <c r="F4" i="21"/>
  <c r="F6" i="21"/>
  <c r="F8" i="21"/>
  <c r="F10" i="21"/>
  <c r="G4" i="21"/>
  <c r="G6" i="21"/>
  <c r="G8" i="21"/>
  <c r="G10" i="21"/>
  <c r="H4" i="21"/>
  <c r="H6" i="21"/>
  <c r="H8" i="21"/>
  <c r="H10" i="21"/>
  <c r="I4" i="21"/>
  <c r="I6" i="21"/>
  <c r="I8" i="21"/>
  <c r="I10" i="21"/>
  <c r="J4" i="21"/>
  <c r="J6" i="21"/>
  <c r="J8" i="21"/>
  <c r="J10" i="21"/>
  <c r="K4" i="21"/>
  <c r="K6" i="21"/>
  <c r="K8" i="21"/>
  <c r="K10" i="21"/>
  <c r="L4" i="21"/>
  <c r="L6" i="21"/>
  <c r="L8" i="21"/>
  <c r="L10" i="21"/>
  <c r="M4" i="21"/>
  <c r="M6" i="21"/>
  <c r="M8" i="21"/>
  <c r="M10" i="21"/>
  <c r="N4" i="21"/>
  <c r="N6" i="21"/>
  <c r="N8" i="21"/>
  <c r="N10" i="21"/>
  <c r="O4" i="21"/>
  <c r="O6" i="21"/>
  <c r="O8" i="21"/>
  <c r="O10" i="21"/>
  <c r="P4" i="21"/>
  <c r="P6" i="21"/>
  <c r="P8" i="21"/>
  <c r="P10" i="21"/>
  <c r="Q4" i="21"/>
  <c r="Q6" i="21"/>
  <c r="Q8" i="21"/>
  <c r="Q10" i="21"/>
  <c r="R4" i="21"/>
  <c r="R6" i="21"/>
  <c r="R8" i="21"/>
  <c r="R10" i="21"/>
  <c r="S4" i="21"/>
  <c r="S6" i="21"/>
  <c r="S8" i="21"/>
  <c r="S10" i="21"/>
  <c r="T4" i="21"/>
  <c r="T6" i="21"/>
  <c r="T8" i="21"/>
  <c r="T10" i="21"/>
  <c r="U4" i="21"/>
  <c r="U6" i="21"/>
  <c r="U8" i="21"/>
  <c r="U10" i="21"/>
  <c r="V4" i="21"/>
  <c r="V6" i="21"/>
  <c r="V8" i="21"/>
  <c r="V10" i="21"/>
  <c r="W4" i="21"/>
  <c r="W6" i="21"/>
  <c r="W8" i="21"/>
  <c r="W10" i="21"/>
  <c r="X4" i="21"/>
  <c r="X6" i="21"/>
  <c r="X8" i="21"/>
  <c r="X10" i="21"/>
  <c r="Y4" i="21"/>
  <c r="Y6" i="21"/>
  <c r="Y8" i="21"/>
  <c r="Y10" i="21"/>
  <c r="Z4" i="21"/>
  <c r="Z6" i="21"/>
  <c r="Z8" i="21"/>
  <c r="Z10" i="21"/>
  <c r="AA4" i="21"/>
  <c r="AA6" i="21"/>
  <c r="AA8" i="21"/>
  <c r="AA10" i="21"/>
  <c r="AB4" i="21"/>
  <c r="AB6" i="21"/>
  <c r="AB8" i="21"/>
  <c r="AB10" i="21"/>
  <c r="AC4" i="21"/>
  <c r="AC6" i="21"/>
  <c r="AC8" i="21"/>
  <c r="AC10" i="21"/>
  <c r="AD4" i="21"/>
  <c r="AD6" i="21"/>
  <c r="AD8" i="21"/>
  <c r="AD10" i="21"/>
  <c r="AE4" i="21"/>
  <c r="AE6" i="21"/>
  <c r="AE8" i="21"/>
  <c r="AE10" i="21"/>
  <c r="AF4" i="21"/>
  <c r="AF6" i="21"/>
  <c r="AF8" i="21"/>
  <c r="AF10" i="21"/>
  <c r="AG4" i="21"/>
  <c r="AG6" i="21"/>
  <c r="AG8" i="21"/>
  <c r="AG10" i="21"/>
  <c r="AH4" i="21"/>
  <c r="AH6" i="21"/>
  <c r="AH8" i="21"/>
  <c r="AH10" i="21"/>
  <c r="AI4" i="21"/>
  <c r="AI6" i="21"/>
  <c r="AI8" i="21"/>
  <c r="AI10" i="21"/>
  <c r="B189" i="1"/>
  <c r="C3" i="20"/>
  <c r="C4" i="20"/>
  <c r="C39" i="20"/>
  <c r="C42" i="20"/>
  <c r="D43" i="20"/>
  <c r="B19" i="20"/>
  <c r="D45" i="20"/>
  <c r="D44" i="20"/>
  <c r="D42" i="20"/>
  <c r="E43" i="20"/>
  <c r="E45" i="20"/>
  <c r="E44" i="20"/>
  <c r="E42" i="20"/>
  <c r="F43" i="20"/>
  <c r="F45" i="20"/>
  <c r="F44" i="20"/>
  <c r="F42" i="20"/>
  <c r="G43" i="20"/>
  <c r="G45" i="20"/>
  <c r="G44" i="20"/>
  <c r="G42" i="20"/>
  <c r="H43" i="20"/>
  <c r="H45" i="20"/>
  <c r="H44" i="20"/>
  <c r="H42" i="20"/>
  <c r="I43" i="20"/>
  <c r="I45" i="20"/>
  <c r="I44" i="20"/>
  <c r="I42" i="20"/>
  <c r="J43" i="20"/>
  <c r="J45" i="20"/>
  <c r="J44" i="20"/>
  <c r="J42" i="20"/>
  <c r="K43" i="20"/>
  <c r="K45" i="20"/>
  <c r="K44" i="20"/>
  <c r="K42" i="20"/>
  <c r="L43" i="20"/>
  <c r="L45" i="20"/>
  <c r="L44" i="20"/>
  <c r="L42" i="20"/>
  <c r="M43" i="20"/>
  <c r="M45" i="20"/>
  <c r="M44" i="20"/>
  <c r="M42" i="20"/>
  <c r="N43" i="20"/>
  <c r="N45" i="20"/>
  <c r="N44" i="20"/>
  <c r="N42" i="20"/>
  <c r="O43" i="20"/>
  <c r="O45" i="20"/>
  <c r="O44" i="20"/>
  <c r="O42" i="20"/>
  <c r="P43" i="20"/>
  <c r="P45" i="20"/>
  <c r="P44" i="20"/>
  <c r="P42" i="20"/>
  <c r="Q43" i="20"/>
  <c r="Q45" i="20"/>
  <c r="Q44" i="20"/>
  <c r="Q42" i="20"/>
  <c r="R43" i="20"/>
  <c r="R45" i="20"/>
  <c r="R44" i="20"/>
  <c r="R42" i="20"/>
  <c r="S43" i="20"/>
  <c r="S45" i="20"/>
  <c r="S44" i="20"/>
  <c r="S42" i="20"/>
  <c r="T43" i="20"/>
  <c r="T45" i="20"/>
  <c r="T44" i="20"/>
  <c r="T42" i="20"/>
  <c r="U43" i="20"/>
  <c r="U45" i="20"/>
  <c r="U44" i="20"/>
  <c r="U42" i="20"/>
  <c r="V43" i="20"/>
  <c r="V45" i="20"/>
  <c r="V44" i="20"/>
  <c r="V42" i="20"/>
  <c r="W43" i="20"/>
  <c r="W45" i="20"/>
  <c r="W44" i="20"/>
  <c r="W42" i="20"/>
  <c r="X43" i="20"/>
  <c r="X45" i="20"/>
  <c r="X44" i="20"/>
  <c r="X42" i="20"/>
  <c r="Y43" i="20"/>
  <c r="Y45" i="20"/>
  <c r="Y44" i="20"/>
  <c r="Y42" i="20"/>
  <c r="Z43" i="20"/>
  <c r="Z45" i="20"/>
  <c r="Z44" i="20"/>
  <c r="Z42" i="20"/>
  <c r="AA43" i="20"/>
  <c r="AA45" i="20"/>
  <c r="AA44" i="20"/>
  <c r="AA42" i="20"/>
  <c r="AB43" i="20"/>
  <c r="AB45" i="20"/>
  <c r="AB44" i="20"/>
  <c r="AB42" i="20"/>
  <c r="AC43" i="20"/>
  <c r="AC45" i="20"/>
  <c r="AC44" i="20"/>
  <c r="AC42" i="20"/>
  <c r="AD43" i="20"/>
  <c r="AD45" i="20"/>
  <c r="AD44" i="20"/>
  <c r="AD42" i="20"/>
  <c r="AE43" i="20"/>
  <c r="AE45" i="20"/>
  <c r="AE44" i="20"/>
  <c r="AE42" i="20"/>
  <c r="AF43" i="20"/>
  <c r="AF45" i="20"/>
  <c r="AF44" i="20"/>
  <c r="AF42" i="20"/>
  <c r="AG43" i="20"/>
  <c r="AG45" i="20"/>
  <c r="AG44" i="20"/>
  <c r="AG42" i="20"/>
  <c r="AH43" i="20"/>
  <c r="AH45" i="20"/>
  <c r="AH44" i="20"/>
  <c r="AH42" i="20"/>
  <c r="AI45" i="20"/>
  <c r="D3" i="20"/>
  <c r="D4" i="20"/>
  <c r="D39" i="20"/>
  <c r="D47" i="20"/>
  <c r="E48" i="20"/>
  <c r="E50" i="20"/>
  <c r="E49" i="20"/>
  <c r="E47" i="20"/>
  <c r="F48" i="20"/>
  <c r="F50" i="20"/>
  <c r="F49" i="20"/>
  <c r="F47" i="20"/>
  <c r="G48" i="20"/>
  <c r="G50" i="20"/>
  <c r="G49" i="20"/>
  <c r="G47" i="20"/>
  <c r="H48" i="20"/>
  <c r="H50" i="20"/>
  <c r="H49" i="20"/>
  <c r="H47" i="20"/>
  <c r="I48" i="20"/>
  <c r="I50" i="20"/>
  <c r="I49" i="20"/>
  <c r="I47" i="20"/>
  <c r="J48" i="20"/>
  <c r="J50" i="20"/>
  <c r="J49" i="20"/>
  <c r="J47" i="20"/>
  <c r="K48" i="20"/>
  <c r="K50" i="20"/>
  <c r="K49" i="20"/>
  <c r="K47" i="20"/>
  <c r="L48" i="20"/>
  <c r="L50" i="20"/>
  <c r="L49" i="20"/>
  <c r="L47" i="20"/>
  <c r="M48" i="20"/>
  <c r="M50" i="20"/>
  <c r="M49" i="20"/>
  <c r="M47" i="20"/>
  <c r="N48" i="20"/>
  <c r="N50" i="20"/>
  <c r="N49" i="20"/>
  <c r="N47" i="20"/>
  <c r="O48" i="20"/>
  <c r="O50" i="20"/>
  <c r="O49" i="20"/>
  <c r="O47" i="20"/>
  <c r="P48" i="20"/>
  <c r="P50" i="20"/>
  <c r="P49" i="20"/>
  <c r="P47" i="20"/>
  <c r="Q48" i="20"/>
  <c r="Q50" i="20"/>
  <c r="Q49" i="20"/>
  <c r="Q47" i="20"/>
  <c r="R48" i="20"/>
  <c r="R50" i="20"/>
  <c r="R49" i="20"/>
  <c r="R47" i="20"/>
  <c r="S48" i="20"/>
  <c r="S50" i="20"/>
  <c r="S49" i="20"/>
  <c r="S47" i="20"/>
  <c r="T48" i="20"/>
  <c r="T50" i="20"/>
  <c r="T49" i="20"/>
  <c r="T47" i="20"/>
  <c r="U48" i="20"/>
  <c r="U50" i="20"/>
  <c r="U49" i="20"/>
  <c r="U47" i="20"/>
  <c r="V48" i="20"/>
  <c r="V50" i="20"/>
  <c r="V49" i="20"/>
  <c r="V47" i="20"/>
  <c r="W48" i="20"/>
  <c r="W50" i="20"/>
  <c r="W49" i="20"/>
  <c r="W47" i="20"/>
  <c r="X48" i="20"/>
  <c r="X50" i="20"/>
  <c r="X49" i="20"/>
  <c r="X47" i="20"/>
  <c r="Y48" i="20"/>
  <c r="Y50" i="20"/>
  <c r="Y49" i="20"/>
  <c r="Y47" i="20"/>
  <c r="Z48" i="20"/>
  <c r="Z50" i="20"/>
  <c r="Z49" i="20"/>
  <c r="Z47" i="20"/>
  <c r="AA48" i="20"/>
  <c r="AA50" i="20"/>
  <c r="AA49" i="20"/>
  <c r="AA47" i="20"/>
  <c r="AB48" i="20"/>
  <c r="AB50" i="20"/>
  <c r="AB49" i="20"/>
  <c r="AB47" i="20"/>
  <c r="AC48" i="20"/>
  <c r="AC50" i="20"/>
  <c r="AC49" i="20"/>
  <c r="AC47" i="20"/>
  <c r="AD48" i="20"/>
  <c r="AD50" i="20"/>
  <c r="AD49" i="20"/>
  <c r="AD47" i="20"/>
  <c r="AE48" i="20"/>
  <c r="AE50" i="20"/>
  <c r="AE49" i="20"/>
  <c r="AE47" i="20"/>
  <c r="AF48" i="20"/>
  <c r="AF50" i="20"/>
  <c r="AF49" i="20"/>
  <c r="AF47" i="20"/>
  <c r="AG48" i="20"/>
  <c r="AG50" i="20"/>
  <c r="AG49" i="20"/>
  <c r="AG47" i="20"/>
  <c r="AH48" i="20"/>
  <c r="AH50" i="20"/>
  <c r="AH49" i="20"/>
  <c r="AH47" i="20"/>
  <c r="AI50" i="20"/>
  <c r="E3" i="20"/>
  <c r="E4" i="20"/>
  <c r="E39" i="20"/>
  <c r="E52" i="20"/>
  <c r="F53" i="20"/>
  <c r="F55" i="20"/>
  <c r="F54" i="20"/>
  <c r="F52" i="20"/>
  <c r="G53" i="20"/>
  <c r="G55" i="20"/>
  <c r="G54" i="20"/>
  <c r="G52" i="20"/>
  <c r="H53" i="20"/>
  <c r="H55" i="20"/>
  <c r="H54" i="20"/>
  <c r="H52" i="20"/>
  <c r="I53" i="20"/>
  <c r="I55" i="20"/>
  <c r="I54" i="20"/>
  <c r="I52" i="20"/>
  <c r="J53" i="20"/>
  <c r="J55" i="20"/>
  <c r="J54" i="20"/>
  <c r="J52" i="20"/>
  <c r="K53" i="20"/>
  <c r="K55" i="20"/>
  <c r="K54" i="20"/>
  <c r="K52" i="20"/>
  <c r="L53" i="20"/>
  <c r="L55" i="20"/>
  <c r="L54" i="20"/>
  <c r="L52" i="20"/>
  <c r="M53" i="20"/>
  <c r="M55" i="20"/>
  <c r="M54" i="20"/>
  <c r="M52" i="20"/>
  <c r="N53" i="20"/>
  <c r="N55" i="20"/>
  <c r="N54" i="20"/>
  <c r="N52" i="20"/>
  <c r="O53" i="20"/>
  <c r="O55" i="20"/>
  <c r="O54" i="20"/>
  <c r="O52" i="20"/>
  <c r="P53" i="20"/>
  <c r="P55" i="20"/>
  <c r="P54" i="20"/>
  <c r="P52" i="20"/>
  <c r="Q53" i="20"/>
  <c r="Q55" i="20"/>
  <c r="Q54" i="20"/>
  <c r="Q52" i="20"/>
  <c r="R53" i="20"/>
  <c r="R55" i="20"/>
  <c r="R54" i="20"/>
  <c r="R52" i="20"/>
  <c r="S53" i="20"/>
  <c r="S55" i="20"/>
  <c r="S54" i="20"/>
  <c r="S52" i="20"/>
  <c r="T53" i="20"/>
  <c r="T55" i="20"/>
  <c r="T54" i="20"/>
  <c r="T52" i="20"/>
  <c r="U53" i="20"/>
  <c r="U55" i="20"/>
  <c r="U54" i="20"/>
  <c r="U52" i="20"/>
  <c r="V53" i="20"/>
  <c r="V55" i="20"/>
  <c r="V54" i="20"/>
  <c r="V52" i="20"/>
  <c r="W53" i="20"/>
  <c r="W55" i="20"/>
  <c r="W54" i="20"/>
  <c r="W52" i="20"/>
  <c r="X53" i="20"/>
  <c r="X55" i="20"/>
  <c r="X54" i="20"/>
  <c r="X52" i="20"/>
  <c r="Y53" i="20"/>
  <c r="Y55" i="20"/>
  <c r="Y54" i="20"/>
  <c r="Y52" i="20"/>
  <c r="Z53" i="20"/>
  <c r="Z55" i="20"/>
  <c r="Z54" i="20"/>
  <c r="Z52" i="20"/>
  <c r="AA53" i="20"/>
  <c r="AA55" i="20"/>
  <c r="AA54" i="20"/>
  <c r="AA52" i="20"/>
  <c r="AB53" i="20"/>
  <c r="AB55" i="20"/>
  <c r="AB54" i="20"/>
  <c r="AB52" i="20"/>
  <c r="AC53" i="20"/>
  <c r="AC55" i="20"/>
  <c r="AC54" i="20"/>
  <c r="AC52" i="20"/>
  <c r="AD53" i="20"/>
  <c r="AD55" i="20"/>
  <c r="AD54" i="20"/>
  <c r="AD52" i="20"/>
  <c r="AE53" i="20"/>
  <c r="AE55" i="20"/>
  <c r="AE54" i="20"/>
  <c r="AE52" i="20"/>
  <c r="AF53" i="20"/>
  <c r="AF55" i="20"/>
  <c r="AF54" i="20"/>
  <c r="AF52" i="20"/>
  <c r="AG53" i="20"/>
  <c r="AG55" i="20"/>
  <c r="AG54" i="20"/>
  <c r="AG52" i="20"/>
  <c r="AH53" i="20"/>
  <c r="AH55" i="20"/>
  <c r="AH54" i="20"/>
  <c r="AH52" i="20"/>
  <c r="AI55" i="20"/>
  <c r="F3" i="20"/>
  <c r="F4" i="20"/>
  <c r="F23" i="20"/>
  <c r="F24" i="20"/>
  <c r="F26" i="20"/>
  <c r="F29" i="20"/>
  <c r="B17" i="20"/>
  <c r="F30" i="20"/>
  <c r="E23" i="20"/>
  <c r="E24" i="20"/>
  <c r="E26" i="20"/>
  <c r="E29" i="20"/>
  <c r="E30" i="20"/>
  <c r="E36" i="20"/>
  <c r="D23" i="20"/>
  <c r="D24" i="20"/>
  <c r="D26" i="20"/>
  <c r="D29" i="20"/>
  <c r="D30" i="20"/>
  <c r="D36" i="20"/>
  <c r="C23" i="20"/>
  <c r="C24" i="20"/>
  <c r="C26" i="20"/>
  <c r="C29" i="20"/>
  <c r="C30" i="20"/>
  <c r="C36" i="20"/>
  <c r="C37" i="20"/>
  <c r="C38" i="20"/>
  <c r="D37" i="20"/>
  <c r="D38" i="20"/>
  <c r="E37" i="20"/>
  <c r="E38" i="20"/>
  <c r="F39" i="20"/>
  <c r="F57" i="20"/>
  <c r="B18" i="20"/>
  <c r="B58" i="20"/>
  <c r="G58" i="20"/>
  <c r="G60" i="20"/>
  <c r="G59" i="20"/>
  <c r="G57" i="20"/>
  <c r="H58" i="20"/>
  <c r="H60" i="20"/>
  <c r="H59" i="20"/>
  <c r="H57" i="20"/>
  <c r="I58" i="20"/>
  <c r="I60" i="20"/>
  <c r="I59" i="20"/>
  <c r="I57" i="20"/>
  <c r="J58" i="20"/>
  <c r="J60" i="20"/>
  <c r="J59" i="20"/>
  <c r="J57" i="20"/>
  <c r="K58" i="20"/>
  <c r="K60" i="20"/>
  <c r="K59" i="20"/>
  <c r="K57" i="20"/>
  <c r="L58" i="20"/>
  <c r="L60" i="20"/>
  <c r="L59" i="20"/>
  <c r="L57" i="20"/>
  <c r="M58" i="20"/>
  <c r="M60" i="20"/>
  <c r="M59" i="20"/>
  <c r="M57" i="20"/>
  <c r="N58" i="20"/>
  <c r="N60" i="20"/>
  <c r="N59" i="20"/>
  <c r="N57" i="20"/>
  <c r="O58" i="20"/>
  <c r="O60" i="20"/>
  <c r="O59" i="20"/>
  <c r="O57" i="20"/>
  <c r="P58" i="20"/>
  <c r="P60" i="20"/>
  <c r="P59" i="20"/>
  <c r="P57" i="20"/>
  <c r="Q58" i="20"/>
  <c r="Q60" i="20"/>
  <c r="Q59" i="20"/>
  <c r="Q57" i="20"/>
  <c r="R58" i="20"/>
  <c r="R60" i="20"/>
  <c r="R59" i="20"/>
  <c r="R57" i="20"/>
  <c r="S58" i="20"/>
  <c r="S60" i="20"/>
  <c r="S59" i="20"/>
  <c r="S57" i="20"/>
  <c r="T58" i="20"/>
  <c r="T60" i="20"/>
  <c r="T59" i="20"/>
  <c r="T57" i="20"/>
  <c r="U58" i="20"/>
  <c r="U60" i="20"/>
  <c r="U59" i="20"/>
  <c r="U57" i="20"/>
  <c r="V58" i="20"/>
  <c r="V60" i="20"/>
  <c r="V59" i="20"/>
  <c r="V57" i="20"/>
  <c r="W58" i="20"/>
  <c r="W60" i="20"/>
  <c r="W59" i="20"/>
  <c r="W57" i="20"/>
  <c r="X58" i="20"/>
  <c r="X60" i="20"/>
  <c r="X59" i="20"/>
  <c r="X57" i="20"/>
  <c r="Y58" i="20"/>
  <c r="Y60" i="20"/>
  <c r="Y59" i="20"/>
  <c r="Y57" i="20"/>
  <c r="Z58" i="20"/>
  <c r="Z60" i="20"/>
  <c r="Z59" i="20"/>
  <c r="Z57" i="20"/>
  <c r="AA58" i="20"/>
  <c r="AA60" i="20"/>
  <c r="AA59" i="20"/>
  <c r="AA57" i="20"/>
  <c r="AB58" i="20"/>
  <c r="AB60" i="20"/>
  <c r="AB59" i="20"/>
  <c r="AB57" i="20"/>
  <c r="AC58" i="20"/>
  <c r="AC60" i="20"/>
  <c r="AC59" i="20"/>
  <c r="AC57" i="20"/>
  <c r="AD58" i="20"/>
  <c r="AD60" i="20"/>
  <c r="AD59" i="20"/>
  <c r="AD57" i="20"/>
  <c r="AE58" i="20"/>
  <c r="AE60" i="20"/>
  <c r="AE59" i="20"/>
  <c r="AE57" i="20"/>
  <c r="AF58" i="20"/>
  <c r="AF60" i="20"/>
  <c r="AF59" i="20"/>
  <c r="AF57" i="20"/>
  <c r="AG58" i="20"/>
  <c r="AG60" i="20"/>
  <c r="AG59" i="20"/>
  <c r="AG57" i="20"/>
  <c r="AH58" i="20"/>
  <c r="AH60" i="20"/>
  <c r="AH59" i="20"/>
  <c r="AH57" i="20"/>
  <c r="AI60" i="20"/>
  <c r="G3" i="20"/>
  <c r="G4" i="20"/>
  <c r="F36" i="20"/>
  <c r="F37" i="20"/>
  <c r="F38" i="20"/>
  <c r="G23" i="20"/>
  <c r="G24" i="20"/>
  <c r="G26" i="20"/>
  <c r="G29" i="20"/>
  <c r="G30" i="20"/>
  <c r="G39" i="20"/>
  <c r="G62" i="20"/>
  <c r="B63" i="20"/>
  <c r="H63" i="20"/>
  <c r="H65" i="20"/>
  <c r="H64" i="20"/>
  <c r="H62" i="20"/>
  <c r="I63" i="20"/>
  <c r="I65" i="20"/>
  <c r="I64" i="20"/>
  <c r="I62" i="20"/>
  <c r="J63" i="20"/>
  <c r="J65" i="20"/>
  <c r="J64" i="20"/>
  <c r="J62" i="20"/>
  <c r="K63" i="20"/>
  <c r="K65" i="20"/>
  <c r="K64" i="20"/>
  <c r="K62" i="20"/>
  <c r="L63" i="20"/>
  <c r="L65" i="20"/>
  <c r="L64" i="20"/>
  <c r="L62" i="20"/>
  <c r="M63" i="20"/>
  <c r="M65" i="20"/>
  <c r="M64" i="20"/>
  <c r="M62" i="20"/>
  <c r="N63" i="20"/>
  <c r="N65" i="20"/>
  <c r="N64" i="20"/>
  <c r="N62" i="20"/>
  <c r="O63" i="20"/>
  <c r="O65" i="20"/>
  <c r="O64" i="20"/>
  <c r="O62" i="20"/>
  <c r="P63" i="20"/>
  <c r="P65" i="20"/>
  <c r="P64" i="20"/>
  <c r="P62" i="20"/>
  <c r="Q63" i="20"/>
  <c r="Q65" i="20"/>
  <c r="Q64" i="20"/>
  <c r="Q62" i="20"/>
  <c r="R63" i="20"/>
  <c r="R65" i="20"/>
  <c r="R64" i="20"/>
  <c r="R62" i="20"/>
  <c r="S63" i="20"/>
  <c r="S65" i="20"/>
  <c r="S64" i="20"/>
  <c r="S62" i="20"/>
  <c r="T63" i="20"/>
  <c r="T65" i="20"/>
  <c r="T64" i="20"/>
  <c r="T62" i="20"/>
  <c r="U63" i="20"/>
  <c r="U65" i="20"/>
  <c r="U64" i="20"/>
  <c r="U62" i="20"/>
  <c r="V63" i="20"/>
  <c r="V65" i="20"/>
  <c r="V64" i="20"/>
  <c r="V62" i="20"/>
  <c r="W63" i="20"/>
  <c r="W65" i="20"/>
  <c r="W64" i="20"/>
  <c r="W62" i="20"/>
  <c r="X63" i="20"/>
  <c r="X65" i="20"/>
  <c r="X64" i="20"/>
  <c r="X62" i="20"/>
  <c r="Y63" i="20"/>
  <c r="Y65" i="20"/>
  <c r="Y64" i="20"/>
  <c r="Y62" i="20"/>
  <c r="Z63" i="20"/>
  <c r="Z65" i="20"/>
  <c r="Z64" i="20"/>
  <c r="Z62" i="20"/>
  <c r="AA63" i="20"/>
  <c r="AA65" i="20"/>
  <c r="AA64" i="20"/>
  <c r="AA62" i="20"/>
  <c r="AB63" i="20"/>
  <c r="AB65" i="20"/>
  <c r="AB64" i="20"/>
  <c r="AB62" i="20"/>
  <c r="AC63" i="20"/>
  <c r="AC65" i="20"/>
  <c r="AC64" i="20"/>
  <c r="AC62" i="20"/>
  <c r="AD63" i="20"/>
  <c r="AD65" i="20"/>
  <c r="AD64" i="20"/>
  <c r="AD62" i="20"/>
  <c r="AE63" i="20"/>
  <c r="AE65" i="20"/>
  <c r="AE64" i="20"/>
  <c r="AE62" i="20"/>
  <c r="AF63" i="20"/>
  <c r="AF65" i="20"/>
  <c r="AF64" i="20"/>
  <c r="AF62" i="20"/>
  <c r="AG63" i="20"/>
  <c r="AG65" i="20"/>
  <c r="AG64" i="20"/>
  <c r="AG62" i="20"/>
  <c r="AH63" i="20"/>
  <c r="AH65" i="20"/>
  <c r="AH64" i="20"/>
  <c r="AH62" i="20"/>
  <c r="AI65" i="20"/>
  <c r="H3" i="20"/>
  <c r="H4" i="20"/>
  <c r="G36" i="20"/>
  <c r="G38" i="20"/>
  <c r="H23" i="20"/>
  <c r="H24" i="20"/>
  <c r="H26" i="20"/>
  <c r="H29" i="20"/>
  <c r="H30" i="20"/>
  <c r="H39" i="20"/>
  <c r="H67" i="20"/>
  <c r="B68" i="20"/>
  <c r="I68" i="20"/>
  <c r="I70" i="20"/>
  <c r="I69" i="20"/>
  <c r="I67" i="20"/>
  <c r="J68" i="20"/>
  <c r="J70" i="20"/>
  <c r="J69" i="20"/>
  <c r="J67" i="20"/>
  <c r="K68" i="20"/>
  <c r="K70" i="20"/>
  <c r="K69" i="20"/>
  <c r="K67" i="20"/>
  <c r="L68" i="20"/>
  <c r="L70" i="20"/>
  <c r="L69" i="20"/>
  <c r="L67" i="20"/>
  <c r="M68" i="20"/>
  <c r="M70" i="20"/>
  <c r="M69" i="20"/>
  <c r="M67" i="20"/>
  <c r="N68" i="20"/>
  <c r="N70" i="20"/>
  <c r="N69" i="20"/>
  <c r="N67" i="20"/>
  <c r="O68" i="20"/>
  <c r="O70" i="20"/>
  <c r="O69" i="20"/>
  <c r="O67" i="20"/>
  <c r="P68" i="20"/>
  <c r="P70" i="20"/>
  <c r="P69" i="20"/>
  <c r="P67" i="20"/>
  <c r="Q68" i="20"/>
  <c r="Q70" i="20"/>
  <c r="Q69" i="20"/>
  <c r="Q67" i="20"/>
  <c r="R68" i="20"/>
  <c r="R70" i="20"/>
  <c r="R69" i="20"/>
  <c r="R67" i="20"/>
  <c r="S68" i="20"/>
  <c r="S70" i="20"/>
  <c r="S69" i="20"/>
  <c r="S67" i="20"/>
  <c r="T68" i="20"/>
  <c r="T70" i="20"/>
  <c r="T69" i="20"/>
  <c r="T67" i="20"/>
  <c r="U68" i="20"/>
  <c r="U70" i="20"/>
  <c r="U69" i="20"/>
  <c r="U67" i="20"/>
  <c r="V68" i="20"/>
  <c r="V70" i="20"/>
  <c r="V69" i="20"/>
  <c r="V67" i="20"/>
  <c r="W68" i="20"/>
  <c r="W70" i="20"/>
  <c r="W69" i="20"/>
  <c r="W67" i="20"/>
  <c r="X68" i="20"/>
  <c r="X70" i="20"/>
  <c r="X69" i="20"/>
  <c r="X67" i="20"/>
  <c r="Y68" i="20"/>
  <c r="Y70" i="20"/>
  <c r="Y69" i="20"/>
  <c r="Y67" i="20"/>
  <c r="Z68" i="20"/>
  <c r="Z70" i="20"/>
  <c r="Z69" i="20"/>
  <c r="Z67" i="20"/>
  <c r="AA68" i="20"/>
  <c r="AA70" i="20"/>
  <c r="AA69" i="20"/>
  <c r="AA67" i="20"/>
  <c r="AB68" i="20"/>
  <c r="AB70" i="20"/>
  <c r="AB69" i="20"/>
  <c r="AB67" i="20"/>
  <c r="AC68" i="20"/>
  <c r="AC70" i="20"/>
  <c r="AC69" i="20"/>
  <c r="AC67" i="20"/>
  <c r="AD68" i="20"/>
  <c r="AD70" i="20"/>
  <c r="AD69" i="20"/>
  <c r="AD67" i="20"/>
  <c r="AE68" i="20"/>
  <c r="AE70" i="20"/>
  <c r="AE69" i="20"/>
  <c r="AE67" i="20"/>
  <c r="AF68" i="20"/>
  <c r="AF70" i="20"/>
  <c r="AF69" i="20"/>
  <c r="AF67" i="20"/>
  <c r="AG68" i="20"/>
  <c r="AG70" i="20"/>
  <c r="AG69" i="20"/>
  <c r="AG67" i="20"/>
  <c r="AH68" i="20"/>
  <c r="AH70" i="20"/>
  <c r="AH69" i="20"/>
  <c r="AH67" i="20"/>
  <c r="AI70" i="20"/>
  <c r="I3" i="20"/>
  <c r="I4" i="20"/>
  <c r="H36" i="20"/>
  <c r="H38" i="20"/>
  <c r="I23" i="20"/>
  <c r="I24" i="20"/>
  <c r="I26" i="20"/>
  <c r="I29" i="20"/>
  <c r="I30" i="20"/>
  <c r="I39" i="20"/>
  <c r="I72" i="20"/>
  <c r="J73" i="20"/>
  <c r="J75" i="20"/>
  <c r="J74" i="20"/>
  <c r="J72" i="20"/>
  <c r="K73" i="20"/>
  <c r="K75" i="20"/>
  <c r="K74" i="20"/>
  <c r="K72" i="20"/>
  <c r="L73" i="20"/>
  <c r="L75" i="20"/>
  <c r="L74" i="20"/>
  <c r="L72" i="20"/>
  <c r="M73" i="20"/>
  <c r="M75" i="20"/>
  <c r="M74" i="20"/>
  <c r="M72" i="20"/>
  <c r="N73" i="20"/>
  <c r="N75" i="20"/>
  <c r="N74" i="20"/>
  <c r="N72" i="20"/>
  <c r="O73" i="20"/>
  <c r="O75" i="20"/>
  <c r="O74" i="20"/>
  <c r="O72" i="20"/>
  <c r="P73" i="20"/>
  <c r="P75" i="20"/>
  <c r="P74" i="20"/>
  <c r="P72" i="20"/>
  <c r="Q73" i="20"/>
  <c r="Q75" i="20"/>
  <c r="Q74" i="20"/>
  <c r="Q72" i="20"/>
  <c r="R73" i="20"/>
  <c r="R75" i="20"/>
  <c r="R74" i="20"/>
  <c r="R72" i="20"/>
  <c r="S73" i="20"/>
  <c r="S75" i="20"/>
  <c r="S74" i="20"/>
  <c r="S72" i="20"/>
  <c r="T73" i="20"/>
  <c r="T75" i="20"/>
  <c r="T74" i="20"/>
  <c r="T72" i="20"/>
  <c r="U73" i="20"/>
  <c r="U75" i="20"/>
  <c r="U74" i="20"/>
  <c r="U72" i="20"/>
  <c r="V73" i="20"/>
  <c r="V75" i="20"/>
  <c r="V74" i="20"/>
  <c r="V72" i="20"/>
  <c r="W73" i="20"/>
  <c r="W75" i="20"/>
  <c r="W74" i="20"/>
  <c r="W72" i="20"/>
  <c r="X73" i="20"/>
  <c r="X75" i="20"/>
  <c r="X74" i="20"/>
  <c r="X72" i="20"/>
  <c r="Y73" i="20"/>
  <c r="Y75" i="20"/>
  <c r="Y74" i="20"/>
  <c r="Y72" i="20"/>
  <c r="Z73" i="20"/>
  <c r="Z75" i="20"/>
  <c r="Z74" i="20"/>
  <c r="Z72" i="20"/>
  <c r="AA73" i="20"/>
  <c r="AA75" i="20"/>
  <c r="AA74" i="20"/>
  <c r="AA72" i="20"/>
  <c r="AB73" i="20"/>
  <c r="AB75" i="20"/>
  <c r="AB74" i="20"/>
  <c r="AB72" i="20"/>
  <c r="AC73" i="20"/>
  <c r="AC75" i="20"/>
  <c r="AC74" i="20"/>
  <c r="AC72" i="20"/>
  <c r="AD73" i="20"/>
  <c r="AD75" i="20"/>
  <c r="AD74" i="20"/>
  <c r="AD72" i="20"/>
  <c r="AE73" i="20"/>
  <c r="AE75" i="20"/>
  <c r="AE74" i="20"/>
  <c r="AE72" i="20"/>
  <c r="AF73" i="20"/>
  <c r="AF75" i="20"/>
  <c r="AF74" i="20"/>
  <c r="AF72" i="20"/>
  <c r="AG73" i="20"/>
  <c r="AG75" i="20"/>
  <c r="AG74" i="20"/>
  <c r="AG72" i="20"/>
  <c r="AH73" i="20"/>
  <c r="AH75" i="20"/>
  <c r="AH74" i="20"/>
  <c r="AH72" i="20"/>
  <c r="AI75" i="20"/>
  <c r="J3" i="20"/>
  <c r="J4" i="20"/>
  <c r="I36" i="20"/>
  <c r="I38" i="20"/>
  <c r="J23" i="20"/>
  <c r="J24" i="20"/>
  <c r="J26" i="20"/>
  <c r="J29" i="20"/>
  <c r="J30" i="20"/>
  <c r="J39" i="20"/>
  <c r="J77" i="20"/>
  <c r="K78" i="20"/>
  <c r="K80" i="20"/>
  <c r="K79" i="20"/>
  <c r="K77" i="20"/>
  <c r="L78" i="20"/>
  <c r="L80" i="20"/>
  <c r="L79" i="20"/>
  <c r="L77" i="20"/>
  <c r="M78" i="20"/>
  <c r="M80" i="20"/>
  <c r="M79" i="20"/>
  <c r="M77" i="20"/>
  <c r="N78" i="20"/>
  <c r="N80" i="20"/>
  <c r="N79" i="20"/>
  <c r="N77" i="20"/>
  <c r="O78" i="20"/>
  <c r="O80" i="20"/>
  <c r="O79" i="20"/>
  <c r="O77" i="20"/>
  <c r="P78" i="20"/>
  <c r="P80" i="20"/>
  <c r="P79" i="20"/>
  <c r="P77" i="20"/>
  <c r="Q78" i="20"/>
  <c r="Q80" i="20"/>
  <c r="Q79" i="20"/>
  <c r="Q77" i="20"/>
  <c r="R78" i="20"/>
  <c r="R80" i="20"/>
  <c r="R79" i="20"/>
  <c r="R77" i="20"/>
  <c r="S78" i="20"/>
  <c r="S80" i="20"/>
  <c r="S79" i="20"/>
  <c r="S77" i="20"/>
  <c r="T78" i="20"/>
  <c r="T80" i="20"/>
  <c r="T79" i="20"/>
  <c r="T77" i="20"/>
  <c r="U78" i="20"/>
  <c r="U80" i="20"/>
  <c r="U79" i="20"/>
  <c r="U77" i="20"/>
  <c r="V78" i="20"/>
  <c r="V80" i="20"/>
  <c r="V79" i="20"/>
  <c r="V77" i="20"/>
  <c r="W78" i="20"/>
  <c r="W80" i="20"/>
  <c r="W79" i="20"/>
  <c r="W77" i="20"/>
  <c r="X78" i="20"/>
  <c r="X80" i="20"/>
  <c r="X79" i="20"/>
  <c r="X77" i="20"/>
  <c r="Y78" i="20"/>
  <c r="Y80" i="20"/>
  <c r="Y79" i="20"/>
  <c r="Y77" i="20"/>
  <c r="Z78" i="20"/>
  <c r="Z80" i="20"/>
  <c r="Z79" i="20"/>
  <c r="Z77" i="20"/>
  <c r="AA78" i="20"/>
  <c r="AA80" i="20"/>
  <c r="AA79" i="20"/>
  <c r="AA77" i="20"/>
  <c r="AB78" i="20"/>
  <c r="AB80" i="20"/>
  <c r="AB79" i="20"/>
  <c r="AB77" i="20"/>
  <c r="AC78" i="20"/>
  <c r="AC80" i="20"/>
  <c r="AC79" i="20"/>
  <c r="AC77" i="20"/>
  <c r="AD78" i="20"/>
  <c r="AD80" i="20"/>
  <c r="AD79" i="20"/>
  <c r="AD77" i="20"/>
  <c r="AE78" i="20"/>
  <c r="AE80" i="20"/>
  <c r="AE79" i="20"/>
  <c r="AE77" i="20"/>
  <c r="AF78" i="20"/>
  <c r="AF80" i="20"/>
  <c r="AF79" i="20"/>
  <c r="AF77" i="20"/>
  <c r="AG78" i="20"/>
  <c r="AG80" i="20"/>
  <c r="AG79" i="20"/>
  <c r="AG77" i="20"/>
  <c r="AH78" i="20"/>
  <c r="AH80" i="20"/>
  <c r="AH79" i="20"/>
  <c r="AH77" i="20"/>
  <c r="AI80" i="20"/>
  <c r="K3" i="20"/>
  <c r="K4" i="20"/>
  <c r="J36" i="20"/>
  <c r="J38" i="20"/>
  <c r="K23" i="20"/>
  <c r="K24" i="20"/>
  <c r="K26" i="20"/>
  <c r="K29" i="20"/>
  <c r="K30" i="20"/>
  <c r="K39" i="20"/>
  <c r="K82" i="20"/>
  <c r="L83" i="20"/>
  <c r="L85" i="20"/>
  <c r="L84" i="20"/>
  <c r="L82" i="20"/>
  <c r="M83" i="20"/>
  <c r="M85" i="20"/>
  <c r="M84" i="20"/>
  <c r="M82" i="20"/>
  <c r="N83" i="20"/>
  <c r="N85" i="20"/>
  <c r="N84" i="20"/>
  <c r="N82" i="20"/>
  <c r="O83" i="20"/>
  <c r="O85" i="20"/>
  <c r="O84" i="20"/>
  <c r="O82" i="20"/>
  <c r="P83" i="20"/>
  <c r="P85" i="20"/>
  <c r="P84" i="20"/>
  <c r="P82" i="20"/>
  <c r="Q83" i="20"/>
  <c r="Q85" i="20"/>
  <c r="Q84" i="20"/>
  <c r="Q82" i="20"/>
  <c r="R83" i="20"/>
  <c r="R85" i="20"/>
  <c r="R84" i="20"/>
  <c r="R82" i="20"/>
  <c r="S83" i="20"/>
  <c r="S85" i="20"/>
  <c r="S84" i="20"/>
  <c r="S82" i="20"/>
  <c r="T83" i="20"/>
  <c r="T85" i="20"/>
  <c r="T84" i="20"/>
  <c r="T82" i="20"/>
  <c r="U83" i="20"/>
  <c r="U85" i="20"/>
  <c r="U84" i="20"/>
  <c r="U82" i="20"/>
  <c r="V83" i="20"/>
  <c r="V85" i="20"/>
  <c r="V84" i="20"/>
  <c r="V82" i="20"/>
  <c r="W83" i="20"/>
  <c r="W85" i="20"/>
  <c r="W84" i="20"/>
  <c r="W82" i="20"/>
  <c r="X83" i="20"/>
  <c r="X85" i="20"/>
  <c r="X84" i="20"/>
  <c r="X82" i="20"/>
  <c r="Y83" i="20"/>
  <c r="Y85" i="20"/>
  <c r="Y84" i="20"/>
  <c r="Y82" i="20"/>
  <c r="Z83" i="20"/>
  <c r="Z85" i="20"/>
  <c r="Z84" i="20"/>
  <c r="Z82" i="20"/>
  <c r="AA83" i="20"/>
  <c r="AA85" i="20"/>
  <c r="AA84" i="20"/>
  <c r="AA82" i="20"/>
  <c r="AB83" i="20"/>
  <c r="AB85" i="20"/>
  <c r="AB84" i="20"/>
  <c r="AB82" i="20"/>
  <c r="AC83" i="20"/>
  <c r="AC85" i="20"/>
  <c r="AC84" i="20"/>
  <c r="AC82" i="20"/>
  <c r="AD83" i="20"/>
  <c r="AD85" i="20"/>
  <c r="AD84" i="20"/>
  <c r="AD82" i="20"/>
  <c r="AE83" i="20"/>
  <c r="AE85" i="20"/>
  <c r="AE84" i="20"/>
  <c r="AE82" i="20"/>
  <c r="AF83" i="20"/>
  <c r="AF85" i="20"/>
  <c r="AF84" i="20"/>
  <c r="AF82" i="20"/>
  <c r="AG83" i="20"/>
  <c r="AG85" i="20"/>
  <c r="AG84" i="20"/>
  <c r="AG82" i="20"/>
  <c r="AH83" i="20"/>
  <c r="AH85" i="20"/>
  <c r="AH84" i="20"/>
  <c r="AH82" i="20"/>
  <c r="AI85" i="20"/>
  <c r="L3" i="20"/>
  <c r="L4" i="20"/>
  <c r="K36" i="20"/>
  <c r="K38" i="20"/>
  <c r="L23" i="20"/>
  <c r="L24" i="20"/>
  <c r="L26" i="20"/>
  <c r="L29" i="20"/>
  <c r="L30" i="20"/>
  <c r="L39" i="20"/>
  <c r="L87" i="20"/>
  <c r="M88" i="20"/>
  <c r="M90" i="20"/>
  <c r="M89" i="20"/>
  <c r="M87" i="20"/>
  <c r="N88" i="20"/>
  <c r="N90" i="20"/>
  <c r="N89" i="20"/>
  <c r="N87" i="20"/>
  <c r="O88" i="20"/>
  <c r="O90" i="20"/>
  <c r="O89" i="20"/>
  <c r="O87" i="20"/>
  <c r="P88" i="20"/>
  <c r="P90" i="20"/>
  <c r="P89" i="20"/>
  <c r="P87" i="20"/>
  <c r="Q88" i="20"/>
  <c r="Q90" i="20"/>
  <c r="Q89" i="20"/>
  <c r="Q87" i="20"/>
  <c r="R88" i="20"/>
  <c r="R90" i="20"/>
  <c r="R89" i="20"/>
  <c r="R87" i="20"/>
  <c r="S88" i="20"/>
  <c r="S90" i="20"/>
  <c r="S89" i="20"/>
  <c r="S87" i="20"/>
  <c r="T88" i="20"/>
  <c r="T90" i="20"/>
  <c r="T89" i="20"/>
  <c r="T87" i="20"/>
  <c r="U88" i="20"/>
  <c r="U90" i="20"/>
  <c r="U89" i="20"/>
  <c r="U87" i="20"/>
  <c r="V88" i="20"/>
  <c r="V90" i="20"/>
  <c r="V89" i="20"/>
  <c r="V87" i="20"/>
  <c r="W88" i="20"/>
  <c r="W90" i="20"/>
  <c r="W89" i="20"/>
  <c r="W87" i="20"/>
  <c r="X88" i="20"/>
  <c r="X90" i="20"/>
  <c r="X89" i="20"/>
  <c r="X87" i="20"/>
  <c r="Y88" i="20"/>
  <c r="Y90" i="20"/>
  <c r="Y89" i="20"/>
  <c r="Y87" i="20"/>
  <c r="Z88" i="20"/>
  <c r="Z90" i="20"/>
  <c r="Z89" i="20"/>
  <c r="Z87" i="20"/>
  <c r="AA88" i="20"/>
  <c r="AA90" i="20"/>
  <c r="AA89" i="20"/>
  <c r="AA87" i="20"/>
  <c r="AB88" i="20"/>
  <c r="AB90" i="20"/>
  <c r="AB89" i="20"/>
  <c r="AB87" i="20"/>
  <c r="AC88" i="20"/>
  <c r="AC90" i="20"/>
  <c r="AC89" i="20"/>
  <c r="AC87" i="20"/>
  <c r="AD88" i="20"/>
  <c r="AD90" i="20"/>
  <c r="AD89" i="20"/>
  <c r="AD87" i="20"/>
  <c r="AE88" i="20"/>
  <c r="AE90" i="20"/>
  <c r="AE89" i="20"/>
  <c r="AE87" i="20"/>
  <c r="AF88" i="20"/>
  <c r="AF90" i="20"/>
  <c r="AF89" i="20"/>
  <c r="AF87" i="20"/>
  <c r="AG88" i="20"/>
  <c r="AG90" i="20"/>
  <c r="AG89" i="20"/>
  <c r="AG87" i="20"/>
  <c r="AH88" i="20"/>
  <c r="AH90" i="20"/>
  <c r="AH89" i="20"/>
  <c r="AH87" i="20"/>
  <c r="AI90" i="20"/>
  <c r="M3" i="20"/>
  <c r="M4" i="20"/>
  <c r="L36" i="20"/>
  <c r="L38" i="20"/>
  <c r="M23" i="20"/>
  <c r="M24" i="20"/>
  <c r="M26" i="20"/>
  <c r="M29" i="20"/>
  <c r="M30" i="20"/>
  <c r="M39" i="20"/>
  <c r="M92" i="20"/>
  <c r="N93" i="20"/>
  <c r="N95" i="20"/>
  <c r="N94" i="20"/>
  <c r="N92" i="20"/>
  <c r="O93" i="20"/>
  <c r="O95" i="20"/>
  <c r="O94" i="20"/>
  <c r="O92" i="20"/>
  <c r="P93" i="20"/>
  <c r="P95" i="20"/>
  <c r="P94" i="20"/>
  <c r="P92" i="20"/>
  <c r="Q93" i="20"/>
  <c r="Q95" i="20"/>
  <c r="Q94" i="20"/>
  <c r="Q92" i="20"/>
  <c r="R93" i="20"/>
  <c r="R95" i="20"/>
  <c r="R94" i="20"/>
  <c r="R92" i="20"/>
  <c r="S93" i="20"/>
  <c r="S95" i="20"/>
  <c r="S94" i="20"/>
  <c r="S92" i="20"/>
  <c r="T93" i="20"/>
  <c r="T95" i="20"/>
  <c r="T94" i="20"/>
  <c r="T92" i="20"/>
  <c r="U93" i="20"/>
  <c r="U95" i="20"/>
  <c r="U94" i="20"/>
  <c r="U92" i="20"/>
  <c r="V93" i="20"/>
  <c r="V95" i="20"/>
  <c r="V94" i="20"/>
  <c r="V92" i="20"/>
  <c r="W93" i="20"/>
  <c r="W95" i="20"/>
  <c r="W94" i="20"/>
  <c r="W92" i="20"/>
  <c r="X93" i="20"/>
  <c r="X95" i="20"/>
  <c r="X94" i="20"/>
  <c r="X92" i="20"/>
  <c r="Y93" i="20"/>
  <c r="Y95" i="20"/>
  <c r="Y94" i="20"/>
  <c r="Y92" i="20"/>
  <c r="Z93" i="20"/>
  <c r="Z95" i="20"/>
  <c r="Z94" i="20"/>
  <c r="Z92" i="20"/>
  <c r="AA93" i="20"/>
  <c r="AA95" i="20"/>
  <c r="AA94" i="20"/>
  <c r="AA92" i="20"/>
  <c r="AB93" i="20"/>
  <c r="AB95" i="20"/>
  <c r="AB94" i="20"/>
  <c r="AB92" i="20"/>
  <c r="AC93" i="20"/>
  <c r="AC95" i="20"/>
  <c r="AC94" i="20"/>
  <c r="AC92" i="20"/>
  <c r="AD93" i="20"/>
  <c r="AD95" i="20"/>
  <c r="AD94" i="20"/>
  <c r="AD92" i="20"/>
  <c r="AE93" i="20"/>
  <c r="AE95" i="20"/>
  <c r="AE94" i="20"/>
  <c r="AE92" i="20"/>
  <c r="AF93" i="20"/>
  <c r="AF95" i="20"/>
  <c r="AF94" i="20"/>
  <c r="AF92" i="20"/>
  <c r="AG93" i="20"/>
  <c r="AG95" i="20"/>
  <c r="AG94" i="20"/>
  <c r="AG92" i="20"/>
  <c r="AH93" i="20"/>
  <c r="AH95" i="20"/>
  <c r="AH94" i="20"/>
  <c r="AH92" i="20"/>
  <c r="AI95" i="20"/>
  <c r="N3" i="20"/>
  <c r="N4" i="20"/>
  <c r="M36" i="20"/>
  <c r="M38" i="20"/>
  <c r="N23" i="20"/>
  <c r="N24" i="20"/>
  <c r="N26" i="20"/>
  <c r="N29" i="20"/>
  <c r="N30" i="20"/>
  <c r="N39" i="20"/>
  <c r="N97" i="20"/>
  <c r="O98" i="20"/>
  <c r="O100" i="20"/>
  <c r="O99" i="20"/>
  <c r="O97" i="20"/>
  <c r="P98" i="20"/>
  <c r="P100" i="20"/>
  <c r="P99" i="20"/>
  <c r="P97" i="20"/>
  <c r="Q98" i="20"/>
  <c r="Q100" i="20"/>
  <c r="Q99" i="20"/>
  <c r="Q97" i="20"/>
  <c r="R98" i="20"/>
  <c r="R100" i="20"/>
  <c r="R99" i="20"/>
  <c r="R97" i="20"/>
  <c r="S98" i="20"/>
  <c r="S100" i="20"/>
  <c r="S99" i="20"/>
  <c r="S97" i="20"/>
  <c r="T98" i="20"/>
  <c r="T100" i="20"/>
  <c r="T99" i="20"/>
  <c r="T97" i="20"/>
  <c r="U98" i="20"/>
  <c r="U100" i="20"/>
  <c r="U99" i="20"/>
  <c r="U97" i="20"/>
  <c r="V98" i="20"/>
  <c r="V100" i="20"/>
  <c r="V99" i="20"/>
  <c r="V97" i="20"/>
  <c r="W98" i="20"/>
  <c r="W100" i="20"/>
  <c r="W99" i="20"/>
  <c r="W97" i="20"/>
  <c r="X98" i="20"/>
  <c r="X100" i="20"/>
  <c r="X99" i="20"/>
  <c r="X97" i="20"/>
  <c r="Y98" i="20"/>
  <c r="Y100" i="20"/>
  <c r="Y99" i="20"/>
  <c r="Y97" i="20"/>
  <c r="Z98" i="20"/>
  <c r="Z100" i="20"/>
  <c r="Z99" i="20"/>
  <c r="Z97" i="20"/>
  <c r="AA98" i="20"/>
  <c r="AA100" i="20"/>
  <c r="AA99" i="20"/>
  <c r="AA97" i="20"/>
  <c r="AB98" i="20"/>
  <c r="AB100" i="20"/>
  <c r="AB99" i="20"/>
  <c r="AB97" i="20"/>
  <c r="AC98" i="20"/>
  <c r="AC100" i="20"/>
  <c r="AC99" i="20"/>
  <c r="AC97" i="20"/>
  <c r="AD98" i="20"/>
  <c r="AD100" i="20"/>
  <c r="AD99" i="20"/>
  <c r="AD97" i="20"/>
  <c r="AE98" i="20"/>
  <c r="AE100" i="20"/>
  <c r="AE99" i="20"/>
  <c r="AE97" i="20"/>
  <c r="AF98" i="20"/>
  <c r="AF100" i="20"/>
  <c r="AF99" i="20"/>
  <c r="AF97" i="20"/>
  <c r="AG98" i="20"/>
  <c r="AG100" i="20"/>
  <c r="AG99" i="20"/>
  <c r="AG97" i="20"/>
  <c r="AH98" i="20"/>
  <c r="AH100" i="20"/>
  <c r="AH99" i="20"/>
  <c r="AH97" i="20"/>
  <c r="AI100" i="20"/>
  <c r="O3" i="20"/>
  <c r="O4" i="20"/>
  <c r="N36" i="20"/>
  <c r="N38" i="20"/>
  <c r="O23" i="20"/>
  <c r="O24" i="20"/>
  <c r="O26" i="20"/>
  <c r="O29" i="20"/>
  <c r="O30" i="20"/>
  <c r="O39" i="20"/>
  <c r="O102" i="20"/>
  <c r="P103" i="20"/>
  <c r="P105" i="20"/>
  <c r="P104" i="20"/>
  <c r="P102" i="20"/>
  <c r="Q103" i="20"/>
  <c r="Q105" i="20"/>
  <c r="Q104" i="20"/>
  <c r="Q102" i="20"/>
  <c r="R103" i="20"/>
  <c r="R105" i="20"/>
  <c r="R104" i="20"/>
  <c r="R102" i="20"/>
  <c r="S103" i="20"/>
  <c r="S105" i="20"/>
  <c r="S104" i="20"/>
  <c r="S102" i="20"/>
  <c r="T103" i="20"/>
  <c r="T105" i="20"/>
  <c r="T104" i="20"/>
  <c r="T102" i="20"/>
  <c r="U103" i="20"/>
  <c r="U105" i="20"/>
  <c r="U104" i="20"/>
  <c r="U102" i="20"/>
  <c r="V103" i="20"/>
  <c r="V105" i="20"/>
  <c r="V104" i="20"/>
  <c r="V102" i="20"/>
  <c r="W103" i="20"/>
  <c r="W105" i="20"/>
  <c r="W104" i="20"/>
  <c r="W102" i="20"/>
  <c r="X103" i="20"/>
  <c r="X105" i="20"/>
  <c r="X104" i="20"/>
  <c r="X102" i="20"/>
  <c r="Y103" i="20"/>
  <c r="Y105" i="20"/>
  <c r="Y104" i="20"/>
  <c r="Y102" i="20"/>
  <c r="Z103" i="20"/>
  <c r="Z105" i="20"/>
  <c r="Z104" i="20"/>
  <c r="Z102" i="20"/>
  <c r="AA103" i="20"/>
  <c r="AA105" i="20"/>
  <c r="AA104" i="20"/>
  <c r="AA102" i="20"/>
  <c r="AB103" i="20"/>
  <c r="AB105" i="20"/>
  <c r="AB104" i="20"/>
  <c r="AB102" i="20"/>
  <c r="AC103" i="20"/>
  <c r="AC105" i="20"/>
  <c r="AC104" i="20"/>
  <c r="AC102" i="20"/>
  <c r="AD103" i="20"/>
  <c r="AD105" i="20"/>
  <c r="AD104" i="20"/>
  <c r="AD102" i="20"/>
  <c r="AE103" i="20"/>
  <c r="AE105" i="20"/>
  <c r="AE104" i="20"/>
  <c r="AE102" i="20"/>
  <c r="AF103" i="20"/>
  <c r="AF105" i="20"/>
  <c r="AF104" i="20"/>
  <c r="AF102" i="20"/>
  <c r="AG103" i="20"/>
  <c r="AG105" i="20"/>
  <c r="AG104" i="20"/>
  <c r="AG102" i="20"/>
  <c r="AH103" i="20"/>
  <c r="AH105" i="20"/>
  <c r="AH104" i="20"/>
  <c r="AH102" i="20"/>
  <c r="AI105" i="20"/>
  <c r="P3" i="20"/>
  <c r="P4" i="20"/>
  <c r="O36" i="20"/>
  <c r="O38" i="20"/>
  <c r="P23" i="20"/>
  <c r="P24" i="20"/>
  <c r="P26" i="20"/>
  <c r="P29" i="20"/>
  <c r="P30" i="20"/>
  <c r="P39" i="20"/>
  <c r="P107" i="20"/>
  <c r="Q108" i="20"/>
  <c r="Q110" i="20"/>
  <c r="Q109" i="20"/>
  <c r="Q107" i="20"/>
  <c r="R108" i="20"/>
  <c r="R110" i="20"/>
  <c r="R109" i="20"/>
  <c r="R107" i="20"/>
  <c r="S108" i="20"/>
  <c r="S110" i="20"/>
  <c r="S109" i="20"/>
  <c r="S107" i="20"/>
  <c r="T108" i="20"/>
  <c r="T110" i="20"/>
  <c r="T109" i="20"/>
  <c r="T107" i="20"/>
  <c r="U108" i="20"/>
  <c r="U110" i="20"/>
  <c r="U109" i="20"/>
  <c r="U107" i="20"/>
  <c r="V108" i="20"/>
  <c r="V110" i="20"/>
  <c r="V109" i="20"/>
  <c r="V107" i="20"/>
  <c r="W108" i="20"/>
  <c r="W110" i="20"/>
  <c r="W109" i="20"/>
  <c r="W107" i="20"/>
  <c r="X108" i="20"/>
  <c r="X110" i="20"/>
  <c r="X109" i="20"/>
  <c r="X107" i="20"/>
  <c r="Y108" i="20"/>
  <c r="Y110" i="20"/>
  <c r="Y109" i="20"/>
  <c r="Y107" i="20"/>
  <c r="Z108" i="20"/>
  <c r="Z110" i="20"/>
  <c r="Z109" i="20"/>
  <c r="Z107" i="20"/>
  <c r="AA108" i="20"/>
  <c r="AA110" i="20"/>
  <c r="AA109" i="20"/>
  <c r="AA107" i="20"/>
  <c r="AB108" i="20"/>
  <c r="AB110" i="20"/>
  <c r="AB109" i="20"/>
  <c r="AB107" i="20"/>
  <c r="AC108" i="20"/>
  <c r="AC110" i="20"/>
  <c r="AC109" i="20"/>
  <c r="AC107" i="20"/>
  <c r="AD108" i="20"/>
  <c r="AD110" i="20"/>
  <c r="AD109" i="20"/>
  <c r="AD107" i="20"/>
  <c r="AE108" i="20"/>
  <c r="AE110" i="20"/>
  <c r="AE109" i="20"/>
  <c r="AE107" i="20"/>
  <c r="AF108" i="20"/>
  <c r="AF110" i="20"/>
  <c r="AF109" i="20"/>
  <c r="AF107" i="20"/>
  <c r="AG108" i="20"/>
  <c r="AG110" i="20"/>
  <c r="AG109" i="20"/>
  <c r="AG107" i="20"/>
  <c r="AH108" i="20"/>
  <c r="AH110" i="20"/>
  <c r="AH109" i="20"/>
  <c r="AH107" i="20"/>
  <c r="AI110" i="20"/>
  <c r="Q3" i="20"/>
  <c r="Q4" i="20"/>
  <c r="P36" i="20"/>
  <c r="P38" i="20"/>
  <c r="Q23" i="20"/>
  <c r="Q24" i="20"/>
  <c r="Q26" i="20"/>
  <c r="Q29" i="20"/>
  <c r="Q30" i="20"/>
  <c r="Q39" i="20"/>
  <c r="Q112" i="20"/>
  <c r="R113" i="20"/>
  <c r="R115" i="20"/>
  <c r="R114" i="20"/>
  <c r="R112" i="20"/>
  <c r="S113" i="20"/>
  <c r="S115" i="20"/>
  <c r="S114" i="20"/>
  <c r="S112" i="20"/>
  <c r="T113" i="20"/>
  <c r="T115" i="20"/>
  <c r="T114" i="20"/>
  <c r="T112" i="20"/>
  <c r="U113" i="20"/>
  <c r="U115" i="20"/>
  <c r="U114" i="20"/>
  <c r="U112" i="20"/>
  <c r="V113" i="20"/>
  <c r="V115" i="20"/>
  <c r="V114" i="20"/>
  <c r="V112" i="20"/>
  <c r="W113" i="20"/>
  <c r="W115" i="20"/>
  <c r="W114" i="20"/>
  <c r="W112" i="20"/>
  <c r="X113" i="20"/>
  <c r="X115" i="20"/>
  <c r="X114" i="20"/>
  <c r="X112" i="20"/>
  <c r="Y113" i="20"/>
  <c r="Y115" i="20"/>
  <c r="Y114" i="20"/>
  <c r="Y112" i="20"/>
  <c r="Z113" i="20"/>
  <c r="Z115" i="20"/>
  <c r="Z114" i="20"/>
  <c r="Z112" i="20"/>
  <c r="AA113" i="20"/>
  <c r="AA115" i="20"/>
  <c r="AA114" i="20"/>
  <c r="AA112" i="20"/>
  <c r="AB113" i="20"/>
  <c r="AB115" i="20"/>
  <c r="AB114" i="20"/>
  <c r="AB112" i="20"/>
  <c r="AC113" i="20"/>
  <c r="AC115" i="20"/>
  <c r="AC114" i="20"/>
  <c r="AC112" i="20"/>
  <c r="AD113" i="20"/>
  <c r="AD115" i="20"/>
  <c r="AD114" i="20"/>
  <c r="AD112" i="20"/>
  <c r="AE113" i="20"/>
  <c r="AE115" i="20"/>
  <c r="AE114" i="20"/>
  <c r="AE112" i="20"/>
  <c r="AF113" i="20"/>
  <c r="AF115" i="20"/>
  <c r="AF114" i="20"/>
  <c r="AF112" i="20"/>
  <c r="AG113" i="20"/>
  <c r="AG115" i="20"/>
  <c r="AG114" i="20"/>
  <c r="AG112" i="20"/>
  <c r="AH113" i="20"/>
  <c r="AH115" i="20"/>
  <c r="AH114" i="20"/>
  <c r="AH112" i="20"/>
  <c r="AI115" i="20"/>
  <c r="R3" i="20"/>
  <c r="R4" i="20"/>
  <c r="Q36" i="20"/>
  <c r="Q38" i="20"/>
  <c r="R23" i="20"/>
  <c r="R24" i="20"/>
  <c r="R26" i="20"/>
  <c r="R29" i="20"/>
  <c r="R30" i="20"/>
  <c r="R39" i="20"/>
  <c r="R117" i="20"/>
  <c r="S118" i="20"/>
  <c r="S120" i="20"/>
  <c r="S119" i="20"/>
  <c r="S117" i="20"/>
  <c r="T118" i="20"/>
  <c r="T120" i="20"/>
  <c r="T119" i="20"/>
  <c r="T117" i="20"/>
  <c r="U118" i="20"/>
  <c r="U120" i="20"/>
  <c r="U119" i="20"/>
  <c r="U117" i="20"/>
  <c r="V118" i="20"/>
  <c r="V120" i="20"/>
  <c r="V119" i="20"/>
  <c r="V117" i="20"/>
  <c r="W118" i="20"/>
  <c r="W120" i="20"/>
  <c r="W119" i="20"/>
  <c r="W117" i="20"/>
  <c r="X118" i="20"/>
  <c r="X120" i="20"/>
  <c r="X119" i="20"/>
  <c r="X117" i="20"/>
  <c r="Y118" i="20"/>
  <c r="Y120" i="20"/>
  <c r="Y119" i="20"/>
  <c r="Y117" i="20"/>
  <c r="Z118" i="20"/>
  <c r="Z120" i="20"/>
  <c r="Z119" i="20"/>
  <c r="Z117" i="20"/>
  <c r="AA118" i="20"/>
  <c r="AA120" i="20"/>
  <c r="AA119" i="20"/>
  <c r="AA117" i="20"/>
  <c r="AB118" i="20"/>
  <c r="AB120" i="20"/>
  <c r="AB119" i="20"/>
  <c r="AB117" i="20"/>
  <c r="AC118" i="20"/>
  <c r="AC120" i="20"/>
  <c r="AC119" i="20"/>
  <c r="AC117" i="20"/>
  <c r="AD118" i="20"/>
  <c r="AD120" i="20"/>
  <c r="AD119" i="20"/>
  <c r="AD117" i="20"/>
  <c r="AE118" i="20"/>
  <c r="AE120" i="20"/>
  <c r="AE119" i="20"/>
  <c r="AE117" i="20"/>
  <c r="AF118" i="20"/>
  <c r="AF120" i="20"/>
  <c r="AF119" i="20"/>
  <c r="AF117" i="20"/>
  <c r="AG118" i="20"/>
  <c r="AG120" i="20"/>
  <c r="AG119" i="20"/>
  <c r="AG117" i="20"/>
  <c r="AH118" i="20"/>
  <c r="AH120" i="20"/>
  <c r="AH119" i="20"/>
  <c r="AH117" i="20"/>
  <c r="AI120" i="20"/>
  <c r="S3" i="20"/>
  <c r="S4" i="20"/>
  <c r="R36" i="20"/>
  <c r="R38" i="20"/>
  <c r="S23" i="20"/>
  <c r="S24" i="20"/>
  <c r="S26" i="20"/>
  <c r="S29" i="20"/>
  <c r="S30" i="20"/>
  <c r="S39" i="20"/>
  <c r="S122" i="20"/>
  <c r="T123" i="20"/>
  <c r="T125" i="20"/>
  <c r="T124" i="20"/>
  <c r="T122" i="20"/>
  <c r="U123" i="20"/>
  <c r="U125" i="20"/>
  <c r="U124" i="20"/>
  <c r="U122" i="20"/>
  <c r="V123" i="20"/>
  <c r="V125" i="20"/>
  <c r="V124" i="20"/>
  <c r="V122" i="20"/>
  <c r="W123" i="20"/>
  <c r="W125" i="20"/>
  <c r="W124" i="20"/>
  <c r="W122" i="20"/>
  <c r="X123" i="20"/>
  <c r="X125" i="20"/>
  <c r="X124" i="20"/>
  <c r="X122" i="20"/>
  <c r="Y123" i="20"/>
  <c r="Y125" i="20"/>
  <c r="Y124" i="20"/>
  <c r="Y122" i="20"/>
  <c r="Z123" i="20"/>
  <c r="Z125" i="20"/>
  <c r="Z124" i="20"/>
  <c r="Z122" i="20"/>
  <c r="AA123" i="20"/>
  <c r="AA125" i="20"/>
  <c r="AA124" i="20"/>
  <c r="AA122" i="20"/>
  <c r="AB123" i="20"/>
  <c r="AB125" i="20"/>
  <c r="AB124" i="20"/>
  <c r="AB122" i="20"/>
  <c r="AC123" i="20"/>
  <c r="AC125" i="20"/>
  <c r="AC124" i="20"/>
  <c r="AC122" i="20"/>
  <c r="AD123" i="20"/>
  <c r="AD125" i="20"/>
  <c r="AD124" i="20"/>
  <c r="AD122" i="20"/>
  <c r="AE123" i="20"/>
  <c r="AE125" i="20"/>
  <c r="AE124" i="20"/>
  <c r="AE122" i="20"/>
  <c r="AF123" i="20"/>
  <c r="AF125" i="20"/>
  <c r="AF124" i="20"/>
  <c r="AF122" i="20"/>
  <c r="AG123" i="20"/>
  <c r="AG125" i="20"/>
  <c r="AG124" i="20"/>
  <c r="AG122" i="20"/>
  <c r="AH123" i="20"/>
  <c r="AH125" i="20"/>
  <c r="AH124" i="20"/>
  <c r="AH122" i="20"/>
  <c r="AI125" i="20"/>
  <c r="T3" i="20"/>
  <c r="T4" i="20"/>
  <c r="S36" i="20"/>
  <c r="S38" i="20"/>
  <c r="T23" i="20"/>
  <c r="T24" i="20"/>
  <c r="T26" i="20"/>
  <c r="T29" i="20"/>
  <c r="T30" i="20"/>
  <c r="T39" i="20"/>
  <c r="T127" i="20"/>
  <c r="U128" i="20"/>
  <c r="U130" i="20"/>
  <c r="U129" i="20"/>
  <c r="U127" i="20"/>
  <c r="V128" i="20"/>
  <c r="V130" i="20"/>
  <c r="V129" i="20"/>
  <c r="V127" i="20"/>
  <c r="W128" i="20"/>
  <c r="W130" i="20"/>
  <c r="W129" i="20"/>
  <c r="W127" i="20"/>
  <c r="X128" i="20"/>
  <c r="X130" i="20"/>
  <c r="X129" i="20"/>
  <c r="X127" i="20"/>
  <c r="Y128" i="20"/>
  <c r="Y130" i="20"/>
  <c r="Y129" i="20"/>
  <c r="Y127" i="20"/>
  <c r="Z128" i="20"/>
  <c r="Z130" i="20"/>
  <c r="Z129" i="20"/>
  <c r="Z127" i="20"/>
  <c r="AA128" i="20"/>
  <c r="AA130" i="20"/>
  <c r="AA129" i="20"/>
  <c r="AA127" i="20"/>
  <c r="AB128" i="20"/>
  <c r="AB130" i="20"/>
  <c r="AB129" i="20"/>
  <c r="AB127" i="20"/>
  <c r="AC128" i="20"/>
  <c r="AC130" i="20"/>
  <c r="AC129" i="20"/>
  <c r="AC127" i="20"/>
  <c r="AD128" i="20"/>
  <c r="AD130" i="20"/>
  <c r="AD129" i="20"/>
  <c r="AD127" i="20"/>
  <c r="AE128" i="20"/>
  <c r="AE130" i="20"/>
  <c r="AE129" i="20"/>
  <c r="AE127" i="20"/>
  <c r="AF128" i="20"/>
  <c r="AF130" i="20"/>
  <c r="AF129" i="20"/>
  <c r="AF127" i="20"/>
  <c r="AG128" i="20"/>
  <c r="AG130" i="20"/>
  <c r="AG129" i="20"/>
  <c r="AG127" i="20"/>
  <c r="AH128" i="20"/>
  <c r="AH130" i="20"/>
  <c r="AH129" i="20"/>
  <c r="AH127" i="20"/>
  <c r="AI130" i="20"/>
  <c r="U3" i="20"/>
  <c r="U4" i="20"/>
  <c r="T36" i="20"/>
  <c r="T38" i="20"/>
  <c r="U23" i="20"/>
  <c r="U24" i="20"/>
  <c r="U26" i="20"/>
  <c r="U29" i="20"/>
  <c r="U30" i="20"/>
  <c r="U39" i="20"/>
  <c r="U132" i="20"/>
  <c r="V133" i="20"/>
  <c r="V135" i="20"/>
  <c r="V134" i="20"/>
  <c r="V132" i="20"/>
  <c r="W133" i="20"/>
  <c r="W135" i="20"/>
  <c r="W134" i="20"/>
  <c r="W132" i="20"/>
  <c r="X133" i="20"/>
  <c r="X135" i="20"/>
  <c r="X134" i="20"/>
  <c r="X132" i="20"/>
  <c r="Y133" i="20"/>
  <c r="Y135" i="20"/>
  <c r="Y134" i="20"/>
  <c r="Y132" i="20"/>
  <c r="Z133" i="20"/>
  <c r="Z135" i="20"/>
  <c r="Z134" i="20"/>
  <c r="Z132" i="20"/>
  <c r="AA133" i="20"/>
  <c r="AA135" i="20"/>
  <c r="AA134" i="20"/>
  <c r="AA132" i="20"/>
  <c r="AB133" i="20"/>
  <c r="AB135" i="20"/>
  <c r="AB134" i="20"/>
  <c r="AB132" i="20"/>
  <c r="AC133" i="20"/>
  <c r="AC135" i="20"/>
  <c r="AC134" i="20"/>
  <c r="AC132" i="20"/>
  <c r="AD133" i="20"/>
  <c r="AD135" i="20"/>
  <c r="AD134" i="20"/>
  <c r="AD132" i="20"/>
  <c r="AE133" i="20"/>
  <c r="AE135" i="20"/>
  <c r="AE134" i="20"/>
  <c r="AE132" i="20"/>
  <c r="AF133" i="20"/>
  <c r="AF135" i="20"/>
  <c r="AF134" i="20"/>
  <c r="AF132" i="20"/>
  <c r="AG133" i="20"/>
  <c r="AG135" i="20"/>
  <c r="AG134" i="20"/>
  <c r="AG132" i="20"/>
  <c r="AH133" i="20"/>
  <c r="AH135" i="20"/>
  <c r="AH134" i="20"/>
  <c r="AH132" i="20"/>
  <c r="AI135" i="20"/>
  <c r="V3" i="20"/>
  <c r="V4" i="20"/>
  <c r="U36" i="20"/>
  <c r="U38" i="20"/>
  <c r="V23" i="20"/>
  <c r="V24" i="20"/>
  <c r="V26" i="20"/>
  <c r="V29" i="20"/>
  <c r="V30" i="20"/>
  <c r="V39" i="20"/>
  <c r="V137" i="20"/>
  <c r="W138" i="20"/>
  <c r="W140" i="20"/>
  <c r="W139" i="20"/>
  <c r="W137" i="20"/>
  <c r="X138" i="20"/>
  <c r="X140" i="20"/>
  <c r="X139" i="20"/>
  <c r="X137" i="20"/>
  <c r="Y138" i="20"/>
  <c r="Y140" i="20"/>
  <c r="Y139" i="20"/>
  <c r="Y137" i="20"/>
  <c r="Z138" i="20"/>
  <c r="Z140" i="20"/>
  <c r="Z139" i="20"/>
  <c r="Z137" i="20"/>
  <c r="AA138" i="20"/>
  <c r="AA140" i="20"/>
  <c r="AA139" i="20"/>
  <c r="AA137" i="20"/>
  <c r="AB138" i="20"/>
  <c r="AB140" i="20"/>
  <c r="AB139" i="20"/>
  <c r="AB137" i="20"/>
  <c r="AC138" i="20"/>
  <c r="AC140" i="20"/>
  <c r="AC139" i="20"/>
  <c r="AC137" i="20"/>
  <c r="AD138" i="20"/>
  <c r="AD140" i="20"/>
  <c r="AD139" i="20"/>
  <c r="AD137" i="20"/>
  <c r="AE138" i="20"/>
  <c r="AE140" i="20"/>
  <c r="AE139" i="20"/>
  <c r="AE137" i="20"/>
  <c r="AF138" i="20"/>
  <c r="AF140" i="20"/>
  <c r="AF139" i="20"/>
  <c r="AF137" i="20"/>
  <c r="AG138" i="20"/>
  <c r="AG140" i="20"/>
  <c r="AG139" i="20"/>
  <c r="AG137" i="20"/>
  <c r="AH138" i="20"/>
  <c r="AH140" i="20"/>
  <c r="AH139" i="20"/>
  <c r="AH137" i="20"/>
  <c r="AI140" i="20"/>
  <c r="W3" i="20"/>
  <c r="W4" i="20"/>
  <c r="V36" i="20"/>
  <c r="V38" i="20"/>
  <c r="W23" i="20"/>
  <c r="W24" i="20"/>
  <c r="W26" i="20"/>
  <c r="W29" i="20"/>
  <c r="W30" i="20"/>
  <c r="W39" i="20"/>
  <c r="W142" i="20"/>
  <c r="X143" i="20"/>
  <c r="X145" i="20"/>
  <c r="X144" i="20"/>
  <c r="X142" i="20"/>
  <c r="Y143" i="20"/>
  <c r="Y145" i="20"/>
  <c r="Y144" i="20"/>
  <c r="Y142" i="20"/>
  <c r="Z143" i="20"/>
  <c r="Z145" i="20"/>
  <c r="Z144" i="20"/>
  <c r="Z142" i="20"/>
  <c r="AA143" i="20"/>
  <c r="AA145" i="20"/>
  <c r="AA144" i="20"/>
  <c r="AA142" i="20"/>
  <c r="AB143" i="20"/>
  <c r="AB145" i="20"/>
  <c r="AB144" i="20"/>
  <c r="AB142" i="20"/>
  <c r="AC143" i="20"/>
  <c r="AC145" i="20"/>
  <c r="AC144" i="20"/>
  <c r="AC142" i="20"/>
  <c r="AD143" i="20"/>
  <c r="AD145" i="20"/>
  <c r="AD144" i="20"/>
  <c r="AD142" i="20"/>
  <c r="AE143" i="20"/>
  <c r="AE145" i="20"/>
  <c r="AE144" i="20"/>
  <c r="AE142" i="20"/>
  <c r="AF143" i="20"/>
  <c r="AF145" i="20"/>
  <c r="AF144" i="20"/>
  <c r="AF142" i="20"/>
  <c r="AG143" i="20"/>
  <c r="AG145" i="20"/>
  <c r="AG144" i="20"/>
  <c r="AG142" i="20"/>
  <c r="AH143" i="20"/>
  <c r="AH145" i="20"/>
  <c r="AH144" i="20"/>
  <c r="AH142" i="20"/>
  <c r="AI145" i="20"/>
  <c r="X3" i="20"/>
  <c r="X4" i="20"/>
  <c r="W36" i="20"/>
  <c r="W38" i="20"/>
  <c r="X23" i="20"/>
  <c r="X24" i="20"/>
  <c r="X26" i="20"/>
  <c r="X29" i="20"/>
  <c r="X30" i="20"/>
  <c r="X39" i="20"/>
  <c r="X147" i="20"/>
  <c r="Y148" i="20"/>
  <c r="Y150" i="20"/>
  <c r="Y149" i="20"/>
  <c r="Y147" i="20"/>
  <c r="Z148" i="20"/>
  <c r="Z150" i="20"/>
  <c r="Z149" i="20"/>
  <c r="Z147" i="20"/>
  <c r="AA148" i="20"/>
  <c r="AA150" i="20"/>
  <c r="AA149" i="20"/>
  <c r="AA147" i="20"/>
  <c r="AB148" i="20"/>
  <c r="AB150" i="20"/>
  <c r="AB149" i="20"/>
  <c r="AB147" i="20"/>
  <c r="AC148" i="20"/>
  <c r="AC150" i="20"/>
  <c r="AC149" i="20"/>
  <c r="AC147" i="20"/>
  <c r="AD148" i="20"/>
  <c r="AD150" i="20"/>
  <c r="AD149" i="20"/>
  <c r="AD147" i="20"/>
  <c r="AE148" i="20"/>
  <c r="AE150" i="20"/>
  <c r="AE149" i="20"/>
  <c r="AE147" i="20"/>
  <c r="AF148" i="20"/>
  <c r="AF150" i="20"/>
  <c r="AF149" i="20"/>
  <c r="AF147" i="20"/>
  <c r="AG148" i="20"/>
  <c r="AG150" i="20"/>
  <c r="AG149" i="20"/>
  <c r="AG147" i="20"/>
  <c r="AH148" i="20"/>
  <c r="AH150" i="20"/>
  <c r="AH149" i="20"/>
  <c r="AH147" i="20"/>
  <c r="AI150" i="20"/>
  <c r="Y3" i="20"/>
  <c r="Y4" i="20"/>
  <c r="X36" i="20"/>
  <c r="X38" i="20"/>
  <c r="Y23" i="20"/>
  <c r="Y24" i="20"/>
  <c r="Y26" i="20"/>
  <c r="Y29" i="20"/>
  <c r="Y30" i="20"/>
  <c r="Y39" i="20"/>
  <c r="Y152" i="20"/>
  <c r="Z153" i="20"/>
  <c r="Z155" i="20"/>
  <c r="Z154" i="20"/>
  <c r="Z152" i="20"/>
  <c r="AA153" i="20"/>
  <c r="AA155" i="20"/>
  <c r="AA154" i="20"/>
  <c r="AA152" i="20"/>
  <c r="AB153" i="20"/>
  <c r="AB155" i="20"/>
  <c r="AB154" i="20"/>
  <c r="AB152" i="20"/>
  <c r="AC153" i="20"/>
  <c r="AC155" i="20"/>
  <c r="AC154" i="20"/>
  <c r="AC152" i="20"/>
  <c r="AD153" i="20"/>
  <c r="AD155" i="20"/>
  <c r="AD154" i="20"/>
  <c r="AD152" i="20"/>
  <c r="AE153" i="20"/>
  <c r="AE155" i="20"/>
  <c r="AE154" i="20"/>
  <c r="AE152" i="20"/>
  <c r="AF153" i="20"/>
  <c r="AF155" i="20"/>
  <c r="AF154" i="20"/>
  <c r="AF152" i="20"/>
  <c r="AG153" i="20"/>
  <c r="AG155" i="20"/>
  <c r="AG154" i="20"/>
  <c r="AG152" i="20"/>
  <c r="AH153" i="20"/>
  <c r="AH155" i="20"/>
  <c r="AH154" i="20"/>
  <c r="AH152" i="20"/>
  <c r="AI155" i="20"/>
  <c r="Z3" i="20"/>
  <c r="Z4" i="20"/>
  <c r="Y36" i="20"/>
  <c r="Y38" i="20"/>
  <c r="Z23" i="20"/>
  <c r="Z24" i="20"/>
  <c r="Z26" i="20"/>
  <c r="Z29" i="20"/>
  <c r="Z30" i="20"/>
  <c r="Z39" i="20"/>
  <c r="Z157" i="20"/>
  <c r="AA158" i="20"/>
  <c r="AA160" i="20"/>
  <c r="AA159" i="20"/>
  <c r="AA157" i="20"/>
  <c r="AB158" i="20"/>
  <c r="AB160" i="20"/>
  <c r="AB159" i="20"/>
  <c r="AB157" i="20"/>
  <c r="AC158" i="20"/>
  <c r="AC160" i="20"/>
  <c r="AC159" i="20"/>
  <c r="AC157" i="20"/>
  <c r="AD158" i="20"/>
  <c r="AD160" i="20"/>
  <c r="AD159" i="20"/>
  <c r="AD157" i="20"/>
  <c r="AE158" i="20"/>
  <c r="AE160" i="20"/>
  <c r="AE159" i="20"/>
  <c r="AE157" i="20"/>
  <c r="AF158" i="20"/>
  <c r="AF160" i="20"/>
  <c r="AF159" i="20"/>
  <c r="AF157" i="20"/>
  <c r="AG158" i="20"/>
  <c r="AG160" i="20"/>
  <c r="AG159" i="20"/>
  <c r="AG157" i="20"/>
  <c r="AH158" i="20"/>
  <c r="AH160" i="20"/>
  <c r="AH159" i="20"/>
  <c r="AH157" i="20"/>
  <c r="AI160" i="20"/>
  <c r="AA3" i="20"/>
  <c r="AA4" i="20"/>
  <c r="Z36" i="20"/>
  <c r="Z38" i="20"/>
  <c r="AA23" i="20"/>
  <c r="AA24" i="20"/>
  <c r="AA26" i="20"/>
  <c r="AA29" i="20"/>
  <c r="AA30" i="20"/>
  <c r="AA39" i="20"/>
  <c r="AA162" i="20"/>
  <c r="AB163" i="20"/>
  <c r="AB165" i="20"/>
  <c r="AB164" i="20"/>
  <c r="AB162" i="20"/>
  <c r="AC163" i="20"/>
  <c r="AC165" i="20"/>
  <c r="AC164" i="20"/>
  <c r="AC162" i="20"/>
  <c r="AD163" i="20"/>
  <c r="AD165" i="20"/>
  <c r="AD164" i="20"/>
  <c r="AD162" i="20"/>
  <c r="AE163" i="20"/>
  <c r="AE165" i="20"/>
  <c r="AE164" i="20"/>
  <c r="AE162" i="20"/>
  <c r="AF163" i="20"/>
  <c r="AF165" i="20"/>
  <c r="AF164" i="20"/>
  <c r="AF162" i="20"/>
  <c r="AG163" i="20"/>
  <c r="AG165" i="20"/>
  <c r="AG164" i="20"/>
  <c r="AG162" i="20"/>
  <c r="AH163" i="20"/>
  <c r="AH165" i="20"/>
  <c r="AH164" i="20"/>
  <c r="AH162" i="20"/>
  <c r="AI165" i="20"/>
  <c r="AB3" i="20"/>
  <c r="AB4" i="20"/>
  <c r="AA36" i="20"/>
  <c r="AA38" i="20"/>
  <c r="AB23" i="20"/>
  <c r="AB24" i="20"/>
  <c r="AB26" i="20"/>
  <c r="AB29" i="20"/>
  <c r="AB30" i="20"/>
  <c r="AB39" i="20"/>
  <c r="AB167" i="20"/>
  <c r="AC168" i="20"/>
  <c r="AC170" i="20"/>
  <c r="AC169" i="20"/>
  <c r="AC167" i="20"/>
  <c r="AD168" i="20"/>
  <c r="AD170" i="20"/>
  <c r="AD169" i="20"/>
  <c r="AD167" i="20"/>
  <c r="AE168" i="20"/>
  <c r="AE170" i="20"/>
  <c r="AE169" i="20"/>
  <c r="AE167" i="20"/>
  <c r="AF168" i="20"/>
  <c r="AF170" i="20"/>
  <c r="AF169" i="20"/>
  <c r="AF167" i="20"/>
  <c r="AG168" i="20"/>
  <c r="AG170" i="20"/>
  <c r="AG169" i="20"/>
  <c r="AG167" i="20"/>
  <c r="AH168" i="20"/>
  <c r="AH170" i="20"/>
  <c r="AH169" i="20"/>
  <c r="AH167" i="20"/>
  <c r="AI170" i="20"/>
  <c r="AC3" i="20"/>
  <c r="AC4" i="20"/>
  <c r="AB36" i="20"/>
  <c r="AB38" i="20"/>
  <c r="AC23" i="20"/>
  <c r="AC24" i="20"/>
  <c r="AC26" i="20"/>
  <c r="AC29" i="20"/>
  <c r="AC30" i="20"/>
  <c r="AC39" i="20"/>
  <c r="AC172" i="20"/>
  <c r="AD173" i="20"/>
  <c r="AD175" i="20"/>
  <c r="AD174" i="20"/>
  <c r="AD172" i="20"/>
  <c r="AE173" i="20"/>
  <c r="AE175" i="20"/>
  <c r="AE174" i="20"/>
  <c r="AE172" i="20"/>
  <c r="AF173" i="20"/>
  <c r="AF175" i="20"/>
  <c r="AF174" i="20"/>
  <c r="AF172" i="20"/>
  <c r="AG173" i="20"/>
  <c r="AG175" i="20"/>
  <c r="AG174" i="20"/>
  <c r="AG172" i="20"/>
  <c r="AH173" i="20"/>
  <c r="AH175" i="20"/>
  <c r="AH174" i="20"/>
  <c r="AH172" i="20"/>
  <c r="AI175" i="20"/>
  <c r="AD3" i="20"/>
  <c r="AD4" i="20"/>
  <c r="AC36" i="20"/>
  <c r="AC38" i="20"/>
  <c r="AD23" i="20"/>
  <c r="AD24" i="20"/>
  <c r="AD26" i="20"/>
  <c r="AD29" i="20"/>
  <c r="AD30" i="20"/>
  <c r="AD39" i="20"/>
  <c r="AD177" i="20"/>
  <c r="AE178" i="20"/>
  <c r="AE180" i="20"/>
  <c r="AE179" i="20"/>
  <c r="AE177" i="20"/>
  <c r="AF178" i="20"/>
  <c r="AF180" i="20"/>
  <c r="AF179" i="20"/>
  <c r="AF177" i="20"/>
  <c r="AG178" i="20"/>
  <c r="AG180" i="20"/>
  <c r="AG179" i="20"/>
  <c r="AG177" i="20"/>
  <c r="AH178" i="20"/>
  <c r="AH180" i="20"/>
  <c r="AH179" i="20"/>
  <c r="AH177" i="20"/>
  <c r="AI180" i="20"/>
  <c r="AE3" i="20"/>
  <c r="AE4" i="20"/>
  <c r="AD36" i="20"/>
  <c r="AD38" i="20"/>
  <c r="AE23" i="20"/>
  <c r="AE24" i="20"/>
  <c r="AE26" i="20"/>
  <c r="AE29" i="20"/>
  <c r="AE30" i="20"/>
  <c r="AE39" i="20"/>
  <c r="AE182" i="20"/>
  <c r="AF183" i="20"/>
  <c r="AF185" i="20"/>
  <c r="AF184" i="20"/>
  <c r="AF182" i="20"/>
  <c r="AG183" i="20"/>
  <c r="AG185" i="20"/>
  <c r="AG184" i="20"/>
  <c r="AG182" i="20"/>
  <c r="AH183" i="20"/>
  <c r="AH185" i="20"/>
  <c r="AH184" i="20"/>
  <c r="AH182" i="20"/>
  <c r="AI185" i="20"/>
  <c r="AF3" i="20"/>
  <c r="AF4" i="20"/>
  <c r="AE36" i="20"/>
  <c r="AE38" i="20"/>
  <c r="AF23" i="20"/>
  <c r="AF24" i="20"/>
  <c r="AF26" i="20"/>
  <c r="AF29" i="20"/>
  <c r="AF30" i="20"/>
  <c r="AF39" i="20"/>
  <c r="AF187" i="20"/>
  <c r="AG188" i="20"/>
  <c r="AG190" i="20"/>
  <c r="AG189" i="20"/>
  <c r="AG187" i="20"/>
  <c r="AH188" i="20"/>
  <c r="AH190" i="20"/>
  <c r="AH189" i="20"/>
  <c r="AH187" i="20"/>
  <c r="AI190" i="20"/>
  <c r="AG3" i="20"/>
  <c r="AG4" i="20"/>
  <c r="AF36" i="20"/>
  <c r="AF38" i="20"/>
  <c r="AG23" i="20"/>
  <c r="AG24" i="20"/>
  <c r="AG26" i="20"/>
  <c r="AG29" i="20"/>
  <c r="AG30" i="20"/>
  <c r="AG39" i="20"/>
  <c r="AG192" i="20"/>
  <c r="AH193" i="20"/>
  <c r="AH195" i="20"/>
  <c r="AH194" i="20"/>
  <c r="AH192" i="20"/>
  <c r="AI195" i="20"/>
  <c r="AH3" i="20"/>
  <c r="AH4" i="20"/>
  <c r="AG36" i="20"/>
  <c r="AG38" i="20"/>
  <c r="AH23" i="20"/>
  <c r="AH24" i="20"/>
  <c r="AH26" i="20"/>
  <c r="AH29" i="20"/>
  <c r="AH30" i="20"/>
  <c r="AH39" i="20"/>
  <c r="AH197" i="20"/>
  <c r="AI200" i="20"/>
  <c r="AI6" i="20"/>
  <c r="C22" i="20"/>
  <c r="D22" i="20"/>
  <c r="E22" i="20"/>
  <c r="F22" i="20"/>
  <c r="G22" i="20"/>
  <c r="H22" i="20"/>
  <c r="I22" i="20"/>
  <c r="J22" i="20"/>
  <c r="K22" i="20"/>
  <c r="L22" i="20"/>
  <c r="M22" i="20"/>
  <c r="N22" i="20"/>
  <c r="O22" i="20"/>
  <c r="P22" i="20"/>
  <c r="Q22" i="20"/>
  <c r="R22" i="20"/>
  <c r="S22" i="20"/>
  <c r="T22" i="20"/>
  <c r="U22" i="20"/>
  <c r="V22" i="20"/>
  <c r="W22" i="20"/>
  <c r="X22" i="20"/>
  <c r="Y22" i="20"/>
  <c r="Z22" i="20"/>
  <c r="AA22" i="20"/>
  <c r="AB22" i="20"/>
  <c r="AC22" i="20"/>
  <c r="AD22" i="20"/>
  <c r="AE22" i="20"/>
  <c r="AF22" i="20"/>
  <c r="AG22" i="20"/>
  <c r="AH22" i="20"/>
  <c r="AI23" i="20"/>
  <c r="AI24" i="20"/>
  <c r="AI26" i="20"/>
  <c r="AI22" i="20"/>
  <c r="AI13" i="20"/>
  <c r="AI31" i="6"/>
  <c r="AH6" i="20"/>
  <c r="AH13" i="20"/>
  <c r="AH31" i="6"/>
  <c r="AG6" i="20"/>
  <c r="AG13" i="20"/>
  <c r="AG31" i="6"/>
  <c r="AF6" i="20"/>
  <c r="AF13" i="20"/>
  <c r="AF31" i="6"/>
  <c r="AE6" i="20"/>
  <c r="AE13" i="20"/>
  <c r="AE31" i="6"/>
  <c r="AD6" i="20"/>
  <c r="AD13" i="20"/>
  <c r="AD31" i="6"/>
  <c r="AC6" i="20"/>
  <c r="AC13" i="20"/>
  <c r="AC31" i="6"/>
  <c r="AB6" i="20"/>
  <c r="AB13" i="20"/>
  <c r="AB31" i="6"/>
  <c r="AA6" i="20"/>
  <c r="AA13" i="20"/>
  <c r="AA31" i="6"/>
  <c r="Z6" i="20"/>
  <c r="Z13" i="20"/>
  <c r="Z31" i="6"/>
  <c r="Y6" i="20"/>
  <c r="Y13" i="20"/>
  <c r="Y31" i="6"/>
  <c r="X6" i="20"/>
  <c r="X13" i="20"/>
  <c r="X31" i="6"/>
  <c r="W6" i="20"/>
  <c r="W13" i="20"/>
  <c r="W31" i="6"/>
  <c r="V6" i="20"/>
  <c r="V13" i="20"/>
  <c r="V31" i="6"/>
  <c r="U6" i="20"/>
  <c r="U13" i="20"/>
  <c r="U31" i="6"/>
  <c r="T6" i="20"/>
  <c r="T13" i="20"/>
  <c r="T31" i="6"/>
  <c r="S6" i="20"/>
  <c r="S13" i="20"/>
  <c r="S31" i="6"/>
  <c r="R6" i="20"/>
  <c r="R13" i="20"/>
  <c r="R31" i="6"/>
  <c r="Q6" i="20"/>
  <c r="Q13" i="20"/>
  <c r="Q31" i="6"/>
  <c r="P6" i="20"/>
  <c r="P13" i="20"/>
  <c r="P31" i="6"/>
  <c r="O6" i="20"/>
  <c r="O13" i="20"/>
  <c r="O31" i="6"/>
  <c r="N6" i="20"/>
  <c r="N13" i="20"/>
  <c r="N31" i="6"/>
  <c r="M6" i="20"/>
  <c r="M13" i="20"/>
  <c r="M31" i="6"/>
  <c r="L6" i="20"/>
  <c r="L13" i="20"/>
  <c r="L31" i="6"/>
  <c r="K6" i="20"/>
  <c r="K13" i="20"/>
  <c r="K31" i="6"/>
  <c r="J6" i="20"/>
  <c r="J13" i="20"/>
  <c r="J31" i="6"/>
  <c r="I6" i="20"/>
  <c r="I13" i="20"/>
  <c r="I31" i="6"/>
  <c r="H6" i="20"/>
  <c r="H13" i="20"/>
  <c r="H31" i="6"/>
  <c r="G6" i="20"/>
  <c r="G13" i="20"/>
  <c r="G31" i="6"/>
  <c r="F6" i="20"/>
  <c r="F13" i="20"/>
  <c r="F31" i="6"/>
  <c r="E6" i="20"/>
  <c r="E13" i="20"/>
  <c r="E31" i="6"/>
  <c r="D6" i="20"/>
  <c r="D13" i="20"/>
  <c r="D31" i="6"/>
  <c r="C6" i="20"/>
  <c r="C13" i="20"/>
  <c r="C31" i="6"/>
  <c r="AI30" i="6"/>
  <c r="AH30" i="6"/>
  <c r="AG30" i="6"/>
  <c r="AF30" i="6"/>
  <c r="AE30" i="6"/>
  <c r="AD30" i="6"/>
  <c r="AC30" i="6"/>
  <c r="AB30" i="6"/>
  <c r="AA30" i="6"/>
  <c r="Z30" i="6"/>
  <c r="Y30" i="6"/>
  <c r="X30" i="6"/>
  <c r="W30" i="6"/>
  <c r="V30" i="6"/>
  <c r="U30" i="6"/>
  <c r="T30" i="6"/>
  <c r="S30" i="6"/>
  <c r="R30" i="6"/>
  <c r="Q30" i="6"/>
  <c r="P30" i="6"/>
  <c r="O30" i="6"/>
  <c r="N30" i="6"/>
  <c r="M30" i="6"/>
  <c r="L30" i="6"/>
  <c r="K30" i="6"/>
  <c r="J30" i="6"/>
  <c r="I30" i="6"/>
  <c r="H30" i="6"/>
  <c r="G30" i="6"/>
  <c r="F30" i="6"/>
  <c r="E30" i="6"/>
  <c r="D30" i="6"/>
  <c r="C30" i="6"/>
  <c r="AI41" i="4"/>
  <c r="AH41" i="4"/>
  <c r="AG41" i="4"/>
  <c r="AF41" i="4"/>
  <c r="AE41" i="4"/>
  <c r="AD41" i="4"/>
  <c r="AC41" i="4"/>
  <c r="AB41" i="4"/>
  <c r="AA41" i="4"/>
  <c r="Z41" i="4"/>
  <c r="Y41" i="4"/>
  <c r="X41" i="4"/>
  <c r="W41" i="4"/>
  <c r="V41" i="4"/>
  <c r="U41" i="4"/>
  <c r="T41" i="4"/>
  <c r="S41" i="4"/>
  <c r="R41" i="4"/>
  <c r="Q41" i="4"/>
  <c r="P41" i="4"/>
  <c r="O41" i="4"/>
  <c r="N41" i="4"/>
  <c r="M41" i="4"/>
  <c r="L41" i="4"/>
  <c r="K41" i="4"/>
  <c r="J41" i="4"/>
  <c r="I41" i="4"/>
  <c r="H41" i="4"/>
  <c r="G41" i="4"/>
  <c r="F41" i="4"/>
  <c r="E41" i="4"/>
  <c r="D41" i="4"/>
  <c r="C41" i="4"/>
  <c r="AI40" i="4"/>
  <c r="AH40" i="4"/>
  <c r="AG40" i="4"/>
  <c r="AF40" i="4"/>
  <c r="AE40" i="4"/>
  <c r="AD40" i="4"/>
  <c r="AC40" i="4"/>
  <c r="AB40" i="4"/>
  <c r="AA40" i="4"/>
  <c r="Z40" i="4"/>
  <c r="Y40" i="4"/>
  <c r="X40" i="4"/>
  <c r="W40" i="4"/>
  <c r="V40" i="4"/>
  <c r="U40" i="4"/>
  <c r="T40" i="4"/>
  <c r="S40" i="4"/>
  <c r="R40" i="4"/>
  <c r="Q40" i="4"/>
  <c r="P40" i="4"/>
  <c r="O40" i="4"/>
  <c r="N40" i="4"/>
  <c r="M40" i="4"/>
  <c r="L40" i="4"/>
  <c r="K40" i="4"/>
  <c r="J40" i="4"/>
  <c r="I40" i="4"/>
  <c r="H40" i="4"/>
  <c r="G40" i="4"/>
  <c r="F40" i="4"/>
  <c r="E40" i="4"/>
  <c r="D40" i="4"/>
  <c r="C40" i="4"/>
  <c r="AI6" i="18"/>
  <c r="AI14" i="18"/>
  <c r="B14" i="19"/>
  <c r="C4" i="19"/>
  <c r="AI14" i="19"/>
  <c r="B15" i="19"/>
  <c r="AI15" i="19"/>
  <c r="B16" i="19"/>
  <c r="AI16" i="19"/>
  <c r="B17" i="19"/>
  <c r="AI17" i="19"/>
  <c r="B18" i="19"/>
  <c r="AI18" i="19"/>
  <c r="B19" i="19"/>
  <c r="AI19" i="19"/>
  <c r="B20" i="19"/>
  <c r="AI20" i="19"/>
  <c r="B21" i="19"/>
  <c r="AI21" i="19"/>
  <c r="B22" i="19"/>
  <c r="AI22" i="19"/>
  <c r="B23" i="19"/>
  <c r="AI23" i="19"/>
  <c r="B24" i="19"/>
  <c r="AI24" i="19"/>
  <c r="B25" i="19"/>
  <c r="AI25" i="19"/>
  <c r="B26" i="19"/>
  <c r="AI26" i="19"/>
  <c r="B27" i="19"/>
  <c r="AI27" i="19"/>
  <c r="B28" i="19"/>
  <c r="AI28" i="19"/>
  <c r="B29" i="19"/>
  <c r="AI29" i="19"/>
  <c r="B30" i="19"/>
  <c r="AI30" i="19"/>
  <c r="B31" i="19"/>
  <c r="AI31" i="19"/>
  <c r="B32" i="19"/>
  <c r="AI32" i="19"/>
  <c r="B33" i="19"/>
  <c r="AI33" i="19"/>
  <c r="B34" i="19"/>
  <c r="AI34" i="19"/>
  <c r="B35" i="19"/>
  <c r="AI35" i="19"/>
  <c r="B36" i="19"/>
  <c r="AI36" i="19"/>
  <c r="B37" i="19"/>
  <c r="AI37" i="19"/>
  <c r="B38" i="19"/>
  <c r="AI38" i="19"/>
  <c r="B39" i="19"/>
  <c r="AI39" i="19"/>
  <c r="B40" i="19"/>
  <c r="AI40" i="19"/>
  <c r="B41" i="19"/>
  <c r="AI41" i="19"/>
  <c r="B42" i="19"/>
  <c r="AI42" i="19"/>
  <c r="B43" i="19"/>
  <c r="AI43" i="19"/>
  <c r="B44" i="19"/>
  <c r="AI44" i="19"/>
  <c r="B45" i="19"/>
  <c r="AI45" i="19"/>
  <c r="B46" i="19"/>
  <c r="AI46" i="19"/>
  <c r="AI47" i="19"/>
  <c r="AI12" i="18"/>
  <c r="AI16" i="18"/>
  <c r="AI15" i="18"/>
  <c r="AI17" i="18"/>
  <c r="AH6" i="18"/>
  <c r="AH14" i="18"/>
  <c r="AH14" i="19"/>
  <c r="AH15" i="19"/>
  <c r="AH16" i="19"/>
  <c r="AH17" i="19"/>
  <c r="AH18" i="19"/>
  <c r="AH19" i="19"/>
  <c r="AH20" i="19"/>
  <c r="AH21" i="19"/>
  <c r="AH22" i="19"/>
  <c r="AH23" i="19"/>
  <c r="AH24" i="19"/>
  <c r="AH25" i="19"/>
  <c r="AH26" i="19"/>
  <c r="AH27" i="19"/>
  <c r="AH28" i="19"/>
  <c r="AH29" i="19"/>
  <c r="AH30" i="19"/>
  <c r="AH31" i="19"/>
  <c r="AH32" i="19"/>
  <c r="AH33" i="19"/>
  <c r="AH34" i="19"/>
  <c r="AH35" i="19"/>
  <c r="AH36" i="19"/>
  <c r="AH37" i="19"/>
  <c r="AH38" i="19"/>
  <c r="AH39" i="19"/>
  <c r="AH40" i="19"/>
  <c r="AH41" i="19"/>
  <c r="AH42" i="19"/>
  <c r="AH43" i="19"/>
  <c r="AH44" i="19"/>
  <c r="AH45" i="19"/>
  <c r="AH47" i="19"/>
  <c r="AH12" i="18"/>
  <c r="AH16" i="18"/>
  <c r="AH15" i="18"/>
  <c r="AH17" i="18"/>
  <c r="AG6" i="18"/>
  <c r="AG14" i="18"/>
  <c r="AG14" i="19"/>
  <c r="AG15" i="19"/>
  <c r="AG16" i="19"/>
  <c r="AG17" i="19"/>
  <c r="AG18" i="19"/>
  <c r="AG19" i="19"/>
  <c r="AG20" i="19"/>
  <c r="AG21" i="19"/>
  <c r="AG22" i="19"/>
  <c r="AG23" i="19"/>
  <c r="AG24" i="19"/>
  <c r="AG25" i="19"/>
  <c r="AG26" i="19"/>
  <c r="AG27" i="19"/>
  <c r="AG28" i="19"/>
  <c r="AG29" i="19"/>
  <c r="AG30" i="19"/>
  <c r="AG31" i="19"/>
  <c r="AG32" i="19"/>
  <c r="AG33" i="19"/>
  <c r="AG34" i="19"/>
  <c r="AG35" i="19"/>
  <c r="AG36" i="19"/>
  <c r="AG37" i="19"/>
  <c r="AG38" i="19"/>
  <c r="AG39" i="19"/>
  <c r="AG40" i="19"/>
  <c r="AG41" i="19"/>
  <c r="AG42" i="19"/>
  <c r="AG43" i="19"/>
  <c r="AG44" i="19"/>
  <c r="AG47" i="19"/>
  <c r="AG12" i="18"/>
  <c r="AG16" i="18"/>
  <c r="AG15" i="18"/>
  <c r="AG17" i="18"/>
  <c r="AF6" i="18"/>
  <c r="AF14" i="18"/>
  <c r="AF14" i="19"/>
  <c r="AF15" i="19"/>
  <c r="AF16" i="19"/>
  <c r="AF17" i="19"/>
  <c r="AF18" i="19"/>
  <c r="AF19" i="19"/>
  <c r="AF20" i="19"/>
  <c r="AF21" i="19"/>
  <c r="AF22" i="19"/>
  <c r="AF23" i="19"/>
  <c r="AF24" i="19"/>
  <c r="AF25" i="19"/>
  <c r="AF26" i="19"/>
  <c r="AF27" i="19"/>
  <c r="AF28" i="19"/>
  <c r="AF29" i="19"/>
  <c r="AF30" i="19"/>
  <c r="AF31" i="19"/>
  <c r="AF32" i="19"/>
  <c r="AF33" i="19"/>
  <c r="AF34" i="19"/>
  <c r="AF35" i="19"/>
  <c r="AF36" i="19"/>
  <c r="AF37" i="19"/>
  <c r="AF38" i="19"/>
  <c r="AF39" i="19"/>
  <c r="AF40" i="19"/>
  <c r="AF41" i="19"/>
  <c r="AF42" i="19"/>
  <c r="AF43" i="19"/>
  <c r="AF47" i="19"/>
  <c r="AF12" i="18"/>
  <c r="AF16" i="18"/>
  <c r="AF15" i="18"/>
  <c r="AF17" i="18"/>
  <c r="AE6" i="18"/>
  <c r="AE14" i="18"/>
  <c r="AE14" i="19"/>
  <c r="AE15" i="19"/>
  <c r="AE16" i="19"/>
  <c r="AE17" i="19"/>
  <c r="AE18" i="19"/>
  <c r="AE19" i="19"/>
  <c r="AE20" i="19"/>
  <c r="AE21" i="19"/>
  <c r="AE22" i="19"/>
  <c r="AE23" i="19"/>
  <c r="AE24" i="19"/>
  <c r="AE25" i="19"/>
  <c r="AE26" i="19"/>
  <c r="AE27" i="19"/>
  <c r="AE28" i="19"/>
  <c r="AE29" i="19"/>
  <c r="AE30" i="19"/>
  <c r="AE31" i="19"/>
  <c r="AE32" i="19"/>
  <c r="AE33" i="19"/>
  <c r="AE34" i="19"/>
  <c r="AE35" i="19"/>
  <c r="AE36" i="19"/>
  <c r="AE37" i="19"/>
  <c r="AE38" i="19"/>
  <c r="AE39" i="19"/>
  <c r="AE40" i="19"/>
  <c r="AE41" i="19"/>
  <c r="AE42" i="19"/>
  <c r="AE47" i="19"/>
  <c r="AE12" i="18"/>
  <c r="AE16" i="18"/>
  <c r="AE15" i="18"/>
  <c r="AE17" i="18"/>
  <c r="AD6" i="18"/>
  <c r="AD14" i="18"/>
  <c r="AD14" i="19"/>
  <c r="AD15" i="19"/>
  <c r="AD16" i="19"/>
  <c r="AD17" i="19"/>
  <c r="AD18" i="19"/>
  <c r="AD19" i="19"/>
  <c r="AD20" i="19"/>
  <c r="AD21" i="19"/>
  <c r="AD22" i="19"/>
  <c r="AD23" i="19"/>
  <c r="AD24" i="19"/>
  <c r="AD25" i="19"/>
  <c r="AD26" i="19"/>
  <c r="AD27" i="19"/>
  <c r="AD28" i="19"/>
  <c r="AD29" i="19"/>
  <c r="AD30" i="19"/>
  <c r="AD31" i="19"/>
  <c r="AD32" i="19"/>
  <c r="AD33" i="19"/>
  <c r="AD34" i="19"/>
  <c r="AD35" i="19"/>
  <c r="AD36" i="19"/>
  <c r="AD37" i="19"/>
  <c r="AD38" i="19"/>
  <c r="AD39" i="19"/>
  <c r="AD40" i="19"/>
  <c r="AD41" i="19"/>
  <c r="AD47" i="19"/>
  <c r="AD12" i="18"/>
  <c r="AD16" i="18"/>
  <c r="AD15" i="18"/>
  <c r="AD17" i="18"/>
  <c r="AC6" i="18"/>
  <c r="AC14" i="18"/>
  <c r="AC14" i="19"/>
  <c r="AC15" i="19"/>
  <c r="AC16" i="19"/>
  <c r="AC17" i="19"/>
  <c r="AC18" i="19"/>
  <c r="AC19" i="19"/>
  <c r="AC20" i="19"/>
  <c r="AC21" i="19"/>
  <c r="AC22" i="19"/>
  <c r="AC23" i="19"/>
  <c r="AC24" i="19"/>
  <c r="AC25" i="19"/>
  <c r="AC26" i="19"/>
  <c r="AC27" i="19"/>
  <c r="AC28" i="19"/>
  <c r="AC29" i="19"/>
  <c r="AC30" i="19"/>
  <c r="AC31" i="19"/>
  <c r="AC32" i="19"/>
  <c r="AC33" i="19"/>
  <c r="AC34" i="19"/>
  <c r="AC35" i="19"/>
  <c r="AC36" i="19"/>
  <c r="AC37" i="19"/>
  <c r="AC38" i="19"/>
  <c r="AC39" i="19"/>
  <c r="AC40" i="19"/>
  <c r="AC47" i="19"/>
  <c r="AC12" i="18"/>
  <c r="AC16" i="18"/>
  <c r="AC15" i="18"/>
  <c r="AC17" i="18"/>
  <c r="AB6" i="18"/>
  <c r="AB14" i="18"/>
  <c r="AB14" i="19"/>
  <c r="AB15" i="19"/>
  <c r="AB16" i="19"/>
  <c r="AB17" i="19"/>
  <c r="AB18" i="19"/>
  <c r="AB19" i="19"/>
  <c r="AB20" i="19"/>
  <c r="AB21" i="19"/>
  <c r="AB22" i="19"/>
  <c r="AB23" i="19"/>
  <c r="AB24" i="19"/>
  <c r="AB25" i="19"/>
  <c r="AB26" i="19"/>
  <c r="AB27" i="19"/>
  <c r="AB28" i="19"/>
  <c r="AB29" i="19"/>
  <c r="AB30" i="19"/>
  <c r="AB31" i="19"/>
  <c r="AB32" i="19"/>
  <c r="AB33" i="19"/>
  <c r="AB34" i="19"/>
  <c r="AB35" i="19"/>
  <c r="AB36" i="19"/>
  <c r="AB37" i="19"/>
  <c r="AB38" i="19"/>
  <c r="AB39" i="19"/>
  <c r="AB47" i="19"/>
  <c r="AB12" i="18"/>
  <c r="AB16" i="18"/>
  <c r="AB15" i="18"/>
  <c r="AB17" i="18"/>
  <c r="AA6" i="18"/>
  <c r="AA14" i="18"/>
  <c r="AA14" i="19"/>
  <c r="AA15" i="19"/>
  <c r="AA16" i="19"/>
  <c r="AA17" i="19"/>
  <c r="AA18" i="19"/>
  <c r="AA19" i="19"/>
  <c r="AA20" i="19"/>
  <c r="AA21" i="19"/>
  <c r="AA22" i="19"/>
  <c r="AA23" i="19"/>
  <c r="AA24" i="19"/>
  <c r="AA25" i="19"/>
  <c r="AA26" i="19"/>
  <c r="AA27" i="19"/>
  <c r="AA28" i="19"/>
  <c r="AA29" i="19"/>
  <c r="AA30" i="19"/>
  <c r="AA31" i="19"/>
  <c r="AA32" i="19"/>
  <c r="AA33" i="19"/>
  <c r="AA34" i="19"/>
  <c r="AA35" i="19"/>
  <c r="AA36" i="19"/>
  <c r="AA37" i="19"/>
  <c r="AA38" i="19"/>
  <c r="AA47" i="19"/>
  <c r="AA12" i="18"/>
  <c r="AA16" i="18"/>
  <c r="AA15" i="18"/>
  <c r="AA17" i="18"/>
  <c r="Z6" i="18"/>
  <c r="Z14" i="18"/>
  <c r="Z14" i="19"/>
  <c r="Z15" i="19"/>
  <c r="Z16" i="19"/>
  <c r="Z17" i="19"/>
  <c r="Z18" i="19"/>
  <c r="Z19" i="19"/>
  <c r="Z20" i="19"/>
  <c r="Z21" i="19"/>
  <c r="Z22" i="19"/>
  <c r="Z23" i="19"/>
  <c r="Z24" i="19"/>
  <c r="Z25" i="19"/>
  <c r="Z26" i="19"/>
  <c r="Z27" i="19"/>
  <c r="Z28" i="19"/>
  <c r="Z29" i="19"/>
  <c r="Z30" i="19"/>
  <c r="Z31" i="19"/>
  <c r="Z32" i="19"/>
  <c r="Z33" i="19"/>
  <c r="Z34" i="19"/>
  <c r="Z35" i="19"/>
  <c r="Z36" i="19"/>
  <c r="Z37" i="19"/>
  <c r="Z47" i="19"/>
  <c r="Z12" i="18"/>
  <c r="Z16" i="18"/>
  <c r="Z15" i="18"/>
  <c r="Z17" i="18"/>
  <c r="Y6" i="18"/>
  <c r="Y14" i="18"/>
  <c r="Y14" i="19"/>
  <c r="Y15" i="19"/>
  <c r="Y16" i="19"/>
  <c r="Y17" i="19"/>
  <c r="Y18" i="19"/>
  <c r="Y19" i="19"/>
  <c r="Y20" i="19"/>
  <c r="Y21" i="19"/>
  <c r="Y22" i="19"/>
  <c r="Y23" i="19"/>
  <c r="Y24" i="19"/>
  <c r="Y25" i="19"/>
  <c r="Y26" i="19"/>
  <c r="Y27" i="19"/>
  <c r="Y28" i="19"/>
  <c r="Y29" i="19"/>
  <c r="Y30" i="19"/>
  <c r="Y31" i="19"/>
  <c r="Y32" i="19"/>
  <c r="Y33" i="19"/>
  <c r="Y34" i="19"/>
  <c r="Y35" i="19"/>
  <c r="Y36" i="19"/>
  <c r="Y47" i="19"/>
  <c r="Y12" i="18"/>
  <c r="Y16" i="18"/>
  <c r="Y15" i="18"/>
  <c r="Y17" i="18"/>
  <c r="X6" i="18"/>
  <c r="X14" i="18"/>
  <c r="X14" i="19"/>
  <c r="X15" i="19"/>
  <c r="X16" i="19"/>
  <c r="X17" i="19"/>
  <c r="X18" i="19"/>
  <c r="X19" i="19"/>
  <c r="X20" i="19"/>
  <c r="X21" i="19"/>
  <c r="X22" i="19"/>
  <c r="X23" i="19"/>
  <c r="X24" i="19"/>
  <c r="X25" i="19"/>
  <c r="X26" i="19"/>
  <c r="X27" i="19"/>
  <c r="X28" i="19"/>
  <c r="X29" i="19"/>
  <c r="X30" i="19"/>
  <c r="X31" i="19"/>
  <c r="X32" i="19"/>
  <c r="X33" i="19"/>
  <c r="X34" i="19"/>
  <c r="X35" i="19"/>
  <c r="X47" i="19"/>
  <c r="X12" i="18"/>
  <c r="X16" i="18"/>
  <c r="X15" i="18"/>
  <c r="X17" i="18"/>
  <c r="W6" i="18"/>
  <c r="W14" i="18"/>
  <c r="W14" i="19"/>
  <c r="W15" i="19"/>
  <c r="W16" i="19"/>
  <c r="W17" i="19"/>
  <c r="W18" i="19"/>
  <c r="W19" i="19"/>
  <c r="W20" i="19"/>
  <c r="W21" i="19"/>
  <c r="W22" i="19"/>
  <c r="W23" i="19"/>
  <c r="W24" i="19"/>
  <c r="W25" i="19"/>
  <c r="W26" i="19"/>
  <c r="W27" i="19"/>
  <c r="W28" i="19"/>
  <c r="W29" i="19"/>
  <c r="W30" i="19"/>
  <c r="W31" i="19"/>
  <c r="W32" i="19"/>
  <c r="W33" i="19"/>
  <c r="W34" i="19"/>
  <c r="W47" i="19"/>
  <c r="W12" i="18"/>
  <c r="W16" i="18"/>
  <c r="W15" i="18"/>
  <c r="W17" i="18"/>
  <c r="V6" i="18"/>
  <c r="V14" i="18"/>
  <c r="V14" i="19"/>
  <c r="V15" i="19"/>
  <c r="V16" i="19"/>
  <c r="V17" i="19"/>
  <c r="V18" i="19"/>
  <c r="V19" i="19"/>
  <c r="V20" i="19"/>
  <c r="V21" i="19"/>
  <c r="V22" i="19"/>
  <c r="V23" i="19"/>
  <c r="V24" i="19"/>
  <c r="V25" i="19"/>
  <c r="V26" i="19"/>
  <c r="V27" i="19"/>
  <c r="V28" i="19"/>
  <c r="V29" i="19"/>
  <c r="V30" i="19"/>
  <c r="V31" i="19"/>
  <c r="V32" i="19"/>
  <c r="V33" i="19"/>
  <c r="V47" i="19"/>
  <c r="V12" i="18"/>
  <c r="V16" i="18"/>
  <c r="V15" i="18"/>
  <c r="V17" i="18"/>
  <c r="U6" i="18"/>
  <c r="U14" i="18"/>
  <c r="U14" i="19"/>
  <c r="U15" i="19"/>
  <c r="U16" i="19"/>
  <c r="U17" i="19"/>
  <c r="U18" i="19"/>
  <c r="U19" i="19"/>
  <c r="U20" i="19"/>
  <c r="U21" i="19"/>
  <c r="U22" i="19"/>
  <c r="U23" i="19"/>
  <c r="U24" i="19"/>
  <c r="U25" i="19"/>
  <c r="U26" i="19"/>
  <c r="U27" i="19"/>
  <c r="U28" i="19"/>
  <c r="U29" i="19"/>
  <c r="U30" i="19"/>
  <c r="U31" i="19"/>
  <c r="U32" i="19"/>
  <c r="U47" i="19"/>
  <c r="U12" i="18"/>
  <c r="U16" i="18"/>
  <c r="U15" i="18"/>
  <c r="U17" i="18"/>
  <c r="T6" i="18"/>
  <c r="T14" i="18"/>
  <c r="T14" i="19"/>
  <c r="T15" i="19"/>
  <c r="T16" i="19"/>
  <c r="T17" i="19"/>
  <c r="T18" i="19"/>
  <c r="T19" i="19"/>
  <c r="T20" i="19"/>
  <c r="T21" i="19"/>
  <c r="T22" i="19"/>
  <c r="T23" i="19"/>
  <c r="T24" i="19"/>
  <c r="T25" i="19"/>
  <c r="T26" i="19"/>
  <c r="T27" i="19"/>
  <c r="T28" i="19"/>
  <c r="T29" i="19"/>
  <c r="T30" i="19"/>
  <c r="T31" i="19"/>
  <c r="T47" i="19"/>
  <c r="T12" i="18"/>
  <c r="T16" i="18"/>
  <c r="T15" i="18"/>
  <c r="T17" i="18"/>
  <c r="S6" i="18"/>
  <c r="S14" i="18"/>
  <c r="S14" i="19"/>
  <c r="S15" i="19"/>
  <c r="S16" i="19"/>
  <c r="S17" i="19"/>
  <c r="S18" i="19"/>
  <c r="S19" i="19"/>
  <c r="S20" i="19"/>
  <c r="S21" i="19"/>
  <c r="S22" i="19"/>
  <c r="S23" i="19"/>
  <c r="S24" i="19"/>
  <c r="S25" i="19"/>
  <c r="S26" i="19"/>
  <c r="S27" i="19"/>
  <c r="S28" i="19"/>
  <c r="S29" i="19"/>
  <c r="S30" i="19"/>
  <c r="S47" i="19"/>
  <c r="S12" i="18"/>
  <c r="S16" i="18"/>
  <c r="S15" i="18"/>
  <c r="S17" i="18"/>
  <c r="R6" i="18"/>
  <c r="R14" i="18"/>
  <c r="R14" i="19"/>
  <c r="R15" i="19"/>
  <c r="R16" i="19"/>
  <c r="R17" i="19"/>
  <c r="R18" i="19"/>
  <c r="R19" i="19"/>
  <c r="R20" i="19"/>
  <c r="R21" i="19"/>
  <c r="R22" i="19"/>
  <c r="R23" i="19"/>
  <c r="R24" i="19"/>
  <c r="R25" i="19"/>
  <c r="R26" i="19"/>
  <c r="R27" i="19"/>
  <c r="R28" i="19"/>
  <c r="R29" i="19"/>
  <c r="R47" i="19"/>
  <c r="R12" i="18"/>
  <c r="R16" i="18"/>
  <c r="R15" i="18"/>
  <c r="R17" i="18"/>
  <c r="Q6" i="18"/>
  <c r="Q14" i="18"/>
  <c r="Q14" i="19"/>
  <c r="Q15" i="19"/>
  <c r="Q16" i="19"/>
  <c r="Q17" i="19"/>
  <c r="Q18" i="19"/>
  <c r="Q19" i="19"/>
  <c r="Q20" i="19"/>
  <c r="Q21" i="19"/>
  <c r="Q22" i="19"/>
  <c r="Q23" i="19"/>
  <c r="Q24" i="19"/>
  <c r="Q25" i="19"/>
  <c r="Q26" i="19"/>
  <c r="Q27" i="19"/>
  <c r="Q28" i="19"/>
  <c r="Q47" i="19"/>
  <c r="Q12" i="18"/>
  <c r="Q16" i="18"/>
  <c r="Q15" i="18"/>
  <c r="Q17" i="18"/>
  <c r="P6" i="18"/>
  <c r="P14" i="18"/>
  <c r="P14" i="19"/>
  <c r="P15" i="19"/>
  <c r="P16" i="19"/>
  <c r="P17" i="19"/>
  <c r="P18" i="19"/>
  <c r="P19" i="19"/>
  <c r="P20" i="19"/>
  <c r="P21" i="19"/>
  <c r="P22" i="19"/>
  <c r="P23" i="19"/>
  <c r="P24" i="19"/>
  <c r="P25" i="19"/>
  <c r="P26" i="19"/>
  <c r="P27" i="19"/>
  <c r="P47" i="19"/>
  <c r="P12" i="18"/>
  <c r="P16" i="18"/>
  <c r="P15" i="18"/>
  <c r="P17" i="18"/>
  <c r="O6" i="18"/>
  <c r="O14" i="18"/>
  <c r="O14" i="19"/>
  <c r="O15" i="19"/>
  <c r="O16" i="19"/>
  <c r="O17" i="19"/>
  <c r="O18" i="19"/>
  <c r="O19" i="19"/>
  <c r="O20" i="19"/>
  <c r="O21" i="19"/>
  <c r="O22" i="19"/>
  <c r="O23" i="19"/>
  <c r="O24" i="19"/>
  <c r="O25" i="19"/>
  <c r="O26" i="19"/>
  <c r="O47" i="19"/>
  <c r="O12" i="18"/>
  <c r="O16" i="18"/>
  <c r="O15" i="18"/>
  <c r="O17" i="18"/>
  <c r="N6" i="18"/>
  <c r="N14" i="18"/>
  <c r="N14" i="19"/>
  <c r="N15" i="19"/>
  <c r="N16" i="19"/>
  <c r="N17" i="19"/>
  <c r="N18" i="19"/>
  <c r="N19" i="19"/>
  <c r="N20" i="19"/>
  <c r="N21" i="19"/>
  <c r="N22" i="19"/>
  <c r="N23" i="19"/>
  <c r="N24" i="19"/>
  <c r="N25" i="19"/>
  <c r="N47" i="19"/>
  <c r="N12" i="18"/>
  <c r="N16" i="18"/>
  <c r="N15" i="18"/>
  <c r="N17" i="18"/>
  <c r="M6" i="18"/>
  <c r="M14" i="18"/>
  <c r="M14" i="19"/>
  <c r="M15" i="19"/>
  <c r="M16" i="19"/>
  <c r="M17" i="19"/>
  <c r="M18" i="19"/>
  <c r="M19" i="19"/>
  <c r="M20" i="19"/>
  <c r="M21" i="19"/>
  <c r="M22" i="19"/>
  <c r="M23" i="19"/>
  <c r="M24" i="19"/>
  <c r="M47" i="19"/>
  <c r="M12" i="18"/>
  <c r="M16" i="18"/>
  <c r="M15" i="18"/>
  <c r="M17" i="18"/>
  <c r="L6" i="18"/>
  <c r="L14" i="18"/>
  <c r="L14" i="19"/>
  <c r="L15" i="19"/>
  <c r="L16" i="19"/>
  <c r="L17" i="19"/>
  <c r="L18" i="19"/>
  <c r="L19" i="19"/>
  <c r="L20" i="19"/>
  <c r="L21" i="19"/>
  <c r="L22" i="19"/>
  <c r="L23" i="19"/>
  <c r="L47" i="19"/>
  <c r="L12" i="18"/>
  <c r="L16" i="18"/>
  <c r="L15" i="18"/>
  <c r="L17" i="18"/>
  <c r="K6" i="18"/>
  <c r="K14" i="18"/>
  <c r="K14" i="19"/>
  <c r="K15" i="19"/>
  <c r="K16" i="19"/>
  <c r="K17" i="19"/>
  <c r="K18" i="19"/>
  <c r="K19" i="19"/>
  <c r="K20" i="19"/>
  <c r="K21" i="19"/>
  <c r="K22" i="19"/>
  <c r="K47" i="19"/>
  <c r="K12" i="18"/>
  <c r="K16" i="18"/>
  <c r="K15" i="18"/>
  <c r="K17" i="18"/>
  <c r="J6" i="18"/>
  <c r="J14" i="18"/>
  <c r="J14" i="19"/>
  <c r="J15" i="19"/>
  <c r="J16" i="19"/>
  <c r="J17" i="19"/>
  <c r="J18" i="19"/>
  <c r="J19" i="19"/>
  <c r="J20" i="19"/>
  <c r="J21" i="19"/>
  <c r="J47" i="19"/>
  <c r="J12" i="18"/>
  <c r="J16" i="18"/>
  <c r="J15" i="18"/>
  <c r="J17" i="18"/>
  <c r="I6" i="18"/>
  <c r="I14" i="18"/>
  <c r="I14" i="19"/>
  <c r="I15" i="19"/>
  <c r="I16" i="19"/>
  <c r="I17" i="19"/>
  <c r="I18" i="19"/>
  <c r="I19" i="19"/>
  <c r="I20" i="19"/>
  <c r="I47" i="19"/>
  <c r="I12" i="18"/>
  <c r="I16" i="18"/>
  <c r="I15" i="18"/>
  <c r="I17" i="18"/>
  <c r="H6" i="18"/>
  <c r="H14" i="18"/>
  <c r="H14" i="19"/>
  <c r="H15" i="19"/>
  <c r="H16" i="19"/>
  <c r="H17" i="19"/>
  <c r="H18" i="19"/>
  <c r="H19" i="19"/>
  <c r="H47" i="19"/>
  <c r="H12" i="18"/>
  <c r="H16" i="18"/>
  <c r="H15" i="18"/>
  <c r="H17" i="18"/>
  <c r="G6" i="18"/>
  <c r="G14" i="18"/>
  <c r="G14" i="19"/>
  <c r="G15" i="19"/>
  <c r="G16" i="19"/>
  <c r="G17" i="19"/>
  <c r="G18" i="19"/>
  <c r="G47" i="19"/>
  <c r="G12" i="18"/>
  <c r="G16" i="18"/>
  <c r="G15" i="18"/>
  <c r="G17" i="18"/>
  <c r="F6" i="18"/>
  <c r="F14" i="18"/>
  <c r="F14" i="19"/>
  <c r="F15" i="19"/>
  <c r="F16" i="19"/>
  <c r="F17" i="19"/>
  <c r="F47" i="19"/>
  <c r="F12" i="18"/>
  <c r="F16" i="18"/>
  <c r="F15" i="18"/>
  <c r="F17" i="18"/>
  <c r="E6" i="18"/>
  <c r="E14" i="18"/>
  <c r="E14" i="19"/>
  <c r="E15" i="19"/>
  <c r="E16" i="19"/>
  <c r="E47" i="19"/>
  <c r="E12" i="18"/>
  <c r="E16" i="18"/>
  <c r="E15" i="18"/>
  <c r="E17" i="18"/>
  <c r="D6" i="18"/>
  <c r="D14" i="18"/>
  <c r="D14" i="19"/>
  <c r="D15" i="19"/>
  <c r="D47" i="19"/>
  <c r="D12" i="18"/>
  <c r="D16" i="18"/>
  <c r="D15" i="18"/>
  <c r="D17" i="18"/>
  <c r="C6" i="18"/>
  <c r="C14" i="18"/>
  <c r="C14" i="19"/>
  <c r="C47" i="19"/>
  <c r="C12" i="18"/>
  <c r="C16" i="18"/>
  <c r="C15" i="18"/>
  <c r="C13" i="18"/>
  <c r="C17" i="18"/>
  <c r="C4" i="18"/>
  <c r="C19" i="18"/>
  <c r="C21" i="18"/>
  <c r="C22" i="18"/>
  <c r="D4" i="18"/>
  <c r="D19" i="18"/>
  <c r="D21" i="18"/>
  <c r="D22" i="18"/>
  <c r="E4" i="18"/>
  <c r="E19" i="18"/>
  <c r="E21" i="18"/>
  <c r="E22" i="18"/>
  <c r="F4" i="18"/>
  <c r="F19" i="18"/>
  <c r="F21" i="18"/>
  <c r="F22" i="18"/>
  <c r="G4" i="18"/>
  <c r="G19" i="18"/>
  <c r="G21" i="18"/>
  <c r="G22" i="18"/>
  <c r="H4" i="18"/>
  <c r="H19" i="18"/>
  <c r="H21" i="18"/>
  <c r="H22" i="18"/>
  <c r="I4" i="18"/>
  <c r="I19" i="18"/>
  <c r="I21" i="18"/>
  <c r="I22" i="18"/>
  <c r="J4" i="18"/>
  <c r="J19" i="18"/>
  <c r="J21" i="18"/>
  <c r="J22" i="18"/>
  <c r="K4" i="18"/>
  <c r="K19" i="18"/>
  <c r="K21" i="18"/>
  <c r="K22" i="18"/>
  <c r="L4" i="18"/>
  <c r="L19" i="18"/>
  <c r="L21" i="18"/>
  <c r="L22" i="18"/>
  <c r="M4" i="18"/>
  <c r="M19" i="18"/>
  <c r="M21" i="18"/>
  <c r="M22" i="18"/>
  <c r="N4" i="18"/>
  <c r="N19" i="18"/>
  <c r="N21" i="18"/>
  <c r="N22" i="18"/>
  <c r="O4" i="18"/>
  <c r="O19" i="18"/>
  <c r="O21" i="18"/>
  <c r="O22" i="18"/>
  <c r="P4" i="18"/>
  <c r="P19" i="18"/>
  <c r="P21" i="18"/>
  <c r="P22" i="18"/>
  <c r="Q4" i="18"/>
  <c r="Q19" i="18"/>
  <c r="Q21" i="18"/>
  <c r="Q22" i="18"/>
  <c r="R4" i="18"/>
  <c r="R19" i="18"/>
  <c r="R21" i="18"/>
  <c r="R22" i="18"/>
  <c r="S4" i="18"/>
  <c r="S19" i="18"/>
  <c r="S21" i="18"/>
  <c r="S22" i="18"/>
  <c r="T4" i="18"/>
  <c r="T19" i="18"/>
  <c r="T21" i="18"/>
  <c r="T22" i="18"/>
  <c r="U4" i="18"/>
  <c r="U19" i="18"/>
  <c r="U21" i="18"/>
  <c r="U22" i="18"/>
  <c r="V4" i="18"/>
  <c r="V19" i="18"/>
  <c r="V21" i="18"/>
  <c r="V22" i="18"/>
  <c r="W4" i="18"/>
  <c r="W19" i="18"/>
  <c r="W21" i="18"/>
  <c r="W22" i="18"/>
  <c r="X4" i="18"/>
  <c r="X19" i="18"/>
  <c r="X21" i="18"/>
  <c r="X22" i="18"/>
  <c r="Y4" i="18"/>
  <c r="Y19" i="18"/>
  <c r="Y21" i="18"/>
  <c r="Y22" i="18"/>
  <c r="Z4" i="18"/>
  <c r="Z19" i="18"/>
  <c r="Z21" i="18"/>
  <c r="Z22" i="18"/>
  <c r="AA4" i="18"/>
  <c r="AA19" i="18"/>
  <c r="AA21" i="18"/>
  <c r="AA22" i="18"/>
  <c r="AB4" i="18"/>
  <c r="AB19" i="18"/>
  <c r="AB21" i="18"/>
  <c r="AB22" i="18"/>
  <c r="AC4" i="18"/>
  <c r="AC19" i="18"/>
  <c r="AC21" i="18"/>
  <c r="AC22" i="18"/>
  <c r="AD4" i="18"/>
  <c r="AD19" i="18"/>
  <c r="AD21" i="18"/>
  <c r="AD22" i="18"/>
  <c r="AE4" i="18"/>
  <c r="AE19" i="18"/>
  <c r="AE21" i="18"/>
  <c r="AE22" i="18"/>
  <c r="AF4" i="18"/>
  <c r="AF19" i="18"/>
  <c r="AF21" i="18"/>
  <c r="AF22" i="18"/>
  <c r="AG4" i="18"/>
  <c r="AG19" i="18"/>
  <c r="AG21" i="18"/>
  <c r="AG22" i="18"/>
  <c r="AH4" i="18"/>
  <c r="AH19" i="18"/>
  <c r="AH21" i="18"/>
  <c r="AH22" i="18"/>
  <c r="AI4" i="18"/>
  <c r="AI19" i="18"/>
  <c r="AI21" i="18"/>
  <c r="AI43" i="18"/>
  <c r="AH43" i="18"/>
  <c r="AG43" i="18"/>
  <c r="AF43" i="18"/>
  <c r="AE43" i="18"/>
  <c r="AD43" i="18"/>
  <c r="AC43" i="18"/>
  <c r="AB43" i="18"/>
  <c r="AA43" i="18"/>
  <c r="Z43" i="18"/>
  <c r="Y43" i="18"/>
  <c r="X43" i="18"/>
  <c r="W43" i="18"/>
  <c r="V43" i="18"/>
  <c r="U43" i="18"/>
  <c r="T43" i="18"/>
  <c r="S43" i="18"/>
  <c r="R43" i="18"/>
  <c r="Q43" i="18"/>
  <c r="P43" i="18"/>
  <c r="O43" i="18"/>
  <c r="N43" i="18"/>
  <c r="M43" i="18"/>
  <c r="L43" i="18"/>
  <c r="K43" i="18"/>
  <c r="J43" i="18"/>
  <c r="I43" i="18"/>
  <c r="H43" i="18"/>
  <c r="G43" i="18"/>
  <c r="F43" i="18"/>
  <c r="E43" i="18"/>
  <c r="D43" i="18"/>
  <c r="C43" i="18"/>
  <c r="C31" i="18"/>
  <c r="C44" i="18"/>
  <c r="C45" i="18"/>
  <c r="C28" i="18"/>
  <c r="C8" i="18"/>
  <c r="C29" i="18"/>
  <c r="C30" i="18"/>
  <c r="D31" i="18"/>
  <c r="D44" i="18"/>
  <c r="D45" i="18"/>
  <c r="D28" i="18"/>
  <c r="D8" i="18"/>
  <c r="D29" i="18"/>
  <c r="D30" i="18"/>
  <c r="E31" i="18"/>
  <c r="E44" i="18"/>
  <c r="E45" i="18"/>
  <c r="E28" i="18"/>
  <c r="E8" i="18"/>
  <c r="E29" i="18"/>
  <c r="E30" i="18"/>
  <c r="F31" i="18"/>
  <c r="F44" i="18"/>
  <c r="F45" i="18"/>
  <c r="F28" i="18"/>
  <c r="F8" i="18"/>
  <c r="F29" i="18"/>
  <c r="F30" i="18"/>
  <c r="G31" i="18"/>
  <c r="G44" i="18"/>
  <c r="G45" i="18"/>
  <c r="G28" i="18"/>
  <c r="G8" i="18"/>
  <c r="G29" i="18"/>
  <c r="G30" i="18"/>
  <c r="H31" i="18"/>
  <c r="H44" i="18"/>
  <c r="H45" i="18"/>
  <c r="H28" i="18"/>
  <c r="H8" i="18"/>
  <c r="H29" i="18"/>
  <c r="H30" i="18"/>
  <c r="I31" i="18"/>
  <c r="I44" i="18"/>
  <c r="I45" i="18"/>
  <c r="I28" i="18"/>
  <c r="I8" i="18"/>
  <c r="I29" i="18"/>
  <c r="I30" i="18"/>
  <c r="J31" i="18"/>
  <c r="J44" i="18"/>
  <c r="J45" i="18"/>
  <c r="J28" i="18"/>
  <c r="J8" i="18"/>
  <c r="J29" i="18"/>
  <c r="J30" i="18"/>
  <c r="K31" i="18"/>
  <c r="K44" i="18"/>
  <c r="K45" i="18"/>
  <c r="K28" i="18"/>
  <c r="K8" i="18"/>
  <c r="K29" i="18"/>
  <c r="K30" i="18"/>
  <c r="L31" i="18"/>
  <c r="L44" i="18"/>
  <c r="L45" i="18"/>
  <c r="L28" i="18"/>
  <c r="L8" i="18"/>
  <c r="L29" i="18"/>
  <c r="L30" i="18"/>
  <c r="M31" i="18"/>
  <c r="M44" i="18"/>
  <c r="M45" i="18"/>
  <c r="M28" i="18"/>
  <c r="M8" i="18"/>
  <c r="M29" i="18"/>
  <c r="M30" i="18"/>
  <c r="N31" i="18"/>
  <c r="N44" i="18"/>
  <c r="N45" i="18"/>
  <c r="N28" i="18"/>
  <c r="N8" i="18"/>
  <c r="N29" i="18"/>
  <c r="N30" i="18"/>
  <c r="O31" i="18"/>
  <c r="O44" i="18"/>
  <c r="O45" i="18"/>
  <c r="O28" i="18"/>
  <c r="O8" i="18"/>
  <c r="O29" i="18"/>
  <c r="O30" i="18"/>
  <c r="P31" i="18"/>
  <c r="P44" i="18"/>
  <c r="P45" i="18"/>
  <c r="P28" i="18"/>
  <c r="P8" i="18"/>
  <c r="P29" i="18"/>
  <c r="P30" i="18"/>
  <c r="Q31" i="18"/>
  <c r="Q44" i="18"/>
  <c r="Q45" i="18"/>
  <c r="Q28" i="18"/>
  <c r="Q8" i="18"/>
  <c r="Q29" i="18"/>
  <c r="Q30" i="18"/>
  <c r="R31" i="18"/>
  <c r="R44" i="18"/>
  <c r="R45" i="18"/>
  <c r="R28" i="18"/>
  <c r="R8" i="18"/>
  <c r="R29" i="18"/>
  <c r="R30" i="18"/>
  <c r="S31" i="18"/>
  <c r="S44" i="18"/>
  <c r="S45" i="18"/>
  <c r="S28" i="18"/>
  <c r="S8" i="18"/>
  <c r="S29" i="18"/>
  <c r="S30" i="18"/>
  <c r="T31" i="18"/>
  <c r="T44" i="18"/>
  <c r="T45" i="18"/>
  <c r="T28" i="18"/>
  <c r="T8" i="18"/>
  <c r="T29" i="18"/>
  <c r="T30" i="18"/>
  <c r="U31" i="18"/>
  <c r="U44" i="18"/>
  <c r="U45" i="18"/>
  <c r="U28" i="18"/>
  <c r="U8" i="18"/>
  <c r="U29" i="18"/>
  <c r="U30" i="18"/>
  <c r="V31" i="18"/>
  <c r="V44" i="18"/>
  <c r="V45" i="18"/>
  <c r="V28" i="18"/>
  <c r="V8" i="18"/>
  <c r="V29" i="18"/>
  <c r="V30" i="18"/>
  <c r="W31" i="18"/>
  <c r="W44" i="18"/>
  <c r="W45" i="18"/>
  <c r="W28" i="18"/>
  <c r="W8" i="18"/>
  <c r="W29" i="18"/>
  <c r="W30" i="18"/>
  <c r="X31" i="18"/>
  <c r="X44" i="18"/>
  <c r="X45" i="18"/>
  <c r="X28" i="18"/>
  <c r="X8" i="18"/>
  <c r="X29" i="18"/>
  <c r="X30" i="18"/>
  <c r="Y31" i="18"/>
  <c r="Y44" i="18"/>
  <c r="Y45" i="18"/>
  <c r="Y28" i="18"/>
  <c r="Y8" i="18"/>
  <c r="Y29" i="18"/>
  <c r="Y30" i="18"/>
  <c r="Z31" i="18"/>
  <c r="Z44" i="18"/>
  <c r="Z45" i="18"/>
  <c r="Z28" i="18"/>
  <c r="Z8" i="18"/>
  <c r="Z29" i="18"/>
  <c r="Z30" i="18"/>
  <c r="AA31" i="18"/>
  <c r="AA44" i="18"/>
  <c r="AA45" i="18"/>
  <c r="AA28" i="18"/>
  <c r="AA8" i="18"/>
  <c r="AA29" i="18"/>
  <c r="AA30" i="18"/>
  <c r="AB31" i="18"/>
  <c r="AB44" i="18"/>
  <c r="AB45" i="18"/>
  <c r="AB28" i="18"/>
  <c r="AB8" i="18"/>
  <c r="AB29" i="18"/>
  <c r="AB30" i="18"/>
  <c r="AC31" i="18"/>
  <c r="AC44" i="18"/>
  <c r="AC45" i="18"/>
  <c r="AC28" i="18"/>
  <c r="AC8" i="18"/>
  <c r="AC29" i="18"/>
  <c r="AC30" i="18"/>
  <c r="AD31" i="18"/>
  <c r="AD44" i="18"/>
  <c r="AD45" i="18"/>
  <c r="AD28" i="18"/>
  <c r="AD8" i="18"/>
  <c r="AD29" i="18"/>
  <c r="AD30" i="18"/>
  <c r="AE31" i="18"/>
  <c r="AE44" i="18"/>
  <c r="AE45" i="18"/>
  <c r="AE28" i="18"/>
  <c r="AE8" i="18"/>
  <c r="AE29" i="18"/>
  <c r="AE30" i="18"/>
  <c r="AF31" i="18"/>
  <c r="AF44" i="18"/>
  <c r="AF45" i="18"/>
  <c r="AF28" i="18"/>
  <c r="AF8" i="18"/>
  <c r="AF29" i="18"/>
  <c r="AF30" i="18"/>
  <c r="AG31" i="18"/>
  <c r="AG44" i="18"/>
  <c r="AG45" i="18"/>
  <c r="AG28" i="18"/>
  <c r="AG8" i="18"/>
  <c r="AG29" i="18"/>
  <c r="AG30" i="18"/>
  <c r="AH31" i="18"/>
  <c r="AH44" i="18"/>
  <c r="AH45" i="18"/>
  <c r="AH28" i="18"/>
  <c r="AH8" i="18"/>
  <c r="AH29" i="18"/>
  <c r="AH30" i="18"/>
  <c r="AI31" i="18"/>
  <c r="AI44" i="18"/>
  <c r="AI45" i="18"/>
  <c r="AI25" i="18"/>
  <c r="AI47" i="18"/>
  <c r="AH25" i="18"/>
  <c r="AH47" i="18"/>
  <c r="AG25" i="18"/>
  <c r="AG47" i="18"/>
  <c r="AF25" i="18"/>
  <c r="AF47" i="18"/>
  <c r="AE25" i="18"/>
  <c r="AE47" i="18"/>
  <c r="AD25" i="18"/>
  <c r="AD47" i="18"/>
  <c r="AC25" i="18"/>
  <c r="AC47" i="18"/>
  <c r="AB25" i="18"/>
  <c r="AB47" i="18"/>
  <c r="AA25" i="18"/>
  <c r="AA47" i="18"/>
  <c r="Z25" i="18"/>
  <c r="Z47" i="18"/>
  <c r="Y25" i="18"/>
  <c r="Y47" i="18"/>
  <c r="X25" i="18"/>
  <c r="X47" i="18"/>
  <c r="W25" i="18"/>
  <c r="W47" i="18"/>
  <c r="V25" i="18"/>
  <c r="V47" i="18"/>
  <c r="U25" i="18"/>
  <c r="U47" i="18"/>
  <c r="T25" i="18"/>
  <c r="T47" i="18"/>
  <c r="S25" i="18"/>
  <c r="S47" i="18"/>
  <c r="R25" i="18"/>
  <c r="R47" i="18"/>
  <c r="Q25" i="18"/>
  <c r="Q47" i="18"/>
  <c r="P25" i="18"/>
  <c r="P47" i="18"/>
  <c r="O25" i="18"/>
  <c r="O47" i="18"/>
  <c r="N25" i="18"/>
  <c r="N47" i="18"/>
  <c r="M25" i="18"/>
  <c r="M47" i="18"/>
  <c r="L25" i="18"/>
  <c r="L47" i="18"/>
  <c r="K25" i="18"/>
  <c r="K47" i="18"/>
  <c r="J25" i="18"/>
  <c r="J47" i="18"/>
  <c r="I25" i="18"/>
  <c r="I47" i="18"/>
  <c r="H25" i="18"/>
  <c r="H47" i="18"/>
  <c r="G25" i="18"/>
  <c r="G47" i="18"/>
  <c r="F25" i="18"/>
  <c r="F47" i="18"/>
  <c r="E25" i="18"/>
  <c r="E47" i="18"/>
  <c r="D25" i="18"/>
  <c r="D47" i="18"/>
  <c r="C25" i="18"/>
  <c r="C47" i="18"/>
  <c r="AJ15" i="18"/>
  <c r="A15" i="18"/>
  <c r="A8" i="19"/>
  <c r="AI26" i="6"/>
  <c r="AI15" i="6"/>
  <c r="AI32" i="6"/>
  <c r="AH26" i="6"/>
  <c r="AH15" i="6"/>
  <c r="AH32" i="6"/>
  <c r="AG26" i="6"/>
  <c r="AG15" i="6"/>
  <c r="AG32" i="6"/>
  <c r="AF26" i="6"/>
  <c r="AF15" i="6"/>
  <c r="AF32" i="6"/>
  <c r="AE26" i="6"/>
  <c r="AE15" i="6"/>
  <c r="AE32" i="6"/>
  <c r="AD26" i="6"/>
  <c r="AD15" i="6"/>
  <c r="AD32" i="6"/>
  <c r="AC26" i="6"/>
  <c r="AC15" i="6"/>
  <c r="AC32" i="6"/>
  <c r="AB26" i="6"/>
  <c r="AB15" i="6"/>
  <c r="AB32" i="6"/>
  <c r="AA26" i="6"/>
  <c r="AA15" i="6"/>
  <c r="AA32" i="6"/>
  <c r="Z26" i="6"/>
  <c r="Z15" i="6"/>
  <c r="Z32" i="6"/>
  <c r="Y26" i="6"/>
  <c r="Y15" i="6"/>
  <c r="Y32" i="6"/>
  <c r="X26" i="6"/>
  <c r="X15" i="6"/>
  <c r="X32" i="6"/>
  <c r="W26" i="6"/>
  <c r="W15" i="6"/>
  <c r="W32" i="6"/>
  <c r="V26" i="6"/>
  <c r="V15" i="6"/>
  <c r="V32" i="6"/>
  <c r="U26" i="6"/>
  <c r="U15" i="6"/>
  <c r="U32" i="6"/>
  <c r="T26" i="6"/>
  <c r="T15" i="6"/>
  <c r="T32" i="6"/>
  <c r="S26" i="6"/>
  <c r="S15" i="6"/>
  <c r="S32" i="6"/>
  <c r="R26" i="6"/>
  <c r="R15" i="6"/>
  <c r="R32" i="6"/>
  <c r="Q26" i="6"/>
  <c r="Q15" i="6"/>
  <c r="Q32" i="6"/>
  <c r="P26" i="6"/>
  <c r="P15" i="6"/>
  <c r="P32" i="6"/>
  <c r="O26" i="6"/>
  <c r="O15" i="6"/>
  <c r="O32" i="6"/>
  <c r="N26" i="6"/>
  <c r="N15" i="6"/>
  <c r="N32" i="6"/>
  <c r="M26" i="6"/>
  <c r="M15" i="6"/>
  <c r="M32" i="6"/>
  <c r="L26" i="6"/>
  <c r="L15" i="6"/>
  <c r="L32" i="6"/>
  <c r="K26" i="6"/>
  <c r="K15" i="6"/>
  <c r="K32" i="6"/>
  <c r="J26" i="6"/>
  <c r="J15" i="6"/>
  <c r="J32" i="6"/>
  <c r="I26" i="6"/>
  <c r="I15" i="6"/>
  <c r="I32" i="6"/>
  <c r="H26" i="6"/>
  <c r="H15" i="6"/>
  <c r="H32" i="6"/>
  <c r="G26" i="6"/>
  <c r="G15" i="6"/>
  <c r="G32" i="6"/>
  <c r="F26" i="6"/>
  <c r="F15" i="6"/>
  <c r="F32" i="6"/>
  <c r="E26" i="6"/>
  <c r="E15" i="6"/>
  <c r="E32" i="6"/>
  <c r="D26" i="6"/>
  <c r="D15" i="6"/>
  <c r="D32" i="6"/>
  <c r="C26" i="6"/>
  <c r="C15" i="6"/>
  <c r="C32" i="6"/>
  <c r="C33" i="6"/>
  <c r="D33" i="6"/>
  <c r="E33" i="6"/>
  <c r="F33" i="6"/>
  <c r="G33" i="6"/>
  <c r="H33" i="6"/>
  <c r="I33" i="6"/>
  <c r="J33" i="6"/>
  <c r="K33" i="6"/>
  <c r="L33" i="6"/>
  <c r="M33" i="6"/>
  <c r="N33" i="6"/>
  <c r="O33" i="6"/>
  <c r="P33" i="6"/>
  <c r="Q33" i="6"/>
  <c r="R33" i="6"/>
  <c r="S33" i="6"/>
  <c r="T33" i="6"/>
  <c r="U33" i="6"/>
  <c r="V33" i="6"/>
  <c r="W33" i="6"/>
  <c r="X33" i="6"/>
  <c r="Y33" i="6"/>
  <c r="Z33" i="6"/>
  <c r="AA33" i="6"/>
  <c r="AB33" i="6"/>
  <c r="AC33" i="6"/>
  <c r="AD33" i="6"/>
  <c r="AE33" i="6"/>
  <c r="AF33" i="6"/>
  <c r="AG33" i="6"/>
  <c r="AH33" i="6"/>
  <c r="AI34" i="6"/>
  <c r="AI35" i="6"/>
  <c r="AI38" i="6"/>
  <c r="AH34" i="6"/>
  <c r="AH35" i="6"/>
  <c r="AH38" i="6"/>
  <c r="AG34" i="6"/>
  <c r="AG35" i="6"/>
  <c r="AG38" i="6"/>
  <c r="AF34" i="6"/>
  <c r="AF35" i="6"/>
  <c r="AF38" i="6"/>
  <c r="AE34" i="6"/>
  <c r="AE35" i="6"/>
  <c r="AE38" i="6"/>
  <c r="AD34" i="6"/>
  <c r="AD35" i="6"/>
  <c r="AD38" i="6"/>
  <c r="AC34" i="6"/>
  <c r="AC35" i="6"/>
  <c r="AC38" i="6"/>
  <c r="AB34" i="6"/>
  <c r="AB35" i="6"/>
  <c r="AB38" i="6"/>
  <c r="AA34" i="6"/>
  <c r="AA35" i="6"/>
  <c r="AA38" i="6"/>
  <c r="Z34" i="6"/>
  <c r="Z35" i="6"/>
  <c r="Z38" i="6"/>
  <c r="Y34" i="6"/>
  <c r="Y35" i="6"/>
  <c r="Y38" i="6"/>
  <c r="X34" i="6"/>
  <c r="X35" i="6"/>
  <c r="X38" i="6"/>
  <c r="W34" i="6"/>
  <c r="W35" i="6"/>
  <c r="W38" i="6"/>
  <c r="V34" i="6"/>
  <c r="V35" i="6"/>
  <c r="V38" i="6"/>
  <c r="U34" i="6"/>
  <c r="U35" i="6"/>
  <c r="U38" i="6"/>
  <c r="T34" i="6"/>
  <c r="T35" i="6"/>
  <c r="T38" i="6"/>
  <c r="S34" i="6"/>
  <c r="S35" i="6"/>
  <c r="S38" i="6"/>
  <c r="R34" i="6"/>
  <c r="R35" i="6"/>
  <c r="R38" i="6"/>
  <c r="Q34" i="6"/>
  <c r="Q35" i="6"/>
  <c r="Q38" i="6"/>
  <c r="P34" i="6"/>
  <c r="P35" i="6"/>
  <c r="P38" i="6"/>
  <c r="O34" i="6"/>
  <c r="O35" i="6"/>
  <c r="O38" i="6"/>
  <c r="N34" i="6"/>
  <c r="N35" i="6"/>
  <c r="N38" i="6"/>
  <c r="M34" i="6"/>
  <c r="M35" i="6"/>
  <c r="M38" i="6"/>
  <c r="L34" i="6"/>
  <c r="L35" i="6"/>
  <c r="L38" i="6"/>
  <c r="K34" i="6"/>
  <c r="K35" i="6"/>
  <c r="K38" i="6"/>
  <c r="J34" i="6"/>
  <c r="J35" i="6"/>
  <c r="J38" i="6"/>
  <c r="I34" i="6"/>
  <c r="I35" i="6"/>
  <c r="I38" i="6"/>
  <c r="H34" i="6"/>
  <c r="H35" i="6"/>
  <c r="H38" i="6"/>
  <c r="G34" i="6"/>
  <c r="G35" i="6"/>
  <c r="G38" i="6"/>
  <c r="F34" i="6"/>
  <c r="F35" i="6"/>
  <c r="F38" i="6"/>
  <c r="E34" i="6"/>
  <c r="E35" i="6"/>
  <c r="E38" i="6"/>
  <c r="D34" i="6"/>
  <c r="D35" i="6"/>
  <c r="D38" i="6"/>
  <c r="C34" i="6"/>
  <c r="C35" i="6"/>
  <c r="C38" i="6"/>
  <c r="AJ8" i="6"/>
  <c r="AJ30" i="6"/>
  <c r="A30" i="6"/>
  <c r="AJ6" i="6"/>
  <c r="A6" i="6"/>
  <c r="AI13" i="4"/>
  <c r="AI18" i="4"/>
  <c r="AI20" i="4"/>
  <c r="AI21" i="4"/>
  <c r="AI22" i="4"/>
  <c r="AI23" i="4"/>
  <c r="AI36" i="4"/>
  <c r="AI42" i="4"/>
  <c r="AH13" i="4"/>
  <c r="AH18" i="4"/>
  <c r="AH20" i="4"/>
  <c r="AH21" i="4"/>
  <c r="AH22" i="4"/>
  <c r="AH23" i="4"/>
  <c r="AH36" i="4"/>
  <c r="AH42" i="4"/>
  <c r="AG13" i="4"/>
  <c r="AG18" i="4"/>
  <c r="AG20" i="4"/>
  <c r="AG21" i="4"/>
  <c r="AG22" i="4"/>
  <c r="AG23" i="4"/>
  <c r="AG36" i="4"/>
  <c r="AG42" i="4"/>
  <c r="AF13" i="4"/>
  <c r="AF18" i="4"/>
  <c r="AF20" i="4"/>
  <c r="AF21" i="4"/>
  <c r="AF22" i="4"/>
  <c r="AF23" i="4"/>
  <c r="AF36" i="4"/>
  <c r="AF42" i="4"/>
  <c r="AE13" i="4"/>
  <c r="AE18" i="4"/>
  <c r="AE20" i="4"/>
  <c r="AE21" i="4"/>
  <c r="AE22" i="4"/>
  <c r="AE23" i="4"/>
  <c r="AE36" i="4"/>
  <c r="AE42" i="4"/>
  <c r="AD13" i="4"/>
  <c r="AD18" i="4"/>
  <c r="AD20" i="4"/>
  <c r="AD21" i="4"/>
  <c r="AD22" i="4"/>
  <c r="AD23" i="4"/>
  <c r="AD36" i="4"/>
  <c r="AD42" i="4"/>
  <c r="AC13" i="4"/>
  <c r="AC18" i="4"/>
  <c r="AC20" i="4"/>
  <c r="AC21" i="4"/>
  <c r="AC22" i="4"/>
  <c r="AC23" i="4"/>
  <c r="AC36" i="4"/>
  <c r="AC42" i="4"/>
  <c r="AB13" i="4"/>
  <c r="AB18" i="4"/>
  <c r="AB20" i="4"/>
  <c r="AB21" i="4"/>
  <c r="AB22" i="4"/>
  <c r="AB23" i="4"/>
  <c r="AB36" i="4"/>
  <c r="AB42" i="4"/>
  <c r="AA13" i="4"/>
  <c r="AA18" i="4"/>
  <c r="AA20" i="4"/>
  <c r="AA21" i="4"/>
  <c r="AA22" i="4"/>
  <c r="AA23" i="4"/>
  <c r="AA36" i="4"/>
  <c r="AA42" i="4"/>
  <c r="Z13" i="4"/>
  <c r="Z18" i="4"/>
  <c r="Z20" i="4"/>
  <c r="Z21" i="4"/>
  <c r="Z22" i="4"/>
  <c r="Z23" i="4"/>
  <c r="Z36" i="4"/>
  <c r="Z42" i="4"/>
  <c r="Y13" i="4"/>
  <c r="Y18" i="4"/>
  <c r="Y20" i="4"/>
  <c r="Y21" i="4"/>
  <c r="Y22" i="4"/>
  <c r="Y23" i="4"/>
  <c r="Y36" i="4"/>
  <c r="Y42" i="4"/>
  <c r="X13" i="4"/>
  <c r="X18" i="4"/>
  <c r="X20" i="4"/>
  <c r="X21" i="4"/>
  <c r="X22" i="4"/>
  <c r="X23" i="4"/>
  <c r="X36" i="4"/>
  <c r="X42" i="4"/>
  <c r="W13" i="4"/>
  <c r="W18" i="4"/>
  <c r="W20" i="4"/>
  <c r="W21" i="4"/>
  <c r="W22" i="4"/>
  <c r="W23" i="4"/>
  <c r="W36" i="4"/>
  <c r="W42" i="4"/>
  <c r="V13" i="4"/>
  <c r="V18" i="4"/>
  <c r="V20" i="4"/>
  <c r="V21" i="4"/>
  <c r="V22" i="4"/>
  <c r="V23" i="4"/>
  <c r="V36" i="4"/>
  <c r="V42" i="4"/>
  <c r="U13" i="4"/>
  <c r="U18" i="4"/>
  <c r="U20" i="4"/>
  <c r="U21" i="4"/>
  <c r="U22" i="4"/>
  <c r="U23" i="4"/>
  <c r="U36" i="4"/>
  <c r="U42" i="4"/>
  <c r="T13" i="4"/>
  <c r="T18" i="4"/>
  <c r="T20" i="4"/>
  <c r="T21" i="4"/>
  <c r="T22" i="4"/>
  <c r="T23" i="4"/>
  <c r="T36" i="4"/>
  <c r="T42" i="4"/>
  <c r="S13" i="4"/>
  <c r="S18" i="4"/>
  <c r="S20" i="4"/>
  <c r="S21" i="4"/>
  <c r="S22" i="4"/>
  <c r="S23" i="4"/>
  <c r="S36" i="4"/>
  <c r="S42" i="4"/>
  <c r="R13" i="4"/>
  <c r="R18" i="4"/>
  <c r="R20" i="4"/>
  <c r="R21" i="4"/>
  <c r="R22" i="4"/>
  <c r="R23" i="4"/>
  <c r="R36" i="4"/>
  <c r="R42" i="4"/>
  <c r="Q13" i="4"/>
  <c r="Q18" i="4"/>
  <c r="Q20" i="4"/>
  <c r="Q21" i="4"/>
  <c r="Q22" i="4"/>
  <c r="Q23" i="4"/>
  <c r="Q36" i="4"/>
  <c r="Q42" i="4"/>
  <c r="P13" i="4"/>
  <c r="P18" i="4"/>
  <c r="P20" i="4"/>
  <c r="P21" i="4"/>
  <c r="P22" i="4"/>
  <c r="P23" i="4"/>
  <c r="P36" i="4"/>
  <c r="P42" i="4"/>
  <c r="O13" i="4"/>
  <c r="O18" i="4"/>
  <c r="O20" i="4"/>
  <c r="O21" i="4"/>
  <c r="O22" i="4"/>
  <c r="O23" i="4"/>
  <c r="O36" i="4"/>
  <c r="O42" i="4"/>
  <c r="N13" i="4"/>
  <c r="N18" i="4"/>
  <c r="N20" i="4"/>
  <c r="N21" i="4"/>
  <c r="N22" i="4"/>
  <c r="N23" i="4"/>
  <c r="N36" i="4"/>
  <c r="N42" i="4"/>
  <c r="M13" i="4"/>
  <c r="M18" i="4"/>
  <c r="M20" i="4"/>
  <c r="M21" i="4"/>
  <c r="M22" i="4"/>
  <c r="M23" i="4"/>
  <c r="M36" i="4"/>
  <c r="M42" i="4"/>
  <c r="L13" i="4"/>
  <c r="L18" i="4"/>
  <c r="L20" i="4"/>
  <c r="L21" i="4"/>
  <c r="L22" i="4"/>
  <c r="L23" i="4"/>
  <c r="L36" i="4"/>
  <c r="L42" i="4"/>
  <c r="K13" i="4"/>
  <c r="K18" i="4"/>
  <c r="K20" i="4"/>
  <c r="K21" i="4"/>
  <c r="K22" i="4"/>
  <c r="K23" i="4"/>
  <c r="K36" i="4"/>
  <c r="K42" i="4"/>
  <c r="J13" i="4"/>
  <c r="J18" i="4"/>
  <c r="J20" i="4"/>
  <c r="J21" i="4"/>
  <c r="J22" i="4"/>
  <c r="J23" i="4"/>
  <c r="J36" i="4"/>
  <c r="J42" i="4"/>
  <c r="I13" i="4"/>
  <c r="I18" i="4"/>
  <c r="I20" i="4"/>
  <c r="I21" i="4"/>
  <c r="I22" i="4"/>
  <c r="I23" i="4"/>
  <c r="I36" i="4"/>
  <c r="I42" i="4"/>
  <c r="H13" i="4"/>
  <c r="H18" i="4"/>
  <c r="H20" i="4"/>
  <c r="H21" i="4"/>
  <c r="H22" i="4"/>
  <c r="H23" i="4"/>
  <c r="H36" i="4"/>
  <c r="H42" i="4"/>
  <c r="G13" i="4"/>
  <c r="G18" i="4"/>
  <c r="G20" i="4"/>
  <c r="G21" i="4"/>
  <c r="G22" i="4"/>
  <c r="G23" i="4"/>
  <c r="G36" i="4"/>
  <c r="G42" i="4"/>
  <c r="F13" i="4"/>
  <c r="F18" i="4"/>
  <c r="F20" i="4"/>
  <c r="F21" i="4"/>
  <c r="F22" i="4"/>
  <c r="F23" i="4"/>
  <c r="F36" i="4"/>
  <c r="F42" i="4"/>
  <c r="E13" i="4"/>
  <c r="E18" i="4"/>
  <c r="E20" i="4"/>
  <c r="E21" i="4"/>
  <c r="E22" i="4"/>
  <c r="E23" i="4"/>
  <c r="E36" i="4"/>
  <c r="E42" i="4"/>
  <c r="D13" i="4"/>
  <c r="D18" i="4"/>
  <c r="D20" i="4"/>
  <c r="D21" i="4"/>
  <c r="D22" i="4"/>
  <c r="D23" i="4"/>
  <c r="D36" i="4"/>
  <c r="D42" i="4"/>
  <c r="C20" i="4"/>
  <c r="C21" i="4"/>
  <c r="C22" i="4"/>
  <c r="C23" i="4"/>
  <c r="C36" i="4"/>
  <c r="C13" i="4"/>
  <c r="C18" i="4"/>
  <c r="C42" i="4"/>
  <c r="AJ40" i="4"/>
  <c r="AJ9" i="4"/>
  <c r="AK86" i="1"/>
  <c r="C9" i="20"/>
  <c r="C10" i="20"/>
  <c r="C11" i="20"/>
  <c r="D9" i="20"/>
  <c r="D10" i="20"/>
  <c r="D11" i="20"/>
  <c r="E9" i="20"/>
  <c r="E10" i="20"/>
  <c r="E11" i="20"/>
  <c r="F9" i="20"/>
  <c r="F10" i="20"/>
  <c r="F11" i="20"/>
  <c r="G9" i="20"/>
  <c r="G10" i="20"/>
  <c r="G11" i="20"/>
  <c r="H9" i="20"/>
  <c r="H10" i="20"/>
  <c r="H11" i="20"/>
  <c r="I9" i="20"/>
  <c r="I10" i="20"/>
  <c r="I11" i="20"/>
  <c r="J9" i="20"/>
  <c r="J10" i="20"/>
  <c r="J11" i="20"/>
  <c r="K9" i="20"/>
  <c r="K10" i="20"/>
  <c r="K11" i="20"/>
  <c r="L9" i="20"/>
  <c r="L10" i="20"/>
  <c r="L11" i="20"/>
  <c r="M9" i="20"/>
  <c r="M10" i="20"/>
  <c r="M11" i="20"/>
  <c r="N9" i="20"/>
  <c r="N10" i="20"/>
  <c r="N11" i="20"/>
  <c r="O9" i="20"/>
  <c r="O10" i="20"/>
  <c r="O11" i="20"/>
  <c r="P9" i="20"/>
  <c r="P10" i="20"/>
  <c r="P11" i="20"/>
  <c r="Q9" i="20"/>
  <c r="Q10" i="20"/>
  <c r="Q11" i="20"/>
  <c r="R9" i="20"/>
  <c r="R10" i="20"/>
  <c r="R11" i="20"/>
  <c r="S9" i="20"/>
  <c r="S10" i="20"/>
  <c r="S11" i="20"/>
  <c r="T9" i="20"/>
  <c r="T10" i="20"/>
  <c r="T11" i="20"/>
  <c r="U9" i="20"/>
  <c r="U10" i="20"/>
  <c r="U11" i="20"/>
  <c r="V9" i="20"/>
  <c r="V10" i="20"/>
  <c r="V11" i="20"/>
  <c r="W9" i="20"/>
  <c r="W10" i="20"/>
  <c r="W11" i="20"/>
  <c r="X9" i="20"/>
  <c r="X10" i="20"/>
  <c r="X11" i="20"/>
  <c r="Y9" i="20"/>
  <c r="Y10" i="20"/>
  <c r="Y11" i="20"/>
  <c r="Z9" i="20"/>
  <c r="Z10" i="20"/>
  <c r="Z11" i="20"/>
  <c r="AA9" i="20"/>
  <c r="AA10" i="20"/>
  <c r="AA11" i="20"/>
  <c r="AB9" i="20"/>
  <c r="AB10" i="20"/>
  <c r="AB11" i="20"/>
  <c r="AC9" i="20"/>
  <c r="AC10" i="20"/>
  <c r="AC11" i="20"/>
  <c r="AD9" i="20"/>
  <c r="AD10" i="20"/>
  <c r="AD11" i="20"/>
  <c r="AE9" i="20"/>
  <c r="AE10" i="20"/>
  <c r="AE11" i="20"/>
  <c r="AF9" i="20"/>
  <c r="AF10" i="20"/>
  <c r="AF11" i="20"/>
  <c r="AG9" i="20"/>
  <c r="AG10" i="20"/>
  <c r="AG11" i="20"/>
  <c r="AH9" i="20"/>
  <c r="AH10" i="20"/>
  <c r="AH11" i="20"/>
  <c r="AI9" i="20"/>
  <c r="AI10" i="20"/>
  <c r="AI11" i="20"/>
  <c r="AI136" i="17"/>
  <c r="AI138" i="17"/>
  <c r="AI70" i="14"/>
  <c r="AI72" i="14"/>
  <c r="AI70" i="11"/>
  <c r="AI72" i="11"/>
  <c r="AI70" i="2"/>
  <c r="AI72" i="2"/>
  <c r="C48" i="18"/>
  <c r="D48" i="18"/>
  <c r="E48" i="18"/>
  <c r="F48" i="18"/>
  <c r="G48" i="18"/>
  <c r="H48" i="18"/>
  <c r="I48" i="18"/>
  <c r="J48" i="18"/>
  <c r="K48" i="18"/>
  <c r="L48" i="18"/>
  <c r="M48" i="18"/>
  <c r="N48" i="18"/>
  <c r="O48" i="18"/>
  <c r="P48" i="18"/>
  <c r="Q48" i="18"/>
  <c r="R48" i="18"/>
  <c r="S48" i="18"/>
  <c r="T48" i="18"/>
  <c r="U48" i="18"/>
  <c r="V48" i="18"/>
  <c r="W48" i="18"/>
  <c r="X48" i="18"/>
  <c r="Y48" i="18"/>
  <c r="Z48" i="18"/>
  <c r="AA48" i="18"/>
  <c r="AB48" i="18"/>
  <c r="AC48" i="18"/>
  <c r="AD48" i="18"/>
  <c r="AE48" i="18"/>
  <c r="AF48" i="18"/>
  <c r="AG48" i="18"/>
  <c r="AH48" i="18"/>
  <c r="AI49" i="18"/>
  <c r="AI50" i="18"/>
  <c r="AI18" i="21"/>
  <c r="AJ16" i="22"/>
  <c r="AH49" i="18"/>
  <c r="AH50" i="18"/>
  <c r="AH18" i="21"/>
  <c r="AI16" i="22"/>
  <c r="AG49" i="18"/>
  <c r="AG50" i="18"/>
  <c r="AG18" i="21"/>
  <c r="AH16" i="22"/>
  <c r="AF49" i="18"/>
  <c r="AF50" i="18"/>
  <c r="AF18" i="21"/>
  <c r="AG16" i="22"/>
  <c r="AE49" i="18"/>
  <c r="AE50" i="18"/>
  <c r="AE18" i="21"/>
  <c r="AF16" i="22"/>
  <c r="AD49" i="18"/>
  <c r="AD50" i="18"/>
  <c r="AD18" i="21"/>
  <c r="AE16" i="22"/>
  <c r="AC49" i="18"/>
  <c r="AC50" i="18"/>
  <c r="AC18" i="21"/>
  <c r="AD16" i="22"/>
  <c r="AB49" i="18"/>
  <c r="AB50" i="18"/>
  <c r="AB18" i="21"/>
  <c r="AC16" i="22"/>
  <c r="AA49" i="18"/>
  <c r="AA50" i="18"/>
  <c r="AA18" i="21"/>
  <c r="AB16" i="22"/>
  <c r="Z49" i="18"/>
  <c r="Z50" i="18"/>
  <c r="Z18" i="21"/>
  <c r="AA16" i="22"/>
  <c r="Y49" i="18"/>
  <c r="Y50" i="18"/>
  <c r="Y18" i="21"/>
  <c r="Z16" i="22"/>
  <c r="X49" i="18"/>
  <c r="X50" i="18"/>
  <c r="X18" i="21"/>
  <c r="Y16" i="22"/>
  <c r="W49" i="18"/>
  <c r="W50" i="18"/>
  <c r="W18" i="21"/>
  <c r="X16" i="22"/>
  <c r="V49" i="18"/>
  <c r="V50" i="18"/>
  <c r="V18" i="21"/>
  <c r="W16" i="22"/>
  <c r="U49" i="18"/>
  <c r="U50" i="18"/>
  <c r="U18" i="21"/>
  <c r="V16" i="22"/>
  <c r="T49" i="18"/>
  <c r="T50" i="18"/>
  <c r="T18" i="21"/>
  <c r="U16" i="22"/>
  <c r="S49" i="18"/>
  <c r="S50" i="18"/>
  <c r="S18" i="21"/>
  <c r="T16" i="22"/>
  <c r="R49" i="18"/>
  <c r="R50" i="18"/>
  <c r="R18" i="21"/>
  <c r="S16" i="22"/>
  <c r="Q49" i="18"/>
  <c r="Q50" i="18"/>
  <c r="Q18" i="21"/>
  <c r="R16" i="22"/>
  <c r="P49" i="18"/>
  <c r="P50" i="18"/>
  <c r="P18" i="21"/>
  <c r="Q16" i="22"/>
  <c r="O49" i="18"/>
  <c r="O50" i="18"/>
  <c r="O18" i="21"/>
  <c r="P16" i="22"/>
  <c r="N49" i="18"/>
  <c r="N50" i="18"/>
  <c r="N18" i="21"/>
  <c r="O16" i="22"/>
  <c r="M49" i="18"/>
  <c r="M50" i="18"/>
  <c r="M18" i="21"/>
  <c r="N16" i="22"/>
  <c r="L49" i="18"/>
  <c r="L50" i="18"/>
  <c r="L18" i="21"/>
  <c r="M16" i="22"/>
  <c r="K49" i="18"/>
  <c r="K50" i="18"/>
  <c r="K18" i="21"/>
  <c r="L16" i="22"/>
  <c r="J49" i="18"/>
  <c r="J50" i="18"/>
  <c r="J18" i="21"/>
  <c r="K16" i="22"/>
  <c r="I49" i="18"/>
  <c r="I50" i="18"/>
  <c r="I18" i="21"/>
  <c r="J16" i="22"/>
  <c r="H49" i="18"/>
  <c r="H50" i="18"/>
  <c r="H18" i="21"/>
  <c r="I16" i="22"/>
  <c r="G49" i="18"/>
  <c r="G50" i="18"/>
  <c r="G18" i="21"/>
  <c r="H16" i="22"/>
  <c r="F49" i="18"/>
  <c r="F50" i="18"/>
  <c r="F18" i="21"/>
  <c r="G16" i="22"/>
  <c r="E49" i="18"/>
  <c r="E50" i="18"/>
  <c r="E18" i="21"/>
  <c r="F16" i="22"/>
  <c r="D49" i="18"/>
  <c r="D50" i="18"/>
  <c r="D18" i="21"/>
  <c r="E16" i="22"/>
  <c r="C50" i="18"/>
  <c r="C18" i="21"/>
  <c r="D16" i="22"/>
  <c r="AI19" i="7"/>
  <c r="C43" i="4"/>
  <c r="D43" i="4"/>
  <c r="E43" i="4"/>
  <c r="F43" i="4"/>
  <c r="G43" i="4"/>
  <c r="H43" i="4"/>
  <c r="I43" i="4"/>
  <c r="J43" i="4"/>
  <c r="K43" i="4"/>
  <c r="L43" i="4"/>
  <c r="M43" i="4"/>
  <c r="N43" i="4"/>
  <c r="O43" i="4"/>
  <c r="P43" i="4"/>
  <c r="Q43" i="4"/>
  <c r="R43" i="4"/>
  <c r="S43" i="4"/>
  <c r="T43" i="4"/>
  <c r="U43" i="4"/>
  <c r="V43" i="4"/>
  <c r="W43" i="4"/>
  <c r="X43" i="4"/>
  <c r="Y43" i="4"/>
  <c r="Z43" i="4"/>
  <c r="AA43" i="4"/>
  <c r="AB43" i="4"/>
  <c r="AC43" i="4"/>
  <c r="AD43" i="4"/>
  <c r="AE43" i="4"/>
  <c r="AF43" i="4"/>
  <c r="AG43" i="4"/>
  <c r="AH43" i="4"/>
  <c r="AI44" i="4"/>
  <c r="AI45" i="4"/>
  <c r="AI21" i="5"/>
  <c r="AJ15" i="22"/>
  <c r="AH19" i="7"/>
  <c r="AH44" i="4"/>
  <c r="AH45" i="4"/>
  <c r="AH21" i="5"/>
  <c r="AI15" i="22"/>
  <c r="AG19" i="7"/>
  <c r="AG44" i="4"/>
  <c r="AG45" i="4"/>
  <c r="AG21" i="5"/>
  <c r="AH15" i="22"/>
  <c r="AF19" i="7"/>
  <c r="AF44" i="4"/>
  <c r="AF45" i="4"/>
  <c r="AF21" i="5"/>
  <c r="AG15" i="22"/>
  <c r="AE19" i="7"/>
  <c r="AE44" i="4"/>
  <c r="AE45" i="4"/>
  <c r="AE21" i="5"/>
  <c r="AF15" i="22"/>
  <c r="AD19" i="7"/>
  <c r="AD44" i="4"/>
  <c r="AD45" i="4"/>
  <c r="AD21" i="5"/>
  <c r="AE15" i="22"/>
  <c r="AC19" i="7"/>
  <c r="AC44" i="4"/>
  <c r="AC45" i="4"/>
  <c r="AC21" i="5"/>
  <c r="AD15" i="22"/>
  <c r="AB19" i="7"/>
  <c r="AB44" i="4"/>
  <c r="AB45" i="4"/>
  <c r="AB21" i="5"/>
  <c r="AC15" i="22"/>
  <c r="AA19" i="7"/>
  <c r="AA44" i="4"/>
  <c r="AA45" i="4"/>
  <c r="AA21" i="5"/>
  <c r="AB15" i="22"/>
  <c r="Z19" i="7"/>
  <c r="Z44" i="4"/>
  <c r="Z45" i="4"/>
  <c r="Z21" i="5"/>
  <c r="AA15" i="22"/>
  <c r="Y19" i="7"/>
  <c r="Y44" i="4"/>
  <c r="Y45" i="4"/>
  <c r="Y21" i="5"/>
  <c r="Z15" i="22"/>
  <c r="X19" i="7"/>
  <c r="X44" i="4"/>
  <c r="X45" i="4"/>
  <c r="X21" i="5"/>
  <c r="Y15" i="22"/>
  <c r="W19" i="7"/>
  <c r="W44" i="4"/>
  <c r="W45" i="4"/>
  <c r="W21" i="5"/>
  <c r="X15" i="22"/>
  <c r="V19" i="7"/>
  <c r="V44" i="4"/>
  <c r="V45" i="4"/>
  <c r="V21" i="5"/>
  <c r="W15" i="22"/>
  <c r="U19" i="7"/>
  <c r="U44" i="4"/>
  <c r="U45" i="4"/>
  <c r="U21" i="5"/>
  <c r="V15" i="22"/>
  <c r="T19" i="7"/>
  <c r="T44" i="4"/>
  <c r="T45" i="4"/>
  <c r="T21" i="5"/>
  <c r="U15" i="22"/>
  <c r="S19" i="7"/>
  <c r="S44" i="4"/>
  <c r="S45" i="4"/>
  <c r="S21" i="5"/>
  <c r="T15" i="22"/>
  <c r="R19" i="7"/>
  <c r="R44" i="4"/>
  <c r="R45" i="4"/>
  <c r="R21" i="5"/>
  <c r="S15" i="22"/>
  <c r="Q19" i="7"/>
  <c r="Q44" i="4"/>
  <c r="Q45" i="4"/>
  <c r="Q21" i="5"/>
  <c r="R15" i="22"/>
  <c r="P19" i="7"/>
  <c r="P44" i="4"/>
  <c r="P45" i="4"/>
  <c r="P21" i="5"/>
  <c r="Q15" i="22"/>
  <c r="O19" i="7"/>
  <c r="O44" i="4"/>
  <c r="O45" i="4"/>
  <c r="O21" i="5"/>
  <c r="P15" i="22"/>
  <c r="N19" i="7"/>
  <c r="N44" i="4"/>
  <c r="N45" i="4"/>
  <c r="N21" i="5"/>
  <c r="O15" i="22"/>
  <c r="M19" i="7"/>
  <c r="M44" i="4"/>
  <c r="M45" i="4"/>
  <c r="M21" i="5"/>
  <c r="N15" i="22"/>
  <c r="L19" i="7"/>
  <c r="L44" i="4"/>
  <c r="L45" i="4"/>
  <c r="L21" i="5"/>
  <c r="M15" i="22"/>
  <c r="K19" i="7"/>
  <c r="K44" i="4"/>
  <c r="K45" i="4"/>
  <c r="K21" i="5"/>
  <c r="L15" i="22"/>
  <c r="J19" i="7"/>
  <c r="J44" i="4"/>
  <c r="J45" i="4"/>
  <c r="J21" i="5"/>
  <c r="K15" i="22"/>
  <c r="I19" i="7"/>
  <c r="I44" i="4"/>
  <c r="I45" i="4"/>
  <c r="I21" i="5"/>
  <c r="J15" i="22"/>
  <c r="H19" i="7"/>
  <c r="H44" i="4"/>
  <c r="H45" i="4"/>
  <c r="H21" i="5"/>
  <c r="I15" i="22"/>
  <c r="G19" i="7"/>
  <c r="G44" i="4"/>
  <c r="G45" i="4"/>
  <c r="G21" i="5"/>
  <c r="H15" i="22"/>
  <c r="F19" i="7"/>
  <c r="F44" i="4"/>
  <c r="F45" i="4"/>
  <c r="F21" i="5"/>
  <c r="G15" i="22"/>
  <c r="E19" i="7"/>
  <c r="E44" i="4"/>
  <c r="E45" i="4"/>
  <c r="E21" i="5"/>
  <c r="F15" i="22"/>
  <c r="D19" i="7"/>
  <c r="D44" i="4"/>
  <c r="D45" i="4"/>
  <c r="D21" i="5"/>
  <c r="E15" i="22"/>
  <c r="C19" i="7"/>
  <c r="C44" i="4"/>
  <c r="C45" i="4"/>
  <c r="C21" i="5"/>
  <c r="D15" i="22"/>
  <c r="AI12" i="20"/>
  <c r="AH12" i="20"/>
  <c r="AG12" i="20"/>
  <c r="AF12" i="20"/>
  <c r="AE12" i="20"/>
  <c r="AD12" i="20"/>
  <c r="AC12" i="20"/>
  <c r="AB12" i="20"/>
  <c r="AA12" i="20"/>
  <c r="Z12" i="20"/>
  <c r="Y12" i="20"/>
  <c r="X12" i="20"/>
  <c r="W12" i="20"/>
  <c r="V12" i="20"/>
  <c r="U12" i="20"/>
  <c r="T12" i="20"/>
  <c r="S12" i="20"/>
  <c r="R12" i="20"/>
  <c r="Q12" i="20"/>
  <c r="P12" i="20"/>
  <c r="O12" i="20"/>
  <c r="N12" i="20"/>
  <c r="M12" i="20"/>
  <c r="L12" i="20"/>
  <c r="K12" i="20"/>
  <c r="J12" i="20"/>
  <c r="I12" i="20"/>
  <c r="H12" i="20"/>
  <c r="G12" i="20"/>
  <c r="F12" i="20"/>
  <c r="E12" i="20"/>
  <c r="D12" i="20"/>
  <c r="C12" i="20"/>
  <c r="AI18" i="7"/>
  <c r="AI20" i="5"/>
  <c r="AJ14" i="22"/>
  <c r="AH18" i="7"/>
  <c r="AH20" i="5"/>
  <c r="AI14" i="22"/>
  <c r="AG18" i="7"/>
  <c r="AG20" i="5"/>
  <c r="AH14" i="22"/>
  <c r="AF18" i="7"/>
  <c r="AF20" i="5"/>
  <c r="AG14" i="22"/>
  <c r="AE18" i="7"/>
  <c r="AE20" i="5"/>
  <c r="AF14" i="22"/>
  <c r="AD18" i="7"/>
  <c r="AD20" i="5"/>
  <c r="AE14" i="22"/>
  <c r="AC18" i="7"/>
  <c r="AC20" i="5"/>
  <c r="AD14" i="22"/>
  <c r="AB18" i="7"/>
  <c r="AB20" i="5"/>
  <c r="AC14" i="22"/>
  <c r="AA18" i="7"/>
  <c r="AA20" i="5"/>
  <c r="AB14" i="22"/>
  <c r="Z18" i="7"/>
  <c r="Z20" i="5"/>
  <c r="AA14" i="22"/>
  <c r="Y18" i="7"/>
  <c r="Y20" i="5"/>
  <c r="Z14" i="22"/>
  <c r="X18" i="7"/>
  <c r="X20" i="5"/>
  <c r="Y14" i="22"/>
  <c r="W18" i="7"/>
  <c r="W20" i="5"/>
  <c r="X14" i="22"/>
  <c r="V18" i="7"/>
  <c r="V20" i="5"/>
  <c r="W14" i="22"/>
  <c r="U18" i="7"/>
  <c r="U20" i="5"/>
  <c r="V14" i="22"/>
  <c r="T18" i="7"/>
  <c r="T20" i="5"/>
  <c r="U14" i="22"/>
  <c r="S18" i="7"/>
  <c r="S20" i="5"/>
  <c r="T14" i="22"/>
  <c r="R18" i="7"/>
  <c r="R20" i="5"/>
  <c r="S14" i="22"/>
  <c r="Q18" i="7"/>
  <c r="Q20" i="5"/>
  <c r="R14" i="22"/>
  <c r="P18" i="7"/>
  <c r="P20" i="5"/>
  <c r="Q14" i="22"/>
  <c r="O18" i="7"/>
  <c r="O20" i="5"/>
  <c r="P14" i="22"/>
  <c r="N18" i="7"/>
  <c r="N20" i="5"/>
  <c r="O14" i="22"/>
  <c r="M18" i="7"/>
  <c r="M20" i="5"/>
  <c r="N14" i="22"/>
  <c r="L18" i="7"/>
  <c r="L20" i="5"/>
  <c r="M14" i="22"/>
  <c r="K18" i="7"/>
  <c r="K20" i="5"/>
  <c r="L14" i="22"/>
  <c r="J18" i="7"/>
  <c r="J20" i="5"/>
  <c r="K14" i="22"/>
  <c r="I18" i="7"/>
  <c r="I20" i="5"/>
  <c r="J14" i="22"/>
  <c r="H18" i="7"/>
  <c r="H20" i="5"/>
  <c r="I14" i="22"/>
  <c r="G18" i="7"/>
  <c r="G20" i="5"/>
  <c r="H14" i="22"/>
  <c r="F18" i="7"/>
  <c r="F20" i="5"/>
  <c r="G14" i="22"/>
  <c r="E18" i="7"/>
  <c r="E20" i="5"/>
  <c r="F14" i="22"/>
  <c r="D18" i="7"/>
  <c r="D20" i="5"/>
  <c r="E14" i="22"/>
  <c r="C18" i="7"/>
  <c r="C20" i="5"/>
  <c r="D14" i="22"/>
  <c r="AI44" i="13"/>
  <c r="C12" i="13"/>
  <c r="C30" i="13"/>
  <c r="D12" i="13"/>
  <c r="D30" i="13"/>
  <c r="E12" i="13"/>
  <c r="E30" i="13"/>
  <c r="F12" i="13"/>
  <c r="F30" i="13"/>
  <c r="G12" i="13"/>
  <c r="G30" i="13"/>
  <c r="H12" i="13"/>
  <c r="H30" i="13"/>
  <c r="I12" i="13"/>
  <c r="I30" i="13"/>
  <c r="J12" i="13"/>
  <c r="J30" i="13"/>
  <c r="K12" i="13"/>
  <c r="K30" i="13"/>
  <c r="L12" i="13"/>
  <c r="L30" i="13"/>
  <c r="M12" i="13"/>
  <c r="M30" i="13"/>
  <c r="N12" i="13"/>
  <c r="N30" i="13"/>
  <c r="O12" i="13"/>
  <c r="O30" i="13"/>
  <c r="P12" i="13"/>
  <c r="P30" i="13"/>
  <c r="Q12" i="13"/>
  <c r="Q30" i="13"/>
  <c r="R12" i="13"/>
  <c r="R30" i="13"/>
  <c r="S12" i="13"/>
  <c r="S30" i="13"/>
  <c r="T12" i="13"/>
  <c r="T30" i="13"/>
  <c r="U12" i="13"/>
  <c r="U30" i="13"/>
  <c r="V12" i="13"/>
  <c r="V30" i="13"/>
  <c r="W12" i="13"/>
  <c r="W30" i="13"/>
  <c r="X12" i="13"/>
  <c r="X30" i="13"/>
  <c r="Y12" i="13"/>
  <c r="Y30" i="13"/>
  <c r="Z12" i="13"/>
  <c r="Z30" i="13"/>
  <c r="AA12" i="13"/>
  <c r="AA30" i="13"/>
  <c r="AB12" i="13"/>
  <c r="AB30" i="13"/>
  <c r="AC12" i="13"/>
  <c r="AC30" i="13"/>
  <c r="AD12" i="13"/>
  <c r="AD30" i="13"/>
  <c r="AE12" i="13"/>
  <c r="AE30" i="13"/>
  <c r="AF12" i="13"/>
  <c r="AF30" i="13"/>
  <c r="AG12" i="13"/>
  <c r="AG30" i="13"/>
  <c r="AH12" i="13"/>
  <c r="AH30" i="13"/>
  <c r="AH44" i="13"/>
  <c r="AG44" i="13"/>
  <c r="AF44" i="13"/>
  <c r="AE44" i="13"/>
  <c r="AD44" i="13"/>
  <c r="AC44" i="13"/>
  <c r="AB44" i="13"/>
  <c r="AA44" i="13"/>
  <c r="Z44" i="13"/>
  <c r="Y44" i="13"/>
  <c r="X44" i="13"/>
  <c r="W44" i="13"/>
  <c r="V44" i="13"/>
  <c r="U44" i="13"/>
  <c r="T44" i="13"/>
  <c r="S44" i="13"/>
  <c r="R44" i="13"/>
  <c r="Q44" i="13"/>
  <c r="P44" i="13"/>
  <c r="O44" i="13"/>
  <c r="N44" i="13"/>
  <c r="M44" i="13"/>
  <c r="L44" i="13"/>
  <c r="K44" i="13"/>
  <c r="J44" i="13"/>
  <c r="I44" i="13"/>
  <c r="H44" i="13"/>
  <c r="G44" i="13"/>
  <c r="F44" i="13"/>
  <c r="E44" i="13"/>
  <c r="D44" i="13"/>
  <c r="C44" i="13"/>
  <c r="C32" i="13"/>
  <c r="C45" i="13"/>
  <c r="C46" i="13"/>
  <c r="C29" i="13"/>
  <c r="C31" i="13"/>
  <c r="D32" i="13"/>
  <c r="D45" i="13"/>
  <c r="D46" i="13"/>
  <c r="D29" i="13"/>
  <c r="D31" i="13"/>
  <c r="E32" i="13"/>
  <c r="E45" i="13"/>
  <c r="E46" i="13"/>
  <c r="E29" i="13"/>
  <c r="E31" i="13"/>
  <c r="F32" i="13"/>
  <c r="F45" i="13"/>
  <c r="F46" i="13"/>
  <c r="F29" i="13"/>
  <c r="F31" i="13"/>
  <c r="G32" i="13"/>
  <c r="G45" i="13"/>
  <c r="G46" i="13"/>
  <c r="G29" i="13"/>
  <c r="G31" i="13"/>
  <c r="H32" i="13"/>
  <c r="H45" i="13"/>
  <c r="H46" i="13"/>
  <c r="H29" i="13"/>
  <c r="H31" i="13"/>
  <c r="I32" i="13"/>
  <c r="I45" i="13"/>
  <c r="I46" i="13"/>
  <c r="I29" i="13"/>
  <c r="I31" i="13"/>
  <c r="J32" i="13"/>
  <c r="J45" i="13"/>
  <c r="J46" i="13"/>
  <c r="J29" i="13"/>
  <c r="J31" i="13"/>
  <c r="K32" i="13"/>
  <c r="K45" i="13"/>
  <c r="K46" i="13"/>
  <c r="K29" i="13"/>
  <c r="K31" i="13"/>
  <c r="L32" i="13"/>
  <c r="L45" i="13"/>
  <c r="L46" i="13"/>
  <c r="L29" i="13"/>
  <c r="L31" i="13"/>
  <c r="M32" i="13"/>
  <c r="M45" i="13"/>
  <c r="M46" i="13"/>
  <c r="M29" i="13"/>
  <c r="M31" i="13"/>
  <c r="N32" i="13"/>
  <c r="N45" i="13"/>
  <c r="N46" i="13"/>
  <c r="N29" i="13"/>
  <c r="N31" i="13"/>
  <c r="O32" i="13"/>
  <c r="O45" i="13"/>
  <c r="O46" i="13"/>
  <c r="O29" i="13"/>
  <c r="O31" i="13"/>
  <c r="P32" i="13"/>
  <c r="P45" i="13"/>
  <c r="P46" i="13"/>
  <c r="P29" i="13"/>
  <c r="P31" i="13"/>
  <c r="Q32" i="13"/>
  <c r="Q45" i="13"/>
  <c r="Q46" i="13"/>
  <c r="Q29" i="13"/>
  <c r="Q31" i="13"/>
  <c r="R32" i="13"/>
  <c r="R45" i="13"/>
  <c r="R46" i="13"/>
  <c r="R29" i="13"/>
  <c r="R31" i="13"/>
  <c r="S32" i="13"/>
  <c r="S45" i="13"/>
  <c r="S46" i="13"/>
  <c r="S29" i="13"/>
  <c r="S31" i="13"/>
  <c r="T32" i="13"/>
  <c r="T45" i="13"/>
  <c r="T46" i="13"/>
  <c r="T29" i="13"/>
  <c r="T31" i="13"/>
  <c r="U32" i="13"/>
  <c r="U45" i="13"/>
  <c r="U46" i="13"/>
  <c r="U29" i="13"/>
  <c r="U31" i="13"/>
  <c r="V32" i="13"/>
  <c r="V45" i="13"/>
  <c r="V46" i="13"/>
  <c r="V29" i="13"/>
  <c r="V31" i="13"/>
  <c r="W32" i="13"/>
  <c r="W45" i="13"/>
  <c r="W46" i="13"/>
  <c r="W29" i="13"/>
  <c r="W31" i="13"/>
  <c r="X32" i="13"/>
  <c r="X45" i="13"/>
  <c r="X46" i="13"/>
  <c r="X29" i="13"/>
  <c r="X31" i="13"/>
  <c r="Y32" i="13"/>
  <c r="Y45" i="13"/>
  <c r="Y46" i="13"/>
  <c r="Y29" i="13"/>
  <c r="Y31" i="13"/>
  <c r="Z32" i="13"/>
  <c r="Z45" i="13"/>
  <c r="Z46" i="13"/>
  <c r="Z29" i="13"/>
  <c r="Z31" i="13"/>
  <c r="AA32" i="13"/>
  <c r="AA45" i="13"/>
  <c r="AA46" i="13"/>
  <c r="AA29" i="13"/>
  <c r="AA31" i="13"/>
  <c r="AB32" i="13"/>
  <c r="AB45" i="13"/>
  <c r="AB46" i="13"/>
  <c r="AB29" i="13"/>
  <c r="AB31" i="13"/>
  <c r="AC32" i="13"/>
  <c r="AC45" i="13"/>
  <c r="AC46" i="13"/>
  <c r="AC29" i="13"/>
  <c r="AC31" i="13"/>
  <c r="AD32" i="13"/>
  <c r="AD45" i="13"/>
  <c r="AD46" i="13"/>
  <c r="AD29" i="13"/>
  <c r="AD31" i="13"/>
  <c r="AE32" i="13"/>
  <c r="AE45" i="13"/>
  <c r="AE46" i="13"/>
  <c r="AE29" i="13"/>
  <c r="AE31" i="13"/>
  <c r="AF32" i="13"/>
  <c r="AF45" i="13"/>
  <c r="AF46" i="13"/>
  <c r="AF29" i="13"/>
  <c r="AF31" i="13"/>
  <c r="AG32" i="13"/>
  <c r="AG45" i="13"/>
  <c r="AG46" i="13"/>
  <c r="AG29" i="13"/>
  <c r="AG31" i="13"/>
  <c r="AH32" i="13"/>
  <c r="AH45" i="13"/>
  <c r="AH46" i="13"/>
  <c r="AH29" i="13"/>
  <c r="AH31" i="13"/>
  <c r="AI32" i="13"/>
  <c r="AI45" i="13"/>
  <c r="AI46" i="13"/>
  <c r="AI26" i="13"/>
  <c r="AI48" i="13"/>
  <c r="AH26" i="13"/>
  <c r="AH48" i="13"/>
  <c r="AG26" i="13"/>
  <c r="AG48" i="13"/>
  <c r="AF26" i="13"/>
  <c r="AF48" i="13"/>
  <c r="AE26" i="13"/>
  <c r="AE48" i="13"/>
  <c r="AD26" i="13"/>
  <c r="AD48" i="13"/>
  <c r="AC26" i="13"/>
  <c r="AC48" i="13"/>
  <c r="AB26" i="13"/>
  <c r="AB48" i="13"/>
  <c r="AA26" i="13"/>
  <c r="AA48" i="13"/>
  <c r="Z26" i="13"/>
  <c r="Z48" i="13"/>
  <c r="Y26" i="13"/>
  <c r="Y48" i="13"/>
  <c r="X26" i="13"/>
  <c r="X48" i="13"/>
  <c r="W26" i="13"/>
  <c r="W48" i="13"/>
  <c r="V26" i="13"/>
  <c r="V48" i="13"/>
  <c r="U26" i="13"/>
  <c r="U48" i="13"/>
  <c r="T26" i="13"/>
  <c r="T48" i="13"/>
  <c r="S26" i="13"/>
  <c r="S48" i="13"/>
  <c r="R26" i="13"/>
  <c r="R48" i="13"/>
  <c r="Q26" i="13"/>
  <c r="Q48" i="13"/>
  <c r="P26" i="13"/>
  <c r="P48" i="13"/>
  <c r="O26" i="13"/>
  <c r="O48" i="13"/>
  <c r="N26" i="13"/>
  <c r="N48" i="13"/>
  <c r="M26" i="13"/>
  <c r="M48" i="13"/>
  <c r="L26" i="13"/>
  <c r="L48" i="13"/>
  <c r="K26" i="13"/>
  <c r="K48" i="13"/>
  <c r="J26" i="13"/>
  <c r="J48" i="13"/>
  <c r="I26" i="13"/>
  <c r="I48" i="13"/>
  <c r="H26" i="13"/>
  <c r="H48" i="13"/>
  <c r="G26" i="13"/>
  <c r="G48" i="13"/>
  <c r="F26" i="13"/>
  <c r="F48" i="13"/>
  <c r="E26" i="13"/>
  <c r="E48" i="13"/>
  <c r="D26" i="13"/>
  <c r="D48" i="13"/>
  <c r="C26" i="13"/>
  <c r="C48" i="13"/>
  <c r="C49" i="13"/>
  <c r="D49" i="13"/>
  <c r="E49" i="13"/>
  <c r="F49" i="13"/>
  <c r="G49" i="13"/>
  <c r="H49" i="13"/>
  <c r="I49" i="13"/>
  <c r="J49" i="13"/>
  <c r="K49" i="13"/>
  <c r="L49" i="13"/>
  <c r="M49" i="13"/>
  <c r="N49" i="13"/>
  <c r="O49" i="13"/>
  <c r="P49" i="13"/>
  <c r="Q49" i="13"/>
  <c r="R49" i="13"/>
  <c r="S49" i="13"/>
  <c r="T49" i="13"/>
  <c r="U49" i="13"/>
  <c r="V49" i="13"/>
  <c r="W49" i="13"/>
  <c r="X49" i="13"/>
  <c r="Y49" i="13"/>
  <c r="Z49" i="13"/>
  <c r="AA49" i="13"/>
  <c r="AB49" i="13"/>
  <c r="AC49" i="13"/>
  <c r="AD49" i="13"/>
  <c r="AE49" i="13"/>
  <c r="AF49" i="13"/>
  <c r="AG49" i="13"/>
  <c r="AH49" i="13"/>
  <c r="AI50" i="13"/>
  <c r="AI51" i="13"/>
  <c r="AI44" i="15"/>
  <c r="C12" i="15"/>
  <c r="C30" i="15"/>
  <c r="D12" i="15"/>
  <c r="D30" i="15"/>
  <c r="E12" i="15"/>
  <c r="E30" i="15"/>
  <c r="F12" i="15"/>
  <c r="F30" i="15"/>
  <c r="G12" i="15"/>
  <c r="G30" i="15"/>
  <c r="H12" i="15"/>
  <c r="H30" i="15"/>
  <c r="I12" i="15"/>
  <c r="I30" i="15"/>
  <c r="J12" i="15"/>
  <c r="J30" i="15"/>
  <c r="K12" i="15"/>
  <c r="K30" i="15"/>
  <c r="L12" i="15"/>
  <c r="L30" i="15"/>
  <c r="M12" i="15"/>
  <c r="M30" i="15"/>
  <c r="N12" i="15"/>
  <c r="N30" i="15"/>
  <c r="O12" i="15"/>
  <c r="O30" i="15"/>
  <c r="P12" i="15"/>
  <c r="P30" i="15"/>
  <c r="Q12" i="15"/>
  <c r="Q30" i="15"/>
  <c r="R12" i="15"/>
  <c r="R30" i="15"/>
  <c r="S12" i="15"/>
  <c r="S30" i="15"/>
  <c r="T12" i="15"/>
  <c r="T30" i="15"/>
  <c r="U12" i="15"/>
  <c r="U30" i="15"/>
  <c r="V12" i="15"/>
  <c r="V30" i="15"/>
  <c r="W12" i="15"/>
  <c r="W30" i="15"/>
  <c r="X12" i="15"/>
  <c r="X30" i="15"/>
  <c r="Y12" i="15"/>
  <c r="Y30" i="15"/>
  <c r="Z12" i="15"/>
  <c r="Z30" i="15"/>
  <c r="AA12" i="15"/>
  <c r="AA30" i="15"/>
  <c r="AB12" i="15"/>
  <c r="AB30" i="15"/>
  <c r="AC12" i="15"/>
  <c r="AC30" i="15"/>
  <c r="AD12" i="15"/>
  <c r="AD30" i="15"/>
  <c r="AE12" i="15"/>
  <c r="AE30" i="15"/>
  <c r="AF12" i="15"/>
  <c r="AF30" i="15"/>
  <c r="AG12" i="15"/>
  <c r="AG30" i="15"/>
  <c r="AH12" i="15"/>
  <c r="AH30" i="15"/>
  <c r="AH31" i="15"/>
  <c r="AI32" i="15"/>
  <c r="AI45" i="15"/>
  <c r="AI46" i="15"/>
  <c r="AI26" i="15"/>
  <c r="AI48" i="15"/>
  <c r="AH44" i="15"/>
  <c r="AG31" i="15"/>
  <c r="AH32" i="15"/>
  <c r="AH45" i="15"/>
  <c r="AH46" i="15"/>
  <c r="AH26" i="15"/>
  <c r="AH48" i="15"/>
  <c r="AG44" i="15"/>
  <c r="AF31" i="15"/>
  <c r="AG32" i="15"/>
  <c r="AG45" i="15"/>
  <c r="AG46" i="15"/>
  <c r="AG26" i="15"/>
  <c r="AG48" i="15"/>
  <c r="AF44" i="15"/>
  <c r="AE31" i="15"/>
  <c r="AF32" i="15"/>
  <c r="AF45" i="15"/>
  <c r="AF46" i="15"/>
  <c r="AF26" i="15"/>
  <c r="AF48" i="15"/>
  <c r="AE44" i="15"/>
  <c r="AD31" i="15"/>
  <c r="AE32" i="15"/>
  <c r="AE45" i="15"/>
  <c r="AE46" i="15"/>
  <c r="AE26" i="15"/>
  <c r="AE48" i="15"/>
  <c r="AD44" i="15"/>
  <c r="AC31" i="15"/>
  <c r="AD32" i="15"/>
  <c r="AD45" i="15"/>
  <c r="AD46" i="15"/>
  <c r="AD26" i="15"/>
  <c r="AD48" i="15"/>
  <c r="AC44" i="15"/>
  <c r="AB31" i="15"/>
  <c r="AC32" i="15"/>
  <c r="AC45" i="15"/>
  <c r="AC46" i="15"/>
  <c r="AC26" i="15"/>
  <c r="AC48" i="15"/>
  <c r="AB44" i="15"/>
  <c r="AA31" i="15"/>
  <c r="AB32" i="15"/>
  <c r="AB45" i="15"/>
  <c r="AB46" i="15"/>
  <c r="AB26" i="15"/>
  <c r="AB48" i="15"/>
  <c r="AA44" i="15"/>
  <c r="Z31" i="15"/>
  <c r="AA32" i="15"/>
  <c r="AA45" i="15"/>
  <c r="AA46" i="15"/>
  <c r="AA26" i="15"/>
  <c r="AA48" i="15"/>
  <c r="Z44" i="15"/>
  <c r="Y31" i="15"/>
  <c r="Z32" i="15"/>
  <c r="Z45" i="15"/>
  <c r="Z46" i="15"/>
  <c r="Z26" i="15"/>
  <c r="Z48" i="15"/>
  <c r="Y44" i="15"/>
  <c r="X31" i="15"/>
  <c r="Y32" i="15"/>
  <c r="Y45" i="15"/>
  <c r="Y46" i="15"/>
  <c r="Y26" i="15"/>
  <c r="Y48" i="15"/>
  <c r="X44" i="15"/>
  <c r="W31" i="15"/>
  <c r="X32" i="15"/>
  <c r="X45" i="15"/>
  <c r="X46" i="15"/>
  <c r="X26" i="15"/>
  <c r="X48" i="15"/>
  <c r="W44" i="15"/>
  <c r="V31" i="15"/>
  <c r="W32" i="15"/>
  <c r="W45" i="15"/>
  <c r="W46" i="15"/>
  <c r="W26" i="15"/>
  <c r="W48" i="15"/>
  <c r="V44" i="15"/>
  <c r="U31" i="15"/>
  <c r="V32" i="15"/>
  <c r="V45" i="15"/>
  <c r="V46" i="15"/>
  <c r="V26" i="15"/>
  <c r="V48" i="15"/>
  <c r="U44" i="15"/>
  <c r="T31" i="15"/>
  <c r="U32" i="15"/>
  <c r="U45" i="15"/>
  <c r="U46" i="15"/>
  <c r="U26" i="15"/>
  <c r="U48" i="15"/>
  <c r="T44" i="15"/>
  <c r="S31" i="15"/>
  <c r="T32" i="15"/>
  <c r="T45" i="15"/>
  <c r="T46" i="15"/>
  <c r="T26" i="15"/>
  <c r="T48" i="15"/>
  <c r="S44" i="15"/>
  <c r="R31" i="15"/>
  <c r="S32" i="15"/>
  <c r="S45" i="15"/>
  <c r="S46" i="15"/>
  <c r="S26" i="15"/>
  <c r="S48" i="15"/>
  <c r="R44" i="15"/>
  <c r="Q31" i="15"/>
  <c r="R32" i="15"/>
  <c r="R45" i="15"/>
  <c r="R46" i="15"/>
  <c r="R26" i="15"/>
  <c r="R48" i="15"/>
  <c r="Q44" i="15"/>
  <c r="P31" i="15"/>
  <c r="Q32" i="15"/>
  <c r="Q45" i="15"/>
  <c r="Q46" i="15"/>
  <c r="Q26" i="15"/>
  <c r="Q48" i="15"/>
  <c r="P44" i="15"/>
  <c r="O31" i="15"/>
  <c r="P32" i="15"/>
  <c r="P45" i="15"/>
  <c r="P46" i="15"/>
  <c r="P26" i="15"/>
  <c r="P48" i="15"/>
  <c r="O44" i="15"/>
  <c r="N31" i="15"/>
  <c r="O32" i="15"/>
  <c r="O45" i="15"/>
  <c r="O46" i="15"/>
  <c r="O26" i="15"/>
  <c r="O48" i="15"/>
  <c r="N44" i="15"/>
  <c r="M31" i="15"/>
  <c r="N32" i="15"/>
  <c r="N45" i="15"/>
  <c r="N46" i="15"/>
  <c r="N26" i="15"/>
  <c r="N48" i="15"/>
  <c r="M44" i="15"/>
  <c r="L31" i="15"/>
  <c r="M32" i="15"/>
  <c r="M45" i="15"/>
  <c r="M46" i="15"/>
  <c r="M26" i="15"/>
  <c r="M48" i="15"/>
  <c r="L44" i="15"/>
  <c r="K31" i="15"/>
  <c r="L32" i="15"/>
  <c r="L45" i="15"/>
  <c r="L46" i="15"/>
  <c r="L26" i="15"/>
  <c r="L48" i="15"/>
  <c r="K44" i="15"/>
  <c r="J31" i="15"/>
  <c r="K32" i="15"/>
  <c r="K45" i="15"/>
  <c r="K46" i="15"/>
  <c r="K26" i="15"/>
  <c r="K48" i="15"/>
  <c r="J44" i="15"/>
  <c r="I31" i="15"/>
  <c r="J32" i="15"/>
  <c r="J45" i="15"/>
  <c r="J46" i="15"/>
  <c r="J26" i="15"/>
  <c r="J48" i="15"/>
  <c r="I44" i="15"/>
  <c r="H31" i="15"/>
  <c r="I32" i="15"/>
  <c r="I45" i="15"/>
  <c r="I46" i="15"/>
  <c r="I26" i="15"/>
  <c r="I48" i="15"/>
  <c r="H44" i="15"/>
  <c r="G31" i="15"/>
  <c r="H32" i="15"/>
  <c r="H45" i="15"/>
  <c r="H46" i="15"/>
  <c r="H26" i="15"/>
  <c r="H48" i="15"/>
  <c r="G44" i="15"/>
  <c r="F31" i="15"/>
  <c r="G32" i="15"/>
  <c r="G45" i="15"/>
  <c r="G46" i="15"/>
  <c r="G26" i="15"/>
  <c r="G48" i="15"/>
  <c r="F44" i="15"/>
  <c r="E31" i="15"/>
  <c r="F32" i="15"/>
  <c r="F45" i="15"/>
  <c r="F46" i="15"/>
  <c r="F26" i="15"/>
  <c r="F48" i="15"/>
  <c r="E44" i="15"/>
  <c r="D31" i="15"/>
  <c r="E32" i="15"/>
  <c r="E45" i="15"/>
  <c r="E46" i="15"/>
  <c r="E26" i="15"/>
  <c r="E48" i="15"/>
  <c r="D44" i="15"/>
  <c r="C31" i="15"/>
  <c r="D32" i="15"/>
  <c r="D45" i="15"/>
  <c r="D46" i="15"/>
  <c r="D26" i="15"/>
  <c r="D48" i="15"/>
  <c r="C44" i="15"/>
  <c r="C32" i="15"/>
  <c r="C45" i="15"/>
  <c r="C46" i="15"/>
  <c r="C26" i="15"/>
  <c r="C48" i="15"/>
  <c r="C49" i="15"/>
  <c r="D49" i="15"/>
  <c r="E49" i="15"/>
  <c r="F49" i="15"/>
  <c r="G49" i="15"/>
  <c r="H49" i="15"/>
  <c r="I49" i="15"/>
  <c r="J49" i="15"/>
  <c r="K49" i="15"/>
  <c r="L49" i="15"/>
  <c r="M49" i="15"/>
  <c r="N49" i="15"/>
  <c r="O49" i="15"/>
  <c r="P49" i="15"/>
  <c r="Q49" i="15"/>
  <c r="R49" i="15"/>
  <c r="S49" i="15"/>
  <c r="T49" i="15"/>
  <c r="U49" i="15"/>
  <c r="V49" i="15"/>
  <c r="W49" i="15"/>
  <c r="X49" i="15"/>
  <c r="Y49" i="15"/>
  <c r="Z49" i="15"/>
  <c r="AA49" i="15"/>
  <c r="AB49" i="15"/>
  <c r="AC49" i="15"/>
  <c r="AD49" i="15"/>
  <c r="AE49" i="15"/>
  <c r="AF49" i="15"/>
  <c r="AG49" i="15"/>
  <c r="AH49" i="15"/>
  <c r="AI50" i="15"/>
  <c r="AI51" i="15"/>
  <c r="AI17" i="7"/>
  <c r="AI19" i="5"/>
  <c r="AJ13" i="22"/>
  <c r="AH50" i="13"/>
  <c r="AH51" i="13"/>
  <c r="AH50" i="15"/>
  <c r="AH51" i="15"/>
  <c r="AH17" i="7"/>
  <c r="AH19" i="5"/>
  <c r="AI13" i="22"/>
  <c r="AG50" i="13"/>
  <c r="AG51" i="13"/>
  <c r="AG50" i="15"/>
  <c r="AG51" i="15"/>
  <c r="AG17" i="7"/>
  <c r="AG19" i="5"/>
  <c r="AH13" i="22"/>
  <c r="AF50" i="13"/>
  <c r="AF51" i="13"/>
  <c r="AF50" i="15"/>
  <c r="AF51" i="15"/>
  <c r="AF17" i="7"/>
  <c r="AF19" i="5"/>
  <c r="AG13" i="22"/>
  <c r="AE50" i="13"/>
  <c r="AE51" i="13"/>
  <c r="AE50" i="15"/>
  <c r="AE51" i="15"/>
  <c r="AE17" i="7"/>
  <c r="AE19" i="5"/>
  <c r="AF13" i="22"/>
  <c r="AD50" i="13"/>
  <c r="AD51" i="13"/>
  <c r="AD50" i="15"/>
  <c r="AD51" i="15"/>
  <c r="AD17" i="7"/>
  <c r="AD19" i="5"/>
  <c r="AE13" i="22"/>
  <c r="AC50" i="13"/>
  <c r="AC51" i="13"/>
  <c r="AC50" i="15"/>
  <c r="AC51" i="15"/>
  <c r="AC17" i="7"/>
  <c r="AC19" i="5"/>
  <c r="AD13" i="22"/>
  <c r="AB50" i="13"/>
  <c r="AB51" i="13"/>
  <c r="AB50" i="15"/>
  <c r="AB51" i="15"/>
  <c r="AB17" i="7"/>
  <c r="AB19" i="5"/>
  <c r="AC13" i="22"/>
  <c r="AA50" i="13"/>
  <c r="AA51" i="13"/>
  <c r="AA50" i="15"/>
  <c r="AA51" i="15"/>
  <c r="AA17" i="7"/>
  <c r="AA19" i="5"/>
  <c r="AB13" i="22"/>
  <c r="Z50" i="13"/>
  <c r="Z51" i="13"/>
  <c r="Z50" i="15"/>
  <c r="Z51" i="15"/>
  <c r="Z17" i="7"/>
  <c r="Z19" i="5"/>
  <c r="AA13" i="22"/>
  <c r="Y50" i="13"/>
  <c r="Y51" i="13"/>
  <c r="Y50" i="15"/>
  <c r="Y51" i="15"/>
  <c r="Y17" i="7"/>
  <c r="Y19" i="5"/>
  <c r="Z13" i="22"/>
  <c r="X50" i="13"/>
  <c r="X51" i="13"/>
  <c r="X50" i="15"/>
  <c r="X51" i="15"/>
  <c r="X17" i="7"/>
  <c r="X19" i="5"/>
  <c r="Y13" i="22"/>
  <c r="W50" i="13"/>
  <c r="W51" i="13"/>
  <c r="W50" i="15"/>
  <c r="W51" i="15"/>
  <c r="W17" i="7"/>
  <c r="W19" i="5"/>
  <c r="X13" i="22"/>
  <c r="V50" i="13"/>
  <c r="V51" i="13"/>
  <c r="V50" i="15"/>
  <c r="V51" i="15"/>
  <c r="V17" i="7"/>
  <c r="V19" i="5"/>
  <c r="W13" i="22"/>
  <c r="U50" i="13"/>
  <c r="U51" i="13"/>
  <c r="U50" i="15"/>
  <c r="U51" i="15"/>
  <c r="U17" i="7"/>
  <c r="U19" i="5"/>
  <c r="V13" i="22"/>
  <c r="T50" i="13"/>
  <c r="T51" i="13"/>
  <c r="T50" i="15"/>
  <c r="T51" i="15"/>
  <c r="T17" i="7"/>
  <c r="T19" i="5"/>
  <c r="U13" i="22"/>
  <c r="S50" i="13"/>
  <c r="S51" i="13"/>
  <c r="S50" i="15"/>
  <c r="S51" i="15"/>
  <c r="S17" i="7"/>
  <c r="S19" i="5"/>
  <c r="T13" i="22"/>
  <c r="R50" i="13"/>
  <c r="R51" i="13"/>
  <c r="R50" i="15"/>
  <c r="R51" i="15"/>
  <c r="R17" i="7"/>
  <c r="R19" i="5"/>
  <c r="S13" i="22"/>
  <c r="Q50" i="13"/>
  <c r="Q51" i="13"/>
  <c r="Q50" i="15"/>
  <c r="Q51" i="15"/>
  <c r="Q17" i="7"/>
  <c r="Q19" i="5"/>
  <c r="R13" i="22"/>
  <c r="P50" i="13"/>
  <c r="P51" i="13"/>
  <c r="P50" i="15"/>
  <c r="P51" i="15"/>
  <c r="P17" i="7"/>
  <c r="P19" i="5"/>
  <c r="Q13" i="22"/>
  <c r="O50" i="13"/>
  <c r="O51" i="13"/>
  <c r="O50" i="15"/>
  <c r="O51" i="15"/>
  <c r="O17" i="7"/>
  <c r="O19" i="5"/>
  <c r="P13" i="22"/>
  <c r="N50" i="13"/>
  <c r="N51" i="13"/>
  <c r="N50" i="15"/>
  <c r="N51" i="15"/>
  <c r="N17" i="7"/>
  <c r="N19" i="5"/>
  <c r="O13" i="22"/>
  <c r="M50" i="13"/>
  <c r="M51" i="13"/>
  <c r="M50" i="15"/>
  <c r="M51" i="15"/>
  <c r="M17" i="7"/>
  <c r="M19" i="5"/>
  <c r="N13" i="22"/>
  <c r="L50" i="13"/>
  <c r="L51" i="13"/>
  <c r="L50" i="15"/>
  <c r="L51" i="15"/>
  <c r="L17" i="7"/>
  <c r="L19" i="5"/>
  <c r="M13" i="22"/>
  <c r="K50" i="13"/>
  <c r="K51" i="13"/>
  <c r="K50" i="15"/>
  <c r="K51" i="15"/>
  <c r="K17" i="7"/>
  <c r="K19" i="5"/>
  <c r="L13" i="22"/>
  <c r="J50" i="13"/>
  <c r="J51" i="13"/>
  <c r="J50" i="15"/>
  <c r="J51" i="15"/>
  <c r="J17" i="7"/>
  <c r="J19" i="5"/>
  <c r="K13" i="22"/>
  <c r="I50" i="13"/>
  <c r="I51" i="13"/>
  <c r="I50" i="15"/>
  <c r="I51" i="15"/>
  <c r="I17" i="7"/>
  <c r="I19" i="5"/>
  <c r="J13" i="22"/>
  <c r="H50" i="13"/>
  <c r="H51" i="13"/>
  <c r="H50" i="15"/>
  <c r="H51" i="15"/>
  <c r="H17" i="7"/>
  <c r="H19" i="5"/>
  <c r="I13" i="22"/>
  <c r="G50" i="13"/>
  <c r="G51" i="13"/>
  <c r="G50" i="15"/>
  <c r="G51" i="15"/>
  <c r="G17" i="7"/>
  <c r="G19" i="5"/>
  <c r="H13" i="22"/>
  <c r="F50" i="13"/>
  <c r="F51" i="13"/>
  <c r="F50" i="15"/>
  <c r="F51" i="15"/>
  <c r="F17" i="7"/>
  <c r="F19" i="5"/>
  <c r="G13" i="22"/>
  <c r="E50" i="13"/>
  <c r="E51" i="13"/>
  <c r="E50" i="15"/>
  <c r="E51" i="15"/>
  <c r="E17" i="7"/>
  <c r="E19" i="5"/>
  <c r="F13" i="22"/>
  <c r="D50" i="13"/>
  <c r="D51" i="13"/>
  <c r="D50" i="15"/>
  <c r="D51" i="15"/>
  <c r="D17" i="7"/>
  <c r="D19" i="5"/>
  <c r="E13" i="22"/>
  <c r="C51" i="13"/>
  <c r="C51" i="15"/>
  <c r="C17" i="7"/>
  <c r="C19" i="5"/>
  <c r="D13" i="22"/>
  <c r="AI16" i="5"/>
  <c r="AI16" i="21"/>
  <c r="AJ12" i="22"/>
  <c r="AH16" i="5"/>
  <c r="AH16" i="21"/>
  <c r="AI12" i="22"/>
  <c r="AG16" i="5"/>
  <c r="AG16" i="21"/>
  <c r="AH12" i="22"/>
  <c r="AF16" i="5"/>
  <c r="AF16" i="21"/>
  <c r="AG12" i="22"/>
  <c r="AE16" i="5"/>
  <c r="AE16" i="21"/>
  <c r="AF12" i="22"/>
  <c r="AD16" i="5"/>
  <c r="AD16" i="21"/>
  <c r="AE12" i="22"/>
  <c r="AC16" i="5"/>
  <c r="AC16" i="21"/>
  <c r="AD12" i="22"/>
  <c r="AB16" i="5"/>
  <c r="AB16" i="21"/>
  <c r="AC12" i="22"/>
  <c r="AA16" i="5"/>
  <c r="AA16" i="21"/>
  <c r="AB12" i="22"/>
  <c r="Z16" i="5"/>
  <c r="Z16" i="21"/>
  <c r="AA12" i="22"/>
  <c r="Y16" i="5"/>
  <c r="Y16" i="21"/>
  <c r="Z12" i="22"/>
  <c r="X16" i="5"/>
  <c r="X16" i="21"/>
  <c r="Y12" i="22"/>
  <c r="W16" i="5"/>
  <c r="W16" i="21"/>
  <c r="X12" i="22"/>
  <c r="V16" i="5"/>
  <c r="V16" i="21"/>
  <c r="W12" i="22"/>
  <c r="U16" i="5"/>
  <c r="U16" i="21"/>
  <c r="V12" i="22"/>
  <c r="T16" i="5"/>
  <c r="T16" i="21"/>
  <c r="U12" i="22"/>
  <c r="S16" i="5"/>
  <c r="S16" i="21"/>
  <c r="T12" i="22"/>
  <c r="R16" i="5"/>
  <c r="R16" i="21"/>
  <c r="S12" i="22"/>
  <c r="Q16" i="5"/>
  <c r="Q16" i="21"/>
  <c r="R12" i="22"/>
  <c r="P16" i="5"/>
  <c r="P16" i="21"/>
  <c r="Q12" i="22"/>
  <c r="O16" i="5"/>
  <c r="O16" i="21"/>
  <c r="P12" i="22"/>
  <c r="N16" i="5"/>
  <c r="N16" i="21"/>
  <c r="O12" i="22"/>
  <c r="M16" i="5"/>
  <c r="M16" i="21"/>
  <c r="N12" i="22"/>
  <c r="L16" i="5"/>
  <c r="L16" i="21"/>
  <c r="M12" i="22"/>
  <c r="K16" i="5"/>
  <c r="K16" i="21"/>
  <c r="L12" i="22"/>
  <c r="J16" i="5"/>
  <c r="J16" i="21"/>
  <c r="K12" i="22"/>
  <c r="I16" i="5"/>
  <c r="I16" i="21"/>
  <c r="J12" i="22"/>
  <c r="H16" i="5"/>
  <c r="H16" i="21"/>
  <c r="I12" i="22"/>
  <c r="G16" i="5"/>
  <c r="G16" i="21"/>
  <c r="H12" i="22"/>
  <c r="F16" i="5"/>
  <c r="F16" i="21"/>
  <c r="G12" i="22"/>
  <c r="E16" i="5"/>
  <c r="E16" i="21"/>
  <c r="F12" i="22"/>
  <c r="D16" i="5"/>
  <c r="D16" i="21"/>
  <c r="E12" i="22"/>
  <c r="C16" i="5"/>
  <c r="C16" i="21"/>
  <c r="D12" i="22"/>
  <c r="AI14" i="7"/>
  <c r="AI15" i="5"/>
  <c r="AI15" i="21"/>
  <c r="AJ11" i="22"/>
  <c r="AH14" i="7"/>
  <c r="AH15" i="5"/>
  <c r="AH15" i="21"/>
  <c r="AI11" i="22"/>
  <c r="AG14" i="7"/>
  <c r="AG15" i="5"/>
  <c r="AG15" i="21"/>
  <c r="AH11" i="22"/>
  <c r="AF14" i="7"/>
  <c r="AF15" i="5"/>
  <c r="AF15" i="21"/>
  <c r="AG11" i="22"/>
  <c r="AE14" i="7"/>
  <c r="AE15" i="5"/>
  <c r="AE15" i="21"/>
  <c r="AF11" i="22"/>
  <c r="AD14" i="7"/>
  <c r="AD15" i="5"/>
  <c r="AD15" i="21"/>
  <c r="AE11" i="22"/>
  <c r="AC14" i="7"/>
  <c r="AC15" i="5"/>
  <c r="AC15" i="21"/>
  <c r="AD11" i="22"/>
  <c r="AB14" i="7"/>
  <c r="AB15" i="5"/>
  <c r="AB15" i="21"/>
  <c r="AC11" i="22"/>
  <c r="AA14" i="7"/>
  <c r="AA15" i="5"/>
  <c r="AA15" i="21"/>
  <c r="AB11" i="22"/>
  <c r="Z14" i="7"/>
  <c r="Z15" i="5"/>
  <c r="Z15" i="21"/>
  <c r="AA11" i="22"/>
  <c r="Y14" i="7"/>
  <c r="Y15" i="5"/>
  <c r="Y15" i="21"/>
  <c r="Z11" i="22"/>
  <c r="X14" i="7"/>
  <c r="X15" i="5"/>
  <c r="X15" i="21"/>
  <c r="Y11" i="22"/>
  <c r="W14" i="7"/>
  <c r="W15" i="5"/>
  <c r="W15" i="21"/>
  <c r="X11" i="22"/>
  <c r="V14" i="7"/>
  <c r="V15" i="5"/>
  <c r="V15" i="21"/>
  <c r="W11" i="22"/>
  <c r="U14" i="7"/>
  <c r="U15" i="5"/>
  <c r="U15" i="21"/>
  <c r="V11" i="22"/>
  <c r="T14" i="7"/>
  <c r="T15" i="5"/>
  <c r="T15" i="21"/>
  <c r="U11" i="22"/>
  <c r="S14" i="7"/>
  <c r="S15" i="5"/>
  <c r="S15" i="21"/>
  <c r="T11" i="22"/>
  <c r="R14" i="7"/>
  <c r="R15" i="5"/>
  <c r="R15" i="21"/>
  <c r="S11" i="22"/>
  <c r="Q14" i="7"/>
  <c r="Q15" i="5"/>
  <c r="Q15" i="21"/>
  <c r="R11" i="22"/>
  <c r="P14" i="7"/>
  <c r="P15" i="5"/>
  <c r="P15" i="21"/>
  <c r="Q11" i="22"/>
  <c r="O14" i="7"/>
  <c r="O15" i="5"/>
  <c r="O15" i="21"/>
  <c r="P11" i="22"/>
  <c r="N14" i="7"/>
  <c r="N15" i="5"/>
  <c r="N15" i="21"/>
  <c r="O11" i="22"/>
  <c r="M14" i="7"/>
  <c r="M15" i="5"/>
  <c r="M15" i="21"/>
  <c r="N11" i="22"/>
  <c r="L14" i="7"/>
  <c r="L15" i="5"/>
  <c r="L15" i="21"/>
  <c r="M11" i="22"/>
  <c r="K14" i="7"/>
  <c r="K15" i="5"/>
  <c r="K15" i="21"/>
  <c r="L11" i="22"/>
  <c r="J14" i="7"/>
  <c r="J15" i="5"/>
  <c r="J15" i="21"/>
  <c r="K11" i="22"/>
  <c r="I14" i="7"/>
  <c r="I15" i="5"/>
  <c r="I15" i="21"/>
  <c r="J11" i="22"/>
  <c r="H14" i="7"/>
  <c r="H15" i="5"/>
  <c r="H15" i="21"/>
  <c r="I11" i="22"/>
  <c r="G14" i="7"/>
  <c r="G15" i="5"/>
  <c r="G15" i="21"/>
  <c r="H11" i="22"/>
  <c r="F14" i="7"/>
  <c r="F15" i="5"/>
  <c r="F15" i="21"/>
  <c r="G11" i="22"/>
  <c r="E14" i="7"/>
  <c r="E15" i="5"/>
  <c r="E15" i="21"/>
  <c r="F11" i="22"/>
  <c r="D14" i="7"/>
  <c r="D15" i="5"/>
  <c r="D15" i="21"/>
  <c r="E11" i="22"/>
  <c r="C14" i="7"/>
  <c r="C15" i="5"/>
  <c r="C15" i="21"/>
  <c r="D11" i="22"/>
  <c r="AI12" i="7"/>
  <c r="AI12" i="5"/>
  <c r="AI12" i="21"/>
  <c r="AJ10" i="22"/>
  <c r="AH12" i="7"/>
  <c r="AH12" i="5"/>
  <c r="AH12" i="21"/>
  <c r="AI10" i="22"/>
  <c r="AG12" i="7"/>
  <c r="AG12" i="5"/>
  <c r="AG12" i="21"/>
  <c r="AH10" i="22"/>
  <c r="AF12" i="7"/>
  <c r="AF12" i="5"/>
  <c r="AF12" i="21"/>
  <c r="AG10" i="22"/>
  <c r="AE12" i="7"/>
  <c r="AE12" i="5"/>
  <c r="AE12" i="21"/>
  <c r="AF10" i="22"/>
  <c r="AD12" i="7"/>
  <c r="AD12" i="5"/>
  <c r="AD12" i="21"/>
  <c r="AE10" i="22"/>
  <c r="AC12" i="7"/>
  <c r="AC12" i="5"/>
  <c r="AC12" i="21"/>
  <c r="AD10" i="22"/>
  <c r="AB12" i="7"/>
  <c r="AB12" i="5"/>
  <c r="AB12" i="21"/>
  <c r="AC10" i="22"/>
  <c r="AA12" i="7"/>
  <c r="AA12" i="5"/>
  <c r="AA12" i="21"/>
  <c r="AB10" i="22"/>
  <c r="Z12" i="7"/>
  <c r="Z12" i="5"/>
  <c r="Z12" i="21"/>
  <c r="AA10" i="22"/>
  <c r="Y12" i="7"/>
  <c r="Y12" i="5"/>
  <c r="Y12" i="21"/>
  <c r="Z10" i="22"/>
  <c r="X12" i="7"/>
  <c r="X12" i="5"/>
  <c r="X12" i="21"/>
  <c r="Y10" i="22"/>
  <c r="W12" i="7"/>
  <c r="W12" i="5"/>
  <c r="W12" i="21"/>
  <c r="X10" i="22"/>
  <c r="V12" i="7"/>
  <c r="V12" i="5"/>
  <c r="V12" i="21"/>
  <c r="W10" i="22"/>
  <c r="U12" i="7"/>
  <c r="U12" i="5"/>
  <c r="U12" i="21"/>
  <c r="V10" i="22"/>
  <c r="T12" i="7"/>
  <c r="T12" i="5"/>
  <c r="T12" i="21"/>
  <c r="U10" i="22"/>
  <c r="S12" i="7"/>
  <c r="S12" i="5"/>
  <c r="S12" i="21"/>
  <c r="T10" i="22"/>
  <c r="R12" i="7"/>
  <c r="R12" i="5"/>
  <c r="R12" i="21"/>
  <c r="S10" i="22"/>
  <c r="Q12" i="7"/>
  <c r="Q12" i="5"/>
  <c r="Q12" i="21"/>
  <c r="R10" i="22"/>
  <c r="P12" i="7"/>
  <c r="P12" i="5"/>
  <c r="P12" i="21"/>
  <c r="Q10" i="22"/>
  <c r="O12" i="7"/>
  <c r="O12" i="5"/>
  <c r="O12" i="21"/>
  <c r="P10" i="22"/>
  <c r="N12" i="7"/>
  <c r="N12" i="5"/>
  <c r="N12" i="21"/>
  <c r="O10" i="22"/>
  <c r="M12" i="7"/>
  <c r="M12" i="5"/>
  <c r="M12" i="21"/>
  <c r="N10" i="22"/>
  <c r="L12" i="7"/>
  <c r="L12" i="5"/>
  <c r="L12" i="21"/>
  <c r="M10" i="22"/>
  <c r="K12" i="7"/>
  <c r="K12" i="5"/>
  <c r="K12" i="21"/>
  <c r="L10" i="22"/>
  <c r="J12" i="7"/>
  <c r="J12" i="5"/>
  <c r="J12" i="21"/>
  <c r="K10" i="22"/>
  <c r="I12" i="7"/>
  <c r="I12" i="5"/>
  <c r="I12" i="21"/>
  <c r="J10" i="22"/>
  <c r="H12" i="7"/>
  <c r="H12" i="5"/>
  <c r="H12" i="21"/>
  <c r="I10" i="22"/>
  <c r="G12" i="7"/>
  <c r="G12" i="5"/>
  <c r="G12" i="21"/>
  <c r="H10" i="22"/>
  <c r="F12" i="7"/>
  <c r="F12" i="5"/>
  <c r="F12" i="21"/>
  <c r="G10" i="22"/>
  <c r="E12" i="7"/>
  <c r="E12" i="5"/>
  <c r="E12" i="21"/>
  <c r="F10" i="22"/>
  <c r="D12" i="7"/>
  <c r="D12" i="5"/>
  <c r="D12" i="21"/>
  <c r="E10" i="22"/>
  <c r="C12" i="7"/>
  <c r="C12" i="5"/>
  <c r="C12" i="21"/>
  <c r="D10" i="22"/>
  <c r="AI32" i="11"/>
  <c r="AI33" i="11"/>
  <c r="AI34" i="11"/>
  <c r="AI35" i="11"/>
  <c r="AI38" i="11"/>
  <c r="AI32" i="14"/>
  <c r="AI33" i="14"/>
  <c r="AI34" i="14"/>
  <c r="AI35" i="14"/>
  <c r="AI38" i="14"/>
  <c r="AI23" i="7"/>
  <c r="AI48" i="4"/>
  <c r="AI25" i="5"/>
  <c r="AI14" i="21"/>
  <c r="AI23" i="21"/>
  <c r="AI25" i="21"/>
  <c r="AJ8" i="22"/>
  <c r="AH32" i="11"/>
  <c r="AH33" i="11"/>
  <c r="AH34" i="11"/>
  <c r="AH35" i="11"/>
  <c r="AH38" i="11"/>
  <c r="AH32" i="14"/>
  <c r="AH33" i="14"/>
  <c r="AH34" i="14"/>
  <c r="AH35" i="14"/>
  <c r="AH38" i="14"/>
  <c r="AH23" i="7"/>
  <c r="AH48" i="4"/>
  <c r="AH25" i="5"/>
  <c r="AH14" i="21"/>
  <c r="AH23" i="21"/>
  <c r="AH25" i="21"/>
  <c r="AI8" i="22"/>
  <c r="AG32" i="11"/>
  <c r="AG33" i="11"/>
  <c r="AG34" i="11"/>
  <c r="AG35" i="11"/>
  <c r="AG38" i="11"/>
  <c r="AG32" i="14"/>
  <c r="AG33" i="14"/>
  <c r="AG34" i="14"/>
  <c r="AG35" i="14"/>
  <c r="AG38" i="14"/>
  <c r="AG23" i="7"/>
  <c r="AG48" i="4"/>
  <c r="AG25" i="5"/>
  <c r="AG14" i="21"/>
  <c r="AG23" i="21"/>
  <c r="AG25" i="21"/>
  <c r="AH8" i="22"/>
  <c r="AF32" i="11"/>
  <c r="AF33" i="11"/>
  <c r="AF34" i="11"/>
  <c r="AF35" i="11"/>
  <c r="AF38" i="11"/>
  <c r="AF32" i="14"/>
  <c r="AF33" i="14"/>
  <c r="AF34" i="14"/>
  <c r="AF35" i="14"/>
  <c r="AF38" i="14"/>
  <c r="AF23" i="7"/>
  <c r="AF48" i="4"/>
  <c r="AF25" i="5"/>
  <c r="AF14" i="21"/>
  <c r="AF23" i="21"/>
  <c r="AF25" i="21"/>
  <c r="AG8" i="22"/>
  <c r="AE32" i="11"/>
  <c r="AE33" i="11"/>
  <c r="AE34" i="11"/>
  <c r="AE35" i="11"/>
  <c r="AE38" i="11"/>
  <c r="AE32" i="14"/>
  <c r="AE33" i="14"/>
  <c r="AE34" i="14"/>
  <c r="AE35" i="14"/>
  <c r="AE38" i="14"/>
  <c r="AE23" i="7"/>
  <c r="AE48" i="4"/>
  <c r="AE25" i="5"/>
  <c r="AE14" i="21"/>
  <c r="AE23" i="21"/>
  <c r="AE25" i="21"/>
  <c r="AF8" i="22"/>
  <c r="AD32" i="11"/>
  <c r="AD33" i="11"/>
  <c r="AD34" i="11"/>
  <c r="AD35" i="11"/>
  <c r="AD38" i="11"/>
  <c r="AD32" i="14"/>
  <c r="AD33" i="14"/>
  <c r="AD34" i="14"/>
  <c r="AD35" i="14"/>
  <c r="AD38" i="14"/>
  <c r="AD23" i="7"/>
  <c r="AD48" i="4"/>
  <c r="AD25" i="5"/>
  <c r="AD14" i="21"/>
  <c r="AD23" i="21"/>
  <c r="AD25" i="21"/>
  <c r="AE8" i="22"/>
  <c r="AC32" i="11"/>
  <c r="AC33" i="11"/>
  <c r="AC34" i="11"/>
  <c r="AC35" i="11"/>
  <c r="AC38" i="11"/>
  <c r="AC32" i="14"/>
  <c r="AC33" i="14"/>
  <c r="AC34" i="14"/>
  <c r="AC35" i="14"/>
  <c r="AC38" i="14"/>
  <c r="AC23" i="7"/>
  <c r="AC48" i="4"/>
  <c r="AC25" i="5"/>
  <c r="AC14" i="21"/>
  <c r="AC23" i="21"/>
  <c r="AC25" i="21"/>
  <c r="AD8" i="22"/>
  <c r="AB32" i="11"/>
  <c r="AB33" i="11"/>
  <c r="AB34" i="11"/>
  <c r="AB35" i="11"/>
  <c r="AB38" i="11"/>
  <c r="AB32" i="14"/>
  <c r="AB33" i="14"/>
  <c r="AB34" i="14"/>
  <c r="AB35" i="14"/>
  <c r="AB38" i="14"/>
  <c r="AB23" i="7"/>
  <c r="AB48" i="4"/>
  <c r="AB25" i="5"/>
  <c r="AB14" i="21"/>
  <c r="AB23" i="21"/>
  <c r="AB25" i="21"/>
  <c r="AC8" i="22"/>
  <c r="AA32" i="11"/>
  <c r="AA33" i="11"/>
  <c r="AA34" i="11"/>
  <c r="AA35" i="11"/>
  <c r="AA38" i="11"/>
  <c r="AA32" i="14"/>
  <c r="AA33" i="14"/>
  <c r="AA34" i="14"/>
  <c r="AA35" i="14"/>
  <c r="AA38" i="14"/>
  <c r="AA23" i="7"/>
  <c r="AA48" i="4"/>
  <c r="AA25" i="5"/>
  <c r="AA14" i="21"/>
  <c r="AA23" i="21"/>
  <c r="AA25" i="21"/>
  <c r="AB8" i="22"/>
  <c r="Z32" i="11"/>
  <c r="Z33" i="11"/>
  <c r="Z34" i="11"/>
  <c r="Z35" i="11"/>
  <c r="Z38" i="11"/>
  <c r="Z32" i="14"/>
  <c r="Z33" i="14"/>
  <c r="Z34" i="14"/>
  <c r="Z35" i="14"/>
  <c r="Z38" i="14"/>
  <c r="Z23" i="7"/>
  <c r="Z48" i="4"/>
  <c r="Z25" i="5"/>
  <c r="Z14" i="21"/>
  <c r="Z23" i="21"/>
  <c r="Z25" i="21"/>
  <c r="AA8" i="22"/>
  <c r="Y32" i="11"/>
  <c r="Y33" i="11"/>
  <c r="Y34" i="11"/>
  <c r="Y35" i="11"/>
  <c r="Y38" i="11"/>
  <c r="Y32" i="14"/>
  <c r="Y33" i="14"/>
  <c r="Y34" i="14"/>
  <c r="Y35" i="14"/>
  <c r="Y38" i="14"/>
  <c r="Y23" i="7"/>
  <c r="Y48" i="4"/>
  <c r="Y25" i="5"/>
  <c r="Y14" i="21"/>
  <c r="Y23" i="21"/>
  <c r="Y25" i="21"/>
  <c r="Z8" i="22"/>
  <c r="X32" i="11"/>
  <c r="X33" i="11"/>
  <c r="X34" i="11"/>
  <c r="X35" i="11"/>
  <c r="X38" i="11"/>
  <c r="X32" i="14"/>
  <c r="X33" i="14"/>
  <c r="X34" i="14"/>
  <c r="X35" i="14"/>
  <c r="X38" i="14"/>
  <c r="X23" i="7"/>
  <c r="X48" i="4"/>
  <c r="X25" i="5"/>
  <c r="X14" i="21"/>
  <c r="X23" i="21"/>
  <c r="X25" i="21"/>
  <c r="Y8" i="22"/>
  <c r="W32" i="11"/>
  <c r="W33" i="11"/>
  <c r="W34" i="11"/>
  <c r="W35" i="11"/>
  <c r="W38" i="11"/>
  <c r="W32" i="14"/>
  <c r="W33" i="14"/>
  <c r="W34" i="14"/>
  <c r="W35" i="14"/>
  <c r="W38" i="14"/>
  <c r="W23" i="7"/>
  <c r="W48" i="4"/>
  <c r="W25" i="5"/>
  <c r="W14" i="21"/>
  <c r="W23" i="21"/>
  <c r="W25" i="21"/>
  <c r="X8" i="22"/>
  <c r="V32" i="11"/>
  <c r="V33" i="11"/>
  <c r="V34" i="11"/>
  <c r="V35" i="11"/>
  <c r="V38" i="11"/>
  <c r="V32" i="14"/>
  <c r="V33" i="14"/>
  <c r="V34" i="14"/>
  <c r="V35" i="14"/>
  <c r="V38" i="14"/>
  <c r="V23" i="7"/>
  <c r="V48" i="4"/>
  <c r="V25" i="5"/>
  <c r="V14" i="21"/>
  <c r="V23" i="21"/>
  <c r="V25" i="21"/>
  <c r="W8" i="22"/>
  <c r="U32" i="11"/>
  <c r="U33" i="11"/>
  <c r="U34" i="11"/>
  <c r="U35" i="11"/>
  <c r="U38" i="11"/>
  <c r="U32" i="14"/>
  <c r="U33" i="14"/>
  <c r="U34" i="14"/>
  <c r="U35" i="14"/>
  <c r="U38" i="14"/>
  <c r="U23" i="7"/>
  <c r="U48" i="4"/>
  <c r="U25" i="5"/>
  <c r="U14" i="21"/>
  <c r="U23" i="21"/>
  <c r="U25" i="21"/>
  <c r="V8" i="22"/>
  <c r="T32" i="11"/>
  <c r="T33" i="11"/>
  <c r="T34" i="11"/>
  <c r="T35" i="11"/>
  <c r="T38" i="11"/>
  <c r="T32" i="14"/>
  <c r="T33" i="14"/>
  <c r="T34" i="14"/>
  <c r="T35" i="14"/>
  <c r="T38" i="14"/>
  <c r="T23" i="7"/>
  <c r="T48" i="4"/>
  <c r="T25" i="5"/>
  <c r="T14" i="21"/>
  <c r="T23" i="21"/>
  <c r="T25" i="21"/>
  <c r="U8" i="22"/>
  <c r="S32" i="11"/>
  <c r="S33" i="11"/>
  <c r="S34" i="11"/>
  <c r="S35" i="11"/>
  <c r="S38" i="11"/>
  <c r="S32" i="14"/>
  <c r="S33" i="14"/>
  <c r="S34" i="14"/>
  <c r="S35" i="14"/>
  <c r="S38" i="14"/>
  <c r="S23" i="7"/>
  <c r="S48" i="4"/>
  <c r="S25" i="5"/>
  <c r="S14" i="21"/>
  <c r="S23" i="21"/>
  <c r="S25" i="21"/>
  <c r="T8" i="22"/>
  <c r="R32" i="11"/>
  <c r="R33" i="11"/>
  <c r="R34" i="11"/>
  <c r="R35" i="11"/>
  <c r="R38" i="11"/>
  <c r="R32" i="14"/>
  <c r="R33" i="14"/>
  <c r="R34" i="14"/>
  <c r="R35" i="14"/>
  <c r="R38" i="14"/>
  <c r="R23" i="7"/>
  <c r="R48" i="4"/>
  <c r="R25" i="5"/>
  <c r="R14" i="21"/>
  <c r="R23" i="21"/>
  <c r="R25" i="21"/>
  <c r="S8" i="22"/>
  <c r="Q32" i="11"/>
  <c r="Q33" i="11"/>
  <c r="Q34" i="11"/>
  <c r="Q35" i="11"/>
  <c r="Q38" i="11"/>
  <c r="Q32" i="14"/>
  <c r="Q33" i="14"/>
  <c r="Q34" i="14"/>
  <c r="Q35" i="14"/>
  <c r="Q38" i="14"/>
  <c r="Q23" i="7"/>
  <c r="Q48" i="4"/>
  <c r="Q25" i="5"/>
  <c r="Q14" i="21"/>
  <c r="Q23" i="21"/>
  <c r="Q25" i="21"/>
  <c r="R8" i="22"/>
  <c r="P32" i="11"/>
  <c r="P33" i="11"/>
  <c r="P34" i="11"/>
  <c r="P35" i="11"/>
  <c r="P38" i="11"/>
  <c r="P32" i="14"/>
  <c r="P33" i="14"/>
  <c r="P34" i="14"/>
  <c r="P35" i="14"/>
  <c r="P38" i="14"/>
  <c r="P23" i="7"/>
  <c r="P48" i="4"/>
  <c r="P25" i="5"/>
  <c r="P14" i="21"/>
  <c r="P23" i="21"/>
  <c r="P25" i="21"/>
  <c r="Q8" i="22"/>
  <c r="O32" i="11"/>
  <c r="O33" i="11"/>
  <c r="O34" i="11"/>
  <c r="O35" i="11"/>
  <c r="O38" i="11"/>
  <c r="O32" i="14"/>
  <c r="O33" i="14"/>
  <c r="O34" i="14"/>
  <c r="O35" i="14"/>
  <c r="O38" i="14"/>
  <c r="O23" i="7"/>
  <c r="O48" i="4"/>
  <c r="O25" i="5"/>
  <c r="O14" i="21"/>
  <c r="O23" i="21"/>
  <c r="O25" i="21"/>
  <c r="P8" i="22"/>
  <c r="N32" i="11"/>
  <c r="N33" i="11"/>
  <c r="N34" i="11"/>
  <c r="N35" i="11"/>
  <c r="N38" i="11"/>
  <c r="N32" i="14"/>
  <c r="N33" i="14"/>
  <c r="N34" i="14"/>
  <c r="N35" i="14"/>
  <c r="N38" i="14"/>
  <c r="N23" i="7"/>
  <c r="N48" i="4"/>
  <c r="N25" i="5"/>
  <c r="N14" i="21"/>
  <c r="N23" i="21"/>
  <c r="N25" i="21"/>
  <c r="O8" i="22"/>
  <c r="M32" i="11"/>
  <c r="M33" i="11"/>
  <c r="M34" i="11"/>
  <c r="M35" i="11"/>
  <c r="M38" i="11"/>
  <c r="M32" i="14"/>
  <c r="M33" i="14"/>
  <c r="M34" i="14"/>
  <c r="M35" i="14"/>
  <c r="M38" i="14"/>
  <c r="M23" i="7"/>
  <c r="M48" i="4"/>
  <c r="M25" i="5"/>
  <c r="M14" i="21"/>
  <c r="M23" i="21"/>
  <c r="M25" i="21"/>
  <c r="N8" i="22"/>
  <c r="L32" i="11"/>
  <c r="L33" i="11"/>
  <c r="L34" i="11"/>
  <c r="L35" i="11"/>
  <c r="L38" i="11"/>
  <c r="L32" i="14"/>
  <c r="L33" i="14"/>
  <c r="L34" i="14"/>
  <c r="L35" i="14"/>
  <c r="L38" i="14"/>
  <c r="L23" i="7"/>
  <c r="L48" i="4"/>
  <c r="L25" i="5"/>
  <c r="L14" i="21"/>
  <c r="L23" i="21"/>
  <c r="L25" i="21"/>
  <c r="M8" i="22"/>
  <c r="K32" i="11"/>
  <c r="K33" i="11"/>
  <c r="K34" i="11"/>
  <c r="K35" i="11"/>
  <c r="K38" i="11"/>
  <c r="K32" i="14"/>
  <c r="K33" i="14"/>
  <c r="K34" i="14"/>
  <c r="K35" i="14"/>
  <c r="K38" i="14"/>
  <c r="K23" i="7"/>
  <c r="K48" i="4"/>
  <c r="K25" i="5"/>
  <c r="K14" i="21"/>
  <c r="K23" i="21"/>
  <c r="K25" i="21"/>
  <c r="L8" i="22"/>
  <c r="J32" i="11"/>
  <c r="J33" i="11"/>
  <c r="J34" i="11"/>
  <c r="J35" i="11"/>
  <c r="J38" i="11"/>
  <c r="J32" i="14"/>
  <c r="J33" i="14"/>
  <c r="J34" i="14"/>
  <c r="J35" i="14"/>
  <c r="J38" i="14"/>
  <c r="J23" i="7"/>
  <c r="J48" i="4"/>
  <c r="J25" i="5"/>
  <c r="J14" i="21"/>
  <c r="J23" i="21"/>
  <c r="J25" i="21"/>
  <c r="K8" i="22"/>
  <c r="I32" i="11"/>
  <c r="I33" i="11"/>
  <c r="I34" i="11"/>
  <c r="I35" i="11"/>
  <c r="I38" i="11"/>
  <c r="I32" i="14"/>
  <c r="I33" i="14"/>
  <c r="I34" i="14"/>
  <c r="I35" i="14"/>
  <c r="I38" i="14"/>
  <c r="I23" i="7"/>
  <c r="I48" i="4"/>
  <c r="I25" i="5"/>
  <c r="I14" i="21"/>
  <c r="I23" i="21"/>
  <c r="I25" i="21"/>
  <c r="J8" i="22"/>
  <c r="H32" i="11"/>
  <c r="H33" i="11"/>
  <c r="H34" i="11"/>
  <c r="H35" i="11"/>
  <c r="H38" i="11"/>
  <c r="H32" i="14"/>
  <c r="H33" i="14"/>
  <c r="H34" i="14"/>
  <c r="H35" i="14"/>
  <c r="H38" i="14"/>
  <c r="H23" i="7"/>
  <c r="H48" i="4"/>
  <c r="H25" i="5"/>
  <c r="H14" i="21"/>
  <c r="H23" i="21"/>
  <c r="H25" i="21"/>
  <c r="I8" i="22"/>
  <c r="G32" i="11"/>
  <c r="G33" i="11"/>
  <c r="G34" i="11"/>
  <c r="G35" i="11"/>
  <c r="G38" i="11"/>
  <c r="G32" i="14"/>
  <c r="G33" i="14"/>
  <c r="G34" i="14"/>
  <c r="G35" i="14"/>
  <c r="G38" i="14"/>
  <c r="G23" i="7"/>
  <c r="G48" i="4"/>
  <c r="G25" i="5"/>
  <c r="G14" i="21"/>
  <c r="G23" i="21"/>
  <c r="G25" i="21"/>
  <c r="H8" i="22"/>
  <c r="F32" i="11"/>
  <c r="F33" i="11"/>
  <c r="F34" i="11"/>
  <c r="F35" i="11"/>
  <c r="F38" i="11"/>
  <c r="F32" i="14"/>
  <c r="F33" i="14"/>
  <c r="F34" i="14"/>
  <c r="F35" i="14"/>
  <c r="F38" i="14"/>
  <c r="F23" i="7"/>
  <c r="F48" i="4"/>
  <c r="F25" i="5"/>
  <c r="F14" i="21"/>
  <c r="F23" i="21"/>
  <c r="F25" i="21"/>
  <c r="G8" i="22"/>
  <c r="E32" i="11"/>
  <c r="E33" i="11"/>
  <c r="E34" i="11"/>
  <c r="E35" i="11"/>
  <c r="E38" i="11"/>
  <c r="E32" i="14"/>
  <c r="E33" i="14"/>
  <c r="E34" i="14"/>
  <c r="E35" i="14"/>
  <c r="E38" i="14"/>
  <c r="E23" i="7"/>
  <c r="E48" i="4"/>
  <c r="E25" i="5"/>
  <c r="E14" i="21"/>
  <c r="E23" i="21"/>
  <c r="E25" i="21"/>
  <c r="F8" i="22"/>
  <c r="D32" i="11"/>
  <c r="D33" i="11"/>
  <c r="D34" i="11"/>
  <c r="D35" i="11"/>
  <c r="D38" i="11"/>
  <c r="D32" i="14"/>
  <c r="D33" i="14"/>
  <c r="D34" i="14"/>
  <c r="D35" i="14"/>
  <c r="D38" i="14"/>
  <c r="D23" i="7"/>
  <c r="D48" i="4"/>
  <c r="D25" i="5"/>
  <c r="D14" i="21"/>
  <c r="D23" i="21"/>
  <c r="D25" i="21"/>
  <c r="E8" i="22"/>
  <c r="C32" i="11"/>
  <c r="C33" i="11"/>
  <c r="C34" i="11"/>
  <c r="C35" i="11"/>
  <c r="C38" i="11"/>
  <c r="C32" i="14"/>
  <c r="C33" i="14"/>
  <c r="C34" i="14"/>
  <c r="C35" i="14"/>
  <c r="C38" i="14"/>
  <c r="C23" i="7"/>
  <c r="C48" i="4"/>
  <c r="C25" i="5"/>
  <c r="C14" i="21"/>
  <c r="C23" i="21"/>
  <c r="C25" i="21"/>
  <c r="D8" i="22"/>
  <c r="AJ7" i="22"/>
  <c r="AI7" i="22"/>
  <c r="AH7" i="22"/>
  <c r="AG7" i="22"/>
  <c r="AF7" i="22"/>
  <c r="AE7" i="22"/>
  <c r="AD7" i="22"/>
  <c r="AC7" i="22"/>
  <c r="AB7" i="22"/>
  <c r="AA7" i="22"/>
  <c r="Z7" i="22"/>
  <c r="Y7" i="22"/>
  <c r="X7" i="22"/>
  <c r="W7" i="22"/>
  <c r="V7" i="22"/>
  <c r="U7" i="22"/>
  <c r="T7" i="22"/>
  <c r="S7" i="22"/>
  <c r="R7" i="22"/>
  <c r="Q7" i="22"/>
  <c r="P7" i="22"/>
  <c r="O7" i="22"/>
  <c r="N7" i="22"/>
  <c r="M7" i="22"/>
  <c r="L7" i="22"/>
  <c r="K7" i="22"/>
  <c r="J7" i="22"/>
  <c r="I7" i="22"/>
  <c r="H7" i="22"/>
  <c r="G7" i="22"/>
  <c r="F7" i="22"/>
  <c r="E7" i="22"/>
  <c r="D7" i="22"/>
  <c r="AJ6" i="22"/>
  <c r="AI6" i="22"/>
  <c r="AH6" i="22"/>
  <c r="AG6" i="22"/>
  <c r="AF6" i="22"/>
  <c r="AE6" i="22"/>
  <c r="AD6" i="22"/>
  <c r="AC6" i="22"/>
  <c r="AB6" i="22"/>
  <c r="AA6" i="22"/>
  <c r="Z6" i="22"/>
  <c r="Y6" i="22"/>
  <c r="X6" i="22"/>
  <c r="W6" i="22"/>
  <c r="V6" i="22"/>
  <c r="U6" i="22"/>
  <c r="T6" i="22"/>
  <c r="S6" i="22"/>
  <c r="R6" i="22"/>
  <c r="Q6" i="22"/>
  <c r="P6" i="22"/>
  <c r="O6" i="22"/>
  <c r="N6" i="22"/>
  <c r="M6" i="22"/>
  <c r="L6" i="22"/>
  <c r="K6" i="22"/>
  <c r="J6" i="22"/>
  <c r="I6" i="22"/>
  <c r="H6" i="22"/>
  <c r="G6" i="22"/>
  <c r="F6" i="22"/>
  <c r="E6" i="22"/>
  <c r="D6" i="22"/>
  <c r="AJ5" i="22"/>
  <c r="AI5" i="22"/>
  <c r="AH5" i="22"/>
  <c r="AG5" i="22"/>
  <c r="AF5" i="22"/>
  <c r="AE5" i="22"/>
  <c r="AD5" i="22"/>
  <c r="AC5" i="22"/>
  <c r="AB5" i="22"/>
  <c r="AA5" i="22"/>
  <c r="Z5" i="22"/>
  <c r="Y5" i="22"/>
  <c r="X5" i="22"/>
  <c r="W5" i="22"/>
  <c r="V5" i="22"/>
  <c r="U5" i="22"/>
  <c r="T5" i="22"/>
  <c r="S5" i="22"/>
  <c r="R5" i="22"/>
  <c r="Q5" i="22"/>
  <c r="P5" i="22"/>
  <c r="O5" i="22"/>
  <c r="N5" i="22"/>
  <c r="M5" i="22"/>
  <c r="L5" i="22"/>
  <c r="K5" i="22"/>
  <c r="J5" i="22"/>
  <c r="I5" i="22"/>
  <c r="H5" i="22"/>
  <c r="G5" i="22"/>
  <c r="F5" i="22"/>
  <c r="E5" i="22"/>
  <c r="D5" i="22"/>
  <c r="AJ4" i="22"/>
  <c r="AI4" i="22"/>
  <c r="AH4" i="22"/>
  <c r="AG4" i="22"/>
  <c r="AF4" i="22"/>
  <c r="AE4" i="22"/>
  <c r="AD4" i="22"/>
  <c r="AC4" i="22"/>
  <c r="AB4" i="22"/>
  <c r="AA4" i="22"/>
  <c r="Z4" i="22"/>
  <c r="Y4" i="22"/>
  <c r="X4" i="22"/>
  <c r="W4" i="22"/>
  <c r="V4" i="22"/>
  <c r="U4" i="22"/>
  <c r="T4" i="22"/>
  <c r="S4" i="22"/>
  <c r="R4" i="22"/>
  <c r="Q4" i="22"/>
  <c r="P4" i="22"/>
  <c r="O4" i="22"/>
  <c r="N4" i="22"/>
  <c r="M4" i="22"/>
  <c r="L4" i="22"/>
  <c r="K4" i="22"/>
  <c r="J4" i="22"/>
  <c r="I4" i="22"/>
  <c r="H4" i="22"/>
  <c r="G4" i="22"/>
  <c r="F4" i="22"/>
  <c r="E4" i="22"/>
  <c r="D4" i="22"/>
  <c r="C12" i="17"/>
  <c r="C31" i="17"/>
  <c r="C14" i="17"/>
  <c r="C33" i="17"/>
  <c r="C14" i="5"/>
  <c r="C16" i="17"/>
  <c r="C35" i="17"/>
  <c r="C16" i="7"/>
  <c r="C18" i="5"/>
  <c r="C18" i="17"/>
  <c r="C37" i="17"/>
  <c r="C41" i="17"/>
  <c r="C45" i="17"/>
  <c r="C47" i="17"/>
  <c r="D12" i="17"/>
  <c r="D31" i="17"/>
  <c r="D14" i="17"/>
  <c r="D33" i="17"/>
  <c r="D14" i="5"/>
  <c r="D16" i="17"/>
  <c r="D35" i="17"/>
  <c r="D16" i="7"/>
  <c r="D18" i="5"/>
  <c r="D18" i="17"/>
  <c r="D37" i="17"/>
  <c r="D41" i="17"/>
  <c r="D45" i="17"/>
  <c r="D47" i="17"/>
  <c r="E12" i="17"/>
  <c r="E31" i="17"/>
  <c r="E14" i="17"/>
  <c r="E33" i="17"/>
  <c r="E14" i="5"/>
  <c r="E16" i="17"/>
  <c r="E35" i="17"/>
  <c r="E16" i="7"/>
  <c r="E18" i="5"/>
  <c r="E18" i="17"/>
  <c r="E37" i="17"/>
  <c r="E41" i="17"/>
  <c r="E45" i="17"/>
  <c r="E47" i="17"/>
  <c r="F12" i="17"/>
  <c r="F31" i="17"/>
  <c r="F14" i="17"/>
  <c r="F33" i="17"/>
  <c r="F14" i="5"/>
  <c r="F16" i="17"/>
  <c r="F35" i="17"/>
  <c r="F16" i="7"/>
  <c r="F18" i="5"/>
  <c r="F18" i="17"/>
  <c r="F37" i="17"/>
  <c r="F41" i="17"/>
  <c r="F45" i="17"/>
  <c r="F47" i="17"/>
  <c r="G12" i="17"/>
  <c r="G31" i="17"/>
  <c r="G14" i="17"/>
  <c r="G33" i="17"/>
  <c r="G14" i="5"/>
  <c r="G16" i="17"/>
  <c r="G35" i="17"/>
  <c r="G16" i="7"/>
  <c r="G18" i="5"/>
  <c r="G18" i="17"/>
  <c r="G37" i="17"/>
  <c r="G41" i="17"/>
  <c r="G45" i="17"/>
  <c r="G47" i="17"/>
  <c r="H12" i="17"/>
  <c r="H31" i="17"/>
  <c r="H14" i="17"/>
  <c r="H33" i="17"/>
  <c r="H14" i="5"/>
  <c r="H16" i="17"/>
  <c r="H35" i="17"/>
  <c r="H16" i="7"/>
  <c r="H18" i="5"/>
  <c r="H18" i="17"/>
  <c r="H37" i="17"/>
  <c r="H41" i="17"/>
  <c r="H45" i="17"/>
  <c r="H47" i="17"/>
  <c r="I12" i="17"/>
  <c r="I31" i="17"/>
  <c r="I14" i="17"/>
  <c r="I33" i="17"/>
  <c r="I14" i="5"/>
  <c r="I16" i="17"/>
  <c r="I35" i="17"/>
  <c r="I16" i="7"/>
  <c r="I18" i="5"/>
  <c r="I18" i="17"/>
  <c r="I37" i="17"/>
  <c r="I41" i="17"/>
  <c r="I45" i="17"/>
  <c r="I47" i="17"/>
  <c r="J12" i="17"/>
  <c r="J31" i="17"/>
  <c r="J14" i="17"/>
  <c r="J33" i="17"/>
  <c r="J14" i="5"/>
  <c r="J16" i="17"/>
  <c r="J35" i="17"/>
  <c r="J16" i="7"/>
  <c r="J18" i="5"/>
  <c r="J18" i="17"/>
  <c r="J37" i="17"/>
  <c r="J41" i="17"/>
  <c r="J45" i="17"/>
  <c r="J47" i="17"/>
  <c r="K12" i="17"/>
  <c r="K31" i="17"/>
  <c r="K14" i="17"/>
  <c r="K33" i="17"/>
  <c r="K14" i="5"/>
  <c r="K16" i="17"/>
  <c r="K35" i="17"/>
  <c r="K16" i="7"/>
  <c r="K18" i="5"/>
  <c r="K18" i="17"/>
  <c r="K37" i="17"/>
  <c r="K41" i="17"/>
  <c r="K45" i="17"/>
  <c r="K47" i="17"/>
  <c r="L12" i="17"/>
  <c r="L31" i="17"/>
  <c r="L14" i="17"/>
  <c r="L33" i="17"/>
  <c r="L14" i="5"/>
  <c r="L16" i="17"/>
  <c r="L35" i="17"/>
  <c r="L16" i="7"/>
  <c r="L18" i="5"/>
  <c r="L18" i="17"/>
  <c r="L37" i="17"/>
  <c r="L41" i="17"/>
  <c r="L45" i="17"/>
  <c r="L47" i="17"/>
  <c r="M12" i="17"/>
  <c r="M31" i="17"/>
  <c r="M14" i="17"/>
  <c r="M33" i="17"/>
  <c r="M14" i="5"/>
  <c r="M16" i="17"/>
  <c r="M35" i="17"/>
  <c r="M16" i="7"/>
  <c r="M18" i="5"/>
  <c r="M18" i="17"/>
  <c r="M37" i="17"/>
  <c r="M41" i="17"/>
  <c r="M45" i="17"/>
  <c r="M47" i="17"/>
  <c r="N12" i="17"/>
  <c r="N31" i="17"/>
  <c r="N14" i="17"/>
  <c r="N33" i="17"/>
  <c r="N14" i="5"/>
  <c r="N16" i="17"/>
  <c r="N35" i="17"/>
  <c r="N16" i="7"/>
  <c r="N18" i="5"/>
  <c r="N18" i="17"/>
  <c r="N37" i="17"/>
  <c r="N41" i="17"/>
  <c r="N45" i="17"/>
  <c r="N47" i="17"/>
  <c r="O12" i="17"/>
  <c r="O31" i="17"/>
  <c r="O14" i="17"/>
  <c r="O33" i="17"/>
  <c r="O14" i="5"/>
  <c r="O16" i="17"/>
  <c r="O35" i="17"/>
  <c r="O16" i="7"/>
  <c r="O18" i="5"/>
  <c r="O18" i="17"/>
  <c r="O37" i="17"/>
  <c r="O41" i="17"/>
  <c r="O45" i="17"/>
  <c r="O47" i="17"/>
  <c r="P12" i="17"/>
  <c r="P31" i="17"/>
  <c r="P14" i="17"/>
  <c r="P33" i="17"/>
  <c r="P14" i="5"/>
  <c r="P16" i="17"/>
  <c r="P35" i="17"/>
  <c r="P16" i="7"/>
  <c r="P18" i="5"/>
  <c r="P18" i="17"/>
  <c r="P37" i="17"/>
  <c r="P41" i="17"/>
  <c r="P45" i="17"/>
  <c r="P47" i="17"/>
  <c r="Q12" i="17"/>
  <c r="Q31" i="17"/>
  <c r="Q14" i="17"/>
  <c r="Q33" i="17"/>
  <c r="Q14" i="5"/>
  <c r="Q16" i="17"/>
  <c r="Q35" i="17"/>
  <c r="Q16" i="7"/>
  <c r="Q18" i="5"/>
  <c r="Q18" i="17"/>
  <c r="Q37" i="17"/>
  <c r="Q41" i="17"/>
  <c r="Q45" i="17"/>
  <c r="Q47" i="17"/>
  <c r="R12" i="17"/>
  <c r="R31" i="17"/>
  <c r="R14" i="17"/>
  <c r="R33" i="17"/>
  <c r="R14" i="5"/>
  <c r="R16" i="17"/>
  <c r="R35" i="17"/>
  <c r="R16" i="7"/>
  <c r="R18" i="5"/>
  <c r="R18" i="17"/>
  <c r="R37" i="17"/>
  <c r="R41" i="17"/>
  <c r="R45" i="17"/>
  <c r="R47" i="17"/>
  <c r="S12" i="17"/>
  <c r="S31" i="17"/>
  <c r="S14" i="17"/>
  <c r="S33" i="17"/>
  <c r="S14" i="5"/>
  <c r="S16" i="17"/>
  <c r="S35" i="17"/>
  <c r="S16" i="7"/>
  <c r="S18" i="5"/>
  <c r="S18" i="17"/>
  <c r="S37" i="17"/>
  <c r="S41" i="17"/>
  <c r="S45" i="17"/>
  <c r="S47" i="17"/>
  <c r="T12" i="17"/>
  <c r="T31" i="17"/>
  <c r="T14" i="17"/>
  <c r="T33" i="17"/>
  <c r="T14" i="5"/>
  <c r="T16" i="17"/>
  <c r="T35" i="17"/>
  <c r="T16" i="7"/>
  <c r="T18" i="5"/>
  <c r="T18" i="17"/>
  <c r="T37" i="17"/>
  <c r="T41" i="17"/>
  <c r="T45" i="17"/>
  <c r="T47" i="17"/>
  <c r="U12" i="17"/>
  <c r="U31" i="17"/>
  <c r="U14" i="17"/>
  <c r="U33" i="17"/>
  <c r="U14" i="5"/>
  <c r="U16" i="17"/>
  <c r="U35" i="17"/>
  <c r="U16" i="7"/>
  <c r="U18" i="5"/>
  <c r="U18" i="17"/>
  <c r="U37" i="17"/>
  <c r="U41" i="17"/>
  <c r="U45" i="17"/>
  <c r="U47" i="17"/>
  <c r="V12" i="17"/>
  <c r="V31" i="17"/>
  <c r="V14" i="17"/>
  <c r="V33" i="17"/>
  <c r="V14" i="5"/>
  <c r="V16" i="17"/>
  <c r="V35" i="17"/>
  <c r="V16" i="7"/>
  <c r="V18" i="5"/>
  <c r="V18" i="17"/>
  <c r="V37" i="17"/>
  <c r="V41" i="17"/>
  <c r="V45" i="17"/>
  <c r="V47" i="17"/>
  <c r="W12" i="17"/>
  <c r="W31" i="17"/>
  <c r="W14" i="17"/>
  <c r="W33" i="17"/>
  <c r="W14" i="5"/>
  <c r="W16" i="17"/>
  <c r="W35" i="17"/>
  <c r="W16" i="7"/>
  <c r="W18" i="5"/>
  <c r="W18" i="17"/>
  <c r="W37" i="17"/>
  <c r="W41" i="17"/>
  <c r="W45" i="17"/>
  <c r="W47" i="17"/>
  <c r="X12" i="17"/>
  <c r="X31" i="17"/>
  <c r="X14" i="17"/>
  <c r="X33" i="17"/>
  <c r="X14" i="5"/>
  <c r="X16" i="17"/>
  <c r="X35" i="17"/>
  <c r="X16" i="7"/>
  <c r="X18" i="5"/>
  <c r="X18" i="17"/>
  <c r="X37" i="17"/>
  <c r="X41" i="17"/>
  <c r="X45" i="17"/>
  <c r="X47" i="17"/>
  <c r="Y12" i="17"/>
  <c r="Y31" i="17"/>
  <c r="Y14" i="17"/>
  <c r="Y33" i="17"/>
  <c r="Y14" i="5"/>
  <c r="Y16" i="17"/>
  <c r="Y35" i="17"/>
  <c r="Y16" i="7"/>
  <c r="Y18" i="5"/>
  <c r="Y18" i="17"/>
  <c r="Y37" i="17"/>
  <c r="Y41" i="17"/>
  <c r="Y45" i="17"/>
  <c r="Y47" i="17"/>
  <c r="Z12" i="17"/>
  <c r="Z31" i="17"/>
  <c r="Z14" i="17"/>
  <c r="Z33" i="17"/>
  <c r="Z14" i="5"/>
  <c r="Z16" i="17"/>
  <c r="Z35" i="17"/>
  <c r="Z16" i="7"/>
  <c r="Z18" i="5"/>
  <c r="Z18" i="17"/>
  <c r="Z37" i="17"/>
  <c r="Z41" i="17"/>
  <c r="Z45" i="17"/>
  <c r="Z47" i="17"/>
  <c r="AA12" i="17"/>
  <c r="AA31" i="17"/>
  <c r="AA14" i="17"/>
  <c r="AA33" i="17"/>
  <c r="AA14" i="5"/>
  <c r="AA16" i="17"/>
  <c r="AA35" i="17"/>
  <c r="AA16" i="7"/>
  <c r="AA18" i="5"/>
  <c r="AA18" i="17"/>
  <c r="AA37" i="17"/>
  <c r="AA41" i="17"/>
  <c r="AA45" i="17"/>
  <c r="AA47" i="17"/>
  <c r="AB12" i="17"/>
  <c r="AB31" i="17"/>
  <c r="AB14" i="17"/>
  <c r="AB33" i="17"/>
  <c r="AB14" i="5"/>
  <c r="AB16" i="17"/>
  <c r="AB35" i="17"/>
  <c r="AB16" i="7"/>
  <c r="AB18" i="5"/>
  <c r="AB18" i="17"/>
  <c r="AB37" i="17"/>
  <c r="AB41" i="17"/>
  <c r="AB45" i="17"/>
  <c r="AB47" i="17"/>
  <c r="AC12" i="17"/>
  <c r="AC31" i="17"/>
  <c r="AC14" i="17"/>
  <c r="AC33" i="17"/>
  <c r="AC14" i="5"/>
  <c r="AC16" i="17"/>
  <c r="AC35" i="17"/>
  <c r="AC16" i="7"/>
  <c r="AC18" i="5"/>
  <c r="AC18" i="17"/>
  <c r="AC37" i="17"/>
  <c r="AC41" i="17"/>
  <c r="AC45" i="17"/>
  <c r="AC47" i="17"/>
  <c r="AD12" i="17"/>
  <c r="AD31" i="17"/>
  <c r="AD14" i="17"/>
  <c r="AD33" i="17"/>
  <c r="AD14" i="5"/>
  <c r="AD16" i="17"/>
  <c r="AD35" i="17"/>
  <c r="AD16" i="7"/>
  <c r="AD18" i="5"/>
  <c r="AD18" i="17"/>
  <c r="AD37" i="17"/>
  <c r="AD41" i="17"/>
  <c r="AD45" i="17"/>
  <c r="AD47" i="17"/>
  <c r="AE12" i="17"/>
  <c r="AE31" i="17"/>
  <c r="AE14" i="17"/>
  <c r="AE33" i="17"/>
  <c r="AE14" i="5"/>
  <c r="AE16" i="17"/>
  <c r="AE35" i="17"/>
  <c r="AE16" i="7"/>
  <c r="AE18" i="5"/>
  <c r="AE18" i="17"/>
  <c r="AE37" i="17"/>
  <c r="AE41" i="17"/>
  <c r="AE45" i="17"/>
  <c r="AE47" i="17"/>
  <c r="AF12" i="17"/>
  <c r="AF31" i="17"/>
  <c r="AF14" i="17"/>
  <c r="AF33" i="17"/>
  <c r="AF14" i="5"/>
  <c r="AF16" i="17"/>
  <c r="AF35" i="17"/>
  <c r="AF16" i="7"/>
  <c r="AF18" i="5"/>
  <c r="AF18" i="17"/>
  <c r="AF37" i="17"/>
  <c r="AF41" i="17"/>
  <c r="AF45" i="17"/>
  <c r="AF47" i="17"/>
  <c r="AG12" i="17"/>
  <c r="AG31" i="17"/>
  <c r="AG14" i="17"/>
  <c r="AG33" i="17"/>
  <c r="AG14" i="5"/>
  <c r="AG16" i="17"/>
  <c r="AG35" i="17"/>
  <c r="AG16" i="7"/>
  <c r="AG18" i="5"/>
  <c r="AG18" i="17"/>
  <c r="AG37" i="17"/>
  <c r="AG41" i="17"/>
  <c r="AG45" i="17"/>
  <c r="AG47" i="17"/>
  <c r="AH12" i="17"/>
  <c r="AH31" i="17"/>
  <c r="AH14" i="17"/>
  <c r="AH33" i="17"/>
  <c r="AH14" i="5"/>
  <c r="AH16" i="17"/>
  <c r="AH35" i="17"/>
  <c r="AH16" i="7"/>
  <c r="AH18" i="5"/>
  <c r="AH18" i="17"/>
  <c r="AH37" i="17"/>
  <c r="AH41" i="17"/>
  <c r="AH45" i="17"/>
  <c r="AH47" i="17"/>
  <c r="AI12" i="17"/>
  <c r="AI31" i="17"/>
  <c r="AI14" i="17"/>
  <c r="AI33" i="17"/>
  <c r="AI14" i="5"/>
  <c r="AI16" i="17"/>
  <c r="AI35" i="17"/>
  <c r="AI16" i="7"/>
  <c r="AI18" i="5"/>
  <c r="AI18" i="17"/>
  <c r="AI37" i="17"/>
  <c r="AI41" i="17"/>
  <c r="AI45" i="17"/>
  <c r="AI47" i="17"/>
  <c r="C53" i="17"/>
  <c r="C184" i="1"/>
  <c r="B286" i="1"/>
  <c r="C62" i="17"/>
  <c r="C64" i="17"/>
  <c r="C66" i="17"/>
  <c r="C68" i="17"/>
  <c r="C72" i="17"/>
  <c r="C78" i="17"/>
  <c r="D62" i="17"/>
  <c r="D64" i="17"/>
  <c r="D66" i="17"/>
  <c r="D68" i="17"/>
  <c r="D72" i="17"/>
  <c r="D78" i="17"/>
  <c r="E62" i="17"/>
  <c r="E64" i="17"/>
  <c r="E66" i="17"/>
  <c r="E68" i="17"/>
  <c r="E72" i="17"/>
  <c r="E78" i="17"/>
  <c r="F62" i="17"/>
  <c r="F64" i="17"/>
  <c r="F66" i="17"/>
  <c r="F68" i="17"/>
  <c r="F72" i="17"/>
  <c r="F78" i="17"/>
  <c r="G62" i="17"/>
  <c r="G64" i="17"/>
  <c r="G66" i="17"/>
  <c r="G68" i="17"/>
  <c r="G72" i="17"/>
  <c r="G78" i="17"/>
  <c r="H62" i="17"/>
  <c r="H64" i="17"/>
  <c r="H66" i="17"/>
  <c r="H68" i="17"/>
  <c r="H72" i="17"/>
  <c r="H78" i="17"/>
  <c r="I62" i="17"/>
  <c r="I64" i="17"/>
  <c r="I66" i="17"/>
  <c r="I68" i="17"/>
  <c r="I72" i="17"/>
  <c r="I78" i="17"/>
  <c r="J62" i="17"/>
  <c r="J64" i="17"/>
  <c r="J66" i="17"/>
  <c r="J68" i="17"/>
  <c r="J72" i="17"/>
  <c r="J78" i="17"/>
  <c r="K62" i="17"/>
  <c r="K64" i="17"/>
  <c r="K66" i="17"/>
  <c r="K68" i="17"/>
  <c r="K72" i="17"/>
  <c r="K78" i="17"/>
  <c r="L62" i="17"/>
  <c r="L64" i="17"/>
  <c r="L66" i="17"/>
  <c r="L68" i="17"/>
  <c r="L72" i="17"/>
  <c r="L78" i="17"/>
  <c r="M62" i="17"/>
  <c r="M64" i="17"/>
  <c r="M66" i="17"/>
  <c r="M68" i="17"/>
  <c r="M72" i="17"/>
  <c r="M78" i="17"/>
  <c r="N62" i="17"/>
  <c r="N64" i="17"/>
  <c r="N66" i="17"/>
  <c r="N68" i="17"/>
  <c r="N72" i="17"/>
  <c r="N78" i="17"/>
  <c r="O62" i="17"/>
  <c r="O64" i="17"/>
  <c r="O66" i="17"/>
  <c r="O68" i="17"/>
  <c r="O72" i="17"/>
  <c r="O78" i="17"/>
  <c r="P62" i="17"/>
  <c r="P64" i="17"/>
  <c r="P66" i="17"/>
  <c r="P68" i="17"/>
  <c r="P72" i="17"/>
  <c r="P78" i="17"/>
  <c r="Q62" i="17"/>
  <c r="Q64" i="17"/>
  <c r="Q66" i="17"/>
  <c r="Q68" i="17"/>
  <c r="Q72" i="17"/>
  <c r="Q78" i="17"/>
  <c r="R62" i="17"/>
  <c r="R64" i="17"/>
  <c r="R66" i="17"/>
  <c r="R68" i="17"/>
  <c r="R72" i="17"/>
  <c r="R78" i="17"/>
  <c r="S62" i="17"/>
  <c r="S64" i="17"/>
  <c r="S66" i="17"/>
  <c r="S68" i="17"/>
  <c r="S72" i="17"/>
  <c r="S78" i="17"/>
  <c r="T62" i="17"/>
  <c r="T64" i="17"/>
  <c r="T66" i="17"/>
  <c r="T68" i="17"/>
  <c r="T72" i="17"/>
  <c r="T78" i="17"/>
  <c r="U62" i="17"/>
  <c r="U64" i="17"/>
  <c r="U66" i="17"/>
  <c r="U68" i="17"/>
  <c r="U72" i="17"/>
  <c r="U78" i="17"/>
  <c r="V62" i="17"/>
  <c r="V64" i="17"/>
  <c r="V66" i="17"/>
  <c r="V68" i="17"/>
  <c r="V72" i="17"/>
  <c r="V78" i="17"/>
  <c r="W62" i="17"/>
  <c r="W64" i="17"/>
  <c r="W66" i="17"/>
  <c r="W68" i="17"/>
  <c r="W72" i="17"/>
  <c r="W78" i="17"/>
  <c r="X62" i="17"/>
  <c r="X64" i="17"/>
  <c r="X66" i="17"/>
  <c r="X68" i="17"/>
  <c r="X72" i="17"/>
  <c r="X78" i="17"/>
  <c r="Y62" i="17"/>
  <c r="Y64" i="17"/>
  <c r="Y66" i="17"/>
  <c r="Y68" i="17"/>
  <c r="Y72" i="17"/>
  <c r="Y78" i="17"/>
  <c r="Z62" i="17"/>
  <c r="Z64" i="17"/>
  <c r="Z66" i="17"/>
  <c r="Z68" i="17"/>
  <c r="Z72" i="17"/>
  <c r="Z78" i="17"/>
  <c r="AA62" i="17"/>
  <c r="AA64" i="17"/>
  <c r="AA66" i="17"/>
  <c r="AA68" i="17"/>
  <c r="AA72" i="17"/>
  <c r="AA78" i="17"/>
  <c r="AB62" i="17"/>
  <c r="AB64" i="17"/>
  <c r="AB66" i="17"/>
  <c r="AB68" i="17"/>
  <c r="AB72" i="17"/>
  <c r="AB78" i="17"/>
  <c r="AC62" i="17"/>
  <c r="AC64" i="17"/>
  <c r="AC66" i="17"/>
  <c r="AC68" i="17"/>
  <c r="AC72" i="17"/>
  <c r="AC78" i="17"/>
  <c r="AD62" i="17"/>
  <c r="AD64" i="17"/>
  <c r="AD66" i="17"/>
  <c r="AD68" i="17"/>
  <c r="AD72" i="17"/>
  <c r="AD78" i="17"/>
  <c r="AE62" i="17"/>
  <c r="AE64" i="17"/>
  <c r="AE66" i="17"/>
  <c r="AE68" i="17"/>
  <c r="AE72" i="17"/>
  <c r="AE78" i="17"/>
  <c r="AF62" i="17"/>
  <c r="AF64" i="17"/>
  <c r="AF66" i="17"/>
  <c r="AF68" i="17"/>
  <c r="AF72" i="17"/>
  <c r="AF78" i="17"/>
  <c r="AG62" i="17"/>
  <c r="AG64" i="17"/>
  <c r="AG66" i="17"/>
  <c r="AG68" i="17"/>
  <c r="AG72" i="17"/>
  <c r="AG78" i="17"/>
  <c r="AH62" i="17"/>
  <c r="AH64" i="17"/>
  <c r="AH66" i="17"/>
  <c r="AH68" i="17"/>
  <c r="AH72" i="17"/>
  <c r="AH78" i="17"/>
  <c r="AI62" i="17"/>
  <c r="AI64" i="17"/>
  <c r="AI66" i="17"/>
  <c r="AI68" i="17"/>
  <c r="AI72" i="17"/>
  <c r="AI78" i="17"/>
  <c r="C84" i="17"/>
  <c r="C183" i="1"/>
  <c r="B285" i="1"/>
  <c r="D21"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AH21" i="7"/>
  <c r="AI21" i="7"/>
  <c r="AJ12" i="7"/>
  <c r="AJ16" i="7"/>
  <c r="AJ14" i="7"/>
  <c r="AJ21" i="7"/>
  <c r="C188" i="1"/>
  <c r="D23" i="5"/>
  <c r="E23" i="5"/>
  <c r="F23" i="5"/>
  <c r="G23" i="5"/>
  <c r="H23" i="5"/>
  <c r="I23" i="5"/>
  <c r="J23" i="5"/>
  <c r="K23" i="5"/>
  <c r="L23" i="5"/>
  <c r="M23" i="5"/>
  <c r="N23" i="5"/>
  <c r="O23" i="5"/>
  <c r="P23" i="5"/>
  <c r="Q23" i="5"/>
  <c r="R23" i="5"/>
  <c r="S23" i="5"/>
  <c r="T23" i="5"/>
  <c r="U23" i="5"/>
  <c r="V23" i="5"/>
  <c r="W23" i="5"/>
  <c r="X23" i="5"/>
  <c r="Y23" i="5"/>
  <c r="Z23" i="5"/>
  <c r="AA23" i="5"/>
  <c r="AB23" i="5"/>
  <c r="AC23" i="5"/>
  <c r="AD23" i="5"/>
  <c r="AE23" i="5"/>
  <c r="AF23" i="5"/>
  <c r="AG23" i="5"/>
  <c r="AH23" i="5"/>
  <c r="AI23" i="5"/>
  <c r="AJ12" i="5"/>
  <c r="AJ14" i="5"/>
  <c r="AJ18" i="5"/>
  <c r="AJ23" i="5"/>
  <c r="AJ14" i="21"/>
  <c r="AJ12" i="21"/>
  <c r="AJ18" i="21"/>
  <c r="AJ23" i="21"/>
  <c r="C191" i="1"/>
  <c r="B80" i="17"/>
  <c r="B83" i="17"/>
  <c r="C44" i="11"/>
  <c r="D44" i="11"/>
  <c r="E44" i="11"/>
  <c r="F44" i="11"/>
  <c r="G44" i="11"/>
  <c r="H44" i="11"/>
  <c r="I44" i="11"/>
  <c r="J44" i="11"/>
  <c r="K44" i="11"/>
  <c r="L44" i="11"/>
  <c r="M44" i="11"/>
  <c r="N44" i="11"/>
  <c r="O44" i="11"/>
  <c r="P44" i="11"/>
  <c r="Q44" i="11"/>
  <c r="R44" i="11"/>
  <c r="S44" i="11"/>
  <c r="T44" i="11"/>
  <c r="U44" i="11"/>
  <c r="V44" i="11"/>
  <c r="W44" i="11"/>
  <c r="X44" i="11"/>
  <c r="Y44" i="11"/>
  <c r="Z44" i="11"/>
  <c r="AA44" i="11"/>
  <c r="AB44" i="11"/>
  <c r="AC44" i="11"/>
  <c r="AD44" i="11"/>
  <c r="AE44" i="11"/>
  <c r="AF44" i="11"/>
  <c r="AG44" i="11"/>
  <c r="AH44" i="11"/>
  <c r="AI44" i="11"/>
  <c r="C43" i="11"/>
  <c r="D43" i="11"/>
  <c r="E43" i="11"/>
  <c r="F43" i="11"/>
  <c r="G43" i="11"/>
  <c r="H43" i="11"/>
  <c r="I43" i="11"/>
  <c r="J43" i="11"/>
  <c r="K43" i="11"/>
  <c r="L43" i="11"/>
  <c r="M43" i="11"/>
  <c r="N43" i="11"/>
  <c r="O43" i="11"/>
  <c r="P43" i="11"/>
  <c r="Q43" i="11"/>
  <c r="R43" i="11"/>
  <c r="S43" i="11"/>
  <c r="T43" i="11"/>
  <c r="U43" i="11"/>
  <c r="V43" i="11"/>
  <c r="W43" i="11"/>
  <c r="X43" i="11"/>
  <c r="Y43" i="11"/>
  <c r="Z43" i="11"/>
  <c r="AA43" i="11"/>
  <c r="AB43" i="11"/>
  <c r="AC43" i="11"/>
  <c r="AD43" i="11"/>
  <c r="AE43" i="11"/>
  <c r="AF43" i="11"/>
  <c r="AG43" i="11"/>
  <c r="AH43" i="11"/>
  <c r="AI43" i="11"/>
  <c r="C49" i="14"/>
  <c r="C49" i="11"/>
  <c r="C44" i="2"/>
  <c r="D44" i="2"/>
  <c r="E44" i="2"/>
  <c r="F44" i="2"/>
  <c r="G44" i="2"/>
  <c r="H44" i="2"/>
  <c r="I44" i="2"/>
  <c r="J44" i="2"/>
  <c r="K44" i="2"/>
  <c r="L44" i="2"/>
  <c r="M44" i="2"/>
  <c r="N44" i="2"/>
  <c r="O44" i="2"/>
  <c r="P44" i="2"/>
  <c r="Q44" i="2"/>
  <c r="R44" i="2"/>
  <c r="S44" i="2"/>
  <c r="T44" i="2"/>
  <c r="U44" i="2"/>
  <c r="V44" i="2"/>
  <c r="W44" i="2"/>
  <c r="X44" i="2"/>
  <c r="Y44" i="2"/>
  <c r="Z44" i="2"/>
  <c r="AA44" i="2"/>
  <c r="AB44" i="2"/>
  <c r="AC44" i="2"/>
  <c r="AD44" i="2"/>
  <c r="AE44" i="2"/>
  <c r="AF44" i="2"/>
  <c r="AG44" i="2"/>
  <c r="AH44" i="2"/>
  <c r="AI44" i="2"/>
  <c r="C43" i="2"/>
  <c r="D43" i="2"/>
  <c r="E43" i="2"/>
  <c r="F43" i="2"/>
  <c r="G43" i="2"/>
  <c r="H43" i="2"/>
  <c r="I43" i="2"/>
  <c r="J43" i="2"/>
  <c r="K43" i="2"/>
  <c r="L43" i="2"/>
  <c r="M43" i="2"/>
  <c r="N43" i="2"/>
  <c r="O43" i="2"/>
  <c r="P43" i="2"/>
  <c r="Q43" i="2"/>
  <c r="R43" i="2"/>
  <c r="S43" i="2"/>
  <c r="T43" i="2"/>
  <c r="U43" i="2"/>
  <c r="V43" i="2"/>
  <c r="W43" i="2"/>
  <c r="X43" i="2"/>
  <c r="Y43" i="2"/>
  <c r="Z43" i="2"/>
  <c r="AA43" i="2"/>
  <c r="AB43" i="2"/>
  <c r="AC43" i="2"/>
  <c r="AD43" i="2"/>
  <c r="AE43" i="2"/>
  <c r="AF43" i="2"/>
  <c r="AG43" i="2"/>
  <c r="AH43" i="2"/>
  <c r="AI43" i="2"/>
  <c r="C49" i="2"/>
  <c r="C35" i="21"/>
  <c r="C21" i="7"/>
  <c r="C35" i="7"/>
  <c r="C23" i="5"/>
  <c r="C37" i="5"/>
  <c r="C44" i="6"/>
  <c r="D44" i="6"/>
  <c r="E44" i="6"/>
  <c r="F44" i="6"/>
  <c r="G44" i="6"/>
  <c r="H44" i="6"/>
  <c r="I44" i="6"/>
  <c r="J44" i="6"/>
  <c r="K44" i="6"/>
  <c r="L44" i="6"/>
  <c r="M44" i="6"/>
  <c r="N44" i="6"/>
  <c r="O44" i="6"/>
  <c r="P44" i="6"/>
  <c r="Q44" i="6"/>
  <c r="R44" i="6"/>
  <c r="S44" i="6"/>
  <c r="T44" i="6"/>
  <c r="U44" i="6"/>
  <c r="V44" i="6"/>
  <c r="W44" i="6"/>
  <c r="X44" i="6"/>
  <c r="Y44" i="6"/>
  <c r="Z44" i="6"/>
  <c r="AA44" i="6"/>
  <c r="AB44" i="6"/>
  <c r="AC44" i="6"/>
  <c r="AD44" i="6"/>
  <c r="AE44" i="6"/>
  <c r="AF44" i="6"/>
  <c r="AG44" i="6"/>
  <c r="AH44" i="6"/>
  <c r="AI44" i="6"/>
  <c r="C43" i="6"/>
  <c r="D43" i="6"/>
  <c r="E43" i="6"/>
  <c r="F43" i="6"/>
  <c r="G43" i="6"/>
  <c r="H43" i="6"/>
  <c r="I43" i="6"/>
  <c r="J43" i="6"/>
  <c r="K43" i="6"/>
  <c r="L43" i="6"/>
  <c r="M43" i="6"/>
  <c r="N43" i="6"/>
  <c r="O43" i="6"/>
  <c r="P43" i="6"/>
  <c r="Q43" i="6"/>
  <c r="R43" i="6"/>
  <c r="S43" i="6"/>
  <c r="T43" i="6"/>
  <c r="U43" i="6"/>
  <c r="V43" i="6"/>
  <c r="W43" i="6"/>
  <c r="X43" i="6"/>
  <c r="Y43" i="6"/>
  <c r="Z43" i="6"/>
  <c r="AA43" i="6"/>
  <c r="AB43" i="6"/>
  <c r="AC43" i="6"/>
  <c r="AD43" i="6"/>
  <c r="AE43" i="6"/>
  <c r="AF43" i="6"/>
  <c r="AG43" i="6"/>
  <c r="AH43" i="6"/>
  <c r="AI43" i="6"/>
  <c r="C49" i="6"/>
  <c r="C44" i="3"/>
  <c r="D44" i="3"/>
  <c r="E44" i="3"/>
  <c r="F44" i="3"/>
  <c r="G44" i="3"/>
  <c r="H44" i="3"/>
  <c r="I44" i="3"/>
  <c r="J44" i="3"/>
  <c r="K44" i="3"/>
  <c r="L44" i="3"/>
  <c r="M44" i="3"/>
  <c r="N44" i="3"/>
  <c r="O44" i="3"/>
  <c r="P44" i="3"/>
  <c r="Q44" i="3"/>
  <c r="R44" i="3"/>
  <c r="S44" i="3"/>
  <c r="T44" i="3"/>
  <c r="U44" i="3"/>
  <c r="V44" i="3"/>
  <c r="W44" i="3"/>
  <c r="X44" i="3"/>
  <c r="Y44" i="3"/>
  <c r="Z44" i="3"/>
  <c r="AA44" i="3"/>
  <c r="AB44" i="3"/>
  <c r="AC44" i="3"/>
  <c r="AD44" i="3"/>
  <c r="AE44" i="3"/>
  <c r="AF44" i="3"/>
  <c r="AG44" i="3"/>
  <c r="AH44" i="3"/>
  <c r="AI44" i="3"/>
  <c r="C6" i="3"/>
  <c r="C43" i="3"/>
  <c r="D6" i="3"/>
  <c r="D43" i="3"/>
  <c r="E6" i="3"/>
  <c r="E43" i="3"/>
  <c r="F6" i="3"/>
  <c r="F43" i="3"/>
  <c r="G6" i="3"/>
  <c r="G43" i="3"/>
  <c r="H6" i="3"/>
  <c r="H43" i="3"/>
  <c r="I6" i="3"/>
  <c r="I43" i="3"/>
  <c r="J6" i="3"/>
  <c r="J43" i="3"/>
  <c r="K6" i="3"/>
  <c r="K43" i="3"/>
  <c r="L6" i="3"/>
  <c r="L43" i="3"/>
  <c r="M6" i="3"/>
  <c r="M43" i="3"/>
  <c r="N6" i="3"/>
  <c r="N43" i="3"/>
  <c r="O6" i="3"/>
  <c r="O43" i="3"/>
  <c r="P6" i="3"/>
  <c r="P43" i="3"/>
  <c r="Q6" i="3"/>
  <c r="Q43" i="3"/>
  <c r="R6" i="3"/>
  <c r="R43" i="3"/>
  <c r="S6" i="3"/>
  <c r="S43" i="3"/>
  <c r="T6" i="3"/>
  <c r="T43" i="3"/>
  <c r="U6" i="3"/>
  <c r="U43" i="3"/>
  <c r="V6" i="3"/>
  <c r="V43" i="3"/>
  <c r="W6" i="3"/>
  <c r="W43" i="3"/>
  <c r="X6" i="3"/>
  <c r="X43" i="3"/>
  <c r="Y6" i="3"/>
  <c r="Y43" i="3"/>
  <c r="Z6" i="3"/>
  <c r="Z43" i="3"/>
  <c r="AA6" i="3"/>
  <c r="AA43" i="3"/>
  <c r="AB6" i="3"/>
  <c r="AB43" i="3"/>
  <c r="AC6" i="3"/>
  <c r="AC43" i="3"/>
  <c r="AD6" i="3"/>
  <c r="AD43" i="3"/>
  <c r="AE6" i="3"/>
  <c r="AE43" i="3"/>
  <c r="AF6" i="3"/>
  <c r="AF43" i="3"/>
  <c r="AG6" i="3"/>
  <c r="AG43" i="3"/>
  <c r="AH6" i="3"/>
  <c r="AH43" i="3"/>
  <c r="AI6" i="3"/>
  <c r="AI43" i="3"/>
  <c r="C49" i="3"/>
  <c r="C54" i="4"/>
  <c r="D54" i="4"/>
  <c r="E54" i="4"/>
  <c r="F54" i="4"/>
  <c r="G54" i="4"/>
  <c r="H54" i="4"/>
  <c r="I54" i="4"/>
  <c r="J54" i="4"/>
  <c r="K54" i="4"/>
  <c r="L54" i="4"/>
  <c r="M54" i="4"/>
  <c r="N54" i="4"/>
  <c r="O54" i="4"/>
  <c r="P54" i="4"/>
  <c r="Q54" i="4"/>
  <c r="R54" i="4"/>
  <c r="S54" i="4"/>
  <c r="T54" i="4"/>
  <c r="U54" i="4"/>
  <c r="V54" i="4"/>
  <c r="W54" i="4"/>
  <c r="X54" i="4"/>
  <c r="Y54" i="4"/>
  <c r="Z54" i="4"/>
  <c r="AA54" i="4"/>
  <c r="AB54" i="4"/>
  <c r="AC54" i="4"/>
  <c r="AD54" i="4"/>
  <c r="AE54" i="4"/>
  <c r="AF54" i="4"/>
  <c r="AG54" i="4"/>
  <c r="AH54" i="4"/>
  <c r="AI54" i="4"/>
  <c r="C53" i="4"/>
  <c r="D53" i="4"/>
  <c r="E53" i="4"/>
  <c r="F53" i="4"/>
  <c r="G53" i="4"/>
  <c r="H53" i="4"/>
  <c r="I53" i="4"/>
  <c r="J53" i="4"/>
  <c r="K53" i="4"/>
  <c r="L53" i="4"/>
  <c r="M53" i="4"/>
  <c r="N53" i="4"/>
  <c r="O53" i="4"/>
  <c r="P53" i="4"/>
  <c r="Q53" i="4"/>
  <c r="R53" i="4"/>
  <c r="S53" i="4"/>
  <c r="T53" i="4"/>
  <c r="U53" i="4"/>
  <c r="V53" i="4"/>
  <c r="W53" i="4"/>
  <c r="X53" i="4"/>
  <c r="Y53" i="4"/>
  <c r="Z53" i="4"/>
  <c r="AA53" i="4"/>
  <c r="AB53" i="4"/>
  <c r="AC53" i="4"/>
  <c r="AD53" i="4"/>
  <c r="AE53" i="4"/>
  <c r="AF53" i="4"/>
  <c r="AG53" i="4"/>
  <c r="AH53" i="4"/>
  <c r="AI53" i="4"/>
  <c r="B59" i="4"/>
  <c r="B52" i="17"/>
  <c r="B49" i="17"/>
  <c r="B33" i="7"/>
  <c r="B47" i="6"/>
  <c r="B57" i="4"/>
  <c r="B47" i="3"/>
  <c r="B47" i="11"/>
  <c r="B47" i="14"/>
  <c r="B47" i="2"/>
  <c r="C40" i="3"/>
  <c r="C180" i="1"/>
  <c r="C40" i="6"/>
  <c r="C50" i="4"/>
  <c r="C181" i="1"/>
  <c r="C40" i="14"/>
  <c r="C179" i="1"/>
  <c r="C40" i="11"/>
  <c r="C178" i="1"/>
  <c r="C40" i="2"/>
  <c r="C177" i="1"/>
  <c r="B31" i="5"/>
  <c r="B49" i="4"/>
  <c r="B29" i="21"/>
  <c r="B39" i="6"/>
  <c r="B29" i="7"/>
  <c r="B82" i="14"/>
  <c r="B78" i="14"/>
  <c r="B39" i="14"/>
  <c r="B82" i="11"/>
  <c r="B78" i="11"/>
  <c r="B39" i="11"/>
  <c r="AJ4" i="5"/>
  <c r="AJ6" i="5"/>
  <c r="AJ8" i="5"/>
  <c r="AJ10" i="5"/>
  <c r="AJ10" i="7"/>
  <c r="AJ4" i="21"/>
  <c r="AJ6" i="21"/>
  <c r="AJ8" i="21"/>
  <c r="AJ10" i="21"/>
  <c r="C189" i="1"/>
  <c r="C194" i="1"/>
  <c r="AJ25" i="5"/>
  <c r="AJ23" i="7"/>
  <c r="AJ25" i="21"/>
  <c r="C190" i="1"/>
  <c r="C193" i="1"/>
  <c r="B191" i="1"/>
  <c r="B194" i="1"/>
  <c r="B190" i="1"/>
  <c r="B193" i="1"/>
  <c r="B274" i="1"/>
  <c r="C30" i="7"/>
  <c r="C30" i="21"/>
  <c r="C32" i="5"/>
  <c r="C182" i="1"/>
  <c r="B273" i="1"/>
  <c r="B272" i="1"/>
  <c r="B271" i="1"/>
  <c r="B281" i="1"/>
  <c r="B280" i="1"/>
  <c r="B279" i="1"/>
  <c r="B278" i="1"/>
  <c r="B267" i="1"/>
  <c r="B266" i="1"/>
  <c r="B265" i="1"/>
  <c r="B264" i="1"/>
  <c r="B260" i="1"/>
  <c r="B259" i="1"/>
  <c r="B258" i="1"/>
  <c r="B257" i="1"/>
  <c r="B253" i="1"/>
  <c r="B252" i="1"/>
  <c r="B251" i="1"/>
  <c r="B250" i="1"/>
  <c r="B246" i="1"/>
  <c r="B245" i="1"/>
  <c r="B244" i="1"/>
  <c r="B243" i="1"/>
  <c r="B239" i="1"/>
  <c r="B238" i="1"/>
  <c r="B237" i="1"/>
  <c r="B236" i="1"/>
  <c r="B232" i="1"/>
  <c r="B231" i="1"/>
  <c r="B229" i="1"/>
  <c r="B230" i="1"/>
  <c r="C197" i="1"/>
  <c r="AJ15" i="5"/>
  <c r="AJ15" i="21"/>
  <c r="C198" i="1"/>
  <c r="AJ16" i="5"/>
  <c r="AJ16" i="21"/>
  <c r="C199" i="1"/>
  <c r="AJ19" i="5"/>
  <c r="AJ17" i="7"/>
  <c r="AJ19" i="21"/>
  <c r="C200" i="1"/>
  <c r="AJ20" i="5"/>
  <c r="AJ18" i="7"/>
  <c r="AJ20" i="21"/>
  <c r="C201" i="1"/>
  <c r="AJ21" i="5"/>
  <c r="AJ19" i="7"/>
  <c r="AJ21" i="21"/>
  <c r="C202" i="1"/>
  <c r="C203" i="1"/>
  <c r="C204" i="1"/>
  <c r="C83" i="17"/>
  <c r="C81" i="17"/>
  <c r="C80" i="17"/>
  <c r="C39" i="14"/>
  <c r="C76" i="14"/>
  <c r="C77" i="14"/>
  <c r="D76" i="14"/>
  <c r="D77" i="14"/>
  <c r="E76" i="14"/>
  <c r="E77" i="14"/>
  <c r="F76" i="14"/>
  <c r="F77" i="14"/>
  <c r="G76" i="14"/>
  <c r="G77" i="14"/>
  <c r="H76" i="14"/>
  <c r="H77" i="14"/>
  <c r="I76" i="14"/>
  <c r="I77" i="14"/>
  <c r="J76" i="14"/>
  <c r="J77" i="14"/>
  <c r="K76" i="14"/>
  <c r="K77" i="14"/>
  <c r="L76" i="14"/>
  <c r="L77" i="14"/>
  <c r="M76" i="14"/>
  <c r="M77" i="14"/>
  <c r="N76" i="14"/>
  <c r="N77" i="14"/>
  <c r="O76" i="14"/>
  <c r="O77" i="14"/>
  <c r="P76" i="14"/>
  <c r="P77" i="14"/>
  <c r="Q76" i="14"/>
  <c r="Q77" i="14"/>
  <c r="R76" i="14"/>
  <c r="R77" i="14"/>
  <c r="S76" i="14"/>
  <c r="S77" i="14"/>
  <c r="T76" i="14"/>
  <c r="T77" i="14"/>
  <c r="U76" i="14"/>
  <c r="U77" i="14"/>
  <c r="V76" i="14"/>
  <c r="V77" i="14"/>
  <c r="W76" i="14"/>
  <c r="W77" i="14"/>
  <c r="X76" i="14"/>
  <c r="X77" i="14"/>
  <c r="Y76" i="14"/>
  <c r="Y77" i="14"/>
  <c r="Z76" i="14"/>
  <c r="Z77" i="14"/>
  <c r="AA76" i="14"/>
  <c r="AA77" i="14"/>
  <c r="AB76" i="14"/>
  <c r="AB77" i="14"/>
  <c r="AC76" i="14"/>
  <c r="AC77" i="14"/>
  <c r="AD76" i="14"/>
  <c r="AD77" i="14"/>
  <c r="AE76" i="14"/>
  <c r="AE77" i="14"/>
  <c r="AF76" i="14"/>
  <c r="AF77" i="14"/>
  <c r="AG76" i="14"/>
  <c r="AG77" i="14"/>
  <c r="AH76" i="14"/>
  <c r="AH77" i="14"/>
  <c r="AI76" i="14"/>
  <c r="AI77" i="14"/>
  <c r="C79" i="14"/>
  <c r="C78" i="14"/>
  <c r="C76" i="11"/>
  <c r="C77" i="11"/>
  <c r="D76" i="11"/>
  <c r="D77" i="11"/>
  <c r="E76" i="11"/>
  <c r="E77" i="11"/>
  <c r="F76" i="11"/>
  <c r="F77" i="11"/>
  <c r="G76" i="11"/>
  <c r="G77" i="11"/>
  <c r="H76" i="11"/>
  <c r="H77" i="11"/>
  <c r="I76" i="11"/>
  <c r="I77" i="11"/>
  <c r="J76" i="11"/>
  <c r="J77" i="11"/>
  <c r="K76" i="11"/>
  <c r="K77" i="11"/>
  <c r="L76" i="11"/>
  <c r="L77" i="11"/>
  <c r="M76" i="11"/>
  <c r="M77" i="11"/>
  <c r="N76" i="11"/>
  <c r="N77" i="11"/>
  <c r="O76" i="11"/>
  <c r="O77" i="11"/>
  <c r="P76" i="11"/>
  <c r="P77" i="11"/>
  <c r="Q76" i="11"/>
  <c r="Q77" i="11"/>
  <c r="R76" i="11"/>
  <c r="R77" i="11"/>
  <c r="S76" i="11"/>
  <c r="S77" i="11"/>
  <c r="T76" i="11"/>
  <c r="T77" i="11"/>
  <c r="U76" i="11"/>
  <c r="U77" i="11"/>
  <c r="V76" i="11"/>
  <c r="V77" i="11"/>
  <c r="W76" i="11"/>
  <c r="W77" i="11"/>
  <c r="X76" i="11"/>
  <c r="X77" i="11"/>
  <c r="Y76" i="11"/>
  <c r="Y77" i="11"/>
  <c r="Z76" i="11"/>
  <c r="Z77" i="11"/>
  <c r="AA76" i="11"/>
  <c r="AA77" i="11"/>
  <c r="AB76" i="11"/>
  <c r="AB77" i="11"/>
  <c r="AC76" i="11"/>
  <c r="AC77" i="11"/>
  <c r="AD76" i="11"/>
  <c r="AD77" i="11"/>
  <c r="AE76" i="11"/>
  <c r="AE77" i="11"/>
  <c r="AF76" i="11"/>
  <c r="AF77" i="11"/>
  <c r="AG76" i="11"/>
  <c r="AG77" i="11"/>
  <c r="AH76" i="11"/>
  <c r="AH77" i="11"/>
  <c r="AI76" i="11"/>
  <c r="AI77" i="11"/>
  <c r="C79" i="11"/>
  <c r="C78" i="11"/>
  <c r="B78" i="2"/>
  <c r="C79" i="2"/>
  <c r="C78" i="2"/>
  <c r="AI23" i="15"/>
  <c r="AI23" i="8"/>
  <c r="C81" i="14"/>
  <c r="D81" i="14"/>
  <c r="E81" i="14"/>
  <c r="F81" i="14"/>
  <c r="G81" i="14"/>
  <c r="H81" i="14"/>
  <c r="I81" i="14"/>
  <c r="J81" i="14"/>
  <c r="K81" i="14"/>
  <c r="L81" i="14"/>
  <c r="M81" i="14"/>
  <c r="N81" i="14"/>
  <c r="O81" i="14"/>
  <c r="P81" i="14"/>
  <c r="Q81" i="14"/>
  <c r="R81" i="14"/>
  <c r="S81" i="14"/>
  <c r="T81" i="14"/>
  <c r="U81" i="14"/>
  <c r="V81" i="14"/>
  <c r="W81" i="14"/>
  <c r="X81" i="14"/>
  <c r="Y81" i="14"/>
  <c r="Z81" i="14"/>
  <c r="AA81" i="14"/>
  <c r="AB81" i="14"/>
  <c r="AC81" i="14"/>
  <c r="AD81" i="14"/>
  <c r="AE81" i="14"/>
  <c r="AF81" i="14"/>
  <c r="AG81" i="14"/>
  <c r="AH81" i="14"/>
  <c r="AI81" i="14"/>
  <c r="C83" i="14"/>
  <c r="C82" i="14"/>
  <c r="AJ81" i="14"/>
  <c r="AJ77" i="14"/>
  <c r="AJ76" i="14"/>
  <c r="AI74" i="14"/>
  <c r="AJ74" i="14"/>
  <c r="AJ72" i="14"/>
  <c r="AJ70" i="14"/>
  <c r="AJ68" i="14"/>
  <c r="AJ66" i="14"/>
  <c r="AJ64" i="14"/>
  <c r="AJ62" i="14"/>
  <c r="AJ61" i="14"/>
  <c r="AJ58" i="14"/>
  <c r="C81" i="11"/>
  <c r="D81" i="11"/>
  <c r="E81" i="11"/>
  <c r="F81" i="11"/>
  <c r="G81" i="11"/>
  <c r="H81" i="11"/>
  <c r="I81" i="11"/>
  <c r="J81" i="11"/>
  <c r="K81" i="11"/>
  <c r="L81" i="11"/>
  <c r="M81" i="11"/>
  <c r="N81" i="11"/>
  <c r="O81" i="11"/>
  <c r="P81" i="11"/>
  <c r="Q81" i="11"/>
  <c r="R81" i="11"/>
  <c r="S81" i="11"/>
  <c r="T81" i="11"/>
  <c r="U81" i="11"/>
  <c r="V81" i="11"/>
  <c r="W81" i="11"/>
  <c r="X81" i="11"/>
  <c r="Y81" i="11"/>
  <c r="Z81" i="11"/>
  <c r="AA81" i="11"/>
  <c r="AB81" i="11"/>
  <c r="AC81" i="11"/>
  <c r="AD81" i="11"/>
  <c r="AE81" i="11"/>
  <c r="AF81" i="11"/>
  <c r="AG81" i="11"/>
  <c r="AH81" i="11"/>
  <c r="AI81" i="11"/>
  <c r="C83" i="11"/>
  <c r="C82" i="11"/>
  <c r="AJ81" i="11"/>
  <c r="AJ77" i="11"/>
  <c r="AJ76" i="11"/>
  <c r="AI74" i="11"/>
  <c r="AJ74" i="11"/>
  <c r="AJ72" i="11"/>
  <c r="AJ70" i="11"/>
  <c r="AJ68" i="11"/>
  <c r="AJ66" i="11"/>
  <c r="AJ64" i="11"/>
  <c r="AJ62" i="11"/>
  <c r="AJ61" i="11"/>
  <c r="AJ58" i="11"/>
  <c r="C84" i="2"/>
  <c r="AJ82" i="2"/>
  <c r="AJ77" i="2"/>
  <c r="AI74" i="2"/>
  <c r="C44" i="14"/>
  <c r="D44" i="14"/>
  <c r="E44" i="14"/>
  <c r="F44" i="14"/>
  <c r="G44" i="14"/>
  <c r="H44" i="14"/>
  <c r="I44" i="14"/>
  <c r="J44" i="14"/>
  <c r="K44" i="14"/>
  <c r="L44" i="14"/>
  <c r="M44" i="14"/>
  <c r="N44" i="14"/>
  <c r="O44" i="14"/>
  <c r="P44" i="14"/>
  <c r="Q44" i="14"/>
  <c r="R44" i="14"/>
  <c r="S44" i="14"/>
  <c r="T44" i="14"/>
  <c r="U44" i="14"/>
  <c r="V44" i="14"/>
  <c r="W44" i="14"/>
  <c r="X44" i="14"/>
  <c r="Y44" i="14"/>
  <c r="Z44" i="14"/>
  <c r="AA44" i="14"/>
  <c r="AB44" i="14"/>
  <c r="AC44" i="14"/>
  <c r="AD44" i="14"/>
  <c r="AE44" i="14"/>
  <c r="AF44" i="14"/>
  <c r="AG44" i="14"/>
  <c r="AH44" i="14"/>
  <c r="AI44" i="14"/>
  <c r="AJ44" i="14"/>
  <c r="C43" i="14"/>
  <c r="D43" i="14"/>
  <c r="E43" i="14"/>
  <c r="F43" i="14"/>
  <c r="G43" i="14"/>
  <c r="H43" i="14"/>
  <c r="I43" i="14"/>
  <c r="J43" i="14"/>
  <c r="K43" i="14"/>
  <c r="L43" i="14"/>
  <c r="M43" i="14"/>
  <c r="N43" i="14"/>
  <c r="O43" i="14"/>
  <c r="P43" i="14"/>
  <c r="Q43" i="14"/>
  <c r="R43" i="14"/>
  <c r="S43" i="14"/>
  <c r="T43" i="14"/>
  <c r="U43" i="14"/>
  <c r="V43" i="14"/>
  <c r="W43" i="14"/>
  <c r="X43" i="14"/>
  <c r="Y43" i="14"/>
  <c r="Z43" i="14"/>
  <c r="AA43" i="14"/>
  <c r="AB43" i="14"/>
  <c r="AC43" i="14"/>
  <c r="AD43" i="14"/>
  <c r="AE43" i="14"/>
  <c r="AF43" i="14"/>
  <c r="AG43" i="14"/>
  <c r="AH43" i="14"/>
  <c r="AI43" i="14"/>
  <c r="AJ43" i="14"/>
  <c r="C48" i="14"/>
  <c r="AJ76" i="2"/>
  <c r="AJ58" i="2"/>
  <c r="AJ74" i="2"/>
  <c r="AJ72" i="2"/>
  <c r="AJ70" i="2"/>
  <c r="AJ68" i="2"/>
  <c r="AJ66" i="2"/>
  <c r="AJ64" i="2"/>
  <c r="AJ62" i="2"/>
  <c r="AJ61" i="2"/>
  <c r="C52" i="17"/>
  <c r="C50" i="17"/>
  <c r="C49" i="17"/>
  <c r="AJ72" i="17"/>
  <c r="C6" i="17"/>
  <c r="C25" i="17"/>
  <c r="C56" i="17"/>
  <c r="D6" i="17"/>
  <c r="D25" i="17"/>
  <c r="D56" i="17"/>
  <c r="E6" i="17"/>
  <c r="E25" i="17"/>
  <c r="E56" i="17"/>
  <c r="F6" i="17"/>
  <c r="F25" i="17"/>
  <c r="F56" i="17"/>
  <c r="G6" i="17"/>
  <c r="G25" i="17"/>
  <c r="G56" i="17"/>
  <c r="H6" i="17"/>
  <c r="H25" i="17"/>
  <c r="H56" i="17"/>
  <c r="I6" i="17"/>
  <c r="I25" i="17"/>
  <c r="I56" i="17"/>
  <c r="J6" i="17"/>
  <c r="J25" i="17"/>
  <c r="J56" i="17"/>
  <c r="K6" i="17"/>
  <c r="K25" i="17"/>
  <c r="K56" i="17"/>
  <c r="L6" i="17"/>
  <c r="L25" i="17"/>
  <c r="L56" i="17"/>
  <c r="M6" i="17"/>
  <c r="M25" i="17"/>
  <c r="M56" i="17"/>
  <c r="N6" i="17"/>
  <c r="N25" i="17"/>
  <c r="N56" i="17"/>
  <c r="O6" i="17"/>
  <c r="O25" i="17"/>
  <c r="O56" i="17"/>
  <c r="P6" i="17"/>
  <c r="P25" i="17"/>
  <c r="P56" i="17"/>
  <c r="Q6" i="17"/>
  <c r="Q25" i="17"/>
  <c r="Q56" i="17"/>
  <c r="R6" i="17"/>
  <c r="R25" i="17"/>
  <c r="R56" i="17"/>
  <c r="S6" i="17"/>
  <c r="S25" i="17"/>
  <c r="S56" i="17"/>
  <c r="T6" i="17"/>
  <c r="T25" i="17"/>
  <c r="T56" i="17"/>
  <c r="U6" i="17"/>
  <c r="U25" i="17"/>
  <c r="U56" i="17"/>
  <c r="V6" i="17"/>
  <c r="V25" i="17"/>
  <c r="V56" i="17"/>
  <c r="W6" i="17"/>
  <c r="W25" i="17"/>
  <c r="W56" i="17"/>
  <c r="X6" i="17"/>
  <c r="X25" i="17"/>
  <c r="X56" i="17"/>
  <c r="Y6" i="17"/>
  <c r="Y25" i="17"/>
  <c r="Y56" i="17"/>
  <c r="Z6" i="17"/>
  <c r="Z25" i="17"/>
  <c r="Z56" i="17"/>
  <c r="AA6" i="17"/>
  <c r="AA25" i="17"/>
  <c r="AA56" i="17"/>
  <c r="AB6" i="17"/>
  <c r="AB25" i="17"/>
  <c r="AB56" i="17"/>
  <c r="AC6" i="17"/>
  <c r="AC25" i="17"/>
  <c r="AC56" i="17"/>
  <c r="AD6" i="17"/>
  <c r="AD25" i="17"/>
  <c r="AD56" i="17"/>
  <c r="AE6" i="17"/>
  <c r="AE25" i="17"/>
  <c r="AE56" i="17"/>
  <c r="AF6" i="17"/>
  <c r="AF25" i="17"/>
  <c r="AF56" i="17"/>
  <c r="AG6" i="17"/>
  <c r="AG25" i="17"/>
  <c r="AG56" i="17"/>
  <c r="AH6" i="17"/>
  <c r="AH25" i="17"/>
  <c r="AH56" i="17"/>
  <c r="AI6" i="17"/>
  <c r="AI25" i="17"/>
  <c r="AI56" i="17"/>
  <c r="AJ56" i="17"/>
  <c r="C8" i="17"/>
  <c r="C27" i="17"/>
  <c r="C58" i="17"/>
  <c r="D8" i="17"/>
  <c r="D27" i="17"/>
  <c r="D58" i="17"/>
  <c r="E8" i="17"/>
  <c r="E27" i="17"/>
  <c r="E58" i="17"/>
  <c r="F8" i="17"/>
  <c r="F27" i="17"/>
  <c r="F58" i="17"/>
  <c r="G8" i="17"/>
  <c r="G27" i="17"/>
  <c r="G58" i="17"/>
  <c r="H8" i="17"/>
  <c r="H27" i="17"/>
  <c r="H58" i="17"/>
  <c r="I8" i="17"/>
  <c r="I27" i="17"/>
  <c r="I58" i="17"/>
  <c r="J8" i="17"/>
  <c r="J27" i="17"/>
  <c r="J58" i="17"/>
  <c r="K8" i="17"/>
  <c r="K27" i="17"/>
  <c r="K58" i="17"/>
  <c r="L8" i="17"/>
  <c r="L27" i="17"/>
  <c r="L58" i="17"/>
  <c r="M8" i="17"/>
  <c r="M27" i="17"/>
  <c r="M58" i="17"/>
  <c r="N8" i="17"/>
  <c r="N27" i="17"/>
  <c r="N58" i="17"/>
  <c r="O8" i="17"/>
  <c r="O27" i="17"/>
  <c r="O58" i="17"/>
  <c r="P8" i="17"/>
  <c r="P27" i="17"/>
  <c r="P58" i="17"/>
  <c r="Q8" i="17"/>
  <c r="Q27" i="17"/>
  <c r="Q58" i="17"/>
  <c r="R8" i="17"/>
  <c r="R27" i="17"/>
  <c r="R58" i="17"/>
  <c r="S8" i="17"/>
  <c r="S27" i="17"/>
  <c r="S58" i="17"/>
  <c r="T8" i="17"/>
  <c r="T27" i="17"/>
  <c r="T58" i="17"/>
  <c r="U8" i="17"/>
  <c r="U27" i="17"/>
  <c r="U58" i="17"/>
  <c r="V8" i="17"/>
  <c r="V27" i="17"/>
  <c r="V58" i="17"/>
  <c r="W8" i="17"/>
  <c r="W27" i="17"/>
  <c r="W58" i="17"/>
  <c r="X8" i="17"/>
  <c r="X27" i="17"/>
  <c r="X58" i="17"/>
  <c r="Y8" i="17"/>
  <c r="Y27" i="17"/>
  <c r="Y58" i="17"/>
  <c r="Z8" i="17"/>
  <c r="Z27" i="17"/>
  <c r="Z58" i="17"/>
  <c r="AA8" i="17"/>
  <c r="AA27" i="17"/>
  <c r="AA58" i="17"/>
  <c r="AB8" i="17"/>
  <c r="AB27" i="17"/>
  <c r="AB58" i="17"/>
  <c r="AC8" i="17"/>
  <c r="AC27" i="17"/>
  <c r="AC58" i="17"/>
  <c r="AD8" i="17"/>
  <c r="AD27" i="17"/>
  <c r="AD58" i="17"/>
  <c r="AE8" i="17"/>
  <c r="AE27" i="17"/>
  <c r="AE58" i="17"/>
  <c r="AF8" i="17"/>
  <c r="AF27" i="17"/>
  <c r="AF58" i="17"/>
  <c r="AG8" i="17"/>
  <c r="AG27" i="17"/>
  <c r="AG58" i="17"/>
  <c r="AH8" i="17"/>
  <c r="AH27" i="17"/>
  <c r="AH58" i="17"/>
  <c r="AI8" i="17"/>
  <c r="AI27" i="17"/>
  <c r="AI58" i="17"/>
  <c r="AJ58" i="17"/>
  <c r="C10" i="17"/>
  <c r="C29" i="17"/>
  <c r="C60" i="17"/>
  <c r="D10" i="17"/>
  <c r="D29" i="17"/>
  <c r="D60" i="17"/>
  <c r="E10" i="17"/>
  <c r="E29" i="17"/>
  <c r="E60" i="17"/>
  <c r="F10" i="17"/>
  <c r="F29" i="17"/>
  <c r="F60" i="17"/>
  <c r="G10" i="17"/>
  <c r="G29" i="17"/>
  <c r="G60" i="17"/>
  <c r="H10" i="17"/>
  <c r="H29" i="17"/>
  <c r="H60" i="17"/>
  <c r="I10" i="17"/>
  <c r="I29" i="17"/>
  <c r="I60" i="17"/>
  <c r="J10" i="17"/>
  <c r="J29" i="17"/>
  <c r="J60" i="17"/>
  <c r="K10" i="17"/>
  <c r="K29" i="17"/>
  <c r="K60" i="17"/>
  <c r="L10" i="17"/>
  <c r="L29" i="17"/>
  <c r="L60" i="17"/>
  <c r="M10" i="17"/>
  <c r="M29" i="17"/>
  <c r="M60" i="17"/>
  <c r="N10" i="17"/>
  <c r="N29" i="17"/>
  <c r="N60" i="17"/>
  <c r="O10" i="17"/>
  <c r="O29" i="17"/>
  <c r="O60" i="17"/>
  <c r="P10" i="17"/>
  <c r="P29" i="17"/>
  <c r="P60" i="17"/>
  <c r="Q10" i="17"/>
  <c r="Q29" i="17"/>
  <c r="Q60" i="17"/>
  <c r="R10" i="17"/>
  <c r="R29" i="17"/>
  <c r="R60" i="17"/>
  <c r="S10" i="17"/>
  <c r="S29" i="17"/>
  <c r="S60" i="17"/>
  <c r="T10" i="17"/>
  <c r="T29" i="17"/>
  <c r="T60" i="17"/>
  <c r="U10" i="17"/>
  <c r="U29" i="17"/>
  <c r="U60" i="17"/>
  <c r="V10" i="17"/>
  <c r="V29" i="17"/>
  <c r="V60" i="17"/>
  <c r="W10" i="17"/>
  <c r="W29" i="17"/>
  <c r="W60" i="17"/>
  <c r="X10" i="17"/>
  <c r="X29" i="17"/>
  <c r="X60" i="17"/>
  <c r="Y10" i="17"/>
  <c r="Y29" i="17"/>
  <c r="Y60" i="17"/>
  <c r="Z10" i="17"/>
  <c r="Z29" i="17"/>
  <c r="Z60" i="17"/>
  <c r="AA10" i="17"/>
  <c r="AA29" i="17"/>
  <c r="AA60" i="17"/>
  <c r="AB10" i="17"/>
  <c r="AB29" i="17"/>
  <c r="AB60" i="17"/>
  <c r="AC10" i="17"/>
  <c r="AC29" i="17"/>
  <c r="AC60" i="17"/>
  <c r="AD10" i="17"/>
  <c r="AD29" i="17"/>
  <c r="AD60" i="17"/>
  <c r="AE10" i="17"/>
  <c r="AE29" i="17"/>
  <c r="AE60" i="17"/>
  <c r="AF10" i="17"/>
  <c r="AF29" i="17"/>
  <c r="AF60" i="17"/>
  <c r="AG10" i="17"/>
  <c r="AG29" i="17"/>
  <c r="AG60" i="17"/>
  <c r="AH10" i="17"/>
  <c r="AH29" i="17"/>
  <c r="AH60" i="17"/>
  <c r="AI10" i="17"/>
  <c r="AI29" i="17"/>
  <c r="AI60" i="17"/>
  <c r="AJ60" i="17"/>
  <c r="AJ62" i="17"/>
  <c r="AJ64" i="17"/>
  <c r="AJ66" i="17"/>
  <c r="AJ68" i="17"/>
  <c r="C20" i="17"/>
  <c r="C39" i="17"/>
  <c r="C70" i="17"/>
  <c r="D20" i="17"/>
  <c r="D39" i="17"/>
  <c r="D70" i="17"/>
  <c r="E20" i="17"/>
  <c r="E39" i="17"/>
  <c r="E70" i="17"/>
  <c r="F20" i="17"/>
  <c r="F39" i="17"/>
  <c r="F70" i="17"/>
  <c r="G20" i="17"/>
  <c r="G39" i="17"/>
  <c r="G70" i="17"/>
  <c r="H20" i="17"/>
  <c r="H39" i="17"/>
  <c r="H70" i="17"/>
  <c r="I20" i="17"/>
  <c r="I39" i="17"/>
  <c r="I70" i="17"/>
  <c r="J20" i="17"/>
  <c r="J39" i="17"/>
  <c r="J70" i="17"/>
  <c r="K20" i="17"/>
  <c r="K39" i="17"/>
  <c r="K70" i="17"/>
  <c r="L20" i="17"/>
  <c r="L39" i="17"/>
  <c r="L70" i="17"/>
  <c r="M20" i="17"/>
  <c r="M39" i="17"/>
  <c r="M70" i="17"/>
  <c r="N20" i="17"/>
  <c r="N39" i="17"/>
  <c r="N70" i="17"/>
  <c r="O20" i="17"/>
  <c r="O39" i="17"/>
  <c r="O70" i="17"/>
  <c r="P20" i="17"/>
  <c r="P39" i="17"/>
  <c r="P70" i="17"/>
  <c r="Q20" i="17"/>
  <c r="Q39" i="17"/>
  <c r="Q70" i="17"/>
  <c r="R20" i="17"/>
  <c r="R39" i="17"/>
  <c r="R70" i="17"/>
  <c r="S20" i="17"/>
  <c r="S39" i="17"/>
  <c r="S70" i="17"/>
  <c r="T20" i="17"/>
  <c r="T39" i="17"/>
  <c r="T70" i="17"/>
  <c r="U20" i="17"/>
  <c r="U39" i="17"/>
  <c r="U70" i="17"/>
  <c r="V20" i="17"/>
  <c r="V39" i="17"/>
  <c r="V70" i="17"/>
  <c r="W20" i="17"/>
  <c r="W39" i="17"/>
  <c r="W70" i="17"/>
  <c r="X20" i="17"/>
  <c r="X39" i="17"/>
  <c r="X70" i="17"/>
  <c r="Y20" i="17"/>
  <c r="Y39" i="17"/>
  <c r="Y70" i="17"/>
  <c r="Z20" i="17"/>
  <c r="Z39" i="17"/>
  <c r="Z70" i="17"/>
  <c r="AA20" i="17"/>
  <c r="AA39" i="17"/>
  <c r="AA70" i="17"/>
  <c r="AB20" i="17"/>
  <c r="AB39" i="17"/>
  <c r="AB70" i="17"/>
  <c r="AC20" i="17"/>
  <c r="AC39" i="17"/>
  <c r="AC70" i="17"/>
  <c r="AD20" i="17"/>
  <c r="AD39" i="17"/>
  <c r="AD70" i="17"/>
  <c r="AE20" i="17"/>
  <c r="AE39" i="17"/>
  <c r="AE70" i="17"/>
  <c r="AF20" i="17"/>
  <c r="AF39" i="17"/>
  <c r="AF70" i="17"/>
  <c r="AG20" i="17"/>
  <c r="AG39" i="17"/>
  <c r="AG70" i="17"/>
  <c r="AH20" i="17"/>
  <c r="AH39" i="17"/>
  <c r="AH70" i="17"/>
  <c r="AI20" i="17"/>
  <c r="AI39" i="17"/>
  <c r="AI70" i="17"/>
  <c r="AJ70" i="17"/>
  <c r="AJ74" i="17"/>
  <c r="AJ76" i="17"/>
  <c r="AJ78" i="17"/>
  <c r="C29" i="7"/>
  <c r="A2" i="7"/>
  <c r="A2" i="4"/>
  <c r="C34" i="21"/>
  <c r="A2" i="21"/>
  <c r="B33" i="21"/>
  <c r="C33" i="21"/>
  <c r="B35" i="5"/>
  <c r="C35" i="5"/>
  <c r="A2" i="5"/>
  <c r="AJ27" i="21"/>
  <c r="A37" i="21"/>
  <c r="A37" i="7"/>
  <c r="B39" i="5"/>
  <c r="C43" i="21"/>
  <c r="C44" i="21"/>
  <c r="C45" i="21"/>
  <c r="D43" i="21"/>
  <c r="D44" i="21"/>
  <c r="D45" i="21"/>
  <c r="E43" i="21"/>
  <c r="E44" i="21"/>
  <c r="E45" i="21"/>
  <c r="F43" i="21"/>
  <c r="F44" i="21"/>
  <c r="F45" i="21"/>
  <c r="G43" i="21"/>
  <c r="G44" i="21"/>
  <c r="G45" i="21"/>
  <c r="H43" i="21"/>
  <c r="H44" i="21"/>
  <c r="H45" i="21"/>
  <c r="I43" i="21"/>
  <c r="I44" i="21"/>
  <c r="I45" i="21"/>
  <c r="J43" i="21"/>
  <c r="J44" i="21"/>
  <c r="J45" i="21"/>
  <c r="K43" i="21"/>
  <c r="K44" i="21"/>
  <c r="K45" i="21"/>
  <c r="L43" i="21"/>
  <c r="L44" i="21"/>
  <c r="L45" i="21"/>
  <c r="M43" i="21"/>
  <c r="M44" i="21"/>
  <c r="M45" i="21"/>
  <c r="N43" i="21"/>
  <c r="N44" i="21"/>
  <c r="N45" i="21"/>
  <c r="O43" i="21"/>
  <c r="O44" i="21"/>
  <c r="O45" i="21"/>
  <c r="P43" i="21"/>
  <c r="P44" i="21"/>
  <c r="P45" i="21"/>
  <c r="Q43" i="21"/>
  <c r="Q44" i="21"/>
  <c r="Q45" i="21"/>
  <c r="R43" i="21"/>
  <c r="R44" i="21"/>
  <c r="R45" i="21"/>
  <c r="S43" i="21"/>
  <c r="S44" i="21"/>
  <c r="S45" i="21"/>
  <c r="T43" i="21"/>
  <c r="T44" i="21"/>
  <c r="T45" i="21"/>
  <c r="U43" i="21"/>
  <c r="U44" i="21"/>
  <c r="U45" i="21"/>
  <c r="V43" i="21"/>
  <c r="V44" i="21"/>
  <c r="V45" i="21"/>
  <c r="W43" i="21"/>
  <c r="W44" i="21"/>
  <c r="W45" i="21"/>
  <c r="X43" i="21"/>
  <c r="X44" i="21"/>
  <c r="X45" i="21"/>
  <c r="Y43" i="21"/>
  <c r="Y44" i="21"/>
  <c r="Y45" i="21"/>
  <c r="Z43" i="21"/>
  <c r="Z44" i="21"/>
  <c r="Z45" i="21"/>
  <c r="AA43" i="21"/>
  <c r="AA44" i="21"/>
  <c r="AA45" i="21"/>
  <c r="AB43" i="21"/>
  <c r="AB44" i="21"/>
  <c r="AB45" i="21"/>
  <c r="AC43" i="21"/>
  <c r="AC44" i="21"/>
  <c r="AC45" i="21"/>
  <c r="AD43" i="21"/>
  <c r="AD44" i="21"/>
  <c r="AD45" i="21"/>
  <c r="AE43" i="21"/>
  <c r="AE44" i="21"/>
  <c r="AE45" i="21"/>
  <c r="AF43" i="21"/>
  <c r="AF44" i="21"/>
  <c r="AF45" i="21"/>
  <c r="AG43" i="21"/>
  <c r="AG44" i="21"/>
  <c r="AG45" i="21"/>
  <c r="AH43" i="21"/>
  <c r="AH44" i="21"/>
  <c r="AH45" i="21"/>
  <c r="AI43" i="21"/>
  <c r="AI44" i="21"/>
  <c r="AI45" i="21"/>
  <c r="AJ45" i="21"/>
  <c r="AJ44" i="21"/>
  <c r="AJ43" i="21"/>
  <c r="C39" i="21"/>
  <c r="C40" i="21"/>
  <c r="C41" i="21"/>
  <c r="D39" i="21"/>
  <c r="D40" i="21"/>
  <c r="D41" i="21"/>
  <c r="E39" i="21"/>
  <c r="E40" i="21"/>
  <c r="E41" i="21"/>
  <c r="F39" i="21"/>
  <c r="F40" i="21"/>
  <c r="F41" i="21"/>
  <c r="G39" i="21"/>
  <c r="G40" i="21"/>
  <c r="G41" i="21"/>
  <c r="H39" i="21"/>
  <c r="H40" i="21"/>
  <c r="H41" i="21"/>
  <c r="I39" i="21"/>
  <c r="I40" i="21"/>
  <c r="I41" i="21"/>
  <c r="J39" i="21"/>
  <c r="J40" i="21"/>
  <c r="J41" i="21"/>
  <c r="K39" i="21"/>
  <c r="K40" i="21"/>
  <c r="K41" i="21"/>
  <c r="L39" i="21"/>
  <c r="L40" i="21"/>
  <c r="L41" i="21"/>
  <c r="M39" i="21"/>
  <c r="M40" i="21"/>
  <c r="M41" i="21"/>
  <c r="N39" i="21"/>
  <c r="N40" i="21"/>
  <c r="N41" i="21"/>
  <c r="O39" i="21"/>
  <c r="O40" i="21"/>
  <c r="O41" i="21"/>
  <c r="P39" i="21"/>
  <c r="P40" i="21"/>
  <c r="P41" i="21"/>
  <c r="Q39" i="21"/>
  <c r="Q40" i="21"/>
  <c r="Q41" i="21"/>
  <c r="R39" i="21"/>
  <c r="R40" i="21"/>
  <c r="R41" i="21"/>
  <c r="S39" i="21"/>
  <c r="S40" i="21"/>
  <c r="S41" i="21"/>
  <c r="T39" i="21"/>
  <c r="T40" i="21"/>
  <c r="T41" i="21"/>
  <c r="U39" i="21"/>
  <c r="U40" i="21"/>
  <c r="U41" i="21"/>
  <c r="V39" i="21"/>
  <c r="V40" i="21"/>
  <c r="V41" i="21"/>
  <c r="W39" i="21"/>
  <c r="W40" i="21"/>
  <c r="W41" i="21"/>
  <c r="X39" i="21"/>
  <c r="X40" i="21"/>
  <c r="X41" i="21"/>
  <c r="Y39" i="21"/>
  <c r="Y40" i="21"/>
  <c r="Y41" i="21"/>
  <c r="Z39" i="21"/>
  <c r="Z40" i="21"/>
  <c r="Z41" i="21"/>
  <c r="AA39" i="21"/>
  <c r="AA40" i="21"/>
  <c r="AA41" i="21"/>
  <c r="AB39" i="21"/>
  <c r="AB40" i="21"/>
  <c r="AB41" i="21"/>
  <c r="AC39" i="21"/>
  <c r="AC40" i="21"/>
  <c r="AC41" i="21"/>
  <c r="AD39" i="21"/>
  <c r="AD40" i="21"/>
  <c r="AD41" i="21"/>
  <c r="AE39" i="21"/>
  <c r="AE40" i="21"/>
  <c r="AE41" i="21"/>
  <c r="AF39" i="21"/>
  <c r="AF40" i="21"/>
  <c r="AF41" i="21"/>
  <c r="AG39" i="21"/>
  <c r="AG40" i="21"/>
  <c r="AG41" i="21"/>
  <c r="AH39" i="21"/>
  <c r="AH40" i="21"/>
  <c r="AH41" i="21"/>
  <c r="AI39" i="21"/>
  <c r="AI40" i="21"/>
  <c r="AI41" i="21"/>
  <c r="AJ41" i="21"/>
  <c r="AJ40" i="21"/>
  <c r="AJ39" i="21"/>
  <c r="AI43" i="7"/>
  <c r="AI44" i="7"/>
  <c r="AI45" i="7"/>
  <c r="AH43" i="7"/>
  <c r="AH44" i="7"/>
  <c r="AH45" i="7"/>
  <c r="AG43" i="7"/>
  <c r="AG44" i="7"/>
  <c r="AG45" i="7"/>
  <c r="AF43" i="7"/>
  <c r="AF44" i="7"/>
  <c r="AF45" i="7"/>
  <c r="AE43" i="7"/>
  <c r="AE44" i="7"/>
  <c r="AE45" i="7"/>
  <c r="AD43" i="7"/>
  <c r="AD44" i="7"/>
  <c r="AD45" i="7"/>
  <c r="AC43" i="7"/>
  <c r="AC44" i="7"/>
  <c r="AC45" i="7"/>
  <c r="AB43" i="7"/>
  <c r="AB44" i="7"/>
  <c r="AB45" i="7"/>
  <c r="AA43" i="7"/>
  <c r="AA44" i="7"/>
  <c r="AA45" i="7"/>
  <c r="Z43" i="7"/>
  <c r="Z44" i="7"/>
  <c r="Z45" i="7"/>
  <c r="Y43" i="7"/>
  <c r="Y44" i="7"/>
  <c r="Y45" i="7"/>
  <c r="X43" i="7"/>
  <c r="X44" i="7"/>
  <c r="X45" i="7"/>
  <c r="W43" i="7"/>
  <c r="W44" i="7"/>
  <c r="W45" i="7"/>
  <c r="V43" i="7"/>
  <c r="V44" i="7"/>
  <c r="V45" i="7"/>
  <c r="U43" i="7"/>
  <c r="U44" i="7"/>
  <c r="U45" i="7"/>
  <c r="T43" i="7"/>
  <c r="T44" i="7"/>
  <c r="T45" i="7"/>
  <c r="S43" i="7"/>
  <c r="S44" i="7"/>
  <c r="S45" i="7"/>
  <c r="R43" i="7"/>
  <c r="R44" i="7"/>
  <c r="R45" i="7"/>
  <c r="Q43" i="7"/>
  <c r="Q44" i="7"/>
  <c r="Q45" i="7"/>
  <c r="P43" i="7"/>
  <c r="P44" i="7"/>
  <c r="P45" i="7"/>
  <c r="O43" i="7"/>
  <c r="O44" i="7"/>
  <c r="O45" i="7"/>
  <c r="N43" i="7"/>
  <c r="N44" i="7"/>
  <c r="N45" i="7"/>
  <c r="M43" i="7"/>
  <c r="M44" i="7"/>
  <c r="M45" i="7"/>
  <c r="L43" i="7"/>
  <c r="L44" i="7"/>
  <c r="L45" i="7"/>
  <c r="K43" i="7"/>
  <c r="K44" i="7"/>
  <c r="K45" i="7"/>
  <c r="J43" i="7"/>
  <c r="J44" i="7"/>
  <c r="J45" i="7"/>
  <c r="I43" i="7"/>
  <c r="I44" i="7"/>
  <c r="I45" i="7"/>
  <c r="H43" i="7"/>
  <c r="H44" i="7"/>
  <c r="H45" i="7"/>
  <c r="G43" i="7"/>
  <c r="G44" i="7"/>
  <c r="G45" i="7"/>
  <c r="F43" i="7"/>
  <c r="F44" i="7"/>
  <c r="F45" i="7"/>
  <c r="E43" i="7"/>
  <c r="E44" i="7"/>
  <c r="E45" i="7"/>
  <c r="D43" i="7"/>
  <c r="D44" i="7"/>
  <c r="D45" i="7"/>
  <c r="AI39" i="7"/>
  <c r="AI40" i="7"/>
  <c r="AI41" i="7"/>
  <c r="AH39" i="7"/>
  <c r="AH40" i="7"/>
  <c r="AH41" i="7"/>
  <c r="AG39" i="7"/>
  <c r="AG40" i="7"/>
  <c r="AG41" i="7"/>
  <c r="AF39" i="7"/>
  <c r="AF40" i="7"/>
  <c r="AF41" i="7"/>
  <c r="AE39" i="7"/>
  <c r="AE40" i="7"/>
  <c r="AE41" i="7"/>
  <c r="AD39" i="7"/>
  <c r="AD40" i="7"/>
  <c r="AD41" i="7"/>
  <c r="AC39" i="7"/>
  <c r="AC40" i="7"/>
  <c r="AC41" i="7"/>
  <c r="AB39" i="7"/>
  <c r="AB40" i="7"/>
  <c r="AB41" i="7"/>
  <c r="AA39" i="7"/>
  <c r="AA40" i="7"/>
  <c r="AA41" i="7"/>
  <c r="Z39" i="7"/>
  <c r="Z40" i="7"/>
  <c r="Z41" i="7"/>
  <c r="Y39" i="7"/>
  <c r="Y40" i="7"/>
  <c r="Y41" i="7"/>
  <c r="X39" i="7"/>
  <c r="X40" i="7"/>
  <c r="X41" i="7"/>
  <c r="W39" i="7"/>
  <c r="W40" i="7"/>
  <c r="W41" i="7"/>
  <c r="V39" i="7"/>
  <c r="V40" i="7"/>
  <c r="V41" i="7"/>
  <c r="U39" i="7"/>
  <c r="U40" i="7"/>
  <c r="U41" i="7"/>
  <c r="T39" i="7"/>
  <c r="T40" i="7"/>
  <c r="T41" i="7"/>
  <c r="S39" i="7"/>
  <c r="S40" i="7"/>
  <c r="S41" i="7"/>
  <c r="R39" i="7"/>
  <c r="R40" i="7"/>
  <c r="R41" i="7"/>
  <c r="Q39" i="7"/>
  <c r="Q40" i="7"/>
  <c r="Q41" i="7"/>
  <c r="P39" i="7"/>
  <c r="P40" i="7"/>
  <c r="P41" i="7"/>
  <c r="O39" i="7"/>
  <c r="O40" i="7"/>
  <c r="O41" i="7"/>
  <c r="N39" i="7"/>
  <c r="N40" i="7"/>
  <c r="N41" i="7"/>
  <c r="M39" i="7"/>
  <c r="M40" i="7"/>
  <c r="M41" i="7"/>
  <c r="L39" i="7"/>
  <c r="L40" i="7"/>
  <c r="L41" i="7"/>
  <c r="K39" i="7"/>
  <c r="K40" i="7"/>
  <c r="K41" i="7"/>
  <c r="J39" i="7"/>
  <c r="J40" i="7"/>
  <c r="J41" i="7"/>
  <c r="I39" i="7"/>
  <c r="I40" i="7"/>
  <c r="I41" i="7"/>
  <c r="H39" i="7"/>
  <c r="H40" i="7"/>
  <c r="H41" i="7"/>
  <c r="G39" i="7"/>
  <c r="G40" i="7"/>
  <c r="G41" i="7"/>
  <c r="F39" i="7"/>
  <c r="F40" i="7"/>
  <c r="F41" i="7"/>
  <c r="E39" i="7"/>
  <c r="E40" i="7"/>
  <c r="E41" i="7"/>
  <c r="D39" i="7"/>
  <c r="D40" i="7"/>
  <c r="D41" i="7"/>
  <c r="C43" i="7"/>
  <c r="C44" i="7"/>
  <c r="C40" i="7"/>
  <c r="C39" i="7"/>
  <c r="C45" i="7"/>
  <c r="AJ45" i="7"/>
  <c r="AJ44" i="7"/>
  <c r="AJ43" i="7"/>
  <c r="C41" i="7"/>
  <c r="AJ41" i="7"/>
  <c r="AJ40" i="7"/>
  <c r="AJ39" i="7"/>
  <c r="C44" i="5"/>
  <c r="C45" i="5"/>
  <c r="C46" i="5"/>
  <c r="D44" i="5"/>
  <c r="D45" i="5"/>
  <c r="D46" i="5"/>
  <c r="E44" i="5"/>
  <c r="E45" i="5"/>
  <c r="E46" i="5"/>
  <c r="F44" i="5"/>
  <c r="F45" i="5"/>
  <c r="F46" i="5"/>
  <c r="G44" i="5"/>
  <c r="G45" i="5"/>
  <c r="G46" i="5"/>
  <c r="H44" i="5"/>
  <c r="H45" i="5"/>
  <c r="H46" i="5"/>
  <c r="I44" i="5"/>
  <c r="I45" i="5"/>
  <c r="I46" i="5"/>
  <c r="J44" i="5"/>
  <c r="J45" i="5"/>
  <c r="J46" i="5"/>
  <c r="K44" i="5"/>
  <c r="K45" i="5"/>
  <c r="K46" i="5"/>
  <c r="L44" i="5"/>
  <c r="L45" i="5"/>
  <c r="L46" i="5"/>
  <c r="M44" i="5"/>
  <c r="M45" i="5"/>
  <c r="M46" i="5"/>
  <c r="N44" i="5"/>
  <c r="N45" i="5"/>
  <c r="N46" i="5"/>
  <c r="O44" i="5"/>
  <c r="O45" i="5"/>
  <c r="O46" i="5"/>
  <c r="P44" i="5"/>
  <c r="P45" i="5"/>
  <c r="P46" i="5"/>
  <c r="Q44" i="5"/>
  <c r="Q45" i="5"/>
  <c r="Q46" i="5"/>
  <c r="R44" i="5"/>
  <c r="R45" i="5"/>
  <c r="R46" i="5"/>
  <c r="S44" i="5"/>
  <c r="S45" i="5"/>
  <c r="S46" i="5"/>
  <c r="T44" i="5"/>
  <c r="T45" i="5"/>
  <c r="T46" i="5"/>
  <c r="U44" i="5"/>
  <c r="U45" i="5"/>
  <c r="U46" i="5"/>
  <c r="V44" i="5"/>
  <c r="V45" i="5"/>
  <c r="V46" i="5"/>
  <c r="W44" i="5"/>
  <c r="W45" i="5"/>
  <c r="W46" i="5"/>
  <c r="X44" i="5"/>
  <c r="X45" i="5"/>
  <c r="X46" i="5"/>
  <c r="Y44" i="5"/>
  <c r="Y45" i="5"/>
  <c r="Y46" i="5"/>
  <c r="Z44" i="5"/>
  <c r="Z45" i="5"/>
  <c r="Z46" i="5"/>
  <c r="AA44" i="5"/>
  <c r="AA45" i="5"/>
  <c r="AA46" i="5"/>
  <c r="AB44" i="5"/>
  <c r="AB45" i="5"/>
  <c r="AB46" i="5"/>
  <c r="AC44" i="5"/>
  <c r="AC45" i="5"/>
  <c r="AC46" i="5"/>
  <c r="AD44" i="5"/>
  <c r="AD45" i="5"/>
  <c r="AD46" i="5"/>
  <c r="AE44" i="5"/>
  <c r="AE45" i="5"/>
  <c r="AE46" i="5"/>
  <c r="AF44" i="5"/>
  <c r="AF45" i="5"/>
  <c r="AF46" i="5"/>
  <c r="AG44" i="5"/>
  <c r="AG45" i="5"/>
  <c r="AG46" i="5"/>
  <c r="AH44" i="5"/>
  <c r="AH45" i="5"/>
  <c r="AH46" i="5"/>
  <c r="AI44" i="5"/>
  <c r="AI45" i="5"/>
  <c r="AI46" i="5"/>
  <c r="AJ46" i="5"/>
  <c r="AJ45" i="5"/>
  <c r="AJ44" i="5"/>
  <c r="C40" i="5"/>
  <c r="C41" i="5"/>
  <c r="C42" i="5"/>
  <c r="D40" i="5"/>
  <c r="D41" i="5"/>
  <c r="D42" i="5"/>
  <c r="E40" i="5"/>
  <c r="E41" i="5"/>
  <c r="E42" i="5"/>
  <c r="F40" i="5"/>
  <c r="F41" i="5"/>
  <c r="F42" i="5"/>
  <c r="G40" i="5"/>
  <c r="G41" i="5"/>
  <c r="G42" i="5"/>
  <c r="H40" i="5"/>
  <c r="H41" i="5"/>
  <c r="H42" i="5"/>
  <c r="I40" i="5"/>
  <c r="I41" i="5"/>
  <c r="I42" i="5"/>
  <c r="J40" i="5"/>
  <c r="J41" i="5"/>
  <c r="J42" i="5"/>
  <c r="K40" i="5"/>
  <c r="K41" i="5"/>
  <c r="K42" i="5"/>
  <c r="L40" i="5"/>
  <c r="L41" i="5"/>
  <c r="L42" i="5"/>
  <c r="M40" i="5"/>
  <c r="M41" i="5"/>
  <c r="M42" i="5"/>
  <c r="N40" i="5"/>
  <c r="N41" i="5"/>
  <c r="N42" i="5"/>
  <c r="O40" i="5"/>
  <c r="O41" i="5"/>
  <c r="O42" i="5"/>
  <c r="P40" i="5"/>
  <c r="P41" i="5"/>
  <c r="P42" i="5"/>
  <c r="Q40" i="5"/>
  <c r="Q41" i="5"/>
  <c r="Q42" i="5"/>
  <c r="R40" i="5"/>
  <c r="R41" i="5"/>
  <c r="R42" i="5"/>
  <c r="S40" i="5"/>
  <c r="S41" i="5"/>
  <c r="S42" i="5"/>
  <c r="T40" i="5"/>
  <c r="T41" i="5"/>
  <c r="T42" i="5"/>
  <c r="U40" i="5"/>
  <c r="U41" i="5"/>
  <c r="U42" i="5"/>
  <c r="V40" i="5"/>
  <c r="V41" i="5"/>
  <c r="V42" i="5"/>
  <c r="W40" i="5"/>
  <c r="W41" i="5"/>
  <c r="W42" i="5"/>
  <c r="X40" i="5"/>
  <c r="X41" i="5"/>
  <c r="X42" i="5"/>
  <c r="Y40" i="5"/>
  <c r="Y41" i="5"/>
  <c r="Y42" i="5"/>
  <c r="Z40" i="5"/>
  <c r="Z41" i="5"/>
  <c r="Z42" i="5"/>
  <c r="AA40" i="5"/>
  <c r="AA41" i="5"/>
  <c r="AA42" i="5"/>
  <c r="AB40" i="5"/>
  <c r="AB41" i="5"/>
  <c r="AB42" i="5"/>
  <c r="AC40" i="5"/>
  <c r="AC41" i="5"/>
  <c r="AC42" i="5"/>
  <c r="AD40" i="5"/>
  <c r="AD41" i="5"/>
  <c r="AD42" i="5"/>
  <c r="AE40" i="5"/>
  <c r="AE41" i="5"/>
  <c r="AE42" i="5"/>
  <c r="AF40" i="5"/>
  <c r="AF41" i="5"/>
  <c r="AF42" i="5"/>
  <c r="AG40" i="5"/>
  <c r="AG41" i="5"/>
  <c r="AG42" i="5"/>
  <c r="AH40" i="5"/>
  <c r="AH41" i="5"/>
  <c r="AH42" i="5"/>
  <c r="AI40" i="5"/>
  <c r="AI41" i="5"/>
  <c r="AI42" i="5"/>
  <c r="AJ42" i="5"/>
  <c r="AJ41" i="5"/>
  <c r="AJ40" i="5"/>
  <c r="AI140" i="17"/>
  <c r="AJ140" i="17"/>
  <c r="AJ138" i="17"/>
  <c r="AJ136" i="17"/>
  <c r="AJ134" i="17"/>
  <c r="AJ132" i="17"/>
  <c r="AJ130" i="17"/>
  <c r="AJ127" i="17"/>
  <c r="AJ126" i="17"/>
  <c r="AJ124" i="17"/>
  <c r="B43" i="20"/>
  <c r="B48" i="20"/>
  <c r="B53" i="20"/>
  <c r="B73" i="20"/>
  <c r="B78" i="20"/>
  <c r="B83" i="20"/>
  <c r="B88" i="20"/>
  <c r="B93" i="20"/>
  <c r="B98" i="20"/>
  <c r="B103" i="20"/>
  <c r="B108" i="20"/>
  <c r="B113" i="20"/>
  <c r="B118" i="20"/>
  <c r="B123" i="20"/>
  <c r="B128" i="20"/>
  <c r="B133" i="20"/>
  <c r="B138" i="20"/>
  <c r="B143" i="20"/>
  <c r="B148" i="20"/>
  <c r="B153" i="20"/>
  <c r="B158" i="20"/>
  <c r="B163" i="20"/>
  <c r="B168" i="20"/>
  <c r="B173" i="20"/>
  <c r="B178" i="20"/>
  <c r="B183" i="20"/>
  <c r="B188" i="20"/>
  <c r="B193" i="20"/>
  <c r="B198" i="20"/>
  <c r="AI29" i="20"/>
  <c r="AI30" i="20"/>
  <c r="AH36" i="20"/>
  <c r="AH38" i="20"/>
  <c r="AI3" i="20"/>
  <c r="AI4" i="20"/>
  <c r="AI39" i="20"/>
  <c r="AI202" i="20"/>
  <c r="B203" i="20"/>
  <c r="B2" i="20"/>
  <c r="AJ31" i="6"/>
  <c r="AJ41" i="4"/>
  <c r="AJ39" i="4"/>
  <c r="AJ30" i="3"/>
  <c r="AJ10" i="15"/>
  <c r="AJ10" i="13"/>
  <c r="AJ10" i="8"/>
  <c r="C14" i="20"/>
  <c r="D14" i="20"/>
  <c r="E14" i="20"/>
  <c r="F14" i="20"/>
  <c r="G14" i="20"/>
  <c r="H14" i="20"/>
  <c r="I14" i="20"/>
  <c r="J14" i="20"/>
  <c r="K14" i="20"/>
  <c r="L14" i="20"/>
  <c r="M14" i="20"/>
  <c r="N14" i="20"/>
  <c r="O14" i="20"/>
  <c r="P14" i="20"/>
  <c r="Q14" i="20"/>
  <c r="R14" i="20"/>
  <c r="S14" i="20"/>
  <c r="T14" i="20"/>
  <c r="U14" i="20"/>
  <c r="V14" i="20"/>
  <c r="W14" i="20"/>
  <c r="X14" i="20"/>
  <c r="Y14" i="20"/>
  <c r="Z14" i="20"/>
  <c r="AA14" i="20"/>
  <c r="AB14" i="20"/>
  <c r="AC14" i="20"/>
  <c r="AD14" i="20"/>
  <c r="AE14" i="20"/>
  <c r="AF14" i="20"/>
  <c r="AG14" i="20"/>
  <c r="AH14" i="20"/>
  <c r="AI14" i="20"/>
  <c r="AJ14" i="20"/>
  <c r="AJ13" i="20"/>
  <c r="AJ12" i="20"/>
  <c r="AJ11" i="20"/>
  <c r="AJ10" i="20"/>
  <c r="AJ9" i="20"/>
  <c r="AJ47" i="17"/>
  <c r="AJ45" i="17"/>
  <c r="AJ43" i="17"/>
  <c r="AJ41" i="17"/>
  <c r="AJ39" i="17"/>
  <c r="AJ37" i="17"/>
  <c r="AJ35" i="17"/>
  <c r="AJ33" i="17"/>
  <c r="AJ31" i="17"/>
  <c r="AJ29" i="17"/>
  <c r="AJ27" i="17"/>
  <c r="AJ25" i="17"/>
  <c r="C22" i="17"/>
  <c r="D22" i="17"/>
  <c r="E22" i="17"/>
  <c r="F22" i="17"/>
  <c r="G22" i="17"/>
  <c r="H22" i="17"/>
  <c r="I22" i="17"/>
  <c r="J22" i="17"/>
  <c r="K22" i="17"/>
  <c r="L22" i="17"/>
  <c r="M22" i="17"/>
  <c r="N22" i="17"/>
  <c r="O22" i="17"/>
  <c r="P22" i="17"/>
  <c r="Q22" i="17"/>
  <c r="R22" i="17"/>
  <c r="S22" i="17"/>
  <c r="T22" i="17"/>
  <c r="U22" i="17"/>
  <c r="V22" i="17"/>
  <c r="W22" i="17"/>
  <c r="X22" i="17"/>
  <c r="Y22" i="17"/>
  <c r="Z22" i="17"/>
  <c r="AA22" i="17"/>
  <c r="AB22" i="17"/>
  <c r="AC22" i="17"/>
  <c r="AD22" i="17"/>
  <c r="AE22" i="17"/>
  <c r="AF22" i="17"/>
  <c r="AG22" i="17"/>
  <c r="AH22" i="17"/>
  <c r="AI22" i="17"/>
  <c r="AJ22" i="17"/>
  <c r="AJ20" i="17"/>
  <c r="AJ18" i="17"/>
  <c r="AJ16" i="17"/>
  <c r="AJ14" i="17"/>
  <c r="AJ12" i="17"/>
  <c r="AJ10" i="17"/>
  <c r="AJ8" i="17"/>
  <c r="AJ6" i="17"/>
  <c r="AI123" i="17"/>
  <c r="AJ112" i="17"/>
  <c r="AJ111" i="17"/>
  <c r="AJ110" i="17"/>
  <c r="AJ109" i="17"/>
  <c r="AJ108" i="17"/>
  <c r="AJ105" i="17"/>
  <c r="C98" i="17"/>
  <c r="C104" i="17"/>
  <c r="D98" i="17"/>
  <c r="D104" i="17"/>
  <c r="E98" i="17"/>
  <c r="E104" i="17"/>
  <c r="F98" i="17"/>
  <c r="F104" i="17"/>
  <c r="G98" i="17"/>
  <c r="G104" i="17"/>
  <c r="H98" i="17"/>
  <c r="H104" i="17"/>
  <c r="I98" i="17"/>
  <c r="I104" i="17"/>
  <c r="J98" i="17"/>
  <c r="J104" i="17"/>
  <c r="K98" i="17"/>
  <c r="K104" i="17"/>
  <c r="L98" i="17"/>
  <c r="L104" i="17"/>
  <c r="M98" i="17"/>
  <c r="M104" i="17"/>
  <c r="N98" i="17"/>
  <c r="N104" i="17"/>
  <c r="O98" i="17"/>
  <c r="O104" i="17"/>
  <c r="P98" i="17"/>
  <c r="P104" i="17"/>
  <c r="Q98" i="17"/>
  <c r="Q104" i="17"/>
  <c r="R98" i="17"/>
  <c r="R104" i="17"/>
  <c r="S98" i="17"/>
  <c r="S104" i="17"/>
  <c r="T98" i="17"/>
  <c r="T104" i="17"/>
  <c r="U98" i="17"/>
  <c r="U104" i="17"/>
  <c r="V98" i="17"/>
  <c r="V104" i="17"/>
  <c r="W98" i="17"/>
  <c r="W104" i="17"/>
  <c r="X98" i="17"/>
  <c r="X104" i="17"/>
  <c r="Y98" i="17"/>
  <c r="Y104" i="17"/>
  <c r="Z98" i="17"/>
  <c r="Z104" i="17"/>
  <c r="AA98" i="17"/>
  <c r="AA104" i="17"/>
  <c r="AB98" i="17"/>
  <c r="AB104" i="17"/>
  <c r="AC98" i="17"/>
  <c r="AC104" i="17"/>
  <c r="AD98" i="17"/>
  <c r="AD104" i="17"/>
  <c r="AE98" i="17"/>
  <c r="AE104" i="17"/>
  <c r="AF98" i="17"/>
  <c r="AF104" i="17"/>
  <c r="AG98" i="17"/>
  <c r="AG104" i="17"/>
  <c r="AH98" i="17"/>
  <c r="AH104" i="17"/>
  <c r="AI98" i="17"/>
  <c r="AI104" i="17"/>
  <c r="AJ104" i="17"/>
  <c r="AJ103" i="17"/>
  <c r="B39" i="2"/>
  <c r="C39" i="2"/>
  <c r="AJ102" i="17"/>
  <c r="AJ101" i="17"/>
  <c r="AJ98" i="17"/>
  <c r="AJ97" i="17"/>
  <c r="AJ96" i="17"/>
  <c r="AJ95" i="17"/>
  <c r="AJ94" i="17"/>
  <c r="AJ93" i="17"/>
  <c r="AI34" i="18"/>
  <c r="AH34" i="18"/>
  <c r="AG34" i="18"/>
  <c r="AF34" i="18"/>
  <c r="AE34" i="18"/>
  <c r="AD34" i="18"/>
  <c r="AC34" i="18"/>
  <c r="AB34" i="18"/>
  <c r="AA34" i="18"/>
  <c r="Z34" i="18"/>
  <c r="Y34" i="18"/>
  <c r="X34" i="18"/>
  <c r="W34" i="18"/>
  <c r="V34" i="18"/>
  <c r="U34" i="18"/>
  <c r="T34" i="18"/>
  <c r="S34" i="18"/>
  <c r="R34" i="18"/>
  <c r="Q34" i="18"/>
  <c r="P34" i="18"/>
  <c r="O34" i="18"/>
  <c r="N34" i="18"/>
  <c r="M34" i="18"/>
  <c r="L34" i="18"/>
  <c r="K34" i="18"/>
  <c r="J34" i="18"/>
  <c r="I34" i="18"/>
  <c r="H34" i="18"/>
  <c r="G34" i="18"/>
  <c r="F34" i="18"/>
  <c r="E34" i="18"/>
  <c r="D34" i="18"/>
  <c r="C34" i="18"/>
  <c r="AJ122" i="17"/>
  <c r="C121" i="17"/>
  <c r="D121" i="17"/>
  <c r="E121" i="17"/>
  <c r="F121" i="17"/>
  <c r="G121" i="17"/>
  <c r="H121" i="17"/>
  <c r="I121" i="17"/>
  <c r="J121" i="17"/>
  <c r="K121" i="17"/>
  <c r="L121" i="17"/>
  <c r="M121" i="17"/>
  <c r="N121" i="17"/>
  <c r="O121" i="17"/>
  <c r="P121" i="17"/>
  <c r="Q121" i="17"/>
  <c r="R121" i="17"/>
  <c r="S121" i="17"/>
  <c r="T121" i="17"/>
  <c r="U121" i="17"/>
  <c r="V121" i="17"/>
  <c r="W121" i="17"/>
  <c r="X121" i="17"/>
  <c r="Y121" i="17"/>
  <c r="Z121" i="17"/>
  <c r="AA121" i="17"/>
  <c r="AB121" i="17"/>
  <c r="AC121" i="17"/>
  <c r="AD121" i="17"/>
  <c r="AE121" i="17"/>
  <c r="AF121" i="17"/>
  <c r="AG121" i="17"/>
  <c r="AH121" i="17"/>
  <c r="AI121" i="17"/>
  <c r="AJ121" i="17"/>
  <c r="AJ120" i="17"/>
  <c r="AJ118" i="17"/>
  <c r="AJ116" i="17"/>
  <c r="AI4" i="17"/>
  <c r="AH4" i="17"/>
  <c r="AG4" i="17"/>
  <c r="AF4" i="17"/>
  <c r="AE4" i="17"/>
  <c r="AD4" i="17"/>
  <c r="AC4" i="17"/>
  <c r="AB4" i="17"/>
  <c r="AA4" i="17"/>
  <c r="Z4" i="17"/>
  <c r="Y4" i="17"/>
  <c r="X4" i="17"/>
  <c r="W4" i="17"/>
  <c r="V4" i="17"/>
  <c r="U4" i="17"/>
  <c r="T4" i="17"/>
  <c r="S4" i="17"/>
  <c r="R4" i="17"/>
  <c r="Q4" i="17"/>
  <c r="P4" i="17"/>
  <c r="O4" i="17"/>
  <c r="N4" i="17"/>
  <c r="M4" i="17"/>
  <c r="L4" i="17"/>
  <c r="K4" i="17"/>
  <c r="J4" i="17"/>
  <c r="I4" i="17"/>
  <c r="H4" i="17"/>
  <c r="G4" i="17"/>
  <c r="F4" i="17"/>
  <c r="E4" i="17"/>
  <c r="D4" i="17"/>
  <c r="C4" i="17"/>
  <c r="AJ13" i="18"/>
  <c r="AJ16" i="18"/>
  <c r="AI8" i="18"/>
  <c r="AI29" i="18"/>
  <c r="AI28" i="18"/>
  <c r="AI22" i="18"/>
  <c r="AJ14" i="18"/>
  <c r="AJ205" i="20"/>
  <c r="AJ204" i="20"/>
  <c r="AJ203" i="20"/>
  <c r="AJ200" i="20"/>
  <c r="AI198" i="20"/>
  <c r="AI199" i="20"/>
  <c r="AJ199" i="20"/>
  <c r="AJ198" i="20"/>
  <c r="AJ195" i="20"/>
  <c r="AI193" i="20"/>
  <c r="AI194" i="20"/>
  <c r="AJ194" i="20"/>
  <c r="AJ193" i="20"/>
  <c r="AJ190" i="20"/>
  <c r="AI188" i="20"/>
  <c r="AI189" i="20"/>
  <c r="AJ189" i="20"/>
  <c r="AJ188" i="20"/>
  <c r="AJ185" i="20"/>
  <c r="AI183" i="20"/>
  <c r="AI184" i="20"/>
  <c r="AJ184" i="20"/>
  <c r="AJ183" i="20"/>
  <c r="AJ180" i="20"/>
  <c r="AI178" i="20"/>
  <c r="AI179" i="20"/>
  <c r="AJ179" i="20"/>
  <c r="AJ178" i="20"/>
  <c r="AJ175" i="20"/>
  <c r="AI173" i="20"/>
  <c r="AI174" i="20"/>
  <c r="AJ174" i="20"/>
  <c r="AJ173" i="20"/>
  <c r="AI172" i="20"/>
  <c r="AJ170" i="20"/>
  <c r="AI168" i="20"/>
  <c r="AI169" i="20"/>
  <c r="AJ169" i="20"/>
  <c r="AJ168" i="20"/>
  <c r="AI167" i="20"/>
  <c r="AJ165" i="20"/>
  <c r="AI163" i="20"/>
  <c r="AI164" i="20"/>
  <c r="AJ164" i="20"/>
  <c r="AJ163" i="20"/>
  <c r="AJ160" i="20"/>
  <c r="AI158" i="20"/>
  <c r="AI159" i="20"/>
  <c r="AJ159" i="20"/>
  <c r="AJ158" i="20"/>
  <c r="AJ155" i="20"/>
  <c r="AI153" i="20"/>
  <c r="AI154" i="20"/>
  <c r="AJ154" i="20"/>
  <c r="AJ153" i="20"/>
  <c r="AJ150" i="20"/>
  <c r="AI148" i="20"/>
  <c r="AI149" i="20"/>
  <c r="AJ149" i="20"/>
  <c r="AJ148" i="20"/>
  <c r="AJ145" i="20"/>
  <c r="AI143" i="20"/>
  <c r="AI144" i="20"/>
  <c r="AJ144" i="20"/>
  <c r="AJ143" i="20"/>
  <c r="AJ140" i="20"/>
  <c r="AI138" i="20"/>
  <c r="AI139" i="20"/>
  <c r="AJ139" i="20"/>
  <c r="AJ138" i="20"/>
  <c r="AJ135" i="20"/>
  <c r="AI133" i="20"/>
  <c r="AI134" i="20"/>
  <c r="AJ134" i="20"/>
  <c r="AJ133" i="20"/>
  <c r="AI132" i="20"/>
  <c r="AJ130" i="20"/>
  <c r="AI137" i="20"/>
  <c r="AI142" i="20"/>
  <c r="AI128" i="20"/>
  <c r="AI129" i="20"/>
  <c r="AJ129" i="20"/>
  <c r="AJ128" i="20"/>
  <c r="AJ125" i="20"/>
  <c r="AI123" i="20"/>
  <c r="AI124" i="20"/>
  <c r="AJ124" i="20"/>
  <c r="AJ123" i="20"/>
  <c r="AJ120" i="20"/>
  <c r="AI118" i="20"/>
  <c r="AI119" i="20"/>
  <c r="AJ119" i="20"/>
  <c r="AJ118" i="20"/>
  <c r="AJ115" i="20"/>
  <c r="AI113" i="20"/>
  <c r="AI114" i="20"/>
  <c r="AJ114" i="20"/>
  <c r="AJ113" i="20"/>
  <c r="AI112" i="20"/>
  <c r="AJ110" i="20"/>
  <c r="AI108" i="20"/>
  <c r="AI109" i="20"/>
  <c r="AJ109" i="20"/>
  <c r="AJ108" i="20"/>
  <c r="AJ105" i="20"/>
  <c r="AI103" i="20"/>
  <c r="AI104" i="20"/>
  <c r="AJ104" i="20"/>
  <c r="AJ103" i="20"/>
  <c r="AJ100" i="20"/>
  <c r="AI98" i="20"/>
  <c r="AI99" i="20"/>
  <c r="AJ99" i="20"/>
  <c r="AJ98" i="20"/>
  <c r="AJ95" i="20"/>
  <c r="AI93" i="20"/>
  <c r="AI94" i="20"/>
  <c r="AJ94" i="20"/>
  <c r="AJ93" i="20"/>
  <c r="AJ90" i="20"/>
  <c r="AI88" i="20"/>
  <c r="AI89" i="20"/>
  <c r="AJ89" i="20"/>
  <c r="AJ88" i="20"/>
  <c r="AJ85" i="20"/>
  <c r="AI83" i="20"/>
  <c r="AI84" i="20"/>
  <c r="AJ84" i="20"/>
  <c r="AJ83" i="20"/>
  <c r="AJ80" i="20"/>
  <c r="AI78" i="20"/>
  <c r="AI79" i="20"/>
  <c r="AJ79" i="20"/>
  <c r="AJ78" i="20"/>
  <c r="AJ75" i="20"/>
  <c r="AI73" i="20"/>
  <c r="AI74" i="20"/>
  <c r="AJ74" i="20"/>
  <c r="AJ73" i="20"/>
  <c r="AJ70" i="20"/>
  <c r="AI68" i="20"/>
  <c r="AI69" i="20"/>
  <c r="AJ69" i="20"/>
  <c r="AJ68" i="20"/>
  <c r="AJ65" i="20"/>
  <c r="AI63" i="20"/>
  <c r="AI64" i="20"/>
  <c r="AJ64" i="20"/>
  <c r="AJ63" i="20"/>
  <c r="AJ60" i="20"/>
  <c r="AI58" i="20"/>
  <c r="AI59" i="20"/>
  <c r="AJ59" i="20"/>
  <c r="AJ58" i="20"/>
  <c r="AJ55" i="20"/>
  <c r="AI53" i="20"/>
  <c r="AI54" i="20"/>
  <c r="AJ54" i="20"/>
  <c r="AJ53" i="20"/>
  <c r="AJ50" i="20"/>
  <c r="AI48" i="20"/>
  <c r="AI49" i="20"/>
  <c r="AJ49" i="20"/>
  <c r="AJ48" i="20"/>
  <c r="AJ45" i="20"/>
  <c r="AI43" i="20"/>
  <c r="AI44" i="20"/>
  <c r="AJ44" i="20"/>
  <c r="AJ43" i="20"/>
  <c r="AI42" i="20"/>
  <c r="AJ39" i="20"/>
  <c r="AI36" i="20"/>
  <c r="AI38" i="20"/>
  <c r="AJ38" i="20"/>
  <c r="G37" i="20"/>
  <c r="H37" i="20"/>
  <c r="I37" i="20"/>
  <c r="J37" i="20"/>
  <c r="K37" i="20"/>
  <c r="L37" i="20"/>
  <c r="M37" i="20"/>
  <c r="N37" i="20"/>
  <c r="O37" i="20"/>
  <c r="P37" i="20"/>
  <c r="Q37" i="20"/>
  <c r="R37" i="20"/>
  <c r="S37" i="20"/>
  <c r="T37" i="20"/>
  <c r="U37" i="20"/>
  <c r="V37" i="20"/>
  <c r="W37" i="20"/>
  <c r="X37" i="20"/>
  <c r="Y37" i="20"/>
  <c r="Z37" i="20"/>
  <c r="AA37" i="20"/>
  <c r="AB37" i="20"/>
  <c r="AC37" i="20"/>
  <c r="AD37" i="20"/>
  <c r="AE37" i="20"/>
  <c r="AF37" i="20"/>
  <c r="AG37" i="20"/>
  <c r="AH37" i="20"/>
  <c r="AI37" i="20"/>
  <c r="AJ37" i="20"/>
  <c r="AJ36" i="20"/>
  <c r="AJ33" i="20"/>
  <c r="C31" i="20"/>
  <c r="C32" i="20"/>
  <c r="D31" i="20"/>
  <c r="D32" i="20"/>
  <c r="E31" i="20"/>
  <c r="E32" i="20"/>
  <c r="F31" i="20"/>
  <c r="F32" i="20"/>
  <c r="G31" i="20"/>
  <c r="G32" i="20"/>
  <c r="H31" i="20"/>
  <c r="H32" i="20"/>
  <c r="I31" i="20"/>
  <c r="I32" i="20"/>
  <c r="J31" i="20"/>
  <c r="J32" i="20"/>
  <c r="K31" i="20"/>
  <c r="K32" i="20"/>
  <c r="L31" i="20"/>
  <c r="L32" i="20"/>
  <c r="M31" i="20"/>
  <c r="M32" i="20"/>
  <c r="N31" i="20"/>
  <c r="N32" i="20"/>
  <c r="O31" i="20"/>
  <c r="O32" i="20"/>
  <c r="P31" i="20"/>
  <c r="P32" i="20"/>
  <c r="Q31" i="20"/>
  <c r="Q32" i="20"/>
  <c r="R31" i="20"/>
  <c r="R32" i="20"/>
  <c r="S31" i="20"/>
  <c r="S32" i="20"/>
  <c r="T31" i="20"/>
  <c r="T32" i="20"/>
  <c r="U31" i="20"/>
  <c r="U32" i="20"/>
  <c r="V31" i="20"/>
  <c r="V32" i="20"/>
  <c r="W31" i="20"/>
  <c r="W32" i="20"/>
  <c r="X31" i="20"/>
  <c r="X32" i="20"/>
  <c r="Y31" i="20"/>
  <c r="Y32" i="20"/>
  <c r="Z31" i="20"/>
  <c r="Z32" i="20"/>
  <c r="AA31" i="20"/>
  <c r="AA32" i="20"/>
  <c r="AB31" i="20"/>
  <c r="AB32" i="20"/>
  <c r="AC31" i="20"/>
  <c r="AC32" i="20"/>
  <c r="AD31" i="20"/>
  <c r="AD32" i="20"/>
  <c r="AE31" i="20"/>
  <c r="AE32" i="20"/>
  <c r="AF31" i="20"/>
  <c r="AF32" i="20"/>
  <c r="AG31" i="20"/>
  <c r="AG32" i="20"/>
  <c r="AH31" i="20"/>
  <c r="AH32" i="20"/>
  <c r="AI31" i="20"/>
  <c r="AI32" i="20"/>
  <c r="AJ32" i="20"/>
  <c r="AJ31" i="20"/>
  <c r="AJ30" i="20"/>
  <c r="AJ29" i="20"/>
  <c r="AJ28" i="20"/>
  <c r="AJ27" i="20"/>
  <c r="AJ26" i="20"/>
  <c r="AJ25" i="20"/>
  <c r="AJ24" i="20"/>
  <c r="AJ23" i="20"/>
  <c r="AJ22" i="20"/>
  <c r="AJ6" i="20"/>
  <c r="C29" i="21"/>
  <c r="AK21" i="1"/>
  <c r="C208" i="20"/>
  <c r="D208" i="20"/>
  <c r="E208" i="20"/>
  <c r="F208" i="20"/>
  <c r="G208" i="20"/>
  <c r="H208" i="20"/>
  <c r="I208" i="20"/>
  <c r="J208" i="20"/>
  <c r="K208" i="20"/>
  <c r="L208" i="20"/>
  <c r="M208" i="20"/>
  <c r="N208" i="20"/>
  <c r="O208" i="20"/>
  <c r="P208" i="20"/>
  <c r="Q208" i="20"/>
  <c r="R208" i="20"/>
  <c r="S208" i="20"/>
  <c r="T208" i="20"/>
  <c r="U208" i="20"/>
  <c r="V208" i="20"/>
  <c r="W208" i="20"/>
  <c r="X208" i="20"/>
  <c r="Y208" i="20"/>
  <c r="Z208" i="20"/>
  <c r="AA208" i="20"/>
  <c r="AB208" i="20"/>
  <c r="AC208" i="20"/>
  <c r="AD208" i="20"/>
  <c r="AE208" i="20"/>
  <c r="AF208" i="20"/>
  <c r="AG208" i="20"/>
  <c r="AH208" i="20"/>
  <c r="AI208" i="20"/>
  <c r="AI47" i="20"/>
  <c r="AI52" i="20"/>
  <c r="AI57" i="20"/>
  <c r="AI62" i="20"/>
  <c r="AI67" i="20"/>
  <c r="AI72" i="20"/>
  <c r="AI77" i="20"/>
  <c r="AI82" i="20"/>
  <c r="AI87" i="20"/>
  <c r="AI92" i="20"/>
  <c r="AI97" i="20"/>
  <c r="AI102" i="20"/>
  <c r="AI107" i="20"/>
  <c r="AI117" i="20"/>
  <c r="AI122" i="20"/>
  <c r="AI127" i="20"/>
  <c r="AI147" i="20"/>
  <c r="AI152" i="20"/>
  <c r="AI157" i="20"/>
  <c r="AI162" i="20"/>
  <c r="AI177" i="20"/>
  <c r="AI182" i="20"/>
  <c r="AI187" i="20"/>
  <c r="AI192" i="20"/>
  <c r="AI197" i="20"/>
  <c r="AJ208" i="20"/>
  <c r="AI34" i="20"/>
  <c r="AH34" i="20"/>
  <c r="AG34" i="20"/>
  <c r="AF34" i="20"/>
  <c r="AE34" i="20"/>
  <c r="AD34" i="20"/>
  <c r="AC34" i="20"/>
  <c r="AB34" i="20"/>
  <c r="AA34" i="20"/>
  <c r="Z34" i="20"/>
  <c r="Y34" i="20"/>
  <c r="X34" i="20"/>
  <c r="W34" i="20"/>
  <c r="V34" i="20"/>
  <c r="U34" i="20"/>
  <c r="T34" i="20"/>
  <c r="S34" i="20"/>
  <c r="R34" i="20"/>
  <c r="Q34" i="20"/>
  <c r="P34" i="20"/>
  <c r="O34" i="20"/>
  <c r="N34" i="20"/>
  <c r="M34" i="20"/>
  <c r="L34" i="20"/>
  <c r="K34" i="20"/>
  <c r="J34" i="20"/>
  <c r="I34" i="20"/>
  <c r="H34" i="20"/>
  <c r="G34" i="20"/>
  <c r="F34" i="20"/>
  <c r="E34" i="20"/>
  <c r="D34" i="20"/>
  <c r="C34" i="20"/>
  <c r="A202" i="20"/>
  <c r="A197" i="20"/>
  <c r="A192" i="20"/>
  <c r="A187" i="20"/>
  <c r="A182" i="20"/>
  <c r="A177" i="20"/>
  <c r="A172" i="20"/>
  <c r="A167" i="20"/>
  <c r="A162" i="20"/>
  <c r="A157" i="20"/>
  <c r="A152" i="20"/>
  <c r="A147" i="20"/>
  <c r="A142" i="20"/>
  <c r="A137" i="20"/>
  <c r="A132" i="20"/>
  <c r="A127" i="20"/>
  <c r="A122" i="20"/>
  <c r="A117" i="20"/>
  <c r="A112" i="20"/>
  <c r="A107" i="20"/>
  <c r="A102" i="20"/>
  <c r="A97" i="20"/>
  <c r="A92" i="20"/>
  <c r="A87" i="20"/>
  <c r="A82" i="20"/>
  <c r="A77" i="20"/>
  <c r="A72" i="20"/>
  <c r="A67" i="20"/>
  <c r="A62" i="20"/>
  <c r="A57" i="20"/>
  <c r="A52" i="20"/>
  <c r="A47" i="20"/>
  <c r="A42" i="20"/>
  <c r="C2" i="3"/>
  <c r="C2" i="14"/>
  <c r="C2" i="15"/>
  <c r="C2" i="11"/>
  <c r="C2" i="13"/>
  <c r="C2" i="8"/>
  <c r="B2" i="2"/>
  <c r="AJ3" i="20"/>
  <c r="A2" i="19"/>
  <c r="A2" i="18"/>
  <c r="C32" i="21"/>
  <c r="AI27" i="21"/>
  <c r="AH27" i="21"/>
  <c r="AG27" i="21"/>
  <c r="AF27" i="21"/>
  <c r="AE27" i="21"/>
  <c r="AD27" i="21"/>
  <c r="AC27" i="21"/>
  <c r="AB27" i="21"/>
  <c r="AA27" i="21"/>
  <c r="Z27" i="21"/>
  <c r="Y27" i="21"/>
  <c r="X27" i="21"/>
  <c r="W27" i="21"/>
  <c r="V27" i="21"/>
  <c r="U27" i="21"/>
  <c r="T27" i="21"/>
  <c r="S27" i="21"/>
  <c r="R27" i="21"/>
  <c r="Q27" i="21"/>
  <c r="P27" i="21"/>
  <c r="O27" i="21"/>
  <c r="N27" i="21"/>
  <c r="M27" i="21"/>
  <c r="L27" i="21"/>
  <c r="K27" i="21"/>
  <c r="J27" i="21"/>
  <c r="I27" i="21"/>
  <c r="H27" i="21"/>
  <c r="G27" i="21"/>
  <c r="F27" i="21"/>
  <c r="E27" i="21"/>
  <c r="D27" i="21"/>
  <c r="C27" i="21"/>
  <c r="AI3" i="21"/>
  <c r="AH3" i="21"/>
  <c r="AG3" i="21"/>
  <c r="AF3" i="21"/>
  <c r="AE3" i="21"/>
  <c r="AD3" i="21"/>
  <c r="AC3" i="21"/>
  <c r="AB3" i="21"/>
  <c r="AA3" i="21"/>
  <c r="Z3" i="21"/>
  <c r="Y3" i="21"/>
  <c r="X3" i="21"/>
  <c r="W3" i="21"/>
  <c r="V3" i="21"/>
  <c r="U3" i="21"/>
  <c r="T3" i="21"/>
  <c r="S3" i="21"/>
  <c r="R3" i="21"/>
  <c r="Q3" i="21"/>
  <c r="P3" i="21"/>
  <c r="O3" i="21"/>
  <c r="N3" i="21"/>
  <c r="M3" i="21"/>
  <c r="L3" i="21"/>
  <c r="K3" i="21"/>
  <c r="J3" i="21"/>
  <c r="I3" i="21"/>
  <c r="H3" i="21"/>
  <c r="G3" i="21"/>
  <c r="F3" i="21"/>
  <c r="E3" i="21"/>
  <c r="D3" i="21"/>
  <c r="C3" i="21"/>
  <c r="AJ10" i="19"/>
  <c r="AJ6" i="19"/>
  <c r="AJ14" i="19"/>
  <c r="AJ15" i="19"/>
  <c r="AJ16" i="19"/>
  <c r="AJ17" i="19"/>
  <c r="AJ18" i="19"/>
  <c r="AJ19" i="19"/>
  <c r="AJ20" i="19"/>
  <c r="AJ21" i="19"/>
  <c r="AJ22" i="19"/>
  <c r="AJ23" i="19"/>
  <c r="AJ24" i="19"/>
  <c r="AJ25" i="19"/>
  <c r="AJ26" i="19"/>
  <c r="AJ27" i="19"/>
  <c r="AJ28" i="19"/>
  <c r="AJ29" i="19"/>
  <c r="AJ30" i="19"/>
  <c r="AJ31" i="19"/>
  <c r="AJ32" i="19"/>
  <c r="AJ33" i="19"/>
  <c r="AJ34" i="19"/>
  <c r="AJ35" i="19"/>
  <c r="AJ36" i="19"/>
  <c r="AJ37" i="19"/>
  <c r="AJ38" i="19"/>
  <c r="AJ39" i="19"/>
  <c r="AJ40" i="19"/>
  <c r="AJ41" i="19"/>
  <c r="AJ42" i="19"/>
  <c r="AJ43" i="19"/>
  <c r="AJ44" i="19"/>
  <c r="AJ45" i="19"/>
  <c r="AJ46" i="19"/>
  <c r="AJ47" i="19"/>
  <c r="AK34" i="1"/>
  <c r="AK35" i="1"/>
  <c r="AK36" i="1"/>
  <c r="AK37" i="1"/>
  <c r="AK38" i="1"/>
  <c r="AK39" i="1"/>
  <c r="AK40" i="1"/>
  <c r="AK47" i="19"/>
  <c r="AK48" i="19"/>
  <c r="B6" i="19"/>
  <c r="B4" i="19"/>
  <c r="AJ50" i="18"/>
  <c r="AJ49" i="18"/>
  <c r="AI48" i="18"/>
  <c r="AJ47" i="18"/>
  <c r="AJ45" i="18"/>
  <c r="AJ44" i="18"/>
  <c r="AJ43" i="18"/>
  <c r="AI40" i="18"/>
  <c r="AH40" i="18"/>
  <c r="AG40" i="18"/>
  <c r="AF40" i="18"/>
  <c r="AE40" i="18"/>
  <c r="AD40" i="18"/>
  <c r="AC40" i="18"/>
  <c r="AB40" i="18"/>
  <c r="AA40" i="18"/>
  <c r="Z40" i="18"/>
  <c r="Y40" i="18"/>
  <c r="X40" i="18"/>
  <c r="W40" i="18"/>
  <c r="V40" i="18"/>
  <c r="U40" i="18"/>
  <c r="T40" i="18"/>
  <c r="S40" i="18"/>
  <c r="R40" i="18"/>
  <c r="Q40" i="18"/>
  <c r="P40" i="18"/>
  <c r="O40" i="18"/>
  <c r="N40" i="18"/>
  <c r="M40" i="18"/>
  <c r="L40" i="18"/>
  <c r="K40" i="18"/>
  <c r="J40" i="18"/>
  <c r="I40" i="18"/>
  <c r="H40" i="18"/>
  <c r="G40" i="18"/>
  <c r="F40" i="18"/>
  <c r="E40" i="18"/>
  <c r="D40" i="18"/>
  <c r="C40" i="18"/>
  <c r="AI39" i="18"/>
  <c r="AH39" i="18"/>
  <c r="AG39" i="18"/>
  <c r="AF39" i="18"/>
  <c r="AE39" i="18"/>
  <c r="AD39" i="18"/>
  <c r="AC39" i="18"/>
  <c r="AB39" i="18"/>
  <c r="AA39" i="18"/>
  <c r="Z39" i="18"/>
  <c r="Y39" i="18"/>
  <c r="X39" i="18"/>
  <c r="W39" i="18"/>
  <c r="V39" i="18"/>
  <c r="U39" i="18"/>
  <c r="T39" i="18"/>
  <c r="S39" i="18"/>
  <c r="R39" i="18"/>
  <c r="Q39" i="18"/>
  <c r="P39" i="18"/>
  <c r="O39" i="18"/>
  <c r="N39" i="18"/>
  <c r="M39" i="18"/>
  <c r="L39" i="18"/>
  <c r="K39" i="18"/>
  <c r="J39" i="18"/>
  <c r="I39" i="18"/>
  <c r="H39" i="18"/>
  <c r="G39" i="18"/>
  <c r="F39" i="18"/>
  <c r="E39" i="18"/>
  <c r="D39" i="18"/>
  <c r="C39" i="18"/>
  <c r="AI38" i="18"/>
  <c r="AH38" i="18"/>
  <c r="AG38" i="18"/>
  <c r="AF38" i="18"/>
  <c r="AE38" i="18"/>
  <c r="AD38" i="18"/>
  <c r="AC38" i="18"/>
  <c r="AB38" i="18"/>
  <c r="AA38" i="18"/>
  <c r="Z38" i="18"/>
  <c r="Y38" i="18"/>
  <c r="X38" i="18"/>
  <c r="W38" i="18"/>
  <c r="V38" i="18"/>
  <c r="U38" i="18"/>
  <c r="T38" i="18"/>
  <c r="S38" i="18"/>
  <c r="R38" i="18"/>
  <c r="Q38" i="18"/>
  <c r="P38" i="18"/>
  <c r="O38" i="18"/>
  <c r="N38" i="18"/>
  <c r="M38" i="18"/>
  <c r="L38" i="18"/>
  <c r="K38" i="18"/>
  <c r="J38" i="18"/>
  <c r="I38" i="18"/>
  <c r="H38" i="18"/>
  <c r="G38" i="18"/>
  <c r="F38" i="18"/>
  <c r="E38" i="18"/>
  <c r="D38" i="18"/>
  <c r="C38" i="18"/>
  <c r="AI37" i="18"/>
  <c r="AH37" i="18"/>
  <c r="AG37" i="18"/>
  <c r="AF37" i="18"/>
  <c r="AE37" i="18"/>
  <c r="AD37" i="18"/>
  <c r="AC37" i="18"/>
  <c r="AB37" i="18"/>
  <c r="AA37" i="18"/>
  <c r="Z37" i="18"/>
  <c r="Y37" i="18"/>
  <c r="X37" i="18"/>
  <c r="W37" i="18"/>
  <c r="V37" i="18"/>
  <c r="U37" i="18"/>
  <c r="T37" i="18"/>
  <c r="S37" i="18"/>
  <c r="R37" i="18"/>
  <c r="Q37" i="18"/>
  <c r="P37" i="18"/>
  <c r="O37" i="18"/>
  <c r="N37" i="18"/>
  <c r="M37" i="18"/>
  <c r="L37" i="18"/>
  <c r="K37" i="18"/>
  <c r="J37" i="18"/>
  <c r="I37" i="18"/>
  <c r="H37" i="18"/>
  <c r="G37" i="18"/>
  <c r="F37" i="18"/>
  <c r="E37" i="18"/>
  <c r="D37" i="18"/>
  <c r="C37" i="18"/>
  <c r="AI36" i="18"/>
  <c r="AH36" i="18"/>
  <c r="AG36" i="18"/>
  <c r="AF36" i="18"/>
  <c r="AE36" i="18"/>
  <c r="AD36" i="18"/>
  <c r="AC36" i="18"/>
  <c r="AB36" i="18"/>
  <c r="AA36" i="18"/>
  <c r="Z36" i="18"/>
  <c r="Y36" i="18"/>
  <c r="X36" i="18"/>
  <c r="W36" i="18"/>
  <c r="V36" i="18"/>
  <c r="U36" i="18"/>
  <c r="T36" i="18"/>
  <c r="S36" i="18"/>
  <c r="R36" i="18"/>
  <c r="Q36" i="18"/>
  <c r="P36" i="18"/>
  <c r="O36" i="18"/>
  <c r="N36" i="18"/>
  <c r="M36" i="18"/>
  <c r="L36" i="18"/>
  <c r="K36" i="18"/>
  <c r="J36" i="18"/>
  <c r="I36" i="18"/>
  <c r="H36" i="18"/>
  <c r="G36" i="18"/>
  <c r="F36" i="18"/>
  <c r="E36" i="18"/>
  <c r="D36" i="18"/>
  <c r="C36" i="18"/>
  <c r="AI35" i="18"/>
  <c r="AH35" i="18"/>
  <c r="AG35" i="18"/>
  <c r="AF35" i="18"/>
  <c r="AE35" i="18"/>
  <c r="AD35" i="18"/>
  <c r="AC35" i="18"/>
  <c r="AB35" i="18"/>
  <c r="AA35" i="18"/>
  <c r="Z35" i="18"/>
  <c r="Y35" i="18"/>
  <c r="X35" i="18"/>
  <c r="W35" i="18"/>
  <c r="V35" i="18"/>
  <c r="U35" i="18"/>
  <c r="T35" i="18"/>
  <c r="S35" i="18"/>
  <c r="R35" i="18"/>
  <c r="Q35" i="18"/>
  <c r="P35" i="18"/>
  <c r="O35" i="18"/>
  <c r="N35" i="18"/>
  <c r="M35" i="18"/>
  <c r="L35" i="18"/>
  <c r="K35" i="18"/>
  <c r="J35" i="18"/>
  <c r="I35" i="18"/>
  <c r="H35" i="18"/>
  <c r="G35" i="18"/>
  <c r="F35" i="18"/>
  <c r="E35" i="18"/>
  <c r="D35" i="18"/>
  <c r="C35" i="18"/>
  <c r="AJ34" i="18"/>
  <c r="AI30" i="18"/>
  <c r="AJ25" i="18"/>
  <c r="AJ21" i="18"/>
  <c r="C20" i="18"/>
  <c r="D20" i="18"/>
  <c r="E20" i="18"/>
  <c r="F20" i="18"/>
  <c r="G20" i="18"/>
  <c r="H20" i="18"/>
  <c r="I20" i="18"/>
  <c r="J20" i="18"/>
  <c r="K20" i="18"/>
  <c r="L20" i="18"/>
  <c r="M20" i="18"/>
  <c r="N20" i="18"/>
  <c r="O20" i="18"/>
  <c r="P20" i="18"/>
  <c r="Q20" i="18"/>
  <c r="R20" i="18"/>
  <c r="S20" i="18"/>
  <c r="T20" i="18"/>
  <c r="U20" i="18"/>
  <c r="V20" i="18"/>
  <c r="W20" i="18"/>
  <c r="X20" i="18"/>
  <c r="Y20" i="18"/>
  <c r="Z20" i="18"/>
  <c r="AA20" i="18"/>
  <c r="AB20" i="18"/>
  <c r="AC20" i="18"/>
  <c r="AD20" i="18"/>
  <c r="AE20" i="18"/>
  <c r="AF20" i="18"/>
  <c r="AG20" i="18"/>
  <c r="AH20" i="18"/>
  <c r="AI20" i="18"/>
  <c r="AJ20" i="18"/>
  <c r="AJ19" i="18"/>
  <c r="AJ18" i="18"/>
  <c r="AJ17" i="18"/>
  <c r="AJ12" i="18"/>
  <c r="AJ8" i="18"/>
  <c r="A8" i="18"/>
  <c r="AJ6" i="18"/>
  <c r="AJ4" i="18"/>
  <c r="AI3" i="18"/>
  <c r="AH3" i="18"/>
  <c r="AG3" i="18"/>
  <c r="AF3" i="18"/>
  <c r="AE3" i="18"/>
  <c r="AD3" i="18"/>
  <c r="AC3" i="18"/>
  <c r="AB3" i="18"/>
  <c r="AA3" i="18"/>
  <c r="Z3" i="18"/>
  <c r="Y3" i="18"/>
  <c r="X3" i="18"/>
  <c r="W3" i="18"/>
  <c r="V3" i="18"/>
  <c r="U3" i="18"/>
  <c r="T3" i="18"/>
  <c r="S3" i="18"/>
  <c r="R3" i="18"/>
  <c r="Q3" i="18"/>
  <c r="P3" i="18"/>
  <c r="O3" i="18"/>
  <c r="N3" i="18"/>
  <c r="M3" i="18"/>
  <c r="L3" i="18"/>
  <c r="K3" i="18"/>
  <c r="J3" i="18"/>
  <c r="I3" i="18"/>
  <c r="H3" i="18"/>
  <c r="G3" i="18"/>
  <c r="F3" i="18"/>
  <c r="E3" i="18"/>
  <c r="D3" i="18"/>
  <c r="C3" i="18"/>
  <c r="AJ38" i="6"/>
  <c r="AJ54" i="4"/>
  <c r="AJ53" i="4"/>
  <c r="AJ48" i="4"/>
  <c r="AJ13" i="4"/>
  <c r="AJ5" i="4"/>
  <c r="AJ38" i="11"/>
  <c r="AJ38" i="14"/>
  <c r="AJ38" i="2"/>
  <c r="AJ4" i="11"/>
  <c r="AJ4" i="14"/>
  <c r="AJ4" i="2"/>
  <c r="AJ13" i="11"/>
  <c r="AJ13" i="14"/>
  <c r="AJ13" i="2"/>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C21" i="6"/>
  <c r="C33" i="7"/>
  <c r="C32" i="7"/>
  <c r="C34" i="5"/>
  <c r="C31" i="5"/>
  <c r="C47" i="6"/>
  <c r="AJ44" i="6"/>
  <c r="C46" i="6"/>
  <c r="C57" i="4"/>
  <c r="AJ45" i="4"/>
  <c r="AJ36" i="4"/>
  <c r="C56" i="4"/>
  <c r="C47" i="3"/>
  <c r="AJ35" i="3"/>
  <c r="AJ44" i="3"/>
  <c r="C46" i="3"/>
  <c r="C47" i="14"/>
  <c r="C46" i="14"/>
  <c r="C47" i="11"/>
  <c r="AJ44" i="11"/>
  <c r="C46" i="11"/>
  <c r="AJ44" i="2"/>
  <c r="C46" i="2"/>
  <c r="C47" i="2"/>
  <c r="AJ21" i="6"/>
  <c r="AJ18" i="6"/>
  <c r="AJ19" i="6"/>
  <c r="AJ13" i="6"/>
  <c r="AJ17" i="4"/>
  <c r="C25" i="7"/>
  <c r="D25" i="7"/>
  <c r="E25" i="7"/>
  <c r="F25" i="7"/>
  <c r="G25" i="7"/>
  <c r="H25"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C27" i="5"/>
  <c r="D27" i="5"/>
  <c r="E27" i="5"/>
  <c r="F27" i="5"/>
  <c r="G27" i="5"/>
  <c r="H27" i="5"/>
  <c r="I27" i="5"/>
  <c r="J27" i="5"/>
  <c r="K27" i="5"/>
  <c r="L27" i="5"/>
  <c r="M27" i="5"/>
  <c r="N27" i="5"/>
  <c r="O27" i="5"/>
  <c r="P27" i="5"/>
  <c r="Q27" i="5"/>
  <c r="R27" i="5"/>
  <c r="S27" i="5"/>
  <c r="T27" i="5"/>
  <c r="U27" i="5"/>
  <c r="V27" i="5"/>
  <c r="W27" i="5"/>
  <c r="X27" i="5"/>
  <c r="Y27" i="5"/>
  <c r="Z27" i="5"/>
  <c r="AA27" i="5"/>
  <c r="AB27" i="5"/>
  <c r="AC27" i="5"/>
  <c r="AD27" i="5"/>
  <c r="AE27" i="5"/>
  <c r="AF27" i="5"/>
  <c r="AG27" i="5"/>
  <c r="AH27" i="5"/>
  <c r="AI27" i="5"/>
  <c r="AJ27" i="5"/>
  <c r="AK27" i="5"/>
  <c r="AJ5" i="12"/>
  <c r="AJ5" i="10"/>
  <c r="AJ9" i="10"/>
  <c r="AJ10" i="10"/>
  <c r="AJ11" i="10"/>
  <c r="AJ34" i="4"/>
  <c r="AJ20" i="4"/>
  <c r="AJ18" i="4"/>
  <c r="AK83" i="1"/>
  <c r="B58" i="4"/>
  <c r="AK22" i="1"/>
  <c r="AK23" i="1"/>
  <c r="AK20" i="1"/>
  <c r="AJ6" i="15"/>
  <c r="AJ7" i="15"/>
  <c r="AJ6" i="13"/>
  <c r="AJ7" i="13"/>
  <c r="AJ6" i="8"/>
  <c r="AJ7" i="8"/>
  <c r="A12" i="8"/>
  <c r="C29" i="15"/>
  <c r="D29" i="15"/>
  <c r="E29" i="15"/>
  <c r="F29" i="15"/>
  <c r="G29" i="15"/>
  <c r="H29" i="15"/>
  <c r="I29" i="15"/>
  <c r="J29" i="15"/>
  <c r="K29" i="15"/>
  <c r="L29" i="15"/>
  <c r="M29" i="15"/>
  <c r="N29" i="15"/>
  <c r="O29" i="15"/>
  <c r="P29" i="15"/>
  <c r="Q29" i="15"/>
  <c r="R29" i="15"/>
  <c r="S29" i="15"/>
  <c r="T29" i="15"/>
  <c r="U29" i="15"/>
  <c r="V29" i="15"/>
  <c r="W29" i="15"/>
  <c r="X29" i="15"/>
  <c r="Y29" i="15"/>
  <c r="Z29" i="15"/>
  <c r="AA29" i="15"/>
  <c r="AB29" i="15"/>
  <c r="AC29" i="15"/>
  <c r="AD29" i="15"/>
  <c r="AE29" i="15"/>
  <c r="AF29" i="15"/>
  <c r="AG29" i="15"/>
  <c r="AH29" i="15"/>
  <c r="C35" i="13"/>
  <c r="D35" i="15"/>
  <c r="E35" i="15"/>
  <c r="F35" i="15"/>
  <c r="G35" i="15"/>
  <c r="H35" i="15"/>
  <c r="I35" i="15"/>
  <c r="J35" i="15"/>
  <c r="K35" i="15"/>
  <c r="L35" i="15"/>
  <c r="M35" i="15"/>
  <c r="N35" i="15"/>
  <c r="O35" i="15"/>
  <c r="P35" i="15"/>
  <c r="Q35" i="15"/>
  <c r="R35" i="15"/>
  <c r="S35" i="15"/>
  <c r="T35" i="15"/>
  <c r="U35" i="15"/>
  <c r="V35" i="15"/>
  <c r="W35" i="15"/>
  <c r="X35" i="15"/>
  <c r="Y35" i="15"/>
  <c r="Z35" i="15"/>
  <c r="AA35" i="15"/>
  <c r="AB35" i="15"/>
  <c r="AC35" i="15"/>
  <c r="AD35" i="15"/>
  <c r="AE35" i="15"/>
  <c r="AF35" i="15"/>
  <c r="AG35" i="15"/>
  <c r="AH35" i="15"/>
  <c r="AI35" i="15"/>
  <c r="C35" i="15"/>
  <c r="D35" i="13"/>
  <c r="E35" i="13"/>
  <c r="F35" i="13"/>
  <c r="G35" i="13"/>
  <c r="H35" i="13"/>
  <c r="I35" i="13"/>
  <c r="J35" i="13"/>
  <c r="K35" i="13"/>
  <c r="L35" i="13"/>
  <c r="M35" i="13"/>
  <c r="N35" i="13"/>
  <c r="O35" i="13"/>
  <c r="P35" i="13"/>
  <c r="Q35" i="13"/>
  <c r="R35" i="13"/>
  <c r="S35" i="13"/>
  <c r="T35" i="13"/>
  <c r="U35" i="13"/>
  <c r="V35" i="13"/>
  <c r="W35" i="13"/>
  <c r="X35" i="13"/>
  <c r="Y35" i="13"/>
  <c r="Z35" i="13"/>
  <c r="AA35" i="13"/>
  <c r="AB35" i="13"/>
  <c r="AC35" i="13"/>
  <c r="AD35" i="13"/>
  <c r="AE35" i="13"/>
  <c r="AF35" i="13"/>
  <c r="AG35" i="13"/>
  <c r="AH35" i="13"/>
  <c r="AI35" i="13"/>
  <c r="D36" i="13"/>
  <c r="E36" i="13"/>
  <c r="F36" i="13"/>
  <c r="G36" i="13"/>
  <c r="H36" i="13"/>
  <c r="I36" i="13"/>
  <c r="J36" i="13"/>
  <c r="K36" i="13"/>
  <c r="L36" i="13"/>
  <c r="M36" i="13"/>
  <c r="N36" i="13"/>
  <c r="O36" i="13"/>
  <c r="P36" i="13"/>
  <c r="Q36" i="13"/>
  <c r="R36" i="13"/>
  <c r="S36" i="13"/>
  <c r="T36" i="13"/>
  <c r="U36" i="13"/>
  <c r="V36" i="13"/>
  <c r="W36" i="13"/>
  <c r="X36" i="13"/>
  <c r="Y36" i="13"/>
  <c r="Z36" i="13"/>
  <c r="AA36" i="13"/>
  <c r="AB36" i="13"/>
  <c r="AC36" i="13"/>
  <c r="AD36" i="13"/>
  <c r="AE36" i="13"/>
  <c r="AF36" i="13"/>
  <c r="AG36" i="13"/>
  <c r="AH36" i="13"/>
  <c r="AI36" i="13"/>
  <c r="D41" i="13"/>
  <c r="D40" i="13"/>
  <c r="D39" i="13"/>
  <c r="D38" i="13"/>
  <c r="D37" i="13"/>
  <c r="E41" i="13"/>
  <c r="E40" i="13"/>
  <c r="E39" i="13"/>
  <c r="E38" i="13"/>
  <c r="E37" i="13"/>
  <c r="F41" i="13"/>
  <c r="F40" i="13"/>
  <c r="F39" i="13"/>
  <c r="F38" i="13"/>
  <c r="F37" i="13"/>
  <c r="G41" i="13"/>
  <c r="G40" i="13"/>
  <c r="G39" i="13"/>
  <c r="G38" i="13"/>
  <c r="G37" i="13"/>
  <c r="H41" i="13"/>
  <c r="H40" i="13"/>
  <c r="H39" i="13"/>
  <c r="H38" i="13"/>
  <c r="H37" i="13"/>
  <c r="I41" i="13"/>
  <c r="I40" i="13"/>
  <c r="I39" i="13"/>
  <c r="I38" i="13"/>
  <c r="I37" i="13"/>
  <c r="J41" i="13"/>
  <c r="J40" i="13"/>
  <c r="J39" i="13"/>
  <c r="J38" i="13"/>
  <c r="J37" i="13"/>
  <c r="K41" i="13"/>
  <c r="K40" i="13"/>
  <c r="K39" i="13"/>
  <c r="K38" i="13"/>
  <c r="K37" i="13"/>
  <c r="L41" i="13"/>
  <c r="L40" i="13"/>
  <c r="L39" i="13"/>
  <c r="L38" i="13"/>
  <c r="L37" i="13"/>
  <c r="M41" i="13"/>
  <c r="M40" i="13"/>
  <c r="M39" i="13"/>
  <c r="M38" i="13"/>
  <c r="M37" i="13"/>
  <c r="N41" i="13"/>
  <c r="N40" i="13"/>
  <c r="N39" i="13"/>
  <c r="N38" i="13"/>
  <c r="N37" i="13"/>
  <c r="O41" i="13"/>
  <c r="O40" i="13"/>
  <c r="O39" i="13"/>
  <c r="O38" i="13"/>
  <c r="O37" i="13"/>
  <c r="P41" i="13"/>
  <c r="P40" i="13"/>
  <c r="P39" i="13"/>
  <c r="P38" i="13"/>
  <c r="P37" i="13"/>
  <c r="Q41" i="13"/>
  <c r="Q40" i="13"/>
  <c r="Q39" i="13"/>
  <c r="Q38" i="13"/>
  <c r="Q37" i="13"/>
  <c r="R41" i="13"/>
  <c r="R40" i="13"/>
  <c r="R39" i="13"/>
  <c r="R38" i="13"/>
  <c r="R37" i="13"/>
  <c r="S41" i="13"/>
  <c r="S40" i="13"/>
  <c r="S39" i="13"/>
  <c r="S38" i="13"/>
  <c r="S37" i="13"/>
  <c r="T41" i="13"/>
  <c r="T40" i="13"/>
  <c r="T39" i="13"/>
  <c r="T38" i="13"/>
  <c r="T37" i="13"/>
  <c r="U41" i="13"/>
  <c r="U40" i="13"/>
  <c r="U39" i="13"/>
  <c r="U38" i="13"/>
  <c r="U37" i="13"/>
  <c r="V41" i="13"/>
  <c r="V40" i="13"/>
  <c r="V39" i="13"/>
  <c r="V38" i="13"/>
  <c r="V37" i="13"/>
  <c r="W41" i="13"/>
  <c r="W40" i="13"/>
  <c r="W39" i="13"/>
  <c r="W38" i="13"/>
  <c r="W37" i="13"/>
  <c r="X41" i="13"/>
  <c r="X40" i="13"/>
  <c r="X39" i="13"/>
  <c r="X38" i="13"/>
  <c r="X37" i="13"/>
  <c r="Y41" i="13"/>
  <c r="Y40" i="13"/>
  <c r="Y39" i="13"/>
  <c r="Y38" i="13"/>
  <c r="Y37" i="13"/>
  <c r="Z41" i="13"/>
  <c r="Z40" i="13"/>
  <c r="Z39" i="13"/>
  <c r="Z38" i="13"/>
  <c r="Z37" i="13"/>
  <c r="AA41" i="13"/>
  <c r="AA40" i="13"/>
  <c r="AA39" i="13"/>
  <c r="AA38" i="13"/>
  <c r="AA37" i="13"/>
  <c r="AB41" i="13"/>
  <c r="AB40" i="13"/>
  <c r="AB39" i="13"/>
  <c r="AB38" i="13"/>
  <c r="AB37" i="13"/>
  <c r="AC41" i="13"/>
  <c r="AC40" i="13"/>
  <c r="AC39" i="13"/>
  <c r="AC38" i="13"/>
  <c r="AC37" i="13"/>
  <c r="AD41" i="13"/>
  <c r="AD40" i="13"/>
  <c r="AD39" i="13"/>
  <c r="AD38" i="13"/>
  <c r="AD37" i="13"/>
  <c r="AE41" i="13"/>
  <c r="AE40" i="13"/>
  <c r="AE39" i="13"/>
  <c r="AE38" i="13"/>
  <c r="AE37" i="13"/>
  <c r="AF41" i="13"/>
  <c r="AF40" i="13"/>
  <c r="AF39" i="13"/>
  <c r="AF38" i="13"/>
  <c r="AF37" i="13"/>
  <c r="AG41" i="13"/>
  <c r="AG40" i="13"/>
  <c r="AG39" i="13"/>
  <c r="AG38" i="13"/>
  <c r="AG37" i="13"/>
  <c r="AH41" i="13"/>
  <c r="AH40" i="13"/>
  <c r="AH39" i="13"/>
  <c r="AH38" i="13"/>
  <c r="AH37" i="13"/>
  <c r="AI41" i="13"/>
  <c r="AI40" i="13"/>
  <c r="AI39" i="13"/>
  <c r="AI38" i="13"/>
  <c r="AI37" i="13"/>
  <c r="D36" i="15"/>
  <c r="E36" i="15"/>
  <c r="F36" i="15"/>
  <c r="G36" i="15"/>
  <c r="H36" i="15"/>
  <c r="I36" i="15"/>
  <c r="J36" i="15"/>
  <c r="K36" i="15"/>
  <c r="L36" i="15"/>
  <c r="M36" i="15"/>
  <c r="N36" i="15"/>
  <c r="O36" i="15"/>
  <c r="P36" i="15"/>
  <c r="Q36" i="15"/>
  <c r="R36" i="15"/>
  <c r="S36" i="15"/>
  <c r="T36" i="15"/>
  <c r="U36" i="15"/>
  <c r="V36" i="15"/>
  <c r="W36" i="15"/>
  <c r="X36" i="15"/>
  <c r="Y36" i="15"/>
  <c r="Z36" i="15"/>
  <c r="AA36" i="15"/>
  <c r="AB36" i="15"/>
  <c r="AC36" i="15"/>
  <c r="AD36" i="15"/>
  <c r="AE36" i="15"/>
  <c r="AF36" i="15"/>
  <c r="AG36" i="15"/>
  <c r="AH36" i="15"/>
  <c r="AI36" i="15"/>
  <c r="D41" i="15"/>
  <c r="D40" i="15"/>
  <c r="D39" i="15"/>
  <c r="D38" i="15"/>
  <c r="D37" i="15"/>
  <c r="E41" i="15"/>
  <c r="E40" i="15"/>
  <c r="E39" i="15"/>
  <c r="E38" i="15"/>
  <c r="E37" i="15"/>
  <c r="F41" i="15"/>
  <c r="F40" i="15"/>
  <c r="F39" i="15"/>
  <c r="F38" i="15"/>
  <c r="F37" i="15"/>
  <c r="G41" i="15"/>
  <c r="G40" i="15"/>
  <c r="G39" i="15"/>
  <c r="G38" i="15"/>
  <c r="G37" i="15"/>
  <c r="H41" i="15"/>
  <c r="H40" i="15"/>
  <c r="H39" i="15"/>
  <c r="H38" i="15"/>
  <c r="H37" i="15"/>
  <c r="I41" i="15"/>
  <c r="I40" i="15"/>
  <c r="I39" i="15"/>
  <c r="I38" i="15"/>
  <c r="I37" i="15"/>
  <c r="J41" i="15"/>
  <c r="J40" i="15"/>
  <c r="J39" i="15"/>
  <c r="J38" i="15"/>
  <c r="J37" i="15"/>
  <c r="K41" i="15"/>
  <c r="K40" i="15"/>
  <c r="K39" i="15"/>
  <c r="K38" i="15"/>
  <c r="K37" i="15"/>
  <c r="L41" i="15"/>
  <c r="L40" i="15"/>
  <c r="L39" i="15"/>
  <c r="L38" i="15"/>
  <c r="L37" i="15"/>
  <c r="M41" i="15"/>
  <c r="M40" i="15"/>
  <c r="M39" i="15"/>
  <c r="M38" i="15"/>
  <c r="M37" i="15"/>
  <c r="N41" i="15"/>
  <c r="N40" i="15"/>
  <c r="N39" i="15"/>
  <c r="N38" i="15"/>
  <c r="N37" i="15"/>
  <c r="O41" i="15"/>
  <c r="O40" i="15"/>
  <c r="O39" i="15"/>
  <c r="O38" i="15"/>
  <c r="O37" i="15"/>
  <c r="P41" i="15"/>
  <c r="P40" i="15"/>
  <c r="P39" i="15"/>
  <c r="P38" i="15"/>
  <c r="P37" i="15"/>
  <c r="Q41" i="15"/>
  <c r="Q40" i="15"/>
  <c r="Q39" i="15"/>
  <c r="Q38" i="15"/>
  <c r="Q37" i="15"/>
  <c r="R41" i="15"/>
  <c r="R40" i="15"/>
  <c r="R39" i="15"/>
  <c r="R38" i="15"/>
  <c r="R37" i="15"/>
  <c r="S41" i="15"/>
  <c r="S40" i="15"/>
  <c r="S39" i="15"/>
  <c r="S38" i="15"/>
  <c r="S37" i="15"/>
  <c r="T41" i="15"/>
  <c r="T40" i="15"/>
  <c r="T39" i="15"/>
  <c r="T38" i="15"/>
  <c r="T37" i="15"/>
  <c r="U41" i="15"/>
  <c r="U40" i="15"/>
  <c r="U39" i="15"/>
  <c r="U38" i="15"/>
  <c r="U37" i="15"/>
  <c r="V41" i="15"/>
  <c r="V40" i="15"/>
  <c r="V39" i="15"/>
  <c r="V38" i="15"/>
  <c r="V37" i="15"/>
  <c r="W41" i="15"/>
  <c r="W40" i="15"/>
  <c r="W39" i="15"/>
  <c r="W38" i="15"/>
  <c r="W37" i="15"/>
  <c r="X41" i="15"/>
  <c r="X40" i="15"/>
  <c r="X39" i="15"/>
  <c r="X38" i="15"/>
  <c r="X37" i="15"/>
  <c r="Y41" i="15"/>
  <c r="Y40" i="15"/>
  <c r="Y39" i="15"/>
  <c r="Y38" i="15"/>
  <c r="Y37" i="15"/>
  <c r="Z41" i="15"/>
  <c r="Z40" i="15"/>
  <c r="Z39" i="15"/>
  <c r="Z38" i="15"/>
  <c r="Z37" i="15"/>
  <c r="AA41" i="15"/>
  <c r="AA40" i="15"/>
  <c r="AA39" i="15"/>
  <c r="AA38" i="15"/>
  <c r="AA37" i="15"/>
  <c r="AB41" i="15"/>
  <c r="AB40" i="15"/>
  <c r="AB39" i="15"/>
  <c r="AB38" i="15"/>
  <c r="AB37" i="15"/>
  <c r="AC41" i="15"/>
  <c r="AC40" i="15"/>
  <c r="AC39" i="15"/>
  <c r="AC38" i="15"/>
  <c r="AC37" i="15"/>
  <c r="AD41" i="15"/>
  <c r="AD40" i="15"/>
  <c r="AD39" i="15"/>
  <c r="AD38" i="15"/>
  <c r="AD37" i="15"/>
  <c r="AE41" i="15"/>
  <c r="AE40" i="15"/>
  <c r="AE39" i="15"/>
  <c r="AE38" i="15"/>
  <c r="AE37" i="15"/>
  <c r="AF41" i="15"/>
  <c r="AF40" i="15"/>
  <c r="AF39" i="15"/>
  <c r="AF38" i="15"/>
  <c r="AF37" i="15"/>
  <c r="AG41" i="15"/>
  <c r="AG40" i="15"/>
  <c r="AG39" i="15"/>
  <c r="AG38" i="15"/>
  <c r="AG37" i="15"/>
  <c r="AH41" i="15"/>
  <c r="AH40" i="15"/>
  <c r="AH39" i="15"/>
  <c r="AH38" i="15"/>
  <c r="AH37" i="15"/>
  <c r="AI41" i="15"/>
  <c r="AI40" i="15"/>
  <c r="AI39" i="15"/>
  <c r="AI38" i="15"/>
  <c r="AI37" i="15"/>
  <c r="D35" i="8"/>
  <c r="D36" i="8"/>
  <c r="E35" i="8"/>
  <c r="E36" i="8"/>
  <c r="F35" i="8"/>
  <c r="F36" i="8"/>
  <c r="G35" i="8"/>
  <c r="G36" i="8"/>
  <c r="H35" i="8"/>
  <c r="H36" i="8"/>
  <c r="I35" i="8"/>
  <c r="I36" i="8"/>
  <c r="J35" i="8"/>
  <c r="J36" i="8"/>
  <c r="K35" i="8"/>
  <c r="K36" i="8"/>
  <c r="L35" i="8"/>
  <c r="L36" i="8"/>
  <c r="M35" i="8"/>
  <c r="M36" i="8"/>
  <c r="N35" i="8"/>
  <c r="N36" i="8"/>
  <c r="O35" i="8"/>
  <c r="O36" i="8"/>
  <c r="P35" i="8"/>
  <c r="P36" i="8"/>
  <c r="Q35" i="8"/>
  <c r="Q36" i="8"/>
  <c r="R35" i="8"/>
  <c r="R36" i="8"/>
  <c r="S35" i="8"/>
  <c r="S36" i="8"/>
  <c r="T35" i="8"/>
  <c r="T36" i="8"/>
  <c r="U35" i="8"/>
  <c r="U36" i="8"/>
  <c r="V35" i="8"/>
  <c r="V36" i="8"/>
  <c r="W35" i="8"/>
  <c r="W36" i="8"/>
  <c r="X35" i="8"/>
  <c r="X36" i="8"/>
  <c r="Y35" i="8"/>
  <c r="Y36" i="8"/>
  <c r="Z35" i="8"/>
  <c r="Z36" i="8"/>
  <c r="AA35" i="8"/>
  <c r="AA36" i="8"/>
  <c r="AB35" i="8"/>
  <c r="AB36" i="8"/>
  <c r="AC35" i="8"/>
  <c r="AC36" i="8"/>
  <c r="AD35" i="8"/>
  <c r="AD36" i="8"/>
  <c r="AE35" i="8"/>
  <c r="AE36" i="8"/>
  <c r="AF35" i="8"/>
  <c r="AF36" i="8"/>
  <c r="AG35" i="8"/>
  <c r="AG36" i="8"/>
  <c r="AH35" i="8"/>
  <c r="AH36" i="8"/>
  <c r="AI35" i="8"/>
  <c r="AI36" i="8"/>
  <c r="D41" i="8"/>
  <c r="D40" i="8"/>
  <c r="D39" i="8"/>
  <c r="D38" i="8"/>
  <c r="D37" i="8"/>
  <c r="E41" i="8"/>
  <c r="E40" i="8"/>
  <c r="E39" i="8"/>
  <c r="E38" i="8"/>
  <c r="E37" i="8"/>
  <c r="F41" i="8"/>
  <c r="F40" i="8"/>
  <c r="F39" i="8"/>
  <c r="F38" i="8"/>
  <c r="F37" i="8"/>
  <c r="G41" i="8"/>
  <c r="G40" i="8"/>
  <c r="G39" i="8"/>
  <c r="G38" i="8"/>
  <c r="G37" i="8"/>
  <c r="H41" i="8"/>
  <c r="H40" i="8"/>
  <c r="H39" i="8"/>
  <c r="H38" i="8"/>
  <c r="H37" i="8"/>
  <c r="I41" i="8"/>
  <c r="I40" i="8"/>
  <c r="I39" i="8"/>
  <c r="I38" i="8"/>
  <c r="I37" i="8"/>
  <c r="J41" i="8"/>
  <c r="J40" i="8"/>
  <c r="J39" i="8"/>
  <c r="J38" i="8"/>
  <c r="J37" i="8"/>
  <c r="K41" i="8"/>
  <c r="K40" i="8"/>
  <c r="K39" i="8"/>
  <c r="K38" i="8"/>
  <c r="K37" i="8"/>
  <c r="L41" i="8"/>
  <c r="L40" i="8"/>
  <c r="L39" i="8"/>
  <c r="L38" i="8"/>
  <c r="L37" i="8"/>
  <c r="M41" i="8"/>
  <c r="M40" i="8"/>
  <c r="M39" i="8"/>
  <c r="M38" i="8"/>
  <c r="M37" i="8"/>
  <c r="N41" i="8"/>
  <c r="N40" i="8"/>
  <c r="N39" i="8"/>
  <c r="N38" i="8"/>
  <c r="N37" i="8"/>
  <c r="O41" i="8"/>
  <c r="O40" i="8"/>
  <c r="O39" i="8"/>
  <c r="O38" i="8"/>
  <c r="O37" i="8"/>
  <c r="P41" i="8"/>
  <c r="P40" i="8"/>
  <c r="P39" i="8"/>
  <c r="P38" i="8"/>
  <c r="P37" i="8"/>
  <c r="Q41" i="8"/>
  <c r="Q40" i="8"/>
  <c r="Q39" i="8"/>
  <c r="Q38" i="8"/>
  <c r="Q37" i="8"/>
  <c r="R41" i="8"/>
  <c r="R40" i="8"/>
  <c r="R39" i="8"/>
  <c r="R38" i="8"/>
  <c r="R37" i="8"/>
  <c r="S41" i="8"/>
  <c r="S40" i="8"/>
  <c r="S39" i="8"/>
  <c r="S38" i="8"/>
  <c r="S37" i="8"/>
  <c r="T41" i="8"/>
  <c r="T40" i="8"/>
  <c r="T39" i="8"/>
  <c r="T38" i="8"/>
  <c r="T37" i="8"/>
  <c r="U41" i="8"/>
  <c r="U40" i="8"/>
  <c r="U39" i="8"/>
  <c r="U38" i="8"/>
  <c r="U37" i="8"/>
  <c r="V41" i="8"/>
  <c r="V40" i="8"/>
  <c r="V39" i="8"/>
  <c r="V38" i="8"/>
  <c r="V37" i="8"/>
  <c r="W41" i="8"/>
  <c r="W40" i="8"/>
  <c r="W39" i="8"/>
  <c r="W38" i="8"/>
  <c r="W37" i="8"/>
  <c r="X41" i="8"/>
  <c r="X40" i="8"/>
  <c r="X39" i="8"/>
  <c r="X38" i="8"/>
  <c r="X37" i="8"/>
  <c r="Y41" i="8"/>
  <c r="Y40" i="8"/>
  <c r="Y39" i="8"/>
  <c r="Y38" i="8"/>
  <c r="Y37" i="8"/>
  <c r="Z41" i="8"/>
  <c r="Z40" i="8"/>
  <c r="Z39" i="8"/>
  <c r="Z38" i="8"/>
  <c r="Z37" i="8"/>
  <c r="AA41" i="8"/>
  <c r="AA40" i="8"/>
  <c r="AA39" i="8"/>
  <c r="AA38" i="8"/>
  <c r="AA37" i="8"/>
  <c r="AB41" i="8"/>
  <c r="AB40" i="8"/>
  <c r="AB39" i="8"/>
  <c r="AB38" i="8"/>
  <c r="AB37" i="8"/>
  <c r="AC41" i="8"/>
  <c r="AC40" i="8"/>
  <c r="AC39" i="8"/>
  <c r="AC38" i="8"/>
  <c r="AC37" i="8"/>
  <c r="AD41" i="8"/>
  <c r="AD40" i="8"/>
  <c r="AD39" i="8"/>
  <c r="AD38" i="8"/>
  <c r="AD37" i="8"/>
  <c r="AE41" i="8"/>
  <c r="AE40" i="8"/>
  <c r="AE39" i="8"/>
  <c r="AE38" i="8"/>
  <c r="AE37" i="8"/>
  <c r="AF41" i="8"/>
  <c r="AF40" i="8"/>
  <c r="AF39" i="8"/>
  <c r="AF38" i="8"/>
  <c r="AF37" i="8"/>
  <c r="AG41" i="8"/>
  <c r="AG40" i="8"/>
  <c r="AG39" i="8"/>
  <c r="AG38" i="8"/>
  <c r="AG37" i="8"/>
  <c r="AH41" i="8"/>
  <c r="AH40" i="8"/>
  <c r="AH39" i="8"/>
  <c r="AH38" i="8"/>
  <c r="AH37" i="8"/>
  <c r="AI41" i="8"/>
  <c r="AI40" i="8"/>
  <c r="AI39" i="8"/>
  <c r="AI38" i="8"/>
  <c r="AI37" i="8"/>
  <c r="C41" i="13"/>
  <c r="C41" i="15"/>
  <c r="C35" i="8"/>
  <c r="C41" i="8"/>
  <c r="C40" i="13"/>
  <c r="C40" i="15"/>
  <c r="C40" i="8"/>
  <c r="C39" i="13"/>
  <c r="C39" i="15"/>
  <c r="C39" i="8"/>
  <c r="C38" i="13"/>
  <c r="C38" i="15"/>
  <c r="C38" i="8"/>
  <c r="C37" i="13"/>
  <c r="C37" i="15"/>
  <c r="C37" i="8"/>
  <c r="C36" i="13"/>
  <c r="C36" i="15"/>
  <c r="C36" i="8"/>
  <c r="AJ35" i="13"/>
  <c r="AJ35" i="15"/>
  <c r="AJ35" i="8"/>
  <c r="A2" i="6"/>
  <c r="AJ43" i="6"/>
  <c r="C48" i="6"/>
  <c r="AJ26" i="3"/>
  <c r="AJ14" i="3"/>
  <c r="AJ15" i="3"/>
  <c r="AK65" i="1"/>
  <c r="AJ43" i="3"/>
  <c r="C48" i="3"/>
  <c r="AJ43" i="11"/>
  <c r="AJ43" i="2"/>
  <c r="AJ23" i="3"/>
  <c r="AJ38" i="3"/>
  <c r="A4" i="14"/>
  <c r="A4" i="11"/>
  <c r="AK110" i="1"/>
  <c r="AK109" i="1"/>
  <c r="C71" i="1"/>
  <c r="D71" i="1"/>
  <c r="C93" i="1"/>
  <c r="D93" i="1"/>
  <c r="AJ24" i="6"/>
  <c r="AJ25" i="6"/>
  <c r="AJ24" i="14"/>
  <c r="B4" i="14"/>
  <c r="C3" i="14"/>
  <c r="AJ24" i="11"/>
  <c r="B4" i="11"/>
  <c r="C3" i="11"/>
  <c r="AJ19" i="15"/>
  <c r="A12" i="15"/>
  <c r="A5" i="15"/>
  <c r="C4" i="15"/>
  <c r="AJ19" i="13"/>
  <c r="A12" i="13"/>
  <c r="A5" i="13"/>
  <c r="C4" i="13"/>
  <c r="B5" i="12"/>
  <c r="B3" i="12"/>
  <c r="B5" i="10"/>
  <c r="B3" i="10"/>
  <c r="AK57" i="1"/>
  <c r="AK56" i="1"/>
  <c r="AK55" i="1"/>
  <c r="AK54" i="1"/>
  <c r="AK53" i="1"/>
  <c r="AK52" i="1"/>
  <c r="AK48" i="1"/>
  <c r="AK47" i="1"/>
  <c r="AK46" i="1"/>
  <c r="AK45" i="1"/>
  <c r="AK44" i="1"/>
  <c r="AK43" i="1"/>
  <c r="AK49" i="1"/>
  <c r="AK58" i="1"/>
  <c r="AJ26" i="6"/>
  <c r="AJ27" i="11"/>
  <c r="AJ27" i="14"/>
  <c r="AJ10" i="11"/>
  <c r="AJ10" i="14"/>
  <c r="B13" i="4"/>
  <c r="AK76" i="1"/>
  <c r="AK77" i="1"/>
  <c r="AK78" i="1"/>
  <c r="AK79" i="1"/>
  <c r="AK80" i="1"/>
  <c r="AK81" i="1"/>
  <c r="AK82" i="1"/>
  <c r="AJ8" i="12"/>
  <c r="B5" i="9"/>
  <c r="AK62" i="1"/>
  <c r="AK63" i="1"/>
  <c r="AK64" i="1"/>
  <c r="AK108" i="1"/>
  <c r="B4" i="2"/>
  <c r="A4" i="2"/>
  <c r="AJ6" i="3"/>
  <c r="AJ8" i="3"/>
  <c r="C4" i="8"/>
  <c r="B3" i="9"/>
  <c r="AJ10" i="3"/>
  <c r="AJ5" i="9"/>
  <c r="AJ9" i="9"/>
  <c r="A5" i="8"/>
  <c r="AJ24" i="2"/>
  <c r="AJ6" i="4"/>
  <c r="D4" i="13"/>
  <c r="D3" i="14"/>
  <c r="D3" i="11"/>
  <c r="D4" i="15"/>
  <c r="AJ10" i="9"/>
  <c r="AJ11" i="9"/>
  <c r="AI12" i="15"/>
  <c r="AI12" i="13"/>
  <c r="AI12" i="8"/>
  <c r="AJ9" i="12"/>
  <c r="AJ10" i="12"/>
  <c r="AJ7" i="4"/>
  <c r="D4" i="8"/>
  <c r="E3" i="14"/>
  <c r="E3" i="11"/>
  <c r="E4" i="15"/>
  <c r="E4" i="13"/>
  <c r="AI30" i="15"/>
  <c r="AJ12" i="15"/>
  <c r="AI30" i="13"/>
  <c r="AJ12" i="13"/>
  <c r="E4" i="8"/>
  <c r="F4" i="8"/>
  <c r="G3" i="14"/>
  <c r="G3" i="11"/>
  <c r="G4" i="15"/>
  <c r="G4" i="13"/>
  <c r="F3" i="14"/>
  <c r="F4" i="13"/>
  <c r="F3" i="11"/>
  <c r="F4" i="15"/>
  <c r="G4" i="8"/>
  <c r="G3" i="7"/>
  <c r="F3" i="7"/>
  <c r="E3" i="7"/>
  <c r="D3" i="7"/>
  <c r="C3" i="7"/>
  <c r="C27" i="4"/>
  <c r="H3" i="7"/>
  <c r="H4" i="13"/>
  <c r="H3" i="14"/>
  <c r="H3" i="11"/>
  <c r="H4" i="15"/>
  <c r="AJ8" i="11"/>
  <c r="H4" i="8"/>
  <c r="I3" i="14"/>
  <c r="I3" i="11"/>
  <c r="I4" i="15"/>
  <c r="I4" i="13"/>
  <c r="AJ23" i="11"/>
  <c r="AJ19" i="3"/>
  <c r="I4" i="8"/>
  <c r="I3" i="7"/>
  <c r="AJ37" i="6"/>
  <c r="J3" i="14"/>
  <c r="J4" i="13"/>
  <c r="J3" i="11"/>
  <c r="J4" i="15"/>
  <c r="AJ24" i="3"/>
  <c r="J4" i="8"/>
  <c r="J3" i="7"/>
  <c r="AJ11" i="6"/>
  <c r="AJ14" i="4"/>
  <c r="AJ4" i="6"/>
  <c r="AJ12" i="6"/>
  <c r="AJ14" i="6"/>
  <c r="K3" i="5"/>
  <c r="J3" i="5"/>
  <c r="I3" i="5"/>
  <c r="H3" i="5"/>
  <c r="G3" i="5"/>
  <c r="F3" i="5"/>
  <c r="E3" i="5"/>
  <c r="D3" i="5"/>
  <c r="C3" i="5"/>
  <c r="C3" i="2"/>
  <c r="J3" i="2"/>
  <c r="I3" i="2"/>
  <c r="H3" i="2"/>
  <c r="G3" i="2"/>
  <c r="E3" i="2"/>
  <c r="D3" i="2"/>
  <c r="K3" i="14"/>
  <c r="K3" i="11"/>
  <c r="K4" i="15"/>
  <c r="K4" i="13"/>
  <c r="C21" i="3"/>
  <c r="D21" i="3"/>
  <c r="E21" i="3"/>
  <c r="K4" i="8"/>
  <c r="K3" i="2"/>
  <c r="K3" i="7"/>
  <c r="D27" i="4"/>
  <c r="AJ29" i="6"/>
  <c r="AJ15" i="6"/>
  <c r="L4" i="13"/>
  <c r="L3" i="14"/>
  <c r="L3" i="11"/>
  <c r="L4" i="15"/>
  <c r="T21" i="3"/>
  <c r="P21" i="3"/>
  <c r="L21" i="3"/>
  <c r="H21" i="3"/>
  <c r="U21" i="3"/>
  <c r="Q21" i="3"/>
  <c r="M21" i="3"/>
  <c r="I21" i="3"/>
  <c r="R21" i="3"/>
  <c r="N21" i="3"/>
  <c r="J21" i="3"/>
  <c r="F21" i="3"/>
  <c r="S21" i="3"/>
  <c r="O21" i="3"/>
  <c r="K21" i="3"/>
  <c r="G21" i="3"/>
  <c r="L4" i="8"/>
  <c r="L3" i="7"/>
  <c r="L3" i="2"/>
  <c r="L3" i="5"/>
  <c r="AJ8" i="7"/>
  <c r="E27" i="4"/>
  <c r="AJ29" i="3"/>
  <c r="M3" i="14"/>
  <c r="M3" i="11"/>
  <c r="M4" i="15"/>
  <c r="M4" i="13"/>
  <c r="V21" i="3"/>
  <c r="W21" i="3"/>
  <c r="M4" i="8"/>
  <c r="AJ12" i="8"/>
  <c r="AI30" i="8"/>
  <c r="M3" i="7"/>
  <c r="M3" i="5"/>
  <c r="M3" i="2"/>
  <c r="F27" i="4"/>
  <c r="C45" i="3"/>
  <c r="N3" i="11"/>
  <c r="N3" i="14"/>
  <c r="N4" i="13"/>
  <c r="N4" i="15"/>
  <c r="D21" i="15"/>
  <c r="N4" i="8"/>
  <c r="N3" i="7"/>
  <c r="N3" i="2"/>
  <c r="N3" i="5"/>
  <c r="D45" i="6"/>
  <c r="G27" i="4"/>
  <c r="C45" i="6"/>
  <c r="O3" i="14"/>
  <c r="O4" i="15"/>
  <c r="O3" i="11"/>
  <c r="O4" i="13"/>
  <c r="X21" i="3"/>
  <c r="D45" i="3"/>
  <c r="D21" i="13"/>
  <c r="K21" i="15"/>
  <c r="I21" i="15"/>
  <c r="K21" i="13"/>
  <c r="E21" i="13"/>
  <c r="H21" i="15"/>
  <c r="I21" i="13"/>
  <c r="O4" i="8"/>
  <c r="E45" i="6"/>
  <c r="J21" i="8"/>
  <c r="K21" i="8"/>
  <c r="D21" i="8"/>
  <c r="O3" i="7"/>
  <c r="O3" i="5"/>
  <c r="O3" i="2"/>
  <c r="H27" i="4"/>
  <c r="F45" i="6"/>
  <c r="E45" i="3"/>
  <c r="P3" i="11"/>
  <c r="P4" i="13"/>
  <c r="P3" i="14"/>
  <c r="P4" i="15"/>
  <c r="Y21" i="3"/>
  <c r="H21" i="13"/>
  <c r="H45" i="6"/>
  <c r="G45" i="6"/>
  <c r="J21" i="15"/>
  <c r="H21" i="8"/>
  <c r="L21" i="15"/>
  <c r="I21" i="8"/>
  <c r="G21" i="8"/>
  <c r="E21" i="15"/>
  <c r="L21" i="13"/>
  <c r="C21" i="13"/>
  <c r="L21" i="8"/>
  <c r="E21" i="8"/>
  <c r="M21" i="8"/>
  <c r="G21" i="13"/>
  <c r="J21" i="13"/>
  <c r="G21" i="15"/>
  <c r="P4" i="8"/>
  <c r="C21" i="8"/>
  <c r="P3" i="7"/>
  <c r="P3" i="2"/>
  <c r="P3" i="5"/>
  <c r="I27" i="4"/>
  <c r="F45" i="3"/>
  <c r="Q3" i="14"/>
  <c r="Q3" i="11"/>
  <c r="Q4" i="15"/>
  <c r="Q4" i="13"/>
  <c r="Z21" i="3"/>
  <c r="I45" i="6"/>
  <c r="N21" i="8"/>
  <c r="F21" i="15"/>
  <c r="C21" i="15"/>
  <c r="F21" i="13"/>
  <c r="Q4" i="8"/>
  <c r="F21" i="8"/>
  <c r="Q3" i="7"/>
  <c r="Q3" i="5"/>
  <c r="Q3" i="2"/>
  <c r="C55" i="4"/>
  <c r="J27" i="4"/>
  <c r="G45" i="3"/>
  <c r="R3" i="11"/>
  <c r="R3" i="14"/>
  <c r="R4" i="13"/>
  <c r="R4" i="15"/>
  <c r="AA21" i="3"/>
  <c r="J45" i="6"/>
  <c r="M21" i="15"/>
  <c r="O21" i="8"/>
  <c r="M21" i="13"/>
  <c r="R4" i="8"/>
  <c r="R3" i="7"/>
  <c r="R3" i="2"/>
  <c r="R3" i="5"/>
  <c r="D55" i="4"/>
  <c r="K27" i="4"/>
  <c r="S3" i="14"/>
  <c r="S4" i="15"/>
  <c r="S3" i="11"/>
  <c r="S4" i="13"/>
  <c r="H45" i="3"/>
  <c r="AB21" i="3"/>
  <c r="K45" i="6"/>
  <c r="N21" i="13"/>
  <c r="P21" i="8"/>
  <c r="N21" i="15"/>
  <c r="S4" i="8"/>
  <c r="S3" i="2"/>
  <c r="S3" i="7"/>
  <c r="S3" i="5"/>
  <c r="E55" i="4"/>
  <c r="L27" i="4"/>
  <c r="T3" i="11"/>
  <c r="T4" i="13"/>
  <c r="T3" i="14"/>
  <c r="T4" i="15"/>
  <c r="I45" i="3"/>
  <c r="AC21" i="3"/>
  <c r="L45" i="6"/>
  <c r="O21" i="13"/>
  <c r="Q21" i="8"/>
  <c r="O21" i="15"/>
  <c r="T4" i="8"/>
  <c r="T3" i="7"/>
  <c r="T3" i="2"/>
  <c r="T3" i="5"/>
  <c r="F55" i="4"/>
  <c r="M27" i="4"/>
  <c r="U3" i="14"/>
  <c r="U3" i="11"/>
  <c r="U4" i="15"/>
  <c r="U4" i="13"/>
  <c r="J45" i="3"/>
  <c r="AD21" i="3"/>
  <c r="M45" i="6"/>
  <c r="P21" i="13"/>
  <c r="R21" i="8"/>
  <c r="P21" i="15"/>
  <c r="U4" i="8"/>
  <c r="U3" i="2"/>
  <c r="U3" i="5"/>
  <c r="U3" i="7"/>
  <c r="G55" i="4"/>
  <c r="N27" i="4"/>
  <c r="K45" i="3"/>
  <c r="AJ23" i="14"/>
  <c r="AJ8" i="14"/>
  <c r="V3" i="11"/>
  <c r="V3" i="14"/>
  <c r="V4" i="13"/>
  <c r="V4" i="15"/>
  <c r="AE21" i="3"/>
  <c r="N45" i="6"/>
  <c r="S21" i="8"/>
  <c r="Q21" i="13"/>
  <c r="Q21" i="15"/>
  <c r="V4" i="8"/>
  <c r="V3" i="5"/>
  <c r="V3" i="2"/>
  <c r="V3" i="7"/>
  <c r="H55" i="4"/>
  <c r="O27" i="4"/>
  <c r="W3" i="14"/>
  <c r="W4" i="15"/>
  <c r="W3" i="11"/>
  <c r="W4" i="13"/>
  <c r="AJ20" i="3"/>
  <c r="L45" i="3"/>
  <c r="AF21" i="3"/>
  <c r="O45" i="6"/>
  <c r="T21" i="8"/>
  <c r="R21" i="13"/>
  <c r="R21" i="15"/>
  <c r="W4" i="8"/>
  <c r="W3" i="7"/>
  <c r="W3" i="5"/>
  <c r="W3" i="2"/>
  <c r="I55" i="4"/>
  <c r="P27" i="4"/>
  <c r="X3" i="11"/>
  <c r="X4" i="13"/>
  <c r="X3" i="14"/>
  <c r="X4" i="15"/>
  <c r="AJ25" i="3"/>
  <c r="M45" i="3"/>
  <c r="AG21" i="3"/>
  <c r="P45" i="6"/>
  <c r="U21" i="8"/>
  <c r="S21" i="13"/>
  <c r="S21" i="15"/>
  <c r="X4" i="8"/>
  <c r="X3" i="2"/>
  <c r="X3" i="5"/>
  <c r="X3" i="7"/>
  <c r="J55" i="4"/>
  <c r="Q27" i="4"/>
  <c r="Y3" i="14"/>
  <c r="Y3" i="11"/>
  <c r="Y4" i="15"/>
  <c r="Y4" i="13"/>
  <c r="N45" i="3"/>
  <c r="Q45" i="6"/>
  <c r="T21" i="15"/>
  <c r="V21" i="8"/>
  <c r="T21" i="13"/>
  <c r="Y4" i="8"/>
  <c r="AJ8" i="2"/>
  <c r="Y3" i="7"/>
  <c r="Y3" i="5"/>
  <c r="Y3" i="2"/>
  <c r="K55" i="4"/>
  <c r="R27" i="4"/>
  <c r="Z3" i="11"/>
  <c r="Z3" i="14"/>
  <c r="Z4" i="13"/>
  <c r="Z4" i="15"/>
  <c r="O45" i="3"/>
  <c r="AJ20" i="6"/>
  <c r="AH21" i="3"/>
  <c r="AI21" i="3"/>
  <c r="R45" i="6"/>
  <c r="W21" i="8"/>
  <c r="U21" i="13"/>
  <c r="AJ9" i="14"/>
  <c r="U21" i="15"/>
  <c r="AJ9" i="11"/>
  <c r="Z4" i="8"/>
  <c r="AJ23" i="2"/>
  <c r="AJ9" i="2"/>
  <c r="AJ10" i="2"/>
  <c r="Z3" i="7"/>
  <c r="Z3" i="5"/>
  <c r="Z3" i="2"/>
  <c r="L55" i="4"/>
  <c r="AJ28" i="2"/>
  <c r="S27" i="4"/>
  <c r="AJ18" i="3"/>
  <c r="AA3" i="14"/>
  <c r="AA4" i="15"/>
  <c r="AA3" i="11"/>
  <c r="AA4" i="13"/>
  <c r="P45" i="3"/>
  <c r="AJ21" i="3"/>
  <c r="S45" i="6"/>
  <c r="AJ26" i="14"/>
  <c r="AJ16" i="14"/>
  <c r="AJ26" i="2"/>
  <c r="X21" i="8"/>
  <c r="AJ12" i="11"/>
  <c r="AJ22" i="4"/>
  <c r="AJ12" i="14"/>
  <c r="V21" i="15"/>
  <c r="AJ17" i="14"/>
  <c r="AJ11" i="14"/>
  <c r="AJ27" i="2"/>
  <c r="AJ16" i="11"/>
  <c r="AJ28" i="11"/>
  <c r="V21" i="13"/>
  <c r="AJ26" i="11"/>
  <c r="AJ28" i="14"/>
  <c r="AJ17" i="11"/>
  <c r="AJ11" i="11"/>
  <c r="AA4" i="8"/>
  <c r="AJ16" i="2"/>
  <c r="AJ11" i="2"/>
  <c r="AJ12" i="2"/>
  <c r="AJ17" i="2"/>
  <c r="AA3" i="2"/>
  <c r="AA3" i="5"/>
  <c r="AA3" i="7"/>
  <c r="AJ29" i="4"/>
  <c r="M55" i="4"/>
  <c r="AJ26" i="4"/>
  <c r="AJ23" i="6"/>
  <c r="AJ16" i="4"/>
  <c r="T27" i="4"/>
  <c r="Q45" i="3"/>
  <c r="AB3" i="11"/>
  <c r="AB4" i="13"/>
  <c r="AB3" i="14"/>
  <c r="AB4" i="15"/>
  <c r="T45" i="6"/>
  <c r="AJ19" i="11"/>
  <c r="AJ21" i="4"/>
  <c r="AJ29" i="14"/>
  <c r="W21" i="15"/>
  <c r="AJ25" i="11"/>
  <c r="Y21" i="8"/>
  <c r="W21" i="13"/>
  <c r="AJ19" i="14"/>
  <c r="AJ25" i="14"/>
  <c r="AB4" i="8"/>
  <c r="AJ30" i="4"/>
  <c r="AJ25" i="2"/>
  <c r="AJ19" i="2"/>
  <c r="AB3" i="5"/>
  <c r="AB3" i="2"/>
  <c r="AB3" i="7"/>
  <c r="AJ32" i="6"/>
  <c r="AJ15" i="4"/>
  <c r="N55" i="4"/>
  <c r="AJ31" i="4"/>
  <c r="AJ33" i="4"/>
  <c r="U27" i="4"/>
  <c r="AJ32" i="3"/>
  <c r="AC3" i="14"/>
  <c r="AC3" i="11"/>
  <c r="AC4" i="15"/>
  <c r="AC4" i="13"/>
  <c r="R45" i="3"/>
  <c r="U45" i="6"/>
  <c r="AJ4" i="7"/>
  <c r="AJ29" i="11"/>
  <c r="Z21" i="8"/>
  <c r="X21" i="13"/>
  <c r="AJ20" i="14"/>
  <c r="X21" i="15"/>
  <c r="AJ20" i="11"/>
  <c r="AC4" i="8"/>
  <c r="AJ20" i="2"/>
  <c r="AJ29" i="2"/>
  <c r="AC3" i="7"/>
  <c r="AC3" i="5"/>
  <c r="AC3" i="2"/>
  <c r="O55" i="4"/>
  <c r="V27" i="4"/>
  <c r="AJ6" i="7"/>
  <c r="AD3" i="11"/>
  <c r="AD3" i="14"/>
  <c r="AD4" i="13"/>
  <c r="AD4" i="15"/>
  <c r="S45" i="3"/>
  <c r="V45" i="6"/>
  <c r="AJ23" i="4"/>
  <c r="Y21" i="15"/>
  <c r="AJ9" i="15"/>
  <c r="AJ20" i="15"/>
  <c r="AJ5" i="15"/>
  <c r="Y21" i="13"/>
  <c r="AA21" i="8"/>
  <c r="AJ9" i="13"/>
  <c r="AJ5" i="13"/>
  <c r="AD4" i="8"/>
  <c r="AJ20" i="8"/>
  <c r="AJ5" i="8"/>
  <c r="AJ9" i="8"/>
  <c r="AD3" i="5"/>
  <c r="AD3" i="7"/>
  <c r="AD3" i="2"/>
  <c r="P55" i="4"/>
  <c r="W27" i="4"/>
  <c r="T45" i="3"/>
  <c r="AE3" i="14"/>
  <c r="AE4" i="15"/>
  <c r="AE3" i="11"/>
  <c r="AE4" i="13"/>
  <c r="W45" i="6"/>
  <c r="AJ42" i="4"/>
  <c r="AJ26" i="15"/>
  <c r="AJ26" i="13"/>
  <c r="AB21" i="8"/>
  <c r="Z21" i="13"/>
  <c r="AJ20" i="13"/>
  <c r="Z21" i="15"/>
  <c r="AE4" i="8"/>
  <c r="AJ26" i="8"/>
  <c r="AJ32" i="2"/>
  <c r="AE3" i="7"/>
  <c r="AE3" i="5"/>
  <c r="AE3" i="2"/>
  <c r="Q55" i="4"/>
  <c r="X27" i="4"/>
  <c r="U45" i="3"/>
  <c r="AF3" i="11"/>
  <c r="AF4" i="13"/>
  <c r="AF3" i="14"/>
  <c r="AF4" i="15"/>
  <c r="X45" i="6"/>
  <c r="AA21" i="13"/>
  <c r="AJ32" i="11"/>
  <c r="AA21" i="15"/>
  <c r="AC21" i="8"/>
  <c r="AJ32" i="14"/>
  <c r="AF4" i="8"/>
  <c r="AF3" i="7"/>
  <c r="AF3" i="2"/>
  <c r="AF3" i="5"/>
  <c r="R55" i="4"/>
  <c r="Y27" i="4"/>
  <c r="AG3" i="14"/>
  <c r="AG3" i="11"/>
  <c r="AG4" i="15"/>
  <c r="AG4" i="13"/>
  <c r="V45" i="3"/>
  <c r="Y45" i="6"/>
  <c r="AD21" i="8"/>
  <c r="AB21" i="13"/>
  <c r="AB21" i="15"/>
  <c r="AG4" i="8"/>
  <c r="AG3" i="7"/>
  <c r="AG3" i="5"/>
  <c r="AG3" i="2"/>
  <c r="S55" i="4"/>
  <c r="Z27" i="4"/>
  <c r="AH3" i="11"/>
  <c r="AH3" i="14"/>
  <c r="AH4" i="13"/>
  <c r="AH4" i="15"/>
  <c r="W45" i="3"/>
  <c r="Z45" i="6"/>
  <c r="AC21" i="13"/>
  <c r="AE21" i="8"/>
  <c r="AC21" i="15"/>
  <c r="AH4" i="8"/>
  <c r="AH3" i="2"/>
  <c r="AH3" i="5"/>
  <c r="AH3" i="7"/>
  <c r="T55" i="4"/>
  <c r="AA27" i="4"/>
  <c r="AI3" i="14"/>
  <c r="AI4" i="15"/>
  <c r="AI3" i="11"/>
  <c r="AI4" i="13"/>
  <c r="X45" i="3"/>
  <c r="AA45" i="6"/>
  <c r="AF21" i="8"/>
  <c r="AD21" i="15"/>
  <c r="AD21" i="13"/>
  <c r="AI4" i="8"/>
  <c r="AI3" i="7"/>
  <c r="AI3" i="2"/>
  <c r="AI3" i="5"/>
  <c r="U55" i="4"/>
  <c r="AB27" i="4"/>
  <c r="Y45" i="3"/>
  <c r="AJ42" i="10"/>
  <c r="AJ37" i="10"/>
  <c r="AJ31" i="10"/>
  <c r="AJ17" i="10"/>
  <c r="AJ38" i="10"/>
  <c r="AJ36" i="10"/>
  <c r="AJ30" i="10"/>
  <c r="AJ23" i="10"/>
  <c r="AJ19" i="10"/>
  <c r="AJ35" i="10"/>
  <c r="AJ22" i="10"/>
  <c r="AJ34" i="10"/>
  <c r="AJ20" i="10"/>
  <c r="AJ18" i="10"/>
  <c r="AJ39" i="10"/>
  <c r="AJ28" i="10"/>
  <c r="AJ26" i="10"/>
  <c r="AJ21" i="10"/>
  <c r="AJ27" i="10"/>
  <c r="AJ40" i="10"/>
  <c r="AJ24" i="10"/>
  <c r="AJ29" i="10"/>
  <c r="AJ32" i="10"/>
  <c r="AJ16" i="10"/>
  <c r="AJ25" i="10"/>
  <c r="AJ33" i="10"/>
  <c r="AJ46" i="10"/>
  <c r="AJ47" i="10"/>
  <c r="AJ44" i="10"/>
  <c r="AJ45" i="10"/>
  <c r="AJ41" i="10"/>
  <c r="AJ43" i="10"/>
  <c r="AJ16" i="12"/>
  <c r="AJ36" i="12"/>
  <c r="AJ22" i="12"/>
  <c r="AJ34" i="12"/>
  <c r="AJ21" i="12"/>
  <c r="AJ18" i="12"/>
  <c r="AJ24" i="12"/>
  <c r="AJ35" i="12"/>
  <c r="AJ15" i="12"/>
  <c r="AJ23" i="12"/>
  <c r="AJ27" i="12"/>
  <c r="AJ28" i="12"/>
  <c r="AJ26" i="12"/>
  <c r="AJ38" i="12"/>
  <c r="AJ37" i="12"/>
  <c r="AJ17" i="12"/>
  <c r="AJ29" i="12"/>
  <c r="AJ33" i="12"/>
  <c r="AJ30" i="12"/>
  <c r="AJ41" i="12"/>
  <c r="AJ25" i="12"/>
  <c r="AJ39" i="12"/>
  <c r="AJ20" i="12"/>
  <c r="AJ19" i="12"/>
  <c r="AJ31" i="12"/>
  <c r="AJ32" i="12"/>
  <c r="AJ42" i="12"/>
  <c r="AJ46" i="12"/>
  <c r="AJ44" i="12"/>
  <c r="AJ45" i="12"/>
  <c r="AJ43" i="12"/>
  <c r="AJ40" i="12"/>
  <c r="AB45" i="6"/>
  <c r="AG21" i="8"/>
  <c r="AE21" i="15"/>
  <c r="AE21" i="13"/>
  <c r="AJ42" i="9"/>
  <c r="AJ38" i="9"/>
  <c r="AJ34" i="9"/>
  <c r="AJ30" i="9"/>
  <c r="AJ33" i="9"/>
  <c r="AJ26" i="9"/>
  <c r="AJ40" i="9"/>
  <c r="AJ17" i="9"/>
  <c r="AJ28" i="9"/>
  <c r="AJ21" i="9"/>
  <c r="AJ43" i="9"/>
  <c r="AJ39" i="9"/>
  <c r="AJ36" i="9"/>
  <c r="AJ32" i="9"/>
  <c r="AJ41" i="9"/>
  <c r="AJ29" i="9"/>
  <c r="AJ25" i="9"/>
  <c r="AJ31" i="9"/>
  <c r="AJ16" i="9"/>
  <c r="AJ27" i="9"/>
  <c r="AJ19" i="9"/>
  <c r="AJ22" i="9"/>
  <c r="AJ23" i="9"/>
  <c r="AJ37" i="9"/>
  <c r="AJ18" i="9"/>
  <c r="AJ35" i="9"/>
  <c r="AJ20" i="9"/>
  <c r="AJ24" i="9"/>
  <c r="AJ47" i="9"/>
  <c r="AJ45" i="9"/>
  <c r="AJ44" i="9"/>
  <c r="AJ46" i="9"/>
  <c r="V55" i="4"/>
  <c r="AC27" i="4"/>
  <c r="Z45" i="3"/>
  <c r="AJ14" i="12"/>
  <c r="AJ47" i="12"/>
  <c r="AK47" i="12"/>
  <c r="AK48" i="12"/>
  <c r="AJ15" i="10"/>
  <c r="AJ48" i="10"/>
  <c r="AK48" i="10"/>
  <c r="AK49" i="10"/>
  <c r="AC45" i="6"/>
  <c r="AH21" i="8"/>
  <c r="AF21" i="13"/>
  <c r="AF21" i="15"/>
  <c r="AJ15" i="9"/>
  <c r="AJ48" i="9"/>
  <c r="AK48" i="9"/>
  <c r="AK49" i="9"/>
  <c r="W55" i="4"/>
  <c r="AD27" i="4"/>
  <c r="AA45" i="3"/>
  <c r="AD45" i="6"/>
  <c r="AG21" i="15"/>
  <c r="AG21" i="13"/>
  <c r="X55" i="4"/>
  <c r="AE27" i="4"/>
  <c r="AJ16" i="8"/>
  <c r="AB45" i="3"/>
  <c r="AE45" i="6"/>
  <c r="AH21" i="15"/>
  <c r="AJ16" i="13"/>
  <c r="AH21" i="13"/>
  <c r="AJ16" i="15"/>
  <c r="AI21" i="8"/>
  <c r="AJ21" i="8"/>
  <c r="AJ18" i="8"/>
  <c r="Y55" i="4"/>
  <c r="AF27" i="4"/>
  <c r="AC45" i="3"/>
  <c r="AF45" i="6"/>
  <c r="AI21" i="15"/>
  <c r="AJ21" i="15"/>
  <c r="AJ18" i="15"/>
  <c r="AJ18" i="13"/>
  <c r="AI21" i="13"/>
  <c r="AJ21" i="13"/>
  <c r="Z55" i="4"/>
  <c r="AG27" i="4"/>
  <c r="AD45" i="3"/>
  <c r="AG45" i="6"/>
  <c r="AA55" i="4"/>
  <c r="AI27" i="4"/>
  <c r="AH27" i="4"/>
  <c r="AE45" i="3"/>
  <c r="AI33" i="6"/>
  <c r="AH45" i="6"/>
  <c r="AB55" i="4"/>
  <c r="AJ34" i="6"/>
  <c r="AF45" i="3"/>
  <c r="AC55" i="4"/>
  <c r="AJ35" i="6"/>
  <c r="C39" i="6"/>
  <c r="AG45" i="3"/>
  <c r="AD55" i="4"/>
  <c r="AJ45" i="6"/>
  <c r="AI45" i="6"/>
  <c r="AI33" i="3"/>
  <c r="AE55" i="4"/>
  <c r="AH45" i="3"/>
  <c r="AI45" i="3"/>
  <c r="AJ34" i="3"/>
  <c r="AF55" i="4"/>
  <c r="AJ45" i="3"/>
  <c r="AG55" i="4"/>
  <c r="AJ22" i="8"/>
  <c r="AJ44" i="8"/>
  <c r="AI43" i="4"/>
  <c r="AJ22" i="15"/>
  <c r="AJ22" i="13"/>
  <c r="AI23" i="13"/>
  <c r="AI55" i="4"/>
  <c r="AJ44" i="4"/>
  <c r="AH55" i="4"/>
  <c r="AJ55" i="4"/>
  <c r="AJ44" i="13"/>
  <c r="AJ44" i="15"/>
  <c r="C49" i="4"/>
  <c r="C45" i="11"/>
  <c r="C45" i="14"/>
  <c r="C42" i="13"/>
  <c r="C42" i="15"/>
  <c r="AI42" i="15"/>
  <c r="AH42" i="15"/>
  <c r="AG42" i="15"/>
  <c r="AF42" i="15"/>
  <c r="AE42" i="15"/>
  <c r="AD42" i="15"/>
  <c r="AC42" i="15"/>
  <c r="AB42" i="15"/>
  <c r="AA42" i="15"/>
  <c r="Z42" i="15"/>
  <c r="Y42" i="15"/>
  <c r="X42" i="15"/>
  <c r="W42" i="15"/>
  <c r="V42" i="15"/>
  <c r="U42" i="15"/>
  <c r="T42" i="15"/>
  <c r="S42" i="15"/>
  <c r="R42" i="15"/>
  <c r="Q42" i="15"/>
  <c r="P42" i="15"/>
  <c r="O42" i="15"/>
  <c r="N42" i="15"/>
  <c r="M42" i="15"/>
  <c r="L42" i="15"/>
  <c r="K42" i="15"/>
  <c r="J42" i="15"/>
  <c r="I42" i="15"/>
  <c r="H42" i="15"/>
  <c r="G42" i="15"/>
  <c r="F42" i="15"/>
  <c r="E42" i="15"/>
  <c r="D42" i="15"/>
  <c r="AI42" i="8"/>
  <c r="AH42" i="8"/>
  <c r="AG42" i="8"/>
  <c r="AF42" i="8"/>
  <c r="AE42" i="8"/>
  <c r="AD42" i="8"/>
  <c r="AC42" i="8"/>
  <c r="AB42" i="8"/>
  <c r="AA42" i="8"/>
  <c r="Z42" i="8"/>
  <c r="Y42" i="8"/>
  <c r="X42" i="8"/>
  <c r="W42" i="8"/>
  <c r="V42" i="8"/>
  <c r="U42" i="8"/>
  <c r="T42" i="8"/>
  <c r="S42" i="8"/>
  <c r="R42" i="8"/>
  <c r="Q42" i="8"/>
  <c r="P42" i="8"/>
  <c r="O42" i="8"/>
  <c r="N42" i="8"/>
  <c r="M42" i="8"/>
  <c r="L42" i="8"/>
  <c r="K42" i="8"/>
  <c r="J42" i="8"/>
  <c r="I42" i="8"/>
  <c r="H42" i="8"/>
  <c r="G42" i="8"/>
  <c r="E45" i="14"/>
  <c r="D45" i="14"/>
  <c r="F45" i="14"/>
  <c r="G45" i="14"/>
  <c r="H45" i="14"/>
  <c r="I45" i="14"/>
  <c r="J45" i="14"/>
  <c r="K45" i="14"/>
  <c r="L45" i="14"/>
  <c r="M45" i="14"/>
  <c r="N45" i="14"/>
  <c r="O45" i="14"/>
  <c r="P45" i="14"/>
  <c r="Q45" i="14"/>
  <c r="R45" i="14"/>
  <c r="S45" i="14"/>
  <c r="T45" i="14"/>
  <c r="U45" i="14"/>
  <c r="V45" i="14"/>
  <c r="W45" i="14"/>
  <c r="X45" i="14"/>
  <c r="Y45" i="14"/>
  <c r="Z45" i="14"/>
  <c r="AA45" i="14"/>
  <c r="AJ45" i="15"/>
  <c r="AB45" i="14"/>
  <c r="AI49" i="15"/>
  <c r="AJ48" i="15"/>
  <c r="AI29" i="15"/>
  <c r="AI31" i="15"/>
  <c r="AJ46" i="15"/>
  <c r="AC45" i="14"/>
  <c r="AJ50" i="15"/>
  <c r="AD45" i="14"/>
  <c r="AJ51" i="15"/>
  <c r="AE45" i="14"/>
  <c r="AF45" i="14"/>
  <c r="AJ33" i="14"/>
  <c r="AG45" i="14"/>
  <c r="AH45" i="14"/>
  <c r="AJ34" i="14"/>
  <c r="AJ35" i="14"/>
  <c r="AI45" i="14"/>
  <c r="AJ45" i="14"/>
  <c r="C42" i="8"/>
  <c r="D42" i="8"/>
  <c r="E42" i="8"/>
  <c r="F42" i="8"/>
  <c r="C48" i="2"/>
  <c r="D45" i="2"/>
  <c r="E45" i="2"/>
  <c r="F45" i="2"/>
  <c r="G45" i="2"/>
  <c r="H45" i="2"/>
  <c r="I45" i="2"/>
  <c r="J45" i="2"/>
  <c r="K45" i="2"/>
  <c r="L45" i="2"/>
  <c r="M45" i="2"/>
  <c r="N45" i="2"/>
  <c r="O45" i="2"/>
  <c r="P45" i="2"/>
  <c r="Q45" i="2"/>
  <c r="R45" i="2"/>
  <c r="S45" i="2"/>
  <c r="T45" i="2"/>
  <c r="U45" i="2"/>
  <c r="V45" i="2"/>
  <c r="W45" i="2"/>
  <c r="X45" i="2"/>
  <c r="Y45" i="2"/>
  <c r="Z45" i="2"/>
  <c r="AA45" i="2"/>
  <c r="AB45" i="2"/>
  <c r="AC45" i="2"/>
  <c r="AD45" i="2"/>
  <c r="AE45" i="2"/>
  <c r="AF45" i="2"/>
  <c r="AG45" i="2"/>
  <c r="AJ45" i="8"/>
  <c r="AJ33" i="2"/>
  <c r="AI29" i="8"/>
  <c r="AI31" i="8"/>
  <c r="AJ46" i="8"/>
  <c r="AH45" i="2"/>
  <c r="AI49" i="8"/>
  <c r="AJ48" i="8"/>
  <c r="AJ50" i="8"/>
  <c r="AJ51" i="8"/>
  <c r="AJ34" i="2"/>
  <c r="AJ35" i="2"/>
  <c r="AJ45" i="2"/>
  <c r="AI45" i="2"/>
  <c r="C27" i="7"/>
  <c r="C29" i="5"/>
  <c r="C45" i="2"/>
  <c r="D42" i="13"/>
  <c r="E42" i="13"/>
  <c r="F42" i="13"/>
  <c r="G42" i="13"/>
  <c r="H42" i="13"/>
  <c r="I42" i="13"/>
  <c r="J42" i="13"/>
  <c r="K42" i="13"/>
  <c r="L42" i="13"/>
  <c r="M42" i="13"/>
  <c r="N42" i="13"/>
  <c r="O42" i="13"/>
  <c r="P42" i="13"/>
  <c r="Q42" i="13"/>
  <c r="R42" i="13"/>
  <c r="S42" i="13"/>
  <c r="T42" i="13"/>
  <c r="U42" i="13"/>
  <c r="V42" i="13"/>
  <c r="W42" i="13"/>
  <c r="X42" i="13"/>
  <c r="Y42" i="13"/>
  <c r="Z42" i="13"/>
  <c r="AA42" i="13"/>
  <c r="AB42" i="13"/>
  <c r="AC42" i="13"/>
  <c r="AD42" i="13"/>
  <c r="AE42" i="13"/>
  <c r="AF42" i="13"/>
  <c r="AG42" i="13"/>
  <c r="AH42" i="13"/>
  <c r="AI42" i="13"/>
  <c r="C36" i="5"/>
  <c r="E27" i="7"/>
  <c r="E29" i="5"/>
  <c r="D29" i="5"/>
  <c r="D27" i="7"/>
  <c r="F27" i="7"/>
  <c r="F29" i="5"/>
  <c r="G29" i="5"/>
  <c r="G27" i="7"/>
  <c r="H27" i="7"/>
  <c r="H29" i="5"/>
  <c r="I27" i="7"/>
  <c r="I29" i="5"/>
  <c r="J27" i="7"/>
  <c r="J29" i="5"/>
  <c r="K29" i="5"/>
  <c r="K27" i="7"/>
  <c r="L29" i="5"/>
  <c r="L27" i="7"/>
  <c r="M29" i="5"/>
  <c r="M27" i="7"/>
  <c r="N27" i="7"/>
  <c r="N29" i="5"/>
  <c r="O27" i="7"/>
  <c r="O29" i="5"/>
  <c r="P27" i="7"/>
  <c r="P29" i="5"/>
  <c r="Q27" i="7"/>
  <c r="Q29" i="5"/>
  <c r="R29" i="5"/>
  <c r="R27" i="7"/>
  <c r="S29" i="5"/>
  <c r="S27" i="7"/>
  <c r="T29" i="5"/>
  <c r="T27" i="7"/>
  <c r="U27" i="7"/>
  <c r="U29" i="5"/>
  <c r="V29" i="5"/>
  <c r="V27" i="7"/>
  <c r="W29" i="5"/>
  <c r="W27" i="7"/>
  <c r="X27" i="7"/>
  <c r="X29" i="5"/>
  <c r="Y29" i="5"/>
  <c r="Y27" i="7"/>
  <c r="Z27" i="7"/>
  <c r="Z29" i="5"/>
  <c r="AA27" i="7"/>
  <c r="AA29" i="5"/>
  <c r="AB27" i="7"/>
  <c r="AB29" i="5"/>
  <c r="AC27" i="7"/>
  <c r="AC29" i="5"/>
  <c r="AD29" i="5"/>
  <c r="AD27" i="7"/>
  <c r="AE29" i="5"/>
  <c r="AE27" i="7"/>
  <c r="AF29" i="5"/>
  <c r="AF27" i="7"/>
  <c r="AG29" i="5"/>
  <c r="AG27" i="7"/>
  <c r="AH27" i="7"/>
  <c r="AH29" i="5"/>
  <c r="AJ29" i="5"/>
  <c r="AJ27" i="7"/>
  <c r="AI27" i="7"/>
  <c r="AI29" i="5"/>
  <c r="C34" i="7"/>
  <c r="C48" i="11"/>
  <c r="E45" i="11"/>
  <c r="D45" i="11"/>
  <c r="F45" i="11"/>
  <c r="G45" i="11"/>
  <c r="H45" i="11"/>
  <c r="I45" i="11"/>
  <c r="J45" i="11"/>
  <c r="K45" i="11"/>
  <c r="L45" i="11"/>
  <c r="M45" i="11"/>
  <c r="N45" i="11"/>
  <c r="O45" i="11"/>
  <c r="P45" i="11"/>
  <c r="Q45" i="11"/>
  <c r="R45" i="11"/>
  <c r="S45" i="11"/>
  <c r="T45" i="11"/>
  <c r="U45" i="11"/>
  <c r="V45" i="11"/>
  <c r="W45" i="11"/>
  <c r="X45" i="11"/>
  <c r="Y45" i="11"/>
  <c r="AJ45" i="13"/>
  <c r="Z45" i="11"/>
  <c r="AI49" i="13"/>
  <c r="AJ48" i="13"/>
  <c r="AI29" i="13"/>
  <c r="AI31" i="13"/>
  <c r="AJ46" i="13"/>
  <c r="AA45" i="11"/>
  <c r="AJ50" i="13"/>
  <c r="AB45" i="11"/>
  <c r="AJ51" i="13"/>
  <c r="AC45" i="11"/>
  <c r="AD45" i="11"/>
  <c r="AE45" i="11"/>
  <c r="AF45" i="11"/>
  <c r="AG45" i="11"/>
  <c r="AJ33" i="11"/>
  <c r="AH45" i="11"/>
  <c r="AJ34" i="11"/>
  <c r="AJ35" i="11"/>
  <c r="AI45" i="11"/>
  <c r="AJ45" i="11"/>
  <c r="C39" i="11"/>
  <c r="G41" i="18"/>
  <c r="C41" i="18"/>
  <c r="D41" i="18"/>
  <c r="E41" i="18"/>
  <c r="F41" i="18"/>
  <c r="H41" i="18"/>
  <c r="I41" i="18"/>
  <c r="J41" i="18"/>
  <c r="K41" i="18"/>
  <c r="L41" i="18"/>
  <c r="M41" i="18"/>
  <c r="N41" i="18"/>
  <c r="O41" i="18"/>
  <c r="P41" i="18"/>
  <c r="Q41" i="18"/>
  <c r="R41" i="18"/>
  <c r="S41" i="18"/>
  <c r="T41" i="18"/>
  <c r="U41" i="18"/>
  <c r="V41" i="18"/>
  <c r="W41" i="18"/>
  <c r="X41" i="18"/>
  <c r="Y41" i="18"/>
  <c r="Z41" i="18"/>
  <c r="AA41" i="18"/>
  <c r="AB41" i="18"/>
  <c r="AC41" i="18"/>
  <c r="AD41" i="18"/>
  <c r="AE41" i="18"/>
  <c r="AF41" i="18"/>
  <c r="AG41" i="18"/>
  <c r="AH41" i="18"/>
  <c r="AI41" i="18"/>
</calcChain>
</file>

<file path=xl/sharedStrings.xml><?xml version="1.0" encoding="utf-8"?>
<sst xmlns="http://schemas.openxmlformats.org/spreadsheetml/2006/main" count="1820" uniqueCount="587">
  <si>
    <t>Multi-Field Natural Gas Upstream, Pipeline and LNG Economics</t>
  </si>
  <si>
    <r>
      <t>Developed by T.M. Mitro</t>
    </r>
    <r>
      <rPr>
        <sz val="12"/>
        <color theme="1"/>
        <rFont val="Calibri"/>
        <family val="2"/>
        <scheme val="minor"/>
      </rPr>
      <t xml:space="preserve">, Co-Director Graduate Certificate in Global Energy, Development and Sustainability at the University of Houston. </t>
    </r>
    <r>
      <rPr>
        <sz val="12"/>
        <color theme="1"/>
        <rFont val="Calibri"/>
        <family val="2"/>
        <scheme val="minor"/>
      </rPr>
      <t xml:space="preserve"> </t>
    </r>
  </si>
  <si>
    <t>BACKGROUND &amp; PURPOSE</t>
  </si>
  <si>
    <t xml:space="preserve">About fiscal modeling </t>
  </si>
  <si>
    <t>A financial/fiscal model provides forecasted returns of a project to the investor and government. These estimates are based on fiscal, market, technical and corporate input variables, many of which are forward looking assumptions. Investors use financial models to determine whether to go ahead with a particular investment. Governments use models to compare their fiscal regimes with their peer countries and to assess how much revenue will flow into the state coffers from a particular project.</t>
  </si>
  <si>
    <t>About this model in particular</t>
  </si>
  <si>
    <r>
      <t xml:space="preserve">This model </t>
    </r>
    <r>
      <rPr>
        <sz val="12"/>
        <color theme="1"/>
        <rFont val="Calibri"/>
        <family val="2"/>
        <scheme val="minor"/>
      </rPr>
      <t>allows users to assess the financial returns of up to three upstream oil/gas fields, a pipeline and LNG plant project. Apart from being able to assess the financial flows from each of these projects individually, the users can compare the returns of the main structures that are used in LNG projects - namely a tolling regime whereby the LNG plant charges the upstream users a tolling fee for its services, and an equity sale structure, whereby the gas is sold from the upstream stage to the LNG stage (either between related or unrelated owners) and is taxed separately.</t>
    </r>
  </si>
  <si>
    <t>Objectives</t>
  </si>
  <si>
    <r>
      <t>This model has been developed for training purposes. It models the gas value chain from the upstream project to the use of gas under the form of LPG, LNG or</t>
    </r>
    <r>
      <rPr>
        <sz val="12"/>
        <color theme="1"/>
        <rFont val="Calibri"/>
        <family val="2"/>
        <scheme val="minor"/>
      </rPr>
      <t xml:space="preserve"> as feedstock for local industrial or power generation</t>
    </r>
    <r>
      <rPr>
        <sz val="12"/>
        <color theme="1"/>
        <rFont val="Calibri"/>
        <family val="2"/>
        <scheme val="minor"/>
      </rPr>
      <t>. It allows users to assess the different LNG structures that can be considered when producing LNG: the tolling structure, the Independent Plant Owner/Buyer Model and the Related Party Plant Owner/Buyer Model. It provides various fiscal regime options for the upstream and mid-stream sectors to understand the impacts of changes on the government take and the private take returns. It</t>
    </r>
    <r>
      <rPr>
        <sz val="12"/>
        <color theme="1"/>
        <rFont val="Calibri"/>
        <family val="2"/>
        <scheme val="minor"/>
      </rPr>
      <t xml:space="preserve"> also allows for users to add additional upstream fields to the LNG project and understand what impact this has on the LNG economics when the processing facilities are shared.</t>
    </r>
  </si>
  <si>
    <t>NAVIGATING THE MODEL</t>
  </si>
  <si>
    <t>This model contains several tabs:</t>
  </si>
  <si>
    <t>Cover</t>
  </si>
  <si>
    <t>Present tab, which gives background information on how to operate this model.</t>
  </si>
  <si>
    <t>Assumptions &amp; Results</t>
  </si>
  <si>
    <t>Assumptions are inputted and key results are presented graphically</t>
  </si>
  <si>
    <t>Field 1 Depr</t>
  </si>
  <si>
    <t>Depreciation schedule of the capital expenditure of Field 1</t>
  </si>
  <si>
    <t>Field 1 Fiscal</t>
  </si>
  <si>
    <r>
      <t xml:space="preserve">Computation of the fiscal terms paid by upstream gas investors </t>
    </r>
    <r>
      <rPr>
        <sz val="12"/>
        <color theme="1"/>
        <rFont val="Calibri"/>
        <family val="2"/>
        <scheme val="minor"/>
      </rPr>
      <t>of</t>
    </r>
    <r>
      <rPr>
        <sz val="12"/>
        <color theme="1"/>
        <rFont val="Calibri"/>
        <family val="2"/>
        <scheme val="minor"/>
      </rPr>
      <t xml:space="preserve"> Field 1 </t>
    </r>
  </si>
  <si>
    <t>Field 1 Investor</t>
  </si>
  <si>
    <t>Calculation of the financial return of the investor and of the government take for Field 1</t>
  </si>
  <si>
    <t>Field 2 Depr</t>
  </si>
  <si>
    <t>Depreciation schedule of the capital expenditure of Field 2</t>
  </si>
  <si>
    <t>Field 2 Fiscal</t>
  </si>
  <si>
    <r>
      <t xml:space="preserve">Computation of the fiscal terms paid upstream gas investor </t>
    </r>
    <r>
      <rPr>
        <sz val="12"/>
        <color theme="1"/>
        <rFont val="Calibri"/>
        <family val="2"/>
        <scheme val="minor"/>
      </rPr>
      <t>of</t>
    </r>
    <r>
      <rPr>
        <sz val="12"/>
        <color theme="1"/>
        <rFont val="Calibri"/>
        <family val="2"/>
        <scheme val="minor"/>
      </rPr>
      <t xml:space="preserve"> Field 2</t>
    </r>
  </si>
  <si>
    <t>Field 2 Investor</t>
  </si>
  <si>
    <t>Calculation of the financial return of the investor and of the government take for Field 2</t>
  </si>
  <si>
    <t>Field 3 Depr</t>
  </si>
  <si>
    <t>Depreciation schedule of the capital expenditure of Field 3</t>
  </si>
  <si>
    <t>Field 3 Fiscal</t>
  </si>
  <si>
    <r>
      <t xml:space="preserve">Computation of the fiscal terms paid by upstream gas investor </t>
    </r>
    <r>
      <rPr>
        <sz val="12"/>
        <color theme="1"/>
        <rFont val="Calibri"/>
        <family val="2"/>
        <scheme val="minor"/>
      </rPr>
      <t>of</t>
    </r>
    <r>
      <rPr>
        <sz val="12"/>
        <color theme="1"/>
        <rFont val="Calibri"/>
        <family val="2"/>
        <scheme val="minor"/>
      </rPr>
      <t xml:space="preserve"> Field 3</t>
    </r>
  </si>
  <si>
    <t>Field 3 Investor</t>
  </si>
  <si>
    <t>Calculation of the financial return of the investor and of the government take for Field 3</t>
  </si>
  <si>
    <t>Gas PL</t>
  </si>
  <si>
    <t>Economics, financial returns and government take of the gas pipeline</t>
  </si>
  <si>
    <t>LNG Equity</t>
  </si>
  <si>
    <t xml:space="preserve">Computation of LNG project economics of Equity/buyer structure, whereby LNG owners take title to gas from upstream and sell to 3rd parties (irrespective of whether the LNG plant owners are the upstream operators) </t>
  </si>
  <si>
    <t>LNG Tolling</t>
  </si>
  <si>
    <t>Computation of LNG project economics of tolling structure, whereby the LNG plant does not take title to gas and the gas owners pay a toll (i.e: a fee) for processing purposes</t>
  </si>
  <si>
    <t>Consolidated LNG Equity</t>
  </si>
  <si>
    <t>Consolidation of the economics of all 3 elements of the projects (upstream, pipeline and LNG facility) under the LNG Equity model</t>
  </si>
  <si>
    <t>Consolidated LNG Tolling</t>
  </si>
  <si>
    <t>Consolidation of the economics of all 3 elements of the projects (upstream, pipeline and LNG facility) under the LNG-Tolling structure</t>
  </si>
  <si>
    <t>The cells are color coded:</t>
  </si>
  <si>
    <t>Light blue</t>
  </si>
  <si>
    <t>Light green</t>
  </si>
  <si>
    <t>Section dividers</t>
  </si>
  <si>
    <t>Yellow</t>
  </si>
  <si>
    <t>Checks that allow the user to see whether errors have occurred in the model. This color has also been used to highlight which model structure is activated and therefore which results are valid and invalid.</t>
  </si>
  <si>
    <t>Key results</t>
  </si>
  <si>
    <t>White</t>
  </si>
  <si>
    <t>Fields that are linked by a formula in the model and should not be changed by inexperienced modelers, as changing them may result in the model not functioning properly</t>
  </si>
  <si>
    <t>Red font</t>
  </si>
  <si>
    <t>Explanatory notes within the model</t>
  </si>
  <si>
    <t>DISCLAIMER</t>
  </si>
  <si>
    <t>This has been prepared for educational purposes and is not meant to give an accurate picture of the impact of a fiscal regime on government take and project profitability. To do so, there will be a need for a more sophisticated model taking into account additional cost variables. The model is only meant to give an indication of the magnitude of impacts and trends.</t>
  </si>
  <si>
    <t>OPEN LICENSING</t>
  </si>
  <si>
    <t xml:space="preserve">This work is licensed under the Creative Commons Attribution 4.0 International License. </t>
  </si>
  <si>
    <t>To view a copy of this license, visit http://creativecommons.org/licenses/by/4.0/</t>
  </si>
  <si>
    <t xml:space="preserve"> Assumptions and Results</t>
  </si>
  <si>
    <t>YEARS---&gt; (input first year only, and others will calculate)</t>
  </si>
  <si>
    <t>INPUT ITEMS:</t>
  </si>
  <si>
    <t>Value</t>
  </si>
  <si>
    <t>TOTALS</t>
  </si>
  <si>
    <t>a. PRICES:</t>
  </si>
  <si>
    <t/>
  </si>
  <si>
    <t>Upstream Gas Transfer Price</t>
  </si>
  <si>
    <t>$/MCF</t>
  </si>
  <si>
    <t>Upstream Gas Transfer Price % of FOB</t>
  </si>
  <si>
    <t>%</t>
  </si>
  <si>
    <t>FOB LNG Sales Price for sensitivity analysis</t>
  </si>
  <si>
    <t xml:space="preserve">FOB LNG Sales Price </t>
  </si>
  <si>
    <t>Tanker Charter Hire Rate</t>
  </si>
  <si>
    <t>$M/Day</t>
  </si>
  <si>
    <t>DES LNG Sales Price</t>
  </si>
  <si>
    <t>Domestic Gas Sales Price</t>
  </si>
  <si>
    <t>LPG FOB Sales Price</t>
  </si>
  <si>
    <t>$/Bbl</t>
  </si>
  <si>
    <t>b. PRODUCTION:</t>
  </si>
  <si>
    <t xml:space="preserve">Gas production starting date - Field 1 </t>
  </si>
  <si>
    <t xml:space="preserve">Gas production peak </t>
  </si>
  <si>
    <t>MMCF/Day</t>
  </si>
  <si>
    <t>Gas production decline start date - Field 1</t>
  </si>
  <si>
    <t>Decline rate</t>
  </si>
  <si>
    <t>Upstream Gas Production - Field/Block 1 for sensitivity analysis</t>
  </si>
  <si>
    <t xml:space="preserve">Upstream Gas Production - Field/Block 1 </t>
  </si>
  <si>
    <t>Upstream Gas Production - Field/Block 2</t>
  </si>
  <si>
    <t>Upstream Gas Production - Field/Block 3</t>
  </si>
  <si>
    <t>Product Loss at LNG Plant</t>
  </si>
  <si>
    <t>% of Gas Production</t>
  </si>
  <si>
    <t>LNG Plant Uptime</t>
  </si>
  <si>
    <t>% of Year</t>
  </si>
  <si>
    <t>Domestic Gas Sales</t>
  </si>
  <si>
    <t>Gas Volume Converted to LPG</t>
  </si>
  <si>
    <r>
      <t xml:space="preserve">Conversion Factor: 1 Gas MCF = </t>
    </r>
    <r>
      <rPr>
        <i/>
        <sz val="11"/>
        <color rgb="FFFF0000"/>
        <rFont val="Calibri"/>
        <family val="2"/>
        <scheme val="minor"/>
      </rPr>
      <t>X</t>
    </r>
    <r>
      <rPr>
        <sz val="11"/>
        <color theme="1"/>
        <rFont val="Calibri"/>
        <family val="2"/>
        <scheme val="minor"/>
      </rPr>
      <t xml:space="preserve"> LPG Bbl</t>
    </r>
  </si>
  <si>
    <t>Bbls per MCF</t>
  </si>
  <si>
    <t>c. CAPITAL EXPENDITURES:</t>
  </si>
  <si>
    <t>1. Field/Block 1 Capital Expenditures - UPSTREAM</t>
  </si>
  <si>
    <t>Development Drilling</t>
  </si>
  <si>
    <t>$MM</t>
  </si>
  <si>
    <t>Feasability and Engineering</t>
  </si>
  <si>
    <t>Offshore Platforms</t>
  </si>
  <si>
    <t>Gathering Lines</t>
  </si>
  <si>
    <t>LPG Extraction Plant (only if built by upstream partners and upstream fiscal terms)</t>
  </si>
  <si>
    <t>Other</t>
  </si>
  <si>
    <t>Total Upstream Capital Expenditures Block 1</t>
  </si>
  <si>
    <t>2. Field/Block 2 Capital Expenditures - UPSTREAM</t>
  </si>
  <si>
    <t>Total Upstream Capital Expenditures Block 2</t>
  </si>
  <si>
    <t>3. Field/Block 3 Capital Expenditures - UPSTREAM</t>
  </si>
  <si>
    <t>Total Upstream Capital Expenditures Block 3</t>
  </si>
  <si>
    <t>4. Capital Expenditures - GAS PIPELINES</t>
  </si>
  <si>
    <t>Choose how capital expenditures can be deducted: Allowed as Upstream Cost Recovery = 1, Part of Gas Pipeline Tax Regime = 2</t>
  </si>
  <si>
    <t>Construction and Installation</t>
  </si>
  <si>
    <t>Total</t>
  </si>
  <si>
    <t>Field 1</t>
  </si>
  <si>
    <t>Field 2</t>
  </si>
  <si>
    <t>Field 3</t>
  </si>
  <si>
    <t>(Must Total 100%)</t>
  </si>
  <si>
    <t>5. Capital Expenditures - LNG Plant and Facilities</t>
  </si>
  <si>
    <t>In the case of related party between LNG owners and buyers, choose how capital expenditures can be deducted: Allowed as Upstream Cost Recovery = 1, Part of LNG Tax Regime = 2</t>
  </si>
  <si>
    <t>Feasability and Engineering and Design</t>
  </si>
  <si>
    <t>Land Clearing, Land Fill, Docks and Offices</t>
  </si>
  <si>
    <t>LPG Extraction Plant &amp; Facilities (if built by LNG Plant owners)</t>
  </si>
  <si>
    <t>Other 1</t>
  </si>
  <si>
    <t>Other 2</t>
  </si>
  <si>
    <t>Project Management</t>
  </si>
  <si>
    <t>Total LNG Capital Expenditures</t>
  </si>
  <si>
    <t>(Must Total to 100%)</t>
  </si>
  <si>
    <t xml:space="preserve">d. OPERATING AND MAINTENANCE COSTS, TARIFFS AND FEES: </t>
  </si>
  <si>
    <t>Gas Pipeline Tariff</t>
  </si>
  <si>
    <t>$/MCF of all production</t>
  </si>
  <si>
    <t>Gas Pipeline Paid by LNG owners =(1) or Paid by Upstream (=2)?</t>
  </si>
  <si>
    <t>LNG Plant Tolling Fee (if Tolling) - for sensitivity analysis</t>
  </si>
  <si>
    <t>LNG Plant Tolling Fee (if Tolling)</t>
  </si>
  <si>
    <t>Upstream Opex</t>
  </si>
  <si>
    <t>Costs to Deliver to DomGas PL</t>
  </si>
  <si>
    <t>$/MCF of Dom Gas volumes</t>
  </si>
  <si>
    <t>LPG Plant operating costs</t>
  </si>
  <si>
    <t>$/MCF of LPG volumes</t>
  </si>
  <si>
    <t>Gas PL Costs as % of Tariffs</t>
  </si>
  <si>
    <t>Refrigerated Tankers Chartered</t>
  </si>
  <si>
    <t># of Tankers</t>
  </si>
  <si>
    <t>LNG Plant Operating Costs</t>
  </si>
  <si>
    <t>Maintenance Costs for Gas PL when down</t>
  </si>
  <si>
    <t>Maintenance Costs for LNG Plant when down</t>
  </si>
  <si>
    <t>Field 1 -Maintenance and Decommissioning Costs</t>
  </si>
  <si>
    <t>Field 2 -Maintenance and Decommissioning Costs</t>
  </si>
  <si>
    <t>Field 3 -Maintenance and Decommissioning Costs</t>
  </si>
  <si>
    <t>e. Pre-Project Cost Recovery and Tax Loss Carryforward (only recovery items and not counted as costs in economics)</t>
  </si>
  <si>
    <t>Field 1 - Cost Recovery &amp; Tax Loss Carryforward Allowed from pre-project costs</t>
  </si>
  <si>
    <t>Field 2 - Cost Recovery &amp; Tax Loss Carryforward Allowed from pre-project costs</t>
  </si>
  <si>
    <t>Field 3 - Cost Recovery &amp; Tax Loss Carryforward Allowed from pre-project costs</t>
  </si>
  <si>
    <t>f. FISCAL TERMS AND TAXES:</t>
  </si>
  <si>
    <t>Upstream Cost Recovery Cap</t>
  </si>
  <si>
    <t>% of Annual Prod</t>
  </si>
  <si>
    <t>Straight Line</t>
  </si>
  <si>
    <t>Upstream Income Taxes</t>
  </si>
  <si>
    <t>% of Net Income</t>
  </si>
  <si>
    <t>Gas Pipeline Tax Rate</t>
  </si>
  <si>
    <t>LNG Tax Rate</t>
  </si>
  <si>
    <t>Petroleum Production Tax (IPP)</t>
  </si>
  <si>
    <t>% of Gr Prodn</t>
  </si>
  <si>
    <t>LNG Special Tax</t>
  </si>
  <si>
    <t>% of Gross Revenue</t>
  </si>
  <si>
    <t>Upstream Tax Rate Discount-Annual Input</t>
  </si>
  <si>
    <t xml:space="preserve">% of Net Income </t>
  </si>
  <si>
    <t>R Factor at this level or higher</t>
  </si>
  <si>
    <t>Govt Profit Share</t>
  </si>
  <si>
    <t>Profit Sharing Thresholds: Based on Daily Production Rate</t>
  </si>
  <si>
    <t xml:space="preserve">Threshold 1  </t>
  </si>
  <si>
    <t>mmscf/day</t>
  </si>
  <si>
    <t xml:space="preserve">Threshold 2 </t>
  </si>
  <si>
    <t xml:space="preserve">Threshold 3  </t>
  </si>
  <si>
    <t xml:space="preserve">Threshold 4  </t>
  </si>
  <si>
    <t xml:space="preserve">Threshold 5  </t>
  </si>
  <si>
    <t>Government share - Tranche 1</t>
  </si>
  <si>
    <t>Government share - Tranche 2</t>
  </si>
  <si>
    <t>Government share - Tranche 3</t>
  </si>
  <si>
    <t>Government share - Tranche 4</t>
  </si>
  <si>
    <t>Government share - Tranche 5</t>
  </si>
  <si>
    <t>Government share - Tranche 6</t>
  </si>
  <si>
    <t>Government</t>
  </si>
  <si>
    <t>*If Tolling, Pipeline Tariff &amp; Tolling Fee paid by Upstream; if LNG Equity model, Pipeline Tariff paid by LNG</t>
  </si>
  <si>
    <t>Production Field 1</t>
  </si>
  <si>
    <t>Prices</t>
  </si>
  <si>
    <t>% FOB Price for transfer pricing</t>
  </si>
  <si>
    <t>Tolling fees</t>
  </si>
  <si>
    <t xml:space="preserve">Capex Upstream Field 1 </t>
  </si>
  <si>
    <t>Capex LNG</t>
  </si>
  <si>
    <t>KEY RESULTS AND INDICATORS:</t>
  </si>
  <si>
    <t>Investor IRR pipeline</t>
  </si>
  <si>
    <t>Profit Share Gas</t>
  </si>
  <si>
    <t>Upstream Royalties</t>
  </si>
  <si>
    <t>Upstream Income Tax</t>
  </si>
  <si>
    <t>Pipeline Income Tax</t>
  </si>
  <si>
    <t>LNG Income Tax</t>
  </si>
  <si>
    <t>Upstream royalties</t>
  </si>
  <si>
    <t>LNG special tax</t>
  </si>
  <si>
    <t>Project Cashflow</t>
  </si>
  <si>
    <t>Investor Cashflow</t>
  </si>
  <si>
    <t>Government Revenue</t>
  </si>
  <si>
    <t>Take (%)</t>
  </si>
  <si>
    <t>Undiscounted</t>
  </si>
  <si>
    <t>Discounted</t>
  </si>
  <si>
    <t>Investor</t>
  </si>
  <si>
    <t xml:space="preserve">Gas Production </t>
  </si>
  <si>
    <t>Gas production:</t>
  </si>
  <si>
    <t>Government Take (%)</t>
  </si>
  <si>
    <t>Government Take NPV</t>
  </si>
  <si>
    <t>Investor IRR</t>
  </si>
  <si>
    <t>Investor NPV</t>
  </si>
  <si>
    <t>LNG FOB Prices</t>
  </si>
  <si>
    <t>Prices:</t>
  </si>
  <si>
    <t>Capex Field 1</t>
  </si>
  <si>
    <t>Capex Field 1:</t>
  </si>
  <si>
    <t>investor NPV</t>
  </si>
  <si>
    <t>Capex LNG Plant</t>
  </si>
  <si>
    <t>Capex LNG:</t>
  </si>
  <si>
    <t>Starting date for production Field 1</t>
  </si>
  <si>
    <t>Starting date</t>
  </si>
  <si>
    <t>Transfer price</t>
  </si>
  <si>
    <t>Capital Depreciation Schedule for Upstream Field 1</t>
  </si>
  <si>
    <t>Year:--&gt;</t>
  </si>
  <si>
    <t>Depreciation Life</t>
  </si>
  <si>
    <t>Capital Expenditures from Upstream sector only</t>
  </si>
  <si>
    <t>Capex permitted against Upstream Fiscal Terms from:</t>
  </si>
  <si>
    <t>LNG Plant</t>
  </si>
  <si>
    <t>Capital Eligible for Upstream Depreciation*</t>
  </si>
  <si>
    <t>*Including capital from other segments, where allowed</t>
  </si>
  <si>
    <t>Year of Expd:</t>
  </si>
  <si>
    <t>Depreciation of Capex ($MM) made in Year:  --&gt;</t>
  </si>
  <si>
    <t>Total Depreciation by Fiscal Year</t>
  </si>
  <si>
    <t>Cross Check</t>
  </si>
  <si>
    <t xml:space="preserve"> Gas Field 1 - Computation of Fiscal Terms by Upstream Gas Investors</t>
  </si>
  <si>
    <t>YEARS---&gt;</t>
  </si>
  <si>
    <t>Less: LNG Tolling Fee</t>
  </si>
  <si>
    <t>Equals: Net Revenue for Profit Gas/CR</t>
  </si>
  <si>
    <t>Total Other Optg Costs, excl LNG Toll</t>
  </si>
  <si>
    <t>Depreciation and Cost Recovery (CR)</t>
  </si>
  <si>
    <t>Depreciation for CR and Tax</t>
  </si>
  <si>
    <t>CR/Tax Loss from pre-production period</t>
  </si>
  <si>
    <t>Total CR Pool Generated in Current Year</t>
  </si>
  <si>
    <t>CR Limit - Current Year</t>
  </si>
  <si>
    <t>CR Surplus Generated in Current Year</t>
  </si>
  <si>
    <t>CR Used</t>
  </si>
  <si>
    <t>Cumulative CR Surplus Pool to be Carried Over</t>
  </si>
  <si>
    <t>Profit Gas and Tax Computation</t>
  </si>
  <si>
    <t>IPP( Petroleum Production Tax)</t>
  </si>
  <si>
    <t>R-FACTOR BASED</t>
  </si>
  <si>
    <t>Accum Cash Receipts (Conc Profit Gas+Cost Gas-Opex)</t>
  </si>
  <si>
    <t>Accum Investment Expenses</t>
  </si>
  <si>
    <t>Ratio of Accum Receipts to Accum Investments</t>
  </si>
  <si>
    <t>Govt Profit Gas Share</t>
  </si>
  <si>
    <t>PRODUCTION BASED</t>
  </si>
  <si>
    <t>Daily Production rate Gas</t>
  </si>
  <si>
    <t>Tranche 1</t>
  </si>
  <si>
    <t>Tranche 2</t>
  </si>
  <si>
    <t>Tranche 3</t>
  </si>
  <si>
    <t>Tranche 4</t>
  </si>
  <si>
    <t>Tranche 5</t>
  </si>
  <si>
    <t>Tranche 6</t>
  </si>
  <si>
    <t>Govt Profit Gas share</t>
  </si>
  <si>
    <t>Profit Gas - Value</t>
  </si>
  <si>
    <t>Government Profit Gas Share</t>
  </si>
  <si>
    <t>Concessionaire Profit Gas Share</t>
  </si>
  <si>
    <t>Taxable Income / (Loss)</t>
  </si>
  <si>
    <t>Loss Carryforward at end of Year</t>
  </si>
  <si>
    <t>Taxable Income after Carryforward of Losses</t>
  </si>
  <si>
    <t>Income Tax Due</t>
  </si>
  <si>
    <t>Upstream Gas Investors Field 1 - Financial Returns and Government Take</t>
  </si>
  <si>
    <t>Production and Revenue - Upstream</t>
  </si>
  <si>
    <t>Production capacity, Thousands of MCFD</t>
  </si>
  <si>
    <t>M MCFD</t>
  </si>
  <si>
    <t>Production capacity, Millions of MCF per Year</t>
  </si>
  <si>
    <t>Millions MCF</t>
  </si>
  <si>
    <t>Domestic Dry Gas Sales, Millons of MCF per Year</t>
  </si>
  <si>
    <t>Gas volume lost as converted to LPG (if done by upstream)</t>
  </si>
  <si>
    <t>Gas Sold as LPG, Millions of Barrels p.a. (if sold by upstream)</t>
  </si>
  <si>
    <t>Millions of Bbls</t>
  </si>
  <si>
    <t>Total Gas Transferred to LNG Plant per year, net of downtime</t>
  </si>
  <si>
    <t>Total Gas exported as LNG by Upstream after LNG product loss (Tolling Case)</t>
  </si>
  <si>
    <t>Price for gas sold to LNG Plant Owners (under Equity Case) or for Export Buyers (under Tolling Case)</t>
  </si>
  <si>
    <t>Revenue from Domestic Dry Gas</t>
  </si>
  <si>
    <t>Revenue from LPG (if sold by upstream)</t>
  </si>
  <si>
    <t>Revenues from selling to Lng Plant Owners</t>
  </si>
  <si>
    <t>Revenues from selling to Export buyers (Tolling case)</t>
  </si>
  <si>
    <t xml:space="preserve">   Total Revenues</t>
  </si>
  <si>
    <t>Other Costs</t>
  </si>
  <si>
    <t>Upstream Operating Costs</t>
  </si>
  <si>
    <t>Maintenance and Decommissioning Costs</t>
  </si>
  <si>
    <t>Pipeline Tariff</t>
  </si>
  <si>
    <t>LNG Tolling Fee</t>
  </si>
  <si>
    <t>LPG Operating Costs (if operated by Upstream)</t>
  </si>
  <si>
    <t>Costs to deliver to Dom Gas pipeline entry point</t>
  </si>
  <si>
    <t xml:space="preserve">   Total Other Costs</t>
  </si>
  <si>
    <t>Upstream Government Take (from separate worksheet)</t>
  </si>
  <si>
    <t>IPP (Petroleum Production Tax)</t>
  </si>
  <si>
    <t xml:space="preserve">   Total Government Taxes</t>
  </si>
  <si>
    <t>Net Cash Flow and NPV to Investors</t>
  </si>
  <si>
    <t>Net Cash Flow After Tax - Upstream</t>
  </si>
  <si>
    <t>NPV @</t>
  </si>
  <si>
    <t>Internal Rate of Return</t>
  </si>
  <si>
    <t>Government Take</t>
  </si>
  <si>
    <t>Total to be Shared - Cash Basis</t>
  </si>
  <si>
    <t>Total to Govt</t>
  </si>
  <si>
    <t>% to Govt</t>
  </si>
  <si>
    <t>Total Government Revenue</t>
  </si>
  <si>
    <t>Government Revenue NPV @</t>
  </si>
  <si>
    <t>Total Government Take Undiscounted</t>
  </si>
  <si>
    <t>Total Government Take Discounted</t>
  </si>
  <si>
    <t>NOTE: In situations where special fiscal incentive arrangements may have been agreed,</t>
  </si>
  <si>
    <t xml:space="preserve">the Cash Flows and NPV for Upstream Investors  include the fiscal benefits of taking cost recovery or </t>
  </si>
  <si>
    <t>tax depreciation from an agreed portion of the capital invested by other segments.</t>
  </si>
  <si>
    <t>But all of the cash OUTFLOWS from those expenditures are counted against the</t>
  </si>
  <si>
    <t>financial returns of those other segments, either Gas PL or LNG.</t>
  </si>
  <si>
    <t>Capital Depreciation Schedule for Upstream Field 2</t>
  </si>
  <si>
    <t xml:space="preserve"> Gas Field 2 - Computation of Fiscal Terms by Upstream Gas Investors</t>
  </si>
  <si>
    <t>Upstream Gas Investors Field 2 - Financial Returns and Government Take</t>
  </si>
  <si>
    <t>Capital Depreciation Schedule for Upstream Field 3</t>
  </si>
  <si>
    <t xml:space="preserve">Depreciation Life </t>
  </si>
  <si>
    <t xml:space="preserve"> Gas Field 3 - Computation of Fiscal Terms by Upstream Gas Investors</t>
  </si>
  <si>
    <t>Upstream Gas Investors Field 3 - Financial Returns and Government Take</t>
  </si>
  <si>
    <t>Gas Pipelines from Upstream to Onshore Base and LNG Plant</t>
  </si>
  <si>
    <t>Total Gas PL Capital Expenditures</t>
  </si>
  <si>
    <t>Total Gas PL Capex from above permitted for Upstream Cost Recovery or Tax Deduction</t>
  </si>
  <si>
    <t>Annual Operating Costs</t>
  </si>
  <si>
    <t>Operating Costs</t>
  </si>
  <si>
    <t>Maintenance Costs</t>
  </si>
  <si>
    <t>Production and Revenues</t>
  </si>
  <si>
    <t>Throughput Field 1- Million MCF Year</t>
  </si>
  <si>
    <t>MM MCF</t>
  </si>
  <si>
    <t>Throughput Field 2 - Million MCF Year</t>
  </si>
  <si>
    <t>Throughput Field 3 - Million MCF Year</t>
  </si>
  <si>
    <t xml:space="preserve">   Total Throughput all Fields</t>
  </si>
  <si>
    <t>Tariff Revenue from Field 1</t>
  </si>
  <si>
    <t>Tariff Revenue from Field 2</t>
  </si>
  <si>
    <t>Tariff Revenue from Field 3</t>
  </si>
  <si>
    <t xml:space="preserve">  Total Tariff Revenue from all Fields</t>
  </si>
  <si>
    <t>Tax Depreciation and Taxes Due</t>
  </si>
  <si>
    <t>Tax Depreciation</t>
  </si>
  <si>
    <t>Loss Carryforward</t>
  </si>
  <si>
    <t>Net Cash Flow After Tax - Gas Pipeline</t>
  </si>
  <si>
    <t>Total to be Shared</t>
  </si>
  <si>
    <t>LNG Owners Take Title to Gas from Upstream and Sell to 3rd Parties (whether the LNG Plant is owned by the upstream operators or not)</t>
  </si>
  <si>
    <t>Capital Costs</t>
  </si>
  <si>
    <t>Total LNG Capital Costs</t>
  </si>
  <si>
    <r>
      <t>Annual Costs</t>
    </r>
    <r>
      <rPr>
        <b/>
        <i/>
        <sz val="11"/>
        <color rgb="FF0070C0"/>
        <rFont val="Calibri"/>
        <family val="2"/>
        <scheme val="minor"/>
      </rPr>
      <t/>
    </r>
  </si>
  <si>
    <t>LNG Plant Annual Operating Costs</t>
  </si>
  <si>
    <t>LNG Plant Maintenance Costs</t>
  </si>
  <si>
    <t>LPG Plant Operating Costs (if operated by LNG Plant owners)</t>
  </si>
  <si>
    <t>Pipeline Tariff (if paid by LNG plant owners)</t>
  </si>
  <si>
    <t>LNG Tanker Charter Hire Costs (only if sold on DES basis)</t>
  </si>
  <si>
    <t xml:space="preserve">  Total Opex, including Input items</t>
  </si>
  <si>
    <t>Purchase Price Paid to Upstream Field 1 for Gas</t>
  </si>
  <si>
    <t>Purchase Price Paid to Upstream Field 2 for Gas</t>
  </si>
  <si>
    <t>Purchase Price Paid to Upstream Field 3 for Gas</t>
  </si>
  <si>
    <t xml:space="preserve">   Purchase Price Paid to ALL Upstream Fields for Gas</t>
  </si>
  <si>
    <t>LNG Sales Volume, net of Domestic Sales and Upstream LPG conversion and net of loss</t>
  </si>
  <si>
    <t>LNG Price  DES (from Input sheet)</t>
  </si>
  <si>
    <t>LNG Price FOB (from Input sheet)</t>
  </si>
  <si>
    <t>Less:  Gas volume lost as converted to LPG (if done by LNG owners)</t>
  </si>
  <si>
    <t>LNG Gross Revenues</t>
  </si>
  <si>
    <t>Gas Sold as LPG, Millions of Barrels (if extracted by LNG owners)</t>
  </si>
  <si>
    <t>LPG Price FOB (from Input sheet)</t>
  </si>
  <si>
    <t>LPG Gross Revenues if sold by LNG Plant</t>
  </si>
  <si>
    <t>Gross Revenue from Sales of LNG and LPG</t>
  </si>
  <si>
    <t>$ MM</t>
  </si>
  <si>
    <t>Net Cash Flow After Tax - LNG</t>
  </si>
  <si>
    <t>LNG Tolling Option - Plant does not take title to gas or LNG</t>
  </si>
  <si>
    <t>LNG Tanker Charter Hire (Not Applicable for Tolling)</t>
  </si>
  <si>
    <t>LNG throughput Volume, Net of Dom and LPG from Field 1</t>
  </si>
  <si>
    <t>LNG throughput Volume, Net of Dom and LPG from Field 2</t>
  </si>
  <si>
    <t>LNG throughput Volume, Net of Dom and LPG from Field 3</t>
  </si>
  <si>
    <t>TOTAL LNG throughput Volume, Net of Dom and LPG from ALL</t>
  </si>
  <si>
    <t>Gross Revenue from Tolls from Field 1</t>
  </si>
  <si>
    <t>Gross Revenue from Tolls from Field 2</t>
  </si>
  <si>
    <t>Gross Revenue from Tolls from Field 3</t>
  </si>
  <si>
    <t xml:space="preserve">  Total Gross Revenue from Tolls from ALL Fields</t>
  </si>
  <si>
    <t>Consolidated Results - Upstream, Gas Pipeline, LNG Equity Plant</t>
  </si>
  <si>
    <t>Total Net Revenues</t>
  </si>
  <si>
    <t>Total Operating and Maint Costs</t>
  </si>
  <si>
    <t>Total Capital Expenditures</t>
  </si>
  <si>
    <t>Net to be Shared</t>
  </si>
  <si>
    <t>Total Govt Profit Share Gas</t>
  </si>
  <si>
    <t>Total Special Taxes/Royalties</t>
  </si>
  <si>
    <t>Total Income Taxes</t>
  </si>
  <si>
    <t>Net Cash Flow after Tax and Govt Share</t>
  </si>
  <si>
    <t>Govt Share as % of Net to be Shared</t>
  </si>
  <si>
    <t>Investors NPV @</t>
  </si>
  <si>
    <t>Consolidated Results - Upstream, Gas Pipeline, LNG Tolling Arrangement</t>
  </si>
  <si>
    <t>Total Operating and Main Costs</t>
  </si>
  <si>
    <t>Total Royalties</t>
  </si>
  <si>
    <t>Pipeline Income Taxes</t>
  </si>
  <si>
    <t>LNG Income Taxes</t>
  </si>
  <si>
    <t>Capital Expenditures from all Sectors</t>
  </si>
  <si>
    <t>Unit</t>
  </si>
  <si>
    <t>Debt to (Debt+Equity) Ratio</t>
  </si>
  <si>
    <t>Debt maturity in years</t>
  </si>
  <si>
    <t>Debt interest</t>
  </si>
  <si>
    <t>Total Capex</t>
  </si>
  <si>
    <t>Capital to Finance Initial Losses</t>
  </si>
  <si>
    <t>Capex to be financed</t>
  </si>
  <si>
    <t>Equity</t>
  </si>
  <si>
    <t>Debt in Balance Sheet</t>
  </si>
  <si>
    <t>Annuity</t>
  </si>
  <si>
    <t>Principal</t>
  </si>
  <si>
    <t>Interests</t>
  </si>
  <si>
    <t>Debt repayment per year</t>
  </si>
  <si>
    <t>Choose Whether: LNG Plant Charges Toll to Upstream = 1 (Tolling model), Gas Purchased by or Title Passed to LNG Owners (LNG Equity) = 2*, or ALL activities with same owners and part of one tax ring fence = 3</t>
  </si>
  <si>
    <t>All Opex (excl any internal tolls or tariffs)</t>
  </si>
  <si>
    <t>Total Revenues from Exports and Dom Sales</t>
  </si>
  <si>
    <t>Opex Recoverable</t>
  </si>
  <si>
    <t>Special Incentive Deducts (e.g. Interest)</t>
  </si>
  <si>
    <t>Pre-Production Capital Costs Financed</t>
  </si>
  <si>
    <t>Accumulated Pre-Production Capital and Interest</t>
  </si>
  <si>
    <t>Upstream Income Tax (Not Applicable)</t>
  </si>
  <si>
    <t>Pipeline Income Tax (Not Applicable)</t>
  </si>
  <si>
    <t>LNG Income Tax (Not Applicable)</t>
  </si>
  <si>
    <t>Conslidated One Ring Fence Income Taxes</t>
  </si>
  <si>
    <t>Capital Spending:</t>
  </si>
  <si>
    <t>Less: Items not permitted to be included</t>
  </si>
  <si>
    <t>Debt as per permitted D/D&amp;E ratio</t>
  </si>
  <si>
    <t>Funds to be provided from Debt and Equity</t>
  </si>
  <si>
    <t>Interest  capitalized in pre-production years</t>
  </si>
  <si>
    <r>
      <rPr>
        <b/>
        <u/>
        <sz val="14"/>
        <color theme="1"/>
        <rFont val="Calibri"/>
        <family val="2"/>
        <scheme val="minor"/>
      </rPr>
      <t>Project Financing</t>
    </r>
    <r>
      <rPr>
        <b/>
        <sz val="14"/>
        <color theme="1"/>
        <rFont val="Calibri"/>
        <family val="2"/>
        <scheme val="minor"/>
      </rPr>
      <t xml:space="preserve"> - For Purposes of Computing Fiscal Incentive Interest Allowances Only!</t>
    </r>
  </si>
  <si>
    <t>Debt Repayment Schedule</t>
  </si>
  <si>
    <t>Loan Amount  to Commence Repayment in this Year</t>
  </si>
  <si>
    <t>Inputs (from assumptions sheet):</t>
  </si>
  <si>
    <t>Repayment Year (commencing after production start) --&gt;</t>
  </si>
  <si>
    <t>Choose whether LPG extracted and sold by: Upstream Investors = 1, LNG Owners or One Ring Fence = 2, or no LPG extracted = 0</t>
  </si>
  <si>
    <t>Capital Depreciation Schedule for Integrated One Ring Fence Option</t>
  </si>
  <si>
    <t>Fiscal Terms Computations when Entire Project is permitted as One Single Integrated Ring-Fence for Fiscal Purposes</t>
  </si>
  <si>
    <t>Consolidated Results - INTEGRATED ONE RING FENCE for Upstream, Gas Pipeline, LNG Plant</t>
  </si>
  <si>
    <t>Upstream Capital eligible for Financing Computation</t>
  </si>
  <si>
    <t>Gas PL Capital eligible for Financing Computation</t>
  </si>
  <si>
    <t>LNG Plant Capital eligible for Financing Computation</t>
  </si>
  <si>
    <t>Total Gas exported as LNG by Upstream after LNG product loss</t>
  </si>
  <si>
    <t>Gas volume lost as converted to LPG</t>
  </si>
  <si>
    <t>Gas Sold as LPG, Millions of Barrels p.a.</t>
  </si>
  <si>
    <t>Price for gas sold to  Export Buyers</t>
  </si>
  <si>
    <t>Revenues from selling LNG for Export</t>
  </si>
  <si>
    <t xml:space="preserve">   Total Revenues Deemed to Upstream</t>
  </si>
  <si>
    <t>Deemed Upstream Opex for CR</t>
  </si>
  <si>
    <t>Opex</t>
  </si>
  <si>
    <t>LPG Costs</t>
  </si>
  <si>
    <t>Decommissioning Costs</t>
  </si>
  <si>
    <t xml:space="preserve">  Total Deemed Upstream Opex</t>
  </si>
  <si>
    <t>NOC Share of Cost Recovery under Tolling or Equity</t>
  </si>
  <si>
    <t>"1" = YES, "2" = NO</t>
  </si>
  <si>
    <t>Total Revenues</t>
  </si>
  <si>
    <t>Total Taxes</t>
  </si>
  <si>
    <t>Total to Government</t>
  </si>
  <si>
    <t>Total Net Cash Flows</t>
  </si>
  <si>
    <t>NOC Equity Share</t>
  </si>
  <si>
    <t>100% Project</t>
  </si>
  <si>
    <t>Carry Interest Rate</t>
  </si>
  <si>
    <t>Carry of NOC Upstream Development Capex by the IOC's</t>
  </si>
  <si>
    <t>Repayment of Carry out of Cost Gas</t>
  </si>
  <si>
    <t>Interest - Current Year</t>
  </si>
  <si>
    <t>Amount of Actual Repayment of Carry</t>
  </si>
  <si>
    <t>Net Cash Flow to NOC after Upstream Carry</t>
  </si>
  <si>
    <t>NOC Upstream Development Costs Carried by IOC's and Repaid out of Cost Recovery?</t>
  </si>
  <si>
    <t>NOC Share of CR under One-Ring Fence Assumption</t>
  </si>
  <si>
    <t>Annual Carry of Upstream Capex</t>
  </si>
  <si>
    <t>Amounts Available from NOC Share of CR to Repay Carry</t>
  </si>
  <si>
    <t>Net Unrecovered Amounts  before Interest</t>
  </si>
  <si>
    <t>Accumulated Unpaid Carry Balance including Interest</t>
  </si>
  <si>
    <t>Consolidated Activities</t>
  </si>
  <si>
    <t>(NOTE: Under Integrated One Ring Fence there is no separate upstream fiscal return, so computation below is simulation of upsteam cost recovery)</t>
  </si>
  <si>
    <t>a. Simulated Upstream Cost Recovery Computation under One Single Ring Fence Scenario</t>
  </si>
  <si>
    <t>b. Cost Recovery under Tolling or Equity Cases - all Fields</t>
  </si>
  <si>
    <t>c. Computation of Carry Repayment</t>
  </si>
  <si>
    <t>Amount of Carry of NOC carried forward from previous years</t>
  </si>
  <si>
    <t>Amount of NOC Carry from pre-development years</t>
  </si>
  <si>
    <t>Total Interest Costs Fiscal Incentive Deduction (from below)</t>
  </si>
  <si>
    <t>Special Incentive Interest Deduction (if permitted)</t>
  </si>
  <si>
    <t xml:space="preserve">   Total Interest Fiscal Deductions allocated to individual sectors</t>
  </si>
  <si>
    <t>Total Net Cash Flows before Carry</t>
  </si>
  <si>
    <t>Total Operating and Maintenance Costs</t>
  </si>
  <si>
    <t>IOCs Equity Share</t>
  </si>
  <si>
    <t xml:space="preserve">Net Cash Flows to IOC after Upstream Carry, excluding any IOC Financing </t>
  </si>
  <si>
    <t>IOC Investor Share of Net Cash Flow before Carry</t>
  </si>
  <si>
    <t>Impact of NOC Carrry</t>
  </si>
  <si>
    <t>IOC Share after Carry</t>
  </si>
  <si>
    <t>NOC Equity Share of Net Cash Flow before Carry</t>
  </si>
  <si>
    <t>NOC Share after Carry</t>
  </si>
  <si>
    <t>IOC and NOC Splits:</t>
  </si>
  <si>
    <t xml:space="preserve">   Split of Gas PL deductions between Fields/Blocks:</t>
  </si>
  <si>
    <t xml:space="preserve">   Split of LNG deductions between Fields/Blocks:</t>
  </si>
  <si>
    <t>Profit Sharing (R Factor = 1, Production based = 2)</t>
  </si>
  <si>
    <t>Special Incentive Cost Recovery and Tax Deduction (e.g. Interest deduction allowance) allowed? (Yes =1, No =2)</t>
  </si>
  <si>
    <t>Financing - Incentive</t>
  </si>
  <si>
    <t>OneRingFenceDepr</t>
  </si>
  <si>
    <t>OneRingFence Fiscal</t>
  </si>
  <si>
    <t>Consolidated One Ring Fence</t>
  </si>
  <si>
    <t>NOC and IOC Shares plus Carry</t>
  </si>
  <si>
    <t>Consolidation of depreciation schedules for the purpose of One Ring Fence model</t>
  </si>
  <si>
    <r>
      <t xml:space="preserve">Fiscal </t>
    </r>
    <r>
      <rPr>
        <sz val="12"/>
        <color theme="1"/>
        <rFont val="Calibri"/>
        <family val="2"/>
        <scheme val="minor"/>
      </rPr>
      <t>t</t>
    </r>
    <r>
      <rPr>
        <sz val="12"/>
        <color theme="1"/>
        <rFont val="Calibri"/>
        <family val="2"/>
        <scheme val="minor"/>
      </rPr>
      <t xml:space="preserve">erms </t>
    </r>
    <r>
      <rPr>
        <sz val="12"/>
        <color theme="1"/>
        <rFont val="Calibri"/>
        <family val="2"/>
        <scheme val="minor"/>
      </rPr>
      <t>c</t>
    </r>
    <r>
      <rPr>
        <sz val="12"/>
        <color theme="1"/>
        <rFont val="Calibri"/>
        <family val="2"/>
        <scheme val="minor"/>
      </rPr>
      <t xml:space="preserve">omputations when </t>
    </r>
    <r>
      <rPr>
        <sz val="12"/>
        <color theme="1"/>
        <rFont val="Calibri"/>
        <family val="2"/>
        <scheme val="minor"/>
      </rPr>
      <t>e</t>
    </r>
    <r>
      <rPr>
        <sz val="12"/>
        <color theme="1"/>
        <rFont val="Calibri"/>
        <family val="2"/>
        <scheme val="minor"/>
      </rPr>
      <t>ntire</t>
    </r>
    <r>
      <rPr>
        <sz val="12"/>
        <color theme="1"/>
        <rFont val="Calibri"/>
        <family val="2"/>
        <scheme val="minor"/>
      </rPr>
      <t xml:space="preserve"> p</t>
    </r>
    <r>
      <rPr>
        <sz val="12"/>
        <color theme="1"/>
        <rFont val="Calibri"/>
        <family val="2"/>
        <scheme val="minor"/>
      </rPr>
      <t xml:space="preserve">roject is permitted as </t>
    </r>
    <r>
      <rPr>
        <sz val="12"/>
        <color theme="1"/>
        <rFont val="Calibri"/>
        <family val="2"/>
        <scheme val="minor"/>
      </rPr>
      <t>o</t>
    </r>
    <r>
      <rPr>
        <sz val="12"/>
        <color theme="1"/>
        <rFont val="Calibri"/>
        <family val="2"/>
        <scheme val="minor"/>
      </rPr>
      <t>ne</t>
    </r>
    <r>
      <rPr>
        <sz val="12"/>
        <color theme="1"/>
        <rFont val="Calibri"/>
        <family val="2"/>
        <scheme val="minor"/>
      </rPr>
      <t xml:space="preserve"> s</t>
    </r>
    <r>
      <rPr>
        <sz val="12"/>
        <color theme="1"/>
        <rFont val="Calibri"/>
        <family val="2"/>
        <scheme val="minor"/>
      </rPr>
      <t xml:space="preserve">ingle </t>
    </r>
    <r>
      <rPr>
        <sz val="12"/>
        <color theme="1"/>
        <rFont val="Calibri"/>
        <family val="2"/>
        <scheme val="minor"/>
      </rPr>
      <t>i</t>
    </r>
    <r>
      <rPr>
        <sz val="12"/>
        <color theme="1"/>
        <rFont val="Calibri"/>
        <family val="2"/>
        <scheme val="minor"/>
      </rPr>
      <t>ntegrated</t>
    </r>
    <r>
      <rPr>
        <sz val="12"/>
        <color theme="1"/>
        <rFont val="Calibri"/>
        <family val="2"/>
        <scheme val="minor"/>
      </rPr>
      <t xml:space="preserve"> r</t>
    </r>
    <r>
      <rPr>
        <sz val="12"/>
        <color theme="1"/>
        <rFont val="Calibri"/>
        <family val="2"/>
        <scheme val="minor"/>
      </rPr>
      <t>ing-</t>
    </r>
    <r>
      <rPr>
        <sz val="12"/>
        <color theme="1"/>
        <rFont val="Calibri"/>
        <family val="2"/>
        <scheme val="minor"/>
      </rPr>
      <t>f</t>
    </r>
    <r>
      <rPr>
        <sz val="12"/>
        <color theme="1"/>
        <rFont val="Calibri"/>
        <family val="2"/>
        <scheme val="minor"/>
      </rPr>
      <t xml:space="preserve">ence for </t>
    </r>
    <r>
      <rPr>
        <sz val="12"/>
        <color theme="1"/>
        <rFont val="Calibri"/>
        <family val="2"/>
        <scheme val="minor"/>
      </rPr>
      <t>f</t>
    </r>
    <r>
      <rPr>
        <sz val="12"/>
        <color theme="1"/>
        <rFont val="Calibri"/>
        <family val="2"/>
        <scheme val="minor"/>
      </rPr>
      <t xml:space="preserve">iscal </t>
    </r>
    <r>
      <rPr>
        <sz val="12"/>
        <color theme="1"/>
        <rFont val="Calibri"/>
        <family val="2"/>
        <scheme val="minor"/>
      </rPr>
      <t>p</t>
    </r>
    <r>
      <rPr>
        <sz val="12"/>
        <color theme="1"/>
        <rFont val="Calibri"/>
        <family val="2"/>
        <scheme val="minor"/>
      </rPr>
      <t>urposes</t>
    </r>
  </si>
  <si>
    <r>
      <t xml:space="preserve">Consolidation of the economics of all 3 elements of the projects (upstream, pipeline and LNG facility) under the </t>
    </r>
    <r>
      <rPr>
        <sz val="12"/>
        <color theme="1"/>
        <rFont val="Calibri"/>
        <family val="2"/>
        <scheme val="minor"/>
      </rPr>
      <t xml:space="preserve">One Ring Fence </t>
    </r>
    <r>
      <rPr>
        <sz val="12"/>
        <color theme="1"/>
        <rFont val="Calibri"/>
        <family val="2"/>
        <scheme val="minor"/>
      </rPr>
      <t>model</t>
    </r>
  </si>
  <si>
    <t>Computation of the National Oil Company (NOC's) and International Oil Company (IOC)'s shares when the NOC has an equity</t>
  </si>
  <si>
    <t>Computation of the debt schedule to calculate the financial incentive resulting from leveraging the project</t>
  </si>
  <si>
    <t>Investors NPV Before Carry  @</t>
  </si>
  <si>
    <t>Internal Rate of Return Before Carry</t>
  </si>
  <si>
    <t>Investors NPV Including Carry  @</t>
  </si>
  <si>
    <t>Internal Rate of Return Including Carry</t>
  </si>
  <si>
    <t>NOC NPV Before Carry  @</t>
  </si>
  <si>
    <t>NOC NPV Including Carry  @</t>
  </si>
  <si>
    <t>Computation of Carry Repayment out of Cost Recovery</t>
  </si>
  <si>
    <t>Cost Recovery Used - 100%</t>
  </si>
  <si>
    <t>Interest on Carry - Current Year</t>
  </si>
  <si>
    <t>Net Cash Flow After Tax - All Investors</t>
  </si>
  <si>
    <t>Internal Rate of Return to IOC's including Carry</t>
  </si>
  <si>
    <t>NOC Share of Cost Recovery</t>
  </si>
  <si>
    <t>Net Acc Unrecovered Carry Amounts  for interest computation</t>
  </si>
  <si>
    <r>
      <t xml:space="preserve">Net Cash Flow After Tax -IOC's  </t>
    </r>
    <r>
      <rPr>
        <u/>
        <sz val="11"/>
        <color theme="1"/>
        <rFont val="Calibri"/>
        <family val="2"/>
        <scheme val="minor"/>
      </rPr>
      <t>Including Carry</t>
    </r>
  </si>
  <si>
    <r>
      <t>Net Cash Flow After Tax -  IOC Equity Share</t>
    </r>
    <r>
      <rPr>
        <u/>
        <sz val="11"/>
        <color theme="1"/>
        <rFont val="Calibri"/>
        <family val="2"/>
        <scheme val="minor"/>
      </rPr>
      <t xml:space="preserve"> excluding Carry</t>
    </r>
  </si>
  <si>
    <t>Internal Rate of Return to IOC's excluding Carry</t>
  </si>
  <si>
    <r>
      <t xml:space="preserve">Net Cash Flow After Tax -  IOC Equity Share </t>
    </r>
    <r>
      <rPr>
        <u/>
        <sz val="11"/>
        <color theme="1"/>
        <rFont val="Calibri"/>
        <family val="2"/>
        <scheme val="minor"/>
      </rPr>
      <t>Excluding Carry</t>
    </r>
  </si>
  <si>
    <r>
      <t xml:space="preserve">Net Cash Flow After Tax -IOC's </t>
    </r>
    <r>
      <rPr>
        <u/>
        <sz val="11"/>
        <color theme="1"/>
        <rFont val="Calibri"/>
        <family val="2"/>
        <scheme val="minor"/>
      </rPr>
      <t xml:space="preserve"> Including Carry</t>
    </r>
  </si>
  <si>
    <t>Impact of NOC Carry</t>
  </si>
  <si>
    <t>Computation of NOC and IOC Shares</t>
  </si>
  <si>
    <t>Consolidated Income Tax</t>
  </si>
  <si>
    <t>Revenue</t>
  </si>
  <si>
    <t>CAPEX</t>
  </si>
  <si>
    <t>OPEX</t>
  </si>
  <si>
    <t>Cash flow</t>
  </si>
  <si>
    <t>Project Economics</t>
  </si>
  <si>
    <t>Government Revenues</t>
  </si>
  <si>
    <t>Investor IRR LNG Project</t>
  </si>
  <si>
    <t>Investor IRR Consolidated Project</t>
  </si>
  <si>
    <t>Net Present Value (US$ MM)</t>
  </si>
  <si>
    <r>
      <t xml:space="preserve">NOC Carry and Repayment Computation - </t>
    </r>
    <r>
      <rPr>
        <b/>
        <u/>
        <sz val="16"/>
        <color rgb="FFFF0000"/>
        <rFont val="Calibri"/>
        <family val="2"/>
        <scheme val="minor"/>
      </rPr>
      <t>USED ONLY FOR ONE RING FENCE CASE</t>
    </r>
    <r>
      <rPr>
        <b/>
        <u/>
        <sz val="16"/>
        <color theme="1"/>
        <rFont val="Calibri"/>
        <family val="2"/>
        <scheme val="minor"/>
      </rPr>
      <t xml:space="preserve"> - See Investor Worksheets for Carry computation under other structures</t>
    </r>
  </si>
  <si>
    <t>Light red</t>
  </si>
  <si>
    <t>2) GOVERNMENT AND PRIVATE TAKES</t>
  </si>
  <si>
    <t>3) GOVERNMENTS REVENUES</t>
  </si>
  <si>
    <r>
      <t>j. National Oil Company (NOC) Assumptions</t>
    </r>
    <r>
      <rPr>
        <b/>
        <sz val="11"/>
        <color theme="1"/>
        <rFont val="Calibri"/>
        <family val="2"/>
        <scheme val="minor"/>
      </rPr>
      <t xml:space="preserve"> (Not required for base 100% economics)</t>
    </r>
  </si>
  <si>
    <t>k. MODEL : Independent or Related Party Plant Owner/ Buyer ("LNG Equity") or Tolling or Integrated One Ring Fence?</t>
  </si>
  <si>
    <r>
      <t>g. Financing Assumptions (</t>
    </r>
    <r>
      <rPr>
        <b/>
        <i/>
        <u/>
        <sz val="11"/>
        <color rgb="FFFF0000"/>
        <rFont val="Calibri"/>
        <family val="2"/>
        <scheme val="minor"/>
      </rPr>
      <t>Only relevant where financing cost permitted as incentive in cell C123</t>
    </r>
    <r>
      <rPr>
        <b/>
        <i/>
        <u/>
        <sz val="11"/>
        <color theme="1"/>
        <rFont val="Calibri"/>
        <family val="2"/>
        <scheme val="minor"/>
      </rPr>
      <t>)</t>
    </r>
  </si>
  <si>
    <t>1) BY COMPONENTS (UPSTREAM, PIPELINE, LNG PLANT) &amp; PLAYERS (PROJECT INVESTORS, IOC, NOC)</t>
  </si>
  <si>
    <t>IOC IRR with carry</t>
  </si>
  <si>
    <t>NOC IRR with carry</t>
  </si>
  <si>
    <t>h. Discount Rates</t>
  </si>
  <si>
    <t xml:space="preserve">i. Sensitivity Analysis  </t>
  </si>
  <si>
    <t>4)  SENSITIVITY ANALYSIS</t>
  </si>
  <si>
    <t>Project economics and govt. revenues by year (copied out to visualise in figures above)</t>
  </si>
  <si>
    <t>Investor IRR Field 1 under Tolling model or LNG equity model</t>
  </si>
  <si>
    <t>Yes (1)/ No (2)</t>
  </si>
  <si>
    <t>Investor and Government</t>
  </si>
  <si>
    <t xml:space="preserve">Discount Rate </t>
  </si>
  <si>
    <t>Input variables that can be changed by the user. Price, production, cost and fiscal inputs should be all edited in the 'assumptions and results' worksheet. The structure to be analysed can be chosen in cell C167 of that tab</t>
  </si>
  <si>
    <t>Carried interest rate</t>
  </si>
  <si>
    <t>IOC IRR</t>
  </si>
  <si>
    <t>NOC IRR</t>
  </si>
  <si>
    <t>Interest rate</t>
  </si>
  <si>
    <t>If YES, insert in each year the lease payments excluding portion relating to operations and maintenance</t>
  </si>
  <si>
    <t>Capital Lease Annual Cost (if lease cost permitted as deduction)</t>
  </si>
  <si>
    <t>Refrigeration Units, Pipelines, Storage (If plant is not leased)</t>
  </si>
  <si>
    <t>"1" = YES, "0" = NO</t>
  </si>
  <si>
    <t>LNG Capex from above permitted for Upstream Cost Recovery or Tax Deduction</t>
  </si>
  <si>
    <t>LNG Plant-only "equivalent" Capital Costs included above IF a Capital Lease</t>
  </si>
  <si>
    <r>
      <t xml:space="preserve">Is main facility a </t>
    </r>
    <r>
      <rPr>
        <b/>
        <u/>
        <sz val="11"/>
        <color rgb="FFFF0000"/>
        <rFont val="Calibri"/>
        <family val="2"/>
        <scheme val="minor"/>
      </rPr>
      <t>Leased Floating LNG</t>
    </r>
    <r>
      <rPr>
        <b/>
        <sz val="11"/>
        <color rgb="FFFF0000"/>
        <rFont val="Calibri"/>
        <family val="2"/>
        <scheme val="minor"/>
      </rPr>
      <t>? (If YES, then insert "1" in C85, otherwise insert "0")</t>
    </r>
  </si>
  <si>
    <t>Are full lease costs allowed as tax deduction, or only the depreciation of the capital portion?</t>
  </si>
  <si>
    <t>"1" = YES Lease Deducted, "0" = NO, only Depreciation deducted</t>
  </si>
  <si>
    <t>LNG Sector  Tax Depreciation</t>
  </si>
  <si>
    <t>Depreciation Life for CR and Upstream Tax</t>
  </si>
  <si>
    <t>Depreciation Life for LNG Investments</t>
  </si>
  <si>
    <t>Depreciation Life for Gas PL Investments</t>
  </si>
  <si>
    <t>Depreciation Life (Note: Utilizes the Upstream Depreciation method)</t>
  </si>
  <si>
    <t>Total Gas PL Capital Expds eligible for Tax Depr under Gas PL regime</t>
  </si>
  <si>
    <t>Total LNG Capital Expds eligible for Tax Depreciation under LNG fiscal regime</t>
  </si>
  <si>
    <t>NOTE: ONLY VALID IF TOLLNG OR EQUITY IS SELECTED in Assumptions, C173; NOT VALID UNDER ONE RING FENCE OPTION</t>
  </si>
  <si>
    <t>NOTE: This Spreadsheet Only VALID IF CELL C173 in "Assumptions &amp; Results" = 2</t>
  </si>
  <si>
    <t>NOTE: This Spreadsheet Only VALID IF CELL C173 in "Assumptions &amp; Results" = 1</t>
  </si>
  <si>
    <t>NOTE: This Summary of IOC NOC Split Only VALID IF CELL C173 in "Assumptions &amp; Results" = 2</t>
  </si>
  <si>
    <t>NOTE: This split of IOC NOC Share Only VALID IF CELL C173 in "Assumptions &amp; Results" = 1</t>
  </si>
  <si>
    <t>NOTE: This Spreadsheet Only VALID IF CELL C173 in "Assumptions &amp; Results" = 3</t>
  </si>
  <si>
    <t>NOTE: This Split of IOC NOC Share Only VALID IF CELL C173 in "Assumptions &amp; Results" = 3</t>
  </si>
  <si>
    <t>Only Valid and Useable if Interest Costs are permitted as Cost Recovery and As Tax Deductions (Cell C128 in Assumptions &amp; Results = 1)</t>
  </si>
  <si>
    <t>NOTE: If One Ring Fence option is selected in Cell C173, any LPG extraction will be included as deductions in that Ring Fence</t>
  </si>
  <si>
    <t>NOTE: If One Ring Fence option is selected in Cell C173, all capital costs will be included as deductions in that Ring Fence</t>
  </si>
  <si>
    <t>NOTE: If One Ring Fence option is selected in Cell C173, all operating costs will be included as deductions in that Ring Fence</t>
  </si>
  <si>
    <t>Allocation of Interest Costs by Sector (Only shown if not all One Ring Fence):</t>
  </si>
  <si>
    <t>Upstream Production Taxes</t>
  </si>
  <si>
    <t>Total Special Upstream Production Taxes</t>
  </si>
  <si>
    <t>Investor IRR Field 2 under Tolling model or LNG equity model</t>
  </si>
  <si>
    <t>Investor IRR Field 3 under Tolling model or LNG equity model</t>
  </si>
  <si>
    <t>Financing for Fiscal Terms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</si>
</sst>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6" formatCode="&quot;$&quot;#,##0_);[Red]\(&quot;$&quot;#,##0\)"/>
    <numFmt numFmtId="8" formatCode="&quot;$&quot;#,##0.00_);[Red]\(&quot;$&quot;#,##0.00\)"/>
    <numFmt numFmtId="44" formatCode="_(&quot;$&quot;* #,##0.00_);_(&quot;$&quot;* \(#,##0.00\);_(&quot;$&quot;* &quot;-&quot;??_);_(@_)"/>
    <numFmt numFmtId="43" formatCode="_(* #,##0.00_);_(* \(#,##0.00\);_(* &quot;-&quot;??_);_(@_)"/>
    <numFmt numFmtId="164" formatCode="_-&quot;$&quot;\ * #,##0.00_-;\-&quot;$&quot;\ * #,##0.00_-;_-&quot;$&quot;\ * &quot;-&quot;??_-;_-@_-"/>
    <numFmt numFmtId="165" formatCode="0.0%"/>
    <numFmt numFmtId="166" formatCode="_(* #,##0.0_);_(* \(#,##0.0\);_(* &quot;-&quot;??_);_(@_)"/>
    <numFmt numFmtId="167" formatCode="_(* #,##0_);_(* \(#,##0\);_(* &quot;-&quot;??_);_(@_)"/>
    <numFmt numFmtId="168" formatCode="_(* #,##0.0_);_(* \(#,##0.0\);_(* &quot;-&quot;?_);_(@_)"/>
    <numFmt numFmtId="169" formatCode="_(&quot;$&quot;* #,##0_);_(&quot;$&quot;* \(#,##0\);_(&quot;$&quot;* &quot;-&quot;??_);_(@_)"/>
    <numFmt numFmtId="170" formatCode="0.000"/>
    <numFmt numFmtId="171" formatCode="_(* #,##0.000_);_(* \(#,##0.000\);_(* &quot;-&quot;??_);_(@_)"/>
    <numFmt numFmtId="172" formatCode="0.0"/>
    <numFmt numFmtId="173" formatCode="_(&quot;$&quot;* #,##0.0_);_(&quot;$&quot;* \(#,##0.0\);_(&quot;$&quot;* &quot;-&quot;??_);_(@_)"/>
    <numFmt numFmtId="174" formatCode="#,##0.0"/>
    <numFmt numFmtId="175" formatCode="#,##0;\-#,##0;\-"/>
    <numFmt numFmtId="176" formatCode="_-* #,##0.00_-;\-* #,##0.00_-;_-* &quot;-&quot;??_-;_-@_-"/>
    <numFmt numFmtId="177" formatCode="#,##0.0_);[Red]\(#,##0.0\)"/>
    <numFmt numFmtId="178" formatCode="&quot;$&quot;#,##0.0_);\(&quot;$&quot;#,##0.0\)"/>
    <numFmt numFmtId="179" formatCode="#,##0.0_);\(#,##0.0\)"/>
  </numFmts>
  <fonts count="78"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u/>
      <sz val="11"/>
      <color theme="1"/>
      <name val="Calibri"/>
      <family val="2"/>
      <scheme val="minor"/>
    </font>
    <font>
      <b/>
      <i/>
      <sz val="11"/>
      <color theme="1"/>
      <name val="Calibri"/>
      <family val="2"/>
      <scheme val="minor"/>
    </font>
    <font>
      <b/>
      <sz val="12"/>
      <color theme="1"/>
      <name val="Calibri"/>
      <family val="2"/>
      <scheme val="minor"/>
    </font>
    <font>
      <b/>
      <sz val="14"/>
      <color theme="1"/>
      <name val="Calibri"/>
      <family val="2"/>
      <scheme val="minor"/>
    </font>
    <font>
      <b/>
      <sz val="14"/>
      <color rgb="FFFF0000"/>
      <name val="Calibri"/>
      <family val="2"/>
      <scheme val="minor"/>
    </font>
    <font>
      <b/>
      <sz val="11"/>
      <color theme="1"/>
      <name val="Calibri"/>
      <family val="2"/>
      <scheme val="minor"/>
    </font>
    <font>
      <b/>
      <sz val="11"/>
      <color rgb="FFFF0000"/>
      <name val="Calibri"/>
      <family val="2"/>
      <scheme val="minor"/>
    </font>
    <font>
      <b/>
      <sz val="12"/>
      <color rgb="FFFF0000"/>
      <name val="Calibri"/>
      <family val="2"/>
      <scheme val="minor"/>
    </font>
    <font>
      <b/>
      <i/>
      <u/>
      <sz val="11"/>
      <color rgb="FFFF0000"/>
      <name val="Calibri"/>
      <family val="2"/>
      <scheme val="minor"/>
    </font>
    <font>
      <u val="singleAccounting"/>
      <sz val="11"/>
      <color theme="1"/>
      <name val="Calibri"/>
      <family val="2"/>
      <scheme val="minor"/>
    </font>
    <font>
      <b/>
      <i/>
      <u/>
      <sz val="12"/>
      <color rgb="FFFF0000"/>
      <name val="Calibri"/>
      <family val="2"/>
      <scheme val="minor"/>
    </font>
    <font>
      <b/>
      <sz val="16"/>
      <color rgb="FFFF0000"/>
      <name val="Calibri"/>
      <family val="2"/>
      <scheme val="minor"/>
    </font>
    <font>
      <sz val="11"/>
      <name val="Calibri"/>
      <family val="2"/>
      <scheme val="minor"/>
    </font>
    <font>
      <b/>
      <sz val="11"/>
      <name val="Calibri"/>
      <family val="2"/>
      <scheme val="minor"/>
    </font>
    <font>
      <b/>
      <i/>
      <sz val="11"/>
      <color rgb="FF0070C0"/>
      <name val="Calibri"/>
      <family val="2"/>
      <scheme val="minor"/>
    </font>
    <font>
      <b/>
      <i/>
      <u/>
      <sz val="11"/>
      <color theme="1"/>
      <name val="Calibri"/>
      <family val="2"/>
      <scheme val="minor"/>
    </font>
    <font>
      <b/>
      <u/>
      <sz val="12"/>
      <name val="Calibri"/>
      <family val="2"/>
      <scheme val="minor"/>
    </font>
    <font>
      <b/>
      <i/>
      <sz val="11"/>
      <name val="Calibri"/>
      <family val="2"/>
      <scheme val="minor"/>
    </font>
    <font>
      <u/>
      <sz val="11"/>
      <name val="Calibri"/>
      <family val="2"/>
      <scheme val="minor"/>
    </font>
    <font>
      <i/>
      <sz val="11"/>
      <color rgb="FFFF0000"/>
      <name val="Calibri"/>
      <family val="2"/>
      <scheme val="minor"/>
    </font>
    <font>
      <b/>
      <u/>
      <sz val="11"/>
      <color theme="1"/>
      <name val="Calibri"/>
      <family val="2"/>
      <scheme val="minor"/>
    </font>
    <font>
      <u/>
      <sz val="11"/>
      <color theme="10"/>
      <name val="Calibri"/>
      <family val="2"/>
      <scheme val="minor"/>
    </font>
    <font>
      <u/>
      <sz val="11"/>
      <color theme="11"/>
      <name val="Calibri"/>
      <family val="2"/>
      <scheme val="minor"/>
    </font>
    <font>
      <sz val="11"/>
      <color rgb="FF000000"/>
      <name val="Calibri"/>
      <family val="2"/>
      <scheme val="minor"/>
    </font>
    <font>
      <sz val="12"/>
      <name val="Calibri"/>
      <family val="2"/>
      <scheme val="minor"/>
    </font>
    <font>
      <sz val="14"/>
      <name val="Calibri"/>
      <family val="2"/>
      <scheme val="minor"/>
    </font>
    <font>
      <b/>
      <i/>
      <u/>
      <sz val="14"/>
      <name val="Calibri"/>
      <family val="2"/>
      <scheme val="minor"/>
    </font>
    <font>
      <b/>
      <sz val="18"/>
      <color theme="1"/>
      <name val="Calibri"/>
      <family val="2"/>
      <scheme val="minor"/>
    </font>
    <font>
      <sz val="10"/>
      <name val="Arial"/>
      <family val="2"/>
    </font>
    <font>
      <b/>
      <sz val="10"/>
      <name val="Arial"/>
      <family val="2"/>
    </font>
    <font>
      <b/>
      <sz val="20"/>
      <color theme="1"/>
      <name val="Calibri"/>
      <family val="2"/>
      <scheme val="minor"/>
    </font>
    <font>
      <i/>
      <sz val="11"/>
      <color theme="1"/>
      <name val="Calibri"/>
      <family val="2"/>
      <scheme val="minor"/>
    </font>
    <font>
      <b/>
      <sz val="24"/>
      <color theme="5"/>
      <name val="Calibri"/>
      <family val="2"/>
      <scheme val="minor"/>
    </font>
    <font>
      <b/>
      <sz val="10"/>
      <color rgb="FFC0504D"/>
      <name val="Arial"/>
      <family val="2"/>
    </font>
    <font>
      <sz val="10"/>
      <color rgb="FFFFFFFF"/>
      <name val="Arial"/>
      <family val="2"/>
    </font>
    <font>
      <b/>
      <sz val="11"/>
      <color theme="5"/>
      <name val="Calibri"/>
      <family val="2"/>
      <scheme val="minor"/>
    </font>
    <font>
      <sz val="10"/>
      <name val="Verdana"/>
      <family val="2"/>
    </font>
    <font>
      <b/>
      <sz val="9"/>
      <name val="Verdana"/>
      <family val="2"/>
    </font>
    <font>
      <sz val="9"/>
      <name val="Verdana"/>
      <family val="2"/>
    </font>
    <font>
      <b/>
      <i/>
      <u/>
      <sz val="20"/>
      <name val="Calibri"/>
      <family val="2"/>
      <scheme val="minor"/>
    </font>
    <font>
      <b/>
      <sz val="12"/>
      <color theme="0"/>
      <name val="Calibri"/>
      <family val="2"/>
      <scheme val="minor"/>
    </font>
    <font>
      <b/>
      <sz val="20"/>
      <color theme="5"/>
      <name val="Calibri"/>
      <family val="2"/>
      <scheme val="minor"/>
    </font>
    <font>
      <b/>
      <sz val="12"/>
      <name val="Calibri"/>
      <family val="2"/>
    </font>
    <font>
      <b/>
      <sz val="12"/>
      <color theme="1"/>
      <name val="Calibri"/>
      <family val="2"/>
    </font>
    <font>
      <b/>
      <sz val="16"/>
      <name val="Calibri"/>
      <family val="2"/>
      <scheme val="minor"/>
    </font>
    <font>
      <sz val="10"/>
      <color indexed="9"/>
      <name val="Arial"/>
      <family val="2"/>
    </font>
    <font>
      <i/>
      <sz val="10"/>
      <name val="Arial"/>
      <family val="2"/>
    </font>
    <font>
      <b/>
      <i/>
      <sz val="11"/>
      <color rgb="FFFF0000"/>
      <name val="Calibri"/>
      <family val="2"/>
      <scheme val="minor"/>
    </font>
    <font>
      <b/>
      <u/>
      <sz val="10"/>
      <name val="Arial"/>
      <family val="2"/>
    </font>
    <font>
      <b/>
      <i/>
      <u/>
      <sz val="10"/>
      <name val="Arial"/>
      <family val="2"/>
    </font>
    <font>
      <b/>
      <u/>
      <sz val="14"/>
      <color theme="1"/>
      <name val="Calibri"/>
      <family val="2"/>
      <scheme val="minor"/>
    </font>
    <font>
      <b/>
      <sz val="11"/>
      <name val="Arial"/>
      <family val="2"/>
    </font>
    <font>
      <b/>
      <i/>
      <u/>
      <sz val="11"/>
      <name val="Calibri"/>
      <family val="2"/>
      <scheme val="minor"/>
    </font>
    <font>
      <b/>
      <u/>
      <sz val="14"/>
      <name val="Calibri"/>
      <family val="2"/>
      <scheme val="minor"/>
    </font>
    <font>
      <u val="singleAccounting"/>
      <sz val="11"/>
      <name val="Calibri"/>
      <family val="2"/>
      <scheme val="minor"/>
    </font>
    <font>
      <b/>
      <i/>
      <u/>
      <sz val="12"/>
      <color theme="1"/>
      <name val="Calibri"/>
      <family val="2"/>
      <scheme val="minor"/>
    </font>
    <font>
      <b/>
      <u val="singleAccounting"/>
      <sz val="10"/>
      <name val="Arial"/>
      <family val="2"/>
    </font>
    <font>
      <b/>
      <u/>
      <sz val="12"/>
      <color theme="1"/>
      <name val="Calibri"/>
      <family val="2"/>
      <scheme val="minor"/>
    </font>
    <font>
      <b/>
      <sz val="12"/>
      <color theme="0" tint="-0.34998626667073579"/>
      <name val="Calibri"/>
      <family val="2"/>
      <scheme val="minor"/>
    </font>
    <font>
      <b/>
      <u/>
      <sz val="16"/>
      <name val="Calibri"/>
      <family val="2"/>
      <scheme val="minor"/>
    </font>
    <font>
      <b/>
      <u/>
      <sz val="16"/>
      <color rgb="FFFF0000"/>
      <name val="Calibri"/>
      <family val="2"/>
      <scheme val="minor"/>
    </font>
    <font>
      <b/>
      <u/>
      <sz val="16"/>
      <color theme="1"/>
      <name val="Calibri"/>
      <family val="2"/>
      <scheme val="minor"/>
    </font>
    <font>
      <b/>
      <sz val="12"/>
      <color rgb="FF000000"/>
      <name val="Calibri"/>
      <family val="2"/>
      <scheme val="minor"/>
    </font>
    <font>
      <sz val="10"/>
      <color theme="0"/>
      <name val="Arial"/>
      <family val="2"/>
    </font>
    <font>
      <b/>
      <sz val="11"/>
      <color theme="0" tint="-0.249977111117893"/>
      <name val="Calibri"/>
      <family val="2"/>
      <scheme val="minor"/>
    </font>
    <font>
      <sz val="11"/>
      <color theme="0" tint="-0.249977111117893"/>
      <name val="Calibri"/>
      <family val="2"/>
      <scheme val="minor"/>
    </font>
    <font>
      <i/>
      <sz val="11"/>
      <color theme="0" tint="-0.249977111117893"/>
      <name val="Calibri"/>
      <family val="2"/>
      <scheme val="minor"/>
    </font>
    <font>
      <b/>
      <u/>
      <sz val="11"/>
      <color rgb="FFFF0000"/>
      <name val="Calibri"/>
      <family val="2"/>
      <scheme val="minor"/>
    </font>
    <font>
      <b/>
      <u/>
      <sz val="11"/>
      <name val="Calibri"/>
      <family val="2"/>
      <scheme val="minor"/>
    </font>
  </fonts>
  <fills count="18">
    <fill>
      <patternFill patternType="none"/>
    </fill>
    <fill>
      <patternFill patternType="gray125"/>
    </fill>
    <fill>
      <patternFill patternType="solid">
        <fgColor theme="8" tint="0.59999389629810485"/>
        <bgColor indexed="64"/>
      </patternFill>
    </fill>
    <fill>
      <patternFill patternType="solid">
        <fgColor theme="6" tint="0.59999389629810485"/>
        <bgColor indexed="64"/>
      </patternFill>
    </fill>
    <fill>
      <patternFill patternType="solid">
        <fgColor rgb="FFFFFF00"/>
        <bgColor indexed="64"/>
      </patternFill>
    </fill>
    <fill>
      <patternFill patternType="solid">
        <fgColor theme="1"/>
        <bgColor indexed="64"/>
      </patternFill>
    </fill>
    <fill>
      <patternFill patternType="solid">
        <fgColor rgb="FFFF0000"/>
        <bgColor indexed="64"/>
      </patternFill>
    </fill>
    <fill>
      <patternFill patternType="solid">
        <fgColor rgb="FFFF6600"/>
        <bgColor indexed="64"/>
      </patternFill>
    </fill>
    <fill>
      <patternFill patternType="solid">
        <fgColor rgb="FF0000FF"/>
        <bgColor indexed="64"/>
      </patternFill>
    </fill>
    <fill>
      <patternFill patternType="solid">
        <fgColor rgb="FF008000"/>
        <bgColor indexed="64"/>
      </patternFill>
    </fill>
    <fill>
      <patternFill patternType="solid">
        <fgColor rgb="FFD8E4BC"/>
        <bgColor rgb="FF000000"/>
      </patternFill>
    </fill>
    <fill>
      <patternFill patternType="solid">
        <fgColor theme="6"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5" tint="0.59999389629810485"/>
        <bgColor rgb="FF000000"/>
      </patternFill>
    </fill>
    <fill>
      <patternFill patternType="solid">
        <fgColor theme="0" tint="-0.34998626667073579"/>
        <bgColor indexed="64"/>
      </patternFill>
    </fill>
  </fills>
  <borders count="19">
    <border>
      <left/>
      <right/>
      <top/>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style="medium">
        <color auto="1"/>
      </left>
      <right/>
      <top/>
      <bottom/>
      <diagonal/>
    </border>
    <border>
      <left style="thin">
        <color auto="1"/>
      </left>
      <right/>
      <top/>
      <bottom/>
      <diagonal/>
    </border>
    <border>
      <left/>
      <right style="thin">
        <color auto="1"/>
      </right>
      <top/>
      <bottom/>
      <diagonal/>
    </border>
  </borders>
  <cellStyleXfs count="627">
    <xf numFmtId="0" fontId="0"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8" fillId="0" borderId="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45" fillId="0" borderId="0"/>
    <xf numFmtId="0" fontId="30" fillId="0" borderId="0" applyNumberFormat="0" applyFill="0" applyBorder="0" applyAlignment="0" applyProtection="0"/>
    <xf numFmtId="0" fontId="31" fillId="0" borderId="0" applyNumberFormat="0" applyFill="0" applyBorder="0" applyAlignment="0" applyProtection="0"/>
    <xf numFmtId="0" fontId="37" fillId="0" borderId="0"/>
    <xf numFmtId="176" fontId="45" fillId="0" borderId="0" applyFon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9" fontId="37" fillId="0" borderId="0" applyFon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cellStyleXfs>
  <cellXfs count="427">
    <xf numFmtId="0" fontId="0" fillId="0" borderId="0" xfId="0"/>
    <xf numFmtId="0" fontId="9" fillId="0" borderId="0" xfId="0" applyFont="1"/>
    <xf numFmtId="0" fontId="0" fillId="0" borderId="0" xfId="0" applyFont="1"/>
    <xf numFmtId="0" fontId="10" fillId="0" borderId="0" xfId="0" applyFont="1"/>
    <xf numFmtId="0" fontId="0" fillId="0" borderId="0" xfId="0" quotePrefix="1"/>
    <xf numFmtId="44" fontId="0" fillId="0" borderId="0" xfId="2" applyFont="1"/>
    <xf numFmtId="9" fontId="0" fillId="0" borderId="0" xfId="3" applyFont="1"/>
    <xf numFmtId="165" fontId="0" fillId="0" borderId="0" xfId="3" applyNumberFormat="1" applyFont="1"/>
    <xf numFmtId="166" fontId="0" fillId="0" borderId="0" xfId="1" applyNumberFormat="1" applyFont="1"/>
    <xf numFmtId="167" fontId="0" fillId="0" borderId="0" xfId="1" applyNumberFormat="1" applyFont="1"/>
    <xf numFmtId="166" fontId="0" fillId="0" borderId="0" xfId="0" applyNumberFormat="1"/>
    <xf numFmtId="44" fontId="0" fillId="0" borderId="0" xfId="0" applyNumberFormat="1"/>
    <xf numFmtId="168" fontId="0" fillId="0" borderId="0" xfId="0" applyNumberFormat="1"/>
    <xf numFmtId="8" fontId="0" fillId="0" borderId="0" xfId="0" quotePrefix="1" applyNumberFormat="1"/>
    <xf numFmtId="0" fontId="10" fillId="0" borderId="0" xfId="0" quotePrefix="1" applyFont="1"/>
    <xf numFmtId="9" fontId="0" fillId="0" borderId="0" xfId="3" applyFont="1" applyFill="1" applyBorder="1"/>
    <xf numFmtId="0" fontId="14" fillId="0" borderId="0" xfId="0" applyFont="1"/>
    <xf numFmtId="166" fontId="0" fillId="0" borderId="0" xfId="1" applyNumberFormat="1" applyFont="1" applyBorder="1"/>
    <xf numFmtId="0" fontId="15" fillId="0" borderId="0" xfId="0" applyFont="1"/>
    <xf numFmtId="0" fontId="16" fillId="0" borderId="0" xfId="0" applyFont="1"/>
    <xf numFmtId="170" fontId="0" fillId="0" borderId="0" xfId="3" applyNumberFormat="1" applyFont="1"/>
    <xf numFmtId="171" fontId="0" fillId="0" borderId="0" xfId="1" applyNumberFormat="1" applyFont="1"/>
    <xf numFmtId="172" fontId="0" fillId="0" borderId="0" xfId="0" applyNumberFormat="1"/>
    <xf numFmtId="173" fontId="0" fillId="0" borderId="0" xfId="2" applyNumberFormat="1" applyFont="1"/>
    <xf numFmtId="8" fontId="0" fillId="0" borderId="0" xfId="0" applyNumberFormat="1"/>
    <xf numFmtId="167" fontId="13" fillId="0" borderId="0" xfId="1" applyNumberFormat="1" applyFont="1" applyBorder="1"/>
    <xf numFmtId="0" fontId="17" fillId="0" borderId="0" xfId="0" applyFont="1"/>
    <xf numFmtId="166" fontId="18" fillId="0" borderId="0" xfId="1" applyNumberFormat="1" applyFont="1"/>
    <xf numFmtId="0" fontId="17" fillId="0" borderId="0" xfId="0" applyFont="1" applyAlignment="1">
      <alignment horizontal="center"/>
    </xf>
    <xf numFmtId="0" fontId="19" fillId="0" borderId="0" xfId="0" applyFont="1"/>
    <xf numFmtId="0" fontId="21" fillId="0" borderId="0" xfId="0" applyFont="1" applyAlignment="1">
      <alignment horizontal="left"/>
    </xf>
    <xf numFmtId="0" fontId="0" fillId="0" borderId="0" xfId="0" applyAlignment="1">
      <alignment horizontal="left"/>
    </xf>
    <xf numFmtId="166" fontId="21" fillId="0" borderId="0" xfId="1" applyNumberFormat="1" applyFont="1" applyAlignment="1">
      <alignment horizontal="left"/>
    </xf>
    <xf numFmtId="166" fontId="0" fillId="0" borderId="0" xfId="1" applyNumberFormat="1" applyFont="1" applyAlignment="1">
      <alignment horizontal="left"/>
    </xf>
    <xf numFmtId="0" fontId="0" fillId="0" borderId="1" xfId="0" applyBorder="1"/>
    <xf numFmtId="166" fontId="9" fillId="0" borderId="0" xfId="1" applyNumberFormat="1" applyFont="1"/>
    <xf numFmtId="0" fontId="22" fillId="0" borderId="0" xfId="0" applyFont="1"/>
    <xf numFmtId="0" fontId="21" fillId="0" borderId="0" xfId="0" applyFont="1"/>
    <xf numFmtId="0" fontId="0" fillId="0" borderId="0" xfId="0" applyBorder="1"/>
    <xf numFmtId="166" fontId="0" fillId="0" borderId="0" xfId="1" quotePrefix="1" applyNumberFormat="1" applyFont="1"/>
    <xf numFmtId="0" fontId="26" fillId="0" borderId="0" xfId="0" quotePrefix="1" applyFont="1"/>
    <xf numFmtId="0" fontId="21" fillId="0" borderId="0" xfId="0" quotePrefix="1" applyFont="1"/>
    <xf numFmtId="2" fontId="21" fillId="0" borderId="0" xfId="3" applyNumberFormat="1" applyFont="1"/>
    <xf numFmtId="9" fontId="0" fillId="2" borderId="0" xfId="3" applyFont="1" applyFill="1"/>
    <xf numFmtId="44" fontId="0" fillId="2" borderId="0" xfId="2" applyFont="1" applyFill="1"/>
    <xf numFmtId="169" fontId="0" fillId="2" borderId="0" xfId="2" applyNumberFormat="1" applyFont="1" applyFill="1"/>
    <xf numFmtId="8" fontId="0" fillId="2" borderId="0" xfId="2" applyNumberFormat="1" applyFont="1" applyFill="1"/>
    <xf numFmtId="0" fontId="0" fillId="2" borderId="0" xfId="0" applyFill="1"/>
    <xf numFmtId="166" fontId="0" fillId="2" borderId="0" xfId="1" applyNumberFormat="1" applyFont="1" applyFill="1"/>
    <xf numFmtId="165" fontId="0" fillId="2" borderId="0" xfId="3" applyNumberFormat="1" applyFont="1" applyFill="1"/>
    <xf numFmtId="170" fontId="0" fillId="2" borderId="0" xfId="3" applyNumberFormat="1" applyFont="1" applyFill="1"/>
    <xf numFmtId="0" fontId="32" fillId="0" borderId="0" xfId="0" applyFont="1"/>
    <xf numFmtId="0" fontId="0" fillId="0" borderId="0" xfId="0" applyAlignment="1">
      <alignment vertical="center"/>
    </xf>
    <xf numFmtId="166" fontId="18" fillId="2" borderId="0" xfId="1" applyNumberFormat="1" applyFont="1" applyFill="1" applyAlignment="1">
      <alignment vertical="center"/>
    </xf>
    <xf numFmtId="166" fontId="18" fillId="0" borderId="0" xfId="1" applyNumberFormat="1" applyFont="1" applyAlignment="1">
      <alignment vertical="center"/>
    </xf>
    <xf numFmtId="0" fontId="9" fillId="0" borderId="0" xfId="0" applyFont="1" applyAlignment="1">
      <alignment vertical="center"/>
    </xf>
    <xf numFmtId="166" fontId="0" fillId="0" borderId="0" xfId="1" applyNumberFormat="1" applyFont="1" applyAlignment="1">
      <alignment vertical="center"/>
    </xf>
    <xf numFmtId="2" fontId="21" fillId="0" borderId="0" xfId="3" applyNumberFormat="1" applyFont="1" applyAlignment="1">
      <alignment vertical="center"/>
    </xf>
    <xf numFmtId="165" fontId="21" fillId="0" borderId="0" xfId="3" applyNumberFormat="1" applyFont="1" applyAlignment="1">
      <alignment vertical="center"/>
    </xf>
    <xf numFmtId="2" fontId="21" fillId="2" borderId="0" xfId="3" applyNumberFormat="1" applyFont="1" applyFill="1" applyAlignment="1">
      <alignment vertical="center"/>
    </xf>
    <xf numFmtId="2" fontId="27" fillId="2" borderId="0" xfId="3" applyNumberFormat="1" applyFont="1" applyFill="1" applyAlignment="1">
      <alignment vertical="center"/>
    </xf>
    <xf numFmtId="0" fontId="9" fillId="2" borderId="0" xfId="0" applyFont="1" applyFill="1"/>
    <xf numFmtId="166" fontId="21" fillId="0" borderId="0" xfId="1" applyNumberFormat="1" applyFont="1" applyAlignment="1">
      <alignment vertical="center"/>
    </xf>
    <xf numFmtId="0" fontId="21" fillId="0" borderId="0" xfId="0" applyFont="1" applyAlignment="1">
      <alignment vertical="center"/>
    </xf>
    <xf numFmtId="0" fontId="33" fillId="0" borderId="0" xfId="0" applyFont="1" applyAlignment="1">
      <alignment vertical="center"/>
    </xf>
    <xf numFmtId="0" fontId="33" fillId="0" borderId="0" xfId="0" applyFont="1"/>
    <xf numFmtId="2" fontId="21" fillId="2" borderId="0" xfId="3" applyNumberFormat="1" applyFont="1" applyFill="1"/>
    <xf numFmtId="2" fontId="27" fillId="2" borderId="0" xfId="3" applyNumberFormat="1" applyFont="1" applyFill="1"/>
    <xf numFmtId="0" fontId="24" fillId="3" borderId="0" xfId="0" applyFont="1" applyFill="1"/>
    <xf numFmtId="0" fontId="0" fillId="3" borderId="0" xfId="0" applyFill="1"/>
    <xf numFmtId="44" fontId="0" fillId="3" borderId="0" xfId="2" quotePrefix="1" applyFont="1" applyFill="1"/>
    <xf numFmtId="44" fontId="0" fillId="3" borderId="0" xfId="2" applyFont="1" applyFill="1"/>
    <xf numFmtId="0" fontId="25" fillId="3" borderId="0" xfId="0" applyFont="1" applyFill="1"/>
    <xf numFmtId="167" fontId="13" fillId="3" borderId="0" xfId="1" applyNumberFormat="1" applyFont="1" applyFill="1" applyBorder="1"/>
    <xf numFmtId="0" fontId="10" fillId="3" borderId="0" xfId="0" applyFont="1" applyFill="1"/>
    <xf numFmtId="0" fontId="14" fillId="3" borderId="0" xfId="0" applyFont="1" applyFill="1"/>
    <xf numFmtId="167" fontId="34" fillId="4" borderId="0" xfId="1" applyNumberFormat="1" applyFont="1" applyFill="1" applyBorder="1" applyAlignment="1">
      <alignment vertical="center"/>
    </xf>
    <xf numFmtId="0" fontId="15" fillId="3" borderId="0" xfId="0" applyFont="1" applyFill="1"/>
    <xf numFmtId="0" fontId="10" fillId="0" borderId="0" xfId="0" applyFont="1" applyFill="1"/>
    <xf numFmtId="0" fontId="0" fillId="0" borderId="0" xfId="0" applyFill="1"/>
    <xf numFmtId="167" fontId="0" fillId="2" borderId="0" xfId="1" applyNumberFormat="1" applyFont="1" applyFill="1"/>
    <xf numFmtId="166" fontId="18" fillId="0" borderId="0" xfId="1" applyNumberFormat="1" applyFont="1" applyFill="1" applyAlignment="1">
      <alignment vertical="center"/>
    </xf>
    <xf numFmtId="0" fontId="29" fillId="3" borderId="0" xfId="0" quotePrefix="1" applyFont="1" applyFill="1"/>
    <xf numFmtId="166" fontId="0" fillId="3" borderId="0" xfId="1" applyNumberFormat="1" applyFont="1" applyFill="1"/>
    <xf numFmtId="166" fontId="0" fillId="0" borderId="0" xfId="1" applyNumberFormat="1" applyFont="1" applyFill="1"/>
    <xf numFmtId="0" fontId="0" fillId="2" borderId="2" xfId="0" applyFill="1" applyBorder="1"/>
    <xf numFmtId="167" fontId="0" fillId="2" borderId="3" xfId="1" applyNumberFormat="1" applyFont="1" applyFill="1" applyBorder="1"/>
    <xf numFmtId="0" fontId="0" fillId="2" borderId="3" xfId="0" applyFill="1" applyBorder="1"/>
    <xf numFmtId="0" fontId="0" fillId="2" borderId="4" xfId="0" applyFill="1" applyBorder="1"/>
    <xf numFmtId="9" fontId="0" fillId="2" borderId="5" xfId="3" applyFont="1" applyFill="1" applyBorder="1"/>
    <xf numFmtId="9" fontId="0" fillId="2" borderId="6" xfId="3" applyFont="1" applyFill="1" applyBorder="1"/>
    <xf numFmtId="9" fontId="0" fillId="2" borderId="7" xfId="3" applyFont="1" applyFill="1" applyBorder="1"/>
    <xf numFmtId="9" fontId="0" fillId="3" borderId="0" xfId="3" applyFont="1" applyFill="1"/>
    <xf numFmtId="0" fontId="35" fillId="0" borderId="0" xfId="0" applyFont="1" applyFill="1" applyAlignment="1">
      <alignment horizontal="left"/>
    </xf>
    <xf numFmtId="17" fontId="0" fillId="0" borderId="0" xfId="0" applyNumberFormat="1"/>
    <xf numFmtId="0" fontId="21" fillId="4" borderId="0" xfId="0" applyFont="1" applyFill="1"/>
    <xf numFmtId="0" fontId="32" fillId="0" borderId="0" xfId="0" applyFont="1" applyAlignment="1">
      <alignment horizontal="left"/>
    </xf>
    <xf numFmtId="0" fontId="11" fillId="3" borderId="0" xfId="0" applyFont="1" applyFill="1"/>
    <xf numFmtId="0" fontId="14" fillId="3" borderId="0" xfId="0" quotePrefix="1" applyFont="1" applyFill="1"/>
    <xf numFmtId="0" fontId="7" fillId="3" borderId="0" xfId="0" applyFont="1" applyFill="1"/>
    <xf numFmtId="0" fontId="32" fillId="0" borderId="0" xfId="0" applyFont="1" applyAlignment="1">
      <alignment vertical="center"/>
    </xf>
    <xf numFmtId="0" fontId="0" fillId="0" borderId="0" xfId="0" applyAlignment="1">
      <alignment horizontal="left" vertical="center"/>
    </xf>
    <xf numFmtId="0" fontId="32" fillId="0" borderId="0" xfId="0" applyFont="1" applyAlignment="1">
      <alignment horizontal="left" vertical="center"/>
    </xf>
    <xf numFmtId="166" fontId="18" fillId="2" borderId="0" xfId="1" applyNumberFormat="1" applyFont="1" applyFill="1" applyAlignment="1">
      <alignment horizontal="left" vertical="center"/>
    </xf>
    <xf numFmtId="166" fontId="18" fillId="0" borderId="0" xfId="1" applyNumberFormat="1" applyFont="1" applyAlignment="1">
      <alignment horizontal="left" vertical="center"/>
    </xf>
    <xf numFmtId="0" fontId="0" fillId="0" borderId="0" xfId="0" quotePrefix="1" applyFill="1"/>
    <xf numFmtId="166" fontId="0" fillId="0" borderId="8" xfId="1" applyNumberFormat="1" applyFont="1" applyFill="1" applyBorder="1"/>
    <xf numFmtId="166" fontId="0" fillId="0" borderId="9" xfId="1" applyNumberFormat="1" applyFont="1" applyFill="1" applyBorder="1"/>
    <xf numFmtId="168" fontId="0" fillId="0" borderId="0" xfId="0" applyNumberFormat="1" applyFill="1"/>
    <xf numFmtId="0" fontId="8" fillId="0" borderId="0" xfId="82"/>
    <xf numFmtId="0" fontId="39" fillId="0" borderId="0" xfId="0" applyFont="1"/>
    <xf numFmtId="0" fontId="8" fillId="0" borderId="0" xfId="82" applyFont="1" applyAlignment="1">
      <alignment vertical="center" wrapText="1"/>
    </xf>
    <xf numFmtId="0" fontId="36" fillId="3" borderId="0" xfId="82" applyFont="1" applyFill="1"/>
    <xf numFmtId="0" fontId="12" fillId="3" borderId="0" xfId="82" applyFont="1" applyFill="1"/>
    <xf numFmtId="0" fontId="8" fillId="3" borderId="0" xfId="82" applyFill="1"/>
    <xf numFmtId="166" fontId="0" fillId="4" borderId="0" xfId="1" applyNumberFormat="1" applyFont="1" applyFill="1"/>
    <xf numFmtId="0" fontId="0" fillId="4" borderId="0" xfId="0" applyFill="1"/>
    <xf numFmtId="0" fontId="20" fillId="4" borderId="0" xfId="0" applyFont="1" applyFill="1"/>
    <xf numFmtId="0" fontId="36" fillId="0" borderId="0" xfId="82" applyFont="1" applyFill="1"/>
    <xf numFmtId="0" fontId="11" fillId="0" borderId="0" xfId="82" applyFont="1" applyFill="1"/>
    <xf numFmtId="8" fontId="0" fillId="0" borderId="0" xfId="2" applyNumberFormat="1" applyFont="1" applyBorder="1"/>
    <xf numFmtId="166" fontId="0" fillId="4" borderId="0" xfId="0" applyNumberFormat="1" applyFill="1"/>
    <xf numFmtId="0" fontId="0" fillId="3" borderId="13" xfId="0" applyFill="1" applyBorder="1"/>
    <xf numFmtId="0" fontId="9" fillId="0" borderId="14" xfId="0" applyFont="1" applyBorder="1"/>
    <xf numFmtId="0" fontId="0" fillId="0" borderId="14" xfId="0" applyBorder="1"/>
    <xf numFmtId="166" fontId="0" fillId="0" borderId="14" xfId="1" applyNumberFormat="1" applyFont="1" applyBorder="1"/>
    <xf numFmtId="166" fontId="18" fillId="0" borderId="14" xfId="1" applyNumberFormat="1" applyFont="1" applyBorder="1"/>
    <xf numFmtId="166" fontId="0" fillId="0" borderId="14" xfId="1" applyNumberFormat="1" applyFont="1" applyFill="1" applyBorder="1"/>
    <xf numFmtId="166" fontId="9" fillId="0" borderId="14" xfId="1" applyNumberFormat="1" applyFont="1" applyBorder="1"/>
    <xf numFmtId="166" fontId="0" fillId="0" borderId="15" xfId="1" applyNumberFormat="1" applyFont="1" applyFill="1" applyBorder="1"/>
    <xf numFmtId="0" fontId="9" fillId="0" borderId="14" xfId="0" applyFont="1" applyBorder="1" applyAlignment="1">
      <alignment horizontal="center"/>
    </xf>
    <xf numFmtId="166" fontId="0" fillId="3" borderId="14" xfId="1" applyNumberFormat="1" applyFont="1" applyFill="1" applyBorder="1"/>
    <xf numFmtId="0" fontId="0" fillId="3" borderId="14" xfId="0" applyFill="1" applyBorder="1"/>
    <xf numFmtId="165" fontId="0" fillId="0" borderId="14" xfId="3" applyNumberFormat="1" applyFont="1" applyBorder="1"/>
    <xf numFmtId="0" fontId="0" fillId="0" borderId="14" xfId="0" applyFill="1" applyBorder="1"/>
    <xf numFmtId="166" fontId="0" fillId="0" borderId="14" xfId="0" applyNumberFormat="1" applyBorder="1"/>
    <xf numFmtId="0" fontId="15" fillId="0" borderId="0" xfId="0" applyFont="1" applyAlignment="1">
      <alignment wrapText="1"/>
    </xf>
    <xf numFmtId="0" fontId="15" fillId="0" borderId="0" xfId="0" applyFont="1" applyFill="1" applyAlignment="1">
      <alignment wrapText="1"/>
    </xf>
    <xf numFmtId="9" fontId="14" fillId="0" borderId="0" xfId="3" applyFont="1"/>
    <xf numFmtId="0" fontId="14" fillId="0" borderId="14" xfId="0" applyFont="1" applyBorder="1"/>
    <xf numFmtId="0" fontId="0" fillId="0" borderId="0" xfId="0" quotePrefix="1" applyFont="1"/>
    <xf numFmtId="166" fontId="8" fillId="0" borderId="0" xfId="1" applyNumberFormat="1" applyFont="1"/>
    <xf numFmtId="166" fontId="8" fillId="0" borderId="14" xfId="1" applyNumberFormat="1" applyFont="1" applyBorder="1"/>
    <xf numFmtId="0" fontId="36" fillId="11" borderId="0" xfId="82" applyFont="1" applyFill="1"/>
    <xf numFmtId="0" fontId="40" fillId="0" borderId="0" xfId="82" applyFont="1" applyAlignment="1">
      <alignment horizontal="center"/>
    </xf>
    <xf numFmtId="0" fontId="6" fillId="0" borderId="0" xfId="82" applyFont="1"/>
    <xf numFmtId="0" fontId="8" fillId="0" borderId="0" xfId="0" applyFont="1"/>
    <xf numFmtId="0" fontId="8" fillId="0" borderId="0" xfId="82" applyFont="1"/>
    <xf numFmtId="0" fontId="21" fillId="0" borderId="0" xfId="0" applyFont="1" applyAlignment="1">
      <alignment horizontal="left" indent="1"/>
    </xf>
    <xf numFmtId="0" fontId="24" fillId="0" borderId="0" xfId="0" applyFont="1" applyBorder="1"/>
    <xf numFmtId="0" fontId="0" fillId="0" borderId="0" xfId="0" applyBorder="1" applyAlignment="1">
      <alignment horizontal="left" indent="1"/>
    </xf>
    <xf numFmtId="0" fontId="21" fillId="0" borderId="0" xfId="0" applyFont="1" applyBorder="1" applyAlignment="1">
      <alignment horizontal="left" indent="1"/>
    </xf>
    <xf numFmtId="0" fontId="21" fillId="0" borderId="0" xfId="0" applyFont="1" applyFill="1" applyBorder="1" applyAlignment="1">
      <alignment horizontal="left" indent="1"/>
    </xf>
    <xf numFmtId="9" fontId="0" fillId="0" borderId="0" xfId="3" applyFont="1" applyFill="1"/>
    <xf numFmtId="0" fontId="37" fillId="0" borderId="0" xfId="0" applyFont="1" applyAlignment="1">
      <alignment horizontal="left" vertical="center" indent="1"/>
    </xf>
    <xf numFmtId="174" fontId="37" fillId="0" borderId="0" xfId="0" applyNumberFormat="1" applyFont="1" applyAlignment="1">
      <alignment horizontal="right" vertical="center"/>
    </xf>
    <xf numFmtId="0" fontId="42" fillId="0" borderId="16" xfId="0" applyFont="1" applyBorder="1" applyAlignment="1">
      <alignment vertical="center"/>
    </xf>
    <xf numFmtId="0" fontId="37" fillId="0" borderId="16" xfId="0" applyFont="1" applyBorder="1" applyAlignment="1">
      <alignment vertical="center"/>
    </xf>
    <xf numFmtId="0" fontId="37" fillId="0" borderId="0" xfId="0" applyFont="1" applyAlignment="1">
      <alignment vertical="center"/>
    </xf>
    <xf numFmtId="9" fontId="38" fillId="0" borderId="0" xfId="0" applyNumberFormat="1" applyFont="1" applyAlignment="1">
      <alignment horizontal="right" vertical="center"/>
    </xf>
    <xf numFmtId="0" fontId="38" fillId="0" borderId="16" xfId="0" applyFont="1" applyBorder="1" applyAlignment="1">
      <alignment horizontal="left" vertical="center" indent="1"/>
    </xf>
    <xf numFmtId="10" fontId="43" fillId="0" borderId="0" xfId="0" applyNumberFormat="1" applyFont="1" applyAlignment="1">
      <alignment horizontal="left" vertical="center" indent="1"/>
    </xf>
    <xf numFmtId="9" fontId="37" fillId="0" borderId="0" xfId="0" applyNumberFormat="1" applyFont="1" applyAlignment="1">
      <alignment horizontal="right" vertical="center"/>
    </xf>
    <xf numFmtId="0" fontId="37" fillId="0" borderId="16" xfId="0" applyFont="1" applyBorder="1" applyAlignment="1">
      <alignment horizontal="left" vertical="center" indent="1"/>
    </xf>
    <xf numFmtId="44" fontId="0" fillId="12" borderId="0" xfId="2" applyFont="1" applyFill="1"/>
    <xf numFmtId="0" fontId="0" fillId="12" borderId="0" xfId="0" applyFill="1"/>
    <xf numFmtId="165" fontId="0" fillId="2" borderId="0" xfId="0" applyNumberFormat="1" applyFill="1"/>
    <xf numFmtId="0" fontId="44" fillId="0" borderId="0" xfId="0" applyFont="1" applyFill="1"/>
    <xf numFmtId="9" fontId="0" fillId="0" borderId="14" xfId="3" applyFont="1" applyBorder="1"/>
    <xf numFmtId="9" fontId="0" fillId="0" borderId="0" xfId="3" applyFont="1" applyBorder="1"/>
    <xf numFmtId="0" fontId="48" fillId="0" borderId="0" xfId="0" applyFont="1" applyBorder="1" applyAlignment="1">
      <alignment horizontal="left"/>
    </xf>
    <xf numFmtId="0" fontId="35" fillId="0" borderId="0" xfId="0" applyFont="1" applyBorder="1" applyAlignment="1">
      <alignment horizontal="left"/>
    </xf>
    <xf numFmtId="174" fontId="37" fillId="0" borderId="0" xfId="0" applyNumberFormat="1" applyFont="1" applyBorder="1" applyAlignment="1">
      <alignment horizontal="right" vertical="center"/>
    </xf>
    <xf numFmtId="0" fontId="38" fillId="0" borderId="0" xfId="0" applyFont="1" applyBorder="1" applyAlignment="1">
      <alignment horizontal="left" vertical="center" indent="1"/>
    </xf>
    <xf numFmtId="0" fontId="38" fillId="0" borderId="16" xfId="0" applyFont="1" applyFill="1" applyBorder="1" applyAlignment="1">
      <alignment horizontal="left" vertical="center" indent="1"/>
    </xf>
    <xf numFmtId="0" fontId="29" fillId="0" borderId="0" xfId="0" quotePrefix="1" applyFont="1" applyFill="1"/>
    <xf numFmtId="0" fontId="8" fillId="0" borderId="0" xfId="0" applyFont="1" applyAlignment="1"/>
    <xf numFmtId="0" fontId="37" fillId="0" borderId="0" xfId="0" applyFont="1" applyBorder="1" applyAlignment="1">
      <alignment vertical="center"/>
    </xf>
    <xf numFmtId="172" fontId="0" fillId="0" borderId="0" xfId="0" applyNumberFormat="1" applyBorder="1"/>
    <xf numFmtId="172" fontId="37" fillId="0" borderId="0" xfId="0" applyNumberFormat="1" applyFont="1" applyAlignment="1">
      <alignment horizontal="right" vertical="center"/>
    </xf>
    <xf numFmtId="172" fontId="0" fillId="0" borderId="0" xfId="3" applyNumberFormat="1" applyFont="1"/>
    <xf numFmtId="172" fontId="37" fillId="0" borderId="0" xfId="3" applyNumberFormat="1" applyFont="1" applyAlignment="1">
      <alignment horizontal="right" vertical="center"/>
    </xf>
    <xf numFmtId="0" fontId="21" fillId="2" borderId="0" xfId="1" applyNumberFormat="1" applyFont="1" applyFill="1" applyBorder="1" applyAlignment="1">
      <alignment horizontal="center"/>
    </xf>
    <xf numFmtId="9" fontId="21" fillId="2" borderId="0" xfId="1" applyNumberFormat="1" applyFont="1" applyFill="1" applyBorder="1" applyAlignment="1">
      <alignment horizontal="center"/>
    </xf>
    <xf numFmtId="0" fontId="10" fillId="0" borderId="0" xfId="0" applyFont="1" applyFill="1" applyBorder="1"/>
    <xf numFmtId="0" fontId="0" fillId="0" borderId="0" xfId="0" applyFill="1" applyBorder="1"/>
    <xf numFmtId="166" fontId="0" fillId="0" borderId="0" xfId="1" applyNumberFormat="1" applyFont="1" applyFill="1" applyBorder="1"/>
    <xf numFmtId="175" fontId="46" fillId="0" borderId="0" xfId="285" applyNumberFormat="1" applyFont="1" applyFill="1" applyBorder="1" applyAlignment="1">
      <alignment vertical="center"/>
    </xf>
    <xf numFmtId="175" fontId="47" fillId="0" borderId="0" xfId="285" applyNumberFormat="1" applyFont="1" applyFill="1" applyBorder="1" applyAlignment="1">
      <alignment vertical="center"/>
    </xf>
    <xf numFmtId="0" fontId="32" fillId="0" borderId="0" xfId="0" applyFont="1" applyFill="1" applyBorder="1" applyAlignment="1">
      <alignment horizontal="left"/>
    </xf>
    <xf numFmtId="9" fontId="0" fillId="0" borderId="14" xfId="3" applyFont="1" applyFill="1" applyBorder="1"/>
    <xf numFmtId="0" fontId="0" fillId="0" borderId="0" xfId="0" applyFont="1" applyFill="1"/>
    <xf numFmtId="0" fontId="32" fillId="0" borderId="0" xfId="0" applyFont="1" applyFill="1" applyAlignment="1">
      <alignment horizontal="left"/>
    </xf>
    <xf numFmtId="0" fontId="15" fillId="2" borderId="10" xfId="0" applyFont="1" applyFill="1" applyBorder="1" applyAlignment="1">
      <alignment horizontal="center"/>
    </xf>
    <xf numFmtId="0" fontId="15" fillId="2" borderId="10" xfId="0" applyFont="1" applyFill="1" applyBorder="1" applyAlignment="1">
      <alignment horizontal="center" vertical="center"/>
    </xf>
    <xf numFmtId="0" fontId="16" fillId="2" borderId="10" xfId="0" applyFont="1" applyFill="1" applyBorder="1" applyAlignment="1">
      <alignment horizontal="center"/>
    </xf>
    <xf numFmtId="0" fontId="49" fillId="8" borderId="0" xfId="82" applyFont="1" applyFill="1" applyBorder="1" applyAlignment="1">
      <alignment horizontal="left"/>
    </xf>
    <xf numFmtId="0" fontId="53" fillId="3" borderId="0" xfId="0" applyFont="1" applyFill="1"/>
    <xf numFmtId="0" fontId="53" fillId="10" borderId="0" xfId="0" applyFont="1" applyFill="1"/>
    <xf numFmtId="44" fontId="0" fillId="0" borderId="0" xfId="2" applyFont="1" applyFill="1"/>
    <xf numFmtId="1" fontId="0" fillId="0" borderId="0" xfId="3" applyNumberFormat="1" applyFont="1"/>
    <xf numFmtId="9" fontId="0" fillId="0" borderId="0" xfId="0" applyNumberFormat="1"/>
    <xf numFmtId="0" fontId="21" fillId="0" borderId="14" xfId="0" applyFont="1" applyBorder="1"/>
    <xf numFmtId="166" fontId="0" fillId="4" borderId="14" xfId="0" applyNumberFormat="1" applyFill="1" applyBorder="1"/>
    <xf numFmtId="9" fontId="0" fillId="2" borderId="0" xfId="3" applyNumberFormat="1" applyFont="1" applyFill="1"/>
    <xf numFmtId="1" fontId="0" fillId="2" borderId="0" xfId="1" applyNumberFormat="1" applyFont="1" applyFill="1"/>
    <xf numFmtId="44" fontId="0" fillId="0" borderId="0" xfId="2" applyFont="1" applyFill="1" applyBorder="1"/>
    <xf numFmtId="172" fontId="0" fillId="0" borderId="0" xfId="0" applyNumberFormat="1" applyFont="1"/>
    <xf numFmtId="0" fontId="0" fillId="0" borderId="0" xfId="0" applyAlignment="1">
      <alignment wrapText="1"/>
    </xf>
    <xf numFmtId="0" fontId="5" fillId="0" borderId="0" xfId="0" applyFont="1"/>
    <xf numFmtId="0" fontId="5" fillId="0" borderId="0" xfId="82" applyFont="1"/>
    <xf numFmtId="0" fontId="5" fillId="3" borderId="0" xfId="0" applyFont="1" applyFill="1"/>
    <xf numFmtId="0" fontId="5" fillId="3" borderId="13" xfId="0" applyFont="1" applyFill="1" applyBorder="1"/>
    <xf numFmtId="0" fontId="54" fillId="0" borderId="0" xfId="0" applyFont="1" applyFill="1"/>
    <xf numFmtId="0" fontId="0" fillId="0" borderId="0" xfId="0" applyFont="1" applyFill="1" applyBorder="1" applyAlignment="1">
      <alignment vertical="center"/>
    </xf>
    <xf numFmtId="0" fontId="0" fillId="0" borderId="0" xfId="0" applyFont="1" applyFill="1" applyBorder="1" applyAlignment="1">
      <alignment horizontal="center"/>
    </xf>
    <xf numFmtId="0" fontId="38" fillId="11" borderId="0" xfId="0" applyFont="1" applyFill="1"/>
    <xf numFmtId="0" fontId="38" fillId="11" borderId="0" xfId="0" applyFont="1" applyFill="1" applyAlignment="1">
      <alignment horizontal="center" vertical="center"/>
    </xf>
    <xf numFmtId="3" fontId="38" fillId="11" borderId="0" xfId="0" applyNumberFormat="1" applyFont="1" applyFill="1"/>
    <xf numFmtId="0" fontId="0" fillId="0" borderId="0" xfId="0" applyFont="1" applyAlignment="1">
      <alignment vertical="center"/>
    </xf>
    <xf numFmtId="3" fontId="0" fillId="0" borderId="0" xfId="0" applyNumberFormat="1" applyFont="1"/>
    <xf numFmtId="0" fontId="0" fillId="11" borderId="4" xfId="0" applyFont="1" applyFill="1" applyBorder="1" applyAlignment="1">
      <alignment vertical="center"/>
    </xf>
    <xf numFmtId="0" fontId="55" fillId="11" borderId="17" xfId="0" applyFont="1" applyFill="1" applyBorder="1" applyAlignment="1">
      <alignment horizontal="left" indent="1"/>
    </xf>
    <xf numFmtId="9" fontId="55" fillId="11" borderId="18" xfId="514" applyFont="1" applyFill="1" applyBorder="1" applyAlignment="1">
      <alignment vertical="center"/>
    </xf>
    <xf numFmtId="0" fontId="55" fillId="0" borderId="0" xfId="0" applyFont="1"/>
    <xf numFmtId="165" fontId="55" fillId="0" borderId="0" xfId="514" applyNumberFormat="1" applyFont="1"/>
    <xf numFmtId="0" fontId="55" fillId="11" borderId="5" xfId="0" applyFont="1" applyFill="1" applyBorder="1" applyAlignment="1">
      <alignment horizontal="left" indent="1"/>
    </xf>
    <xf numFmtId="0" fontId="55" fillId="0" borderId="0" xfId="0" applyFont="1" applyAlignment="1">
      <alignment horizontal="left" indent="1"/>
    </xf>
    <xf numFmtId="165" fontId="55" fillId="0" borderId="0" xfId="514" applyNumberFormat="1" applyFont="1" applyAlignment="1">
      <alignment vertical="center"/>
    </xf>
    <xf numFmtId="0" fontId="0" fillId="11" borderId="0" xfId="0" applyFont="1" applyFill="1" applyAlignment="1">
      <alignment horizontal="center" vertical="center"/>
    </xf>
    <xf numFmtId="0" fontId="0" fillId="0" borderId="0" xfId="0" applyFont="1" applyAlignment="1">
      <alignment horizontal="left" indent="1"/>
    </xf>
    <xf numFmtId="0" fontId="0" fillId="0" borderId="0" xfId="0" applyFont="1" applyFill="1" applyAlignment="1">
      <alignment horizontal="left" indent="1"/>
    </xf>
    <xf numFmtId="0" fontId="20" fillId="2" borderId="10" xfId="0" applyFont="1" applyFill="1" applyBorder="1" applyAlignment="1">
      <alignment horizontal="center" vertical="center"/>
    </xf>
    <xf numFmtId="1" fontId="55" fillId="11" borderId="18" xfId="514" applyNumberFormat="1" applyFont="1" applyFill="1" applyBorder="1" applyAlignment="1">
      <alignment vertical="center"/>
    </xf>
    <xf numFmtId="0" fontId="12" fillId="0" borderId="0" xfId="0" applyFont="1"/>
    <xf numFmtId="0" fontId="16" fillId="3" borderId="0" xfId="0" applyFont="1" applyFill="1"/>
    <xf numFmtId="0" fontId="5" fillId="3" borderId="14" xfId="0" applyFont="1" applyFill="1" applyBorder="1"/>
    <xf numFmtId="0" fontId="0" fillId="0" borderId="0" xfId="0" applyNumberFormat="1" applyFont="1" applyAlignment="1">
      <alignment horizontal="left" indent="1"/>
    </xf>
    <xf numFmtId="0" fontId="38" fillId="11" borderId="0" xfId="0" applyNumberFormat="1" applyFont="1" applyFill="1" applyAlignment="1">
      <alignment horizontal="left" indent="2"/>
    </xf>
    <xf numFmtId="166" fontId="56" fillId="0" borderId="0" xfId="1" applyNumberFormat="1" applyFont="1"/>
    <xf numFmtId="0" fontId="21" fillId="0" borderId="0" xfId="0" applyFont="1" applyAlignment="1"/>
    <xf numFmtId="0" fontId="0" fillId="0" borderId="0" xfId="0" applyFont="1" applyFill="1" applyAlignment="1">
      <alignment horizontal="center" vertical="center"/>
    </xf>
    <xf numFmtId="9" fontId="29" fillId="11" borderId="0" xfId="0" applyNumberFormat="1" applyFont="1" applyFill="1" applyAlignment="1">
      <alignment horizontal="center" vertical="center"/>
    </xf>
    <xf numFmtId="0" fontId="57" fillId="0" borderId="0" xfId="0" applyNumberFormat="1" applyFont="1" applyAlignment="1">
      <alignment horizontal="left"/>
    </xf>
    <xf numFmtId="0" fontId="0" fillId="0" borderId="0" xfId="0" applyNumberFormat="1" applyFont="1" applyAlignment="1">
      <alignment horizontal="left"/>
    </xf>
    <xf numFmtId="0" fontId="58" fillId="0" borderId="0" xfId="0" applyNumberFormat="1" applyFont="1" applyAlignment="1">
      <alignment horizontal="left"/>
    </xf>
    <xf numFmtId="0" fontId="38" fillId="0" borderId="0" xfId="0" applyFont="1" applyFill="1"/>
    <xf numFmtId="0" fontId="38" fillId="0" borderId="0" xfId="0" applyFont="1" applyFill="1" applyAlignment="1">
      <alignment horizontal="center" vertical="center"/>
    </xf>
    <xf numFmtId="0" fontId="0" fillId="0" borderId="0" xfId="0" applyFont="1" applyFill="1" applyAlignment="1">
      <alignment horizontal="left"/>
    </xf>
    <xf numFmtId="178" fontId="37" fillId="0" borderId="0" xfId="0" applyNumberFormat="1" applyFont="1" applyFill="1"/>
    <xf numFmtId="0" fontId="0" fillId="0" borderId="0" xfId="0" applyFont="1" applyFill="1" applyAlignment="1"/>
    <xf numFmtId="0" fontId="9" fillId="11" borderId="2" xfId="0" applyFont="1" applyFill="1" applyBorder="1"/>
    <xf numFmtId="0" fontId="9" fillId="0" borderId="0" xfId="0" applyFont="1" applyFill="1" applyBorder="1" applyAlignment="1">
      <alignment vertical="center"/>
    </xf>
    <xf numFmtId="0" fontId="9" fillId="0" borderId="0" xfId="0" applyFont="1" applyFill="1" applyBorder="1" applyAlignment="1">
      <alignment horizontal="center"/>
    </xf>
    <xf numFmtId="0" fontId="60" fillId="11" borderId="0" xfId="0" applyFont="1" applyFill="1"/>
    <xf numFmtId="0" fontId="0" fillId="0" borderId="0" xfId="0" applyFont="1" applyFill="1" applyBorder="1" applyAlignment="1">
      <alignment horizontal="right" vertical="center"/>
    </xf>
    <xf numFmtId="37" fontId="16" fillId="2" borderId="10" xfId="1" applyNumberFormat="1" applyFont="1" applyFill="1" applyBorder="1" applyAlignment="1">
      <alignment horizontal="center"/>
    </xf>
    <xf numFmtId="0" fontId="4" fillId="0" borderId="0" xfId="0" applyFont="1"/>
    <xf numFmtId="0" fontId="13" fillId="0" borderId="0" xfId="0" applyFont="1"/>
    <xf numFmtId="0" fontId="13" fillId="3" borderId="0" xfId="0" applyFont="1" applyFill="1"/>
    <xf numFmtId="10" fontId="0" fillId="0" borderId="0" xfId="3" applyNumberFormat="1" applyFont="1"/>
    <xf numFmtId="0" fontId="61" fillId="0" borderId="0" xfId="0" applyFont="1" applyAlignment="1">
      <alignment horizontal="center"/>
    </xf>
    <xf numFmtId="0" fontId="27" fillId="0" borderId="0" xfId="0" applyFont="1"/>
    <xf numFmtId="168" fontId="0" fillId="0" borderId="0" xfId="0" applyNumberFormat="1" applyFont="1"/>
    <xf numFmtId="177" fontId="0" fillId="0" borderId="0" xfId="2" applyNumberFormat="1" applyFont="1"/>
    <xf numFmtId="177" fontId="0" fillId="0" borderId="14" xfId="1" applyNumberFormat="1" applyFont="1" applyBorder="1"/>
    <xf numFmtId="177" fontId="9" fillId="0" borderId="0" xfId="2" applyNumberFormat="1" applyFont="1"/>
    <xf numFmtId="0" fontId="21" fillId="0" borderId="0" xfId="0" applyFont="1" applyAlignment="1">
      <alignment horizontal="center"/>
    </xf>
    <xf numFmtId="166" fontId="21" fillId="0" borderId="0" xfId="1" applyNumberFormat="1" applyFont="1"/>
    <xf numFmtId="172" fontId="21" fillId="0" borderId="0" xfId="0" applyNumberFormat="1" applyFont="1"/>
    <xf numFmtId="166" fontId="27" fillId="0" borderId="14" xfId="1" applyNumberFormat="1" applyFont="1" applyBorder="1" applyAlignment="1">
      <alignment horizontal="center"/>
    </xf>
    <xf numFmtId="166" fontId="21" fillId="0" borderId="14" xfId="1" applyNumberFormat="1" applyFont="1" applyBorder="1" applyAlignment="1">
      <alignment horizontal="center"/>
    </xf>
    <xf numFmtId="0" fontId="62" fillId="0" borderId="0" xfId="0" applyFont="1" applyAlignment="1">
      <alignment horizontal="center"/>
    </xf>
    <xf numFmtId="167" fontId="16" fillId="0" borderId="0" xfId="1" applyNumberFormat="1" applyFont="1"/>
    <xf numFmtId="0" fontId="16" fillId="0" borderId="0" xfId="0" quotePrefix="1" applyFont="1"/>
    <xf numFmtId="167" fontId="4" fillId="0" borderId="0" xfId="1" applyNumberFormat="1" applyFont="1"/>
    <xf numFmtId="166" fontId="63" fillId="0" borderId="14" xfId="1" applyNumberFormat="1" applyFont="1" applyBorder="1" applyAlignment="1">
      <alignment horizontal="center"/>
    </xf>
    <xf numFmtId="0" fontId="40" fillId="3" borderId="0" xfId="0" applyFont="1" applyFill="1"/>
    <xf numFmtId="0" fontId="61" fillId="0" borderId="0" xfId="0" applyFont="1" applyAlignment="1">
      <alignment horizontal="left"/>
    </xf>
    <xf numFmtId="0" fontId="64" fillId="0" borderId="0" xfId="0" applyFont="1"/>
    <xf numFmtId="166" fontId="9" fillId="0" borderId="14" xfId="1" applyNumberFormat="1" applyFont="1" applyBorder="1" applyAlignment="1">
      <alignment horizontal="center"/>
    </xf>
    <xf numFmtId="166" fontId="27" fillId="0" borderId="0" xfId="1" applyNumberFormat="1" applyFont="1"/>
    <xf numFmtId="166" fontId="63" fillId="0" borderId="0" xfId="1" applyNumberFormat="1" applyFont="1"/>
    <xf numFmtId="179" fontId="21" fillId="0" borderId="0" xfId="0" applyNumberFormat="1" applyFont="1"/>
    <xf numFmtId="179" fontId="21" fillId="0" borderId="14" xfId="1" applyNumberFormat="1" applyFont="1" applyBorder="1" applyAlignment="1">
      <alignment horizontal="center"/>
    </xf>
    <xf numFmtId="179" fontId="27" fillId="0" borderId="0" xfId="0" applyNumberFormat="1" applyFont="1"/>
    <xf numFmtId="179" fontId="27" fillId="0" borderId="14" xfId="1" applyNumberFormat="1" applyFont="1" applyBorder="1" applyAlignment="1">
      <alignment horizontal="center"/>
    </xf>
    <xf numFmtId="179" fontId="21" fillId="0" borderId="0" xfId="1" applyNumberFormat="1" applyFont="1"/>
    <xf numFmtId="179" fontId="27" fillId="0" borderId="14" xfId="0" applyNumberFormat="1" applyFont="1" applyBorder="1" applyAlignment="1">
      <alignment horizontal="center"/>
    </xf>
    <xf numFmtId="166" fontId="38" fillId="11" borderId="0" xfId="1" applyNumberFormat="1" applyFont="1" applyFill="1"/>
    <xf numFmtId="166" fontId="57" fillId="11" borderId="0" xfId="1" applyNumberFormat="1" applyFont="1" applyFill="1"/>
    <xf numFmtId="166" fontId="65" fillId="11" borderId="0" xfId="1" applyNumberFormat="1" applyFont="1" applyFill="1"/>
    <xf numFmtId="166" fontId="0" fillId="0" borderId="0" xfId="1" applyNumberFormat="1" applyFont="1" applyFill="1" applyBorder="1" applyAlignment="1">
      <alignment horizontal="center"/>
    </xf>
    <xf numFmtId="166" fontId="0" fillId="11" borderId="0" xfId="1" applyNumberFormat="1" applyFont="1" applyFill="1"/>
    <xf numFmtId="166" fontId="38" fillId="0" borderId="0" xfId="1" applyNumberFormat="1" applyFont="1" applyFill="1"/>
    <xf numFmtId="166" fontId="9" fillId="0" borderId="0" xfId="1" applyNumberFormat="1" applyFont="1" applyFill="1"/>
    <xf numFmtId="166" fontId="57" fillId="0" borderId="0" xfId="1" applyNumberFormat="1" applyFont="1" applyFill="1"/>
    <xf numFmtId="166" fontId="37" fillId="0" borderId="0" xfId="1" applyNumberFormat="1" applyFont="1" applyFill="1"/>
    <xf numFmtId="166" fontId="37" fillId="11" borderId="0" xfId="1" applyNumberFormat="1" applyFont="1" applyFill="1"/>
    <xf numFmtId="166" fontId="11" fillId="0" borderId="0" xfId="1" applyNumberFormat="1" applyFont="1" applyFill="1" applyAlignment="1">
      <alignment vertical="center"/>
    </xf>
    <xf numFmtId="166" fontId="11" fillId="0" borderId="0" xfId="1" applyNumberFormat="1" applyFont="1" applyFill="1" applyAlignment="1">
      <alignment horizontal="center" vertical="center"/>
    </xf>
    <xf numFmtId="166" fontId="11" fillId="0" borderId="0" xfId="1" applyNumberFormat="1" applyFont="1" applyAlignment="1">
      <alignment vertical="center"/>
    </xf>
    <xf numFmtId="166" fontId="11" fillId="0" borderId="0" xfId="1" applyNumberFormat="1" applyFont="1" applyAlignment="1">
      <alignment horizontal="center" vertical="center"/>
    </xf>
    <xf numFmtId="9" fontId="55" fillId="11" borderId="7" xfId="514" applyFont="1" applyFill="1" applyBorder="1" applyAlignment="1">
      <alignment vertical="center"/>
    </xf>
    <xf numFmtId="0" fontId="16" fillId="0" borderId="0" xfId="0" applyFont="1" applyAlignment="1">
      <alignment wrapText="1"/>
    </xf>
    <xf numFmtId="0" fontId="20" fillId="3" borderId="0" xfId="0" applyFont="1" applyFill="1"/>
    <xf numFmtId="0" fontId="66" fillId="0" borderId="0" xfId="0" applyFont="1"/>
    <xf numFmtId="166" fontId="18" fillId="0" borderId="0" xfId="0" applyNumberFormat="1" applyFont="1"/>
    <xf numFmtId="0" fontId="5" fillId="0" borderId="0" xfId="82" applyFont="1" applyFill="1" applyBorder="1" applyAlignment="1">
      <alignment horizontal="left" wrapText="1"/>
    </xf>
    <xf numFmtId="0" fontId="49" fillId="5" borderId="0" xfId="82" applyFont="1" applyFill="1" applyBorder="1" applyAlignment="1">
      <alignment horizontal="left"/>
    </xf>
    <xf numFmtId="0" fontId="38" fillId="0" borderId="0" xfId="0" applyFont="1" applyFill="1" applyBorder="1" applyAlignment="1">
      <alignment horizontal="left" vertical="center" indent="1"/>
    </xf>
    <xf numFmtId="1" fontId="0" fillId="0" borderId="0" xfId="0" applyNumberFormat="1"/>
    <xf numFmtId="1" fontId="14" fillId="0" borderId="0" xfId="0" applyNumberFormat="1" applyFont="1"/>
    <xf numFmtId="0" fontId="3" fillId="0" borderId="0" xfId="82" applyNumberFormat="1" applyFont="1" applyFill="1" applyBorder="1" applyAlignment="1">
      <alignment horizontal="left"/>
    </xf>
    <xf numFmtId="0" fontId="3" fillId="0" borderId="0" xfId="82" applyFont="1" applyFill="1" applyBorder="1" applyAlignment="1">
      <alignment horizontal="left"/>
    </xf>
    <xf numFmtId="0" fontId="49" fillId="13" borderId="0" xfId="82" applyFont="1" applyFill="1" applyBorder="1" applyAlignment="1">
      <alignment horizontal="left"/>
    </xf>
    <xf numFmtId="0" fontId="67" fillId="4" borderId="0" xfId="82" applyFont="1" applyFill="1" applyBorder="1" applyAlignment="1">
      <alignment horizontal="left"/>
    </xf>
    <xf numFmtId="165" fontId="0" fillId="0" borderId="0" xfId="3" applyNumberFormat="1" applyFont="1" applyFill="1" applyBorder="1"/>
    <xf numFmtId="172" fontId="0" fillId="0" borderId="14" xfId="0" applyNumberFormat="1" applyBorder="1"/>
    <xf numFmtId="43" fontId="0" fillId="0" borderId="0" xfId="1" applyFont="1"/>
    <xf numFmtId="0" fontId="22" fillId="14" borderId="0" xfId="0" applyFont="1" applyFill="1"/>
    <xf numFmtId="0" fontId="0" fillId="14" borderId="0" xfId="0" applyFill="1"/>
    <xf numFmtId="0" fontId="0" fillId="14" borderId="14" xfId="0" applyFill="1" applyBorder="1"/>
    <xf numFmtId="0" fontId="11" fillId="0" borderId="0" xfId="0" applyFont="1"/>
    <xf numFmtId="165" fontId="21" fillId="0" borderId="0" xfId="1" applyNumberFormat="1" applyFont="1"/>
    <xf numFmtId="0" fontId="62" fillId="14" borderId="0" xfId="0" applyFont="1" applyFill="1" applyAlignment="1">
      <alignment horizontal="center"/>
    </xf>
    <xf numFmtId="0" fontId="21" fillId="14" borderId="0" xfId="0" applyFont="1" applyFill="1"/>
    <xf numFmtId="172" fontId="21" fillId="14" borderId="0" xfId="0" applyNumberFormat="1" applyFont="1" applyFill="1"/>
    <xf numFmtId="166" fontId="21" fillId="14" borderId="0" xfId="1" applyNumberFormat="1" applyFont="1" applyFill="1"/>
    <xf numFmtId="166" fontId="21" fillId="14" borderId="14" xfId="1" applyNumberFormat="1" applyFont="1" applyFill="1" applyBorder="1" applyAlignment="1">
      <alignment horizontal="center"/>
    </xf>
    <xf numFmtId="0" fontId="68" fillId="14" borderId="0" xfId="0" applyFont="1" applyFill="1" applyAlignment="1">
      <alignment horizontal="left"/>
    </xf>
    <xf numFmtId="0" fontId="27" fillId="14" borderId="0" xfId="0" applyFont="1" applyFill="1"/>
    <xf numFmtId="0" fontId="27" fillId="14" borderId="14" xfId="0" applyFont="1" applyFill="1" applyBorder="1" applyAlignment="1">
      <alignment horizontal="center"/>
    </xf>
    <xf numFmtId="0" fontId="16" fillId="0" borderId="0" xfId="0" applyFont="1" applyFill="1"/>
    <xf numFmtId="174" fontId="0" fillId="0" borderId="0" xfId="0" applyNumberFormat="1" applyFill="1" applyBorder="1" applyAlignment="1">
      <alignment horizontal="right"/>
    </xf>
    <xf numFmtId="174" fontId="21" fillId="0" borderId="0" xfId="0" applyNumberFormat="1" applyFont="1" applyFill="1" applyBorder="1" applyAlignment="1">
      <alignment horizontal="right"/>
    </xf>
    <xf numFmtId="0" fontId="14" fillId="0" borderId="0" xfId="0" quotePrefix="1" applyFont="1" applyFill="1"/>
    <xf numFmtId="9" fontId="21" fillId="0" borderId="0" xfId="3" applyFont="1" applyFill="1" applyBorder="1"/>
    <xf numFmtId="0" fontId="11" fillId="0" borderId="0" xfId="0" applyFont="1" applyFill="1" applyBorder="1"/>
    <xf numFmtId="9" fontId="0" fillId="0" borderId="0" xfId="0" applyNumberFormat="1" applyFill="1" applyBorder="1"/>
    <xf numFmtId="0" fontId="41" fillId="0" borderId="0" xfId="0" applyFont="1" applyFill="1" applyBorder="1" applyAlignment="1">
      <alignment vertical="center"/>
    </xf>
    <xf numFmtId="9" fontId="16" fillId="0" borderId="0" xfId="3" applyFont="1" applyFill="1" applyBorder="1"/>
    <xf numFmtId="0" fontId="35" fillId="0" borderId="0" xfId="0" applyFont="1" applyFill="1" applyBorder="1" applyAlignment="1">
      <alignment horizontal="left"/>
    </xf>
    <xf numFmtId="0" fontId="35" fillId="0" borderId="0" xfId="0" applyFont="1" applyAlignment="1">
      <alignment horizontal="left"/>
    </xf>
    <xf numFmtId="174" fontId="32" fillId="0" borderId="0" xfId="0" applyNumberFormat="1" applyFont="1" applyAlignment="1">
      <alignment horizontal="right"/>
    </xf>
    <xf numFmtId="177" fontId="0" fillId="0" borderId="0" xfId="0" applyNumberFormat="1" applyFill="1" applyBorder="1"/>
    <xf numFmtId="167" fontId="0" fillId="0" borderId="0" xfId="1" applyNumberFormat="1" applyFont="1" applyFill="1" applyBorder="1"/>
    <xf numFmtId="6" fontId="0" fillId="0" borderId="0" xfId="0" applyNumberFormat="1" applyFill="1" applyBorder="1"/>
    <xf numFmtId="0" fontId="32" fillId="0" borderId="0" xfId="0" applyFont="1" applyBorder="1"/>
    <xf numFmtId="9" fontId="32" fillId="0" borderId="0" xfId="0" applyNumberFormat="1" applyFont="1" applyBorder="1"/>
    <xf numFmtId="0" fontId="32" fillId="0" borderId="0" xfId="0" applyFont="1" applyBorder="1" applyAlignment="1">
      <alignment horizontal="left" indent="2"/>
    </xf>
    <xf numFmtId="0" fontId="71" fillId="0" borderId="0" xfId="0" applyFont="1" applyBorder="1" applyAlignment="1">
      <alignment horizontal="left" indent="1"/>
    </xf>
    <xf numFmtId="9" fontId="32" fillId="0" borderId="0" xfId="0" applyNumberFormat="1" applyFont="1" applyBorder="1" applyAlignment="1">
      <alignment horizontal="left" indent="2"/>
    </xf>
    <xf numFmtId="0" fontId="0" fillId="0" borderId="0" xfId="0" applyFill="1" applyBorder="1" applyAlignment="1">
      <alignment horizontal="left" indent="1"/>
    </xf>
    <xf numFmtId="10" fontId="72" fillId="0" borderId="0" xfId="0" applyNumberFormat="1" applyFont="1" applyAlignment="1">
      <alignment horizontal="left" vertical="center" indent="1"/>
    </xf>
    <xf numFmtId="6" fontId="72" fillId="0" borderId="0" xfId="0" applyNumberFormat="1" applyFont="1" applyAlignment="1">
      <alignment horizontal="left" vertical="center" indent="1"/>
    </xf>
    <xf numFmtId="0" fontId="50" fillId="0" borderId="0" xfId="0" applyFont="1" applyFill="1" applyBorder="1" applyAlignment="1"/>
    <xf numFmtId="9" fontId="38" fillId="0" borderId="0" xfId="0" applyNumberFormat="1" applyFont="1" applyBorder="1" applyAlignment="1">
      <alignment horizontal="right" vertical="center"/>
    </xf>
    <xf numFmtId="9" fontId="37" fillId="0" borderId="0" xfId="0" applyNumberFormat="1" applyFont="1" applyBorder="1" applyAlignment="1">
      <alignment horizontal="right" vertical="center"/>
    </xf>
    <xf numFmtId="172" fontId="37" fillId="0" borderId="0" xfId="0" applyNumberFormat="1" applyFont="1" applyBorder="1" applyAlignment="1">
      <alignment horizontal="right" vertical="center"/>
    </xf>
    <xf numFmtId="172" fontId="0" fillId="0" borderId="0" xfId="3" applyNumberFormat="1" applyFont="1" applyBorder="1"/>
    <xf numFmtId="1" fontId="0" fillId="0" borderId="0" xfId="3" applyNumberFormat="1" applyFont="1" applyBorder="1"/>
    <xf numFmtId="172" fontId="37" fillId="0" borderId="0" xfId="3" applyNumberFormat="1" applyFont="1" applyBorder="1" applyAlignment="1">
      <alignment horizontal="right" vertical="center"/>
    </xf>
    <xf numFmtId="174" fontId="0" fillId="15" borderId="0" xfId="0" applyNumberFormat="1" applyFill="1" applyBorder="1" applyAlignment="1">
      <alignment horizontal="right"/>
    </xf>
    <xf numFmtId="0" fontId="0" fillId="15" borderId="0" xfId="0" applyFill="1" applyBorder="1"/>
    <xf numFmtId="9" fontId="21" fillId="16" borderId="0" xfId="0" applyNumberFormat="1" applyFont="1" applyFill="1" applyBorder="1"/>
    <xf numFmtId="1" fontId="16" fillId="2" borderId="10" xfId="3" applyNumberFormat="1" applyFont="1" applyFill="1" applyBorder="1" applyAlignment="1">
      <alignment horizontal="center"/>
    </xf>
    <xf numFmtId="166" fontId="0" fillId="15" borderId="1" xfId="1" applyNumberFormat="1" applyFont="1" applyFill="1" applyBorder="1"/>
    <xf numFmtId="165" fontId="0" fillId="15" borderId="1" xfId="3" applyNumberFormat="1" applyFont="1" applyFill="1" applyBorder="1"/>
    <xf numFmtId="9" fontId="0" fillId="15" borderId="1" xfId="3" applyFont="1" applyFill="1" applyBorder="1"/>
    <xf numFmtId="0" fontId="14" fillId="15" borderId="0" xfId="0" applyFont="1" applyFill="1"/>
    <xf numFmtId="9" fontId="14" fillId="15" borderId="0" xfId="0" applyNumberFormat="1" applyFont="1" applyFill="1"/>
    <xf numFmtId="166" fontId="14" fillId="15" borderId="11" xfId="1" applyNumberFormat="1" applyFont="1" applyFill="1" applyBorder="1"/>
    <xf numFmtId="165" fontId="14" fillId="15" borderId="1" xfId="3" applyNumberFormat="1" applyFont="1" applyFill="1" applyBorder="1"/>
    <xf numFmtId="9" fontId="14" fillId="15" borderId="0" xfId="3" applyFont="1" applyFill="1"/>
    <xf numFmtId="166" fontId="14" fillId="15" borderId="0" xfId="1" applyNumberFormat="1" applyFont="1" applyFill="1"/>
    <xf numFmtId="165" fontId="14" fillId="15" borderId="0" xfId="3" applyNumberFormat="1" applyFont="1" applyFill="1"/>
    <xf numFmtId="164" fontId="0" fillId="15" borderId="1" xfId="0" applyNumberFormat="1" applyFill="1" applyBorder="1"/>
    <xf numFmtId="164" fontId="0" fillId="15" borderId="11" xfId="2" applyNumberFormat="1" applyFont="1" applyFill="1" applyBorder="1"/>
    <xf numFmtId="164" fontId="0" fillId="15" borderId="1" xfId="2" applyNumberFormat="1" applyFont="1" applyFill="1" applyBorder="1"/>
    <xf numFmtId="165" fontId="0" fillId="15" borderId="12" xfId="3" applyNumberFormat="1" applyFont="1" applyFill="1" applyBorder="1"/>
    <xf numFmtId="164" fontId="22" fillId="15" borderId="10" xfId="1" applyNumberFormat="1" applyFont="1" applyFill="1" applyBorder="1"/>
    <xf numFmtId="165" fontId="22" fillId="15" borderId="10" xfId="1" applyNumberFormat="1" applyFont="1" applyFill="1" applyBorder="1"/>
    <xf numFmtId="0" fontId="49" fillId="17" borderId="0" xfId="82" applyFont="1" applyFill="1" applyBorder="1" applyAlignment="1">
      <alignment horizontal="left"/>
    </xf>
    <xf numFmtId="0" fontId="37" fillId="0" borderId="0" xfId="0" applyFont="1" applyFill="1" applyBorder="1" applyAlignment="1">
      <alignment horizontal="left" indent="1"/>
    </xf>
    <xf numFmtId="0" fontId="0" fillId="0" borderId="0" xfId="0" applyFill="1" applyBorder="1" applyAlignment="1">
      <alignment horizontal="left" indent="2"/>
    </xf>
    <xf numFmtId="165" fontId="0" fillId="15" borderId="0" xfId="0" applyNumberFormat="1" applyFill="1" applyBorder="1"/>
    <xf numFmtId="165" fontId="0" fillId="15" borderId="0" xfId="3" applyNumberFormat="1" applyFont="1" applyFill="1" applyBorder="1"/>
    <xf numFmtId="0" fontId="73" fillId="0" borderId="0" xfId="0" applyFont="1"/>
    <xf numFmtId="0" fontId="74" fillId="0" borderId="0" xfId="0" applyFont="1"/>
    <xf numFmtId="0" fontId="73" fillId="0" borderId="0" xfId="0" applyFont="1" applyAlignment="1">
      <alignment horizontal="left" indent="1"/>
    </xf>
    <xf numFmtId="0" fontId="75" fillId="0" borderId="0" xfId="0" applyFont="1"/>
    <xf numFmtId="0" fontId="74" fillId="0" borderId="0" xfId="0" applyFont="1" applyAlignment="1">
      <alignment horizontal="left" indent="2"/>
    </xf>
    <xf numFmtId="43" fontId="74" fillId="0" borderId="0" xfId="1" applyFont="1"/>
    <xf numFmtId="0" fontId="74" fillId="0" borderId="0" xfId="0" applyFont="1" applyBorder="1" applyAlignment="1">
      <alignment horizontal="left" indent="2"/>
    </xf>
    <xf numFmtId="0" fontId="14" fillId="0" borderId="0" xfId="0" applyFont="1" applyBorder="1"/>
    <xf numFmtId="165" fontId="72" fillId="0" borderId="0" xfId="0" applyNumberFormat="1" applyFont="1" applyAlignment="1">
      <alignment horizontal="left" vertical="center" indent="1"/>
    </xf>
    <xf numFmtId="165" fontId="0" fillId="0" borderId="0" xfId="3" applyNumberFormat="1" applyFont="1" applyBorder="1"/>
    <xf numFmtId="0" fontId="16" fillId="0" borderId="0" xfId="0" applyFont="1" applyBorder="1" applyAlignment="1">
      <alignment horizontal="center"/>
    </xf>
    <xf numFmtId="0" fontId="15" fillId="0" borderId="0" xfId="0" quotePrefix="1" applyFont="1"/>
    <xf numFmtId="0" fontId="16" fillId="2" borderId="1" xfId="0" applyFont="1" applyFill="1" applyBorder="1" applyAlignment="1">
      <alignment horizontal="center"/>
    </xf>
    <xf numFmtId="173" fontId="0" fillId="15" borderId="1" xfId="2" applyNumberFormat="1" applyFont="1" applyFill="1" applyBorder="1"/>
    <xf numFmtId="0" fontId="77" fillId="0" borderId="0" xfId="0" applyFont="1"/>
    <xf numFmtId="1" fontId="0" fillId="0" borderId="1" xfId="0" applyNumberFormat="1" applyBorder="1"/>
    <xf numFmtId="1" fontId="16" fillId="2" borderId="10" xfId="1" applyNumberFormat="1" applyFont="1" applyFill="1" applyBorder="1" applyAlignment="1">
      <alignment horizontal="center"/>
    </xf>
    <xf numFmtId="0" fontId="16" fillId="2" borderId="0" xfId="0" applyFont="1" applyFill="1" applyAlignment="1">
      <alignment horizontal="center"/>
    </xf>
    <xf numFmtId="43" fontId="0" fillId="0" borderId="0" xfId="0" applyNumberFormat="1"/>
    <xf numFmtId="0" fontId="3" fillId="0" borderId="0" xfId="82" applyFont="1" applyFill="1" applyBorder="1" applyAlignment="1">
      <alignment horizontal="left" wrapText="1"/>
    </xf>
    <xf numFmtId="0" fontId="5" fillId="0" borderId="0" xfId="82" applyFont="1" applyFill="1" applyBorder="1" applyAlignment="1">
      <alignment horizontal="left" wrapText="1"/>
    </xf>
    <xf numFmtId="0" fontId="5" fillId="0" borderId="0" xfId="82" applyFont="1" applyBorder="1" applyAlignment="1">
      <alignment horizontal="left"/>
    </xf>
    <xf numFmtId="165" fontId="51" fillId="4" borderId="0" xfId="0" applyNumberFormat="1" applyFont="1" applyFill="1" applyBorder="1" applyAlignment="1">
      <alignment horizontal="center" vertical="center"/>
    </xf>
    <xf numFmtId="0" fontId="52" fillId="15" borderId="0" xfId="82" applyFont="1" applyFill="1" applyBorder="1" applyAlignment="1">
      <alignment horizontal="center"/>
    </xf>
    <xf numFmtId="0" fontId="5" fillId="0" borderId="0" xfId="82" applyFont="1" applyBorder="1" applyAlignment="1">
      <alignment horizontal="left" wrapText="1"/>
    </xf>
    <xf numFmtId="0" fontId="49" fillId="5" borderId="0" xfId="82" applyFont="1" applyFill="1" applyBorder="1" applyAlignment="1">
      <alignment horizontal="left"/>
    </xf>
    <xf numFmtId="0" fontId="49" fillId="6" borderId="0" xfId="82" applyFont="1" applyFill="1" applyBorder="1" applyAlignment="1">
      <alignment horizontal="left"/>
    </xf>
    <xf numFmtId="0" fontId="49" fillId="9" borderId="0" xfId="82" applyFont="1" applyFill="1" applyBorder="1" applyAlignment="1">
      <alignment horizontal="left"/>
    </xf>
    <xf numFmtId="0" fontId="49" fillId="7" borderId="0" xfId="82" applyFont="1" applyFill="1" applyBorder="1" applyAlignment="1">
      <alignment horizontal="left" vertical="center"/>
    </xf>
    <xf numFmtId="0" fontId="49" fillId="7" borderId="0" xfId="82" applyFont="1" applyFill="1" applyBorder="1" applyAlignment="1">
      <alignment horizontal="left"/>
    </xf>
    <xf numFmtId="0" fontId="5" fillId="0" borderId="0" xfId="82" applyFont="1" applyAlignment="1">
      <alignment horizontal="left" wrapText="1"/>
    </xf>
    <xf numFmtId="0" fontId="5" fillId="0" borderId="0" xfId="0" applyFont="1" applyAlignment="1">
      <alignment horizontal="left" wrapText="1"/>
    </xf>
    <xf numFmtId="0" fontId="5" fillId="0" borderId="0" xfId="0" applyFont="1" applyAlignment="1">
      <alignment horizontal="left" vertical="center" wrapText="1"/>
    </xf>
    <xf numFmtId="0" fontId="2" fillId="0" borderId="0" xfId="82" applyFont="1" applyBorder="1" applyAlignment="1">
      <alignment horizontal="left" wrapText="1"/>
    </xf>
    <xf numFmtId="0" fontId="11" fillId="0" borderId="0" xfId="82" applyFont="1" applyFill="1" applyBorder="1" applyAlignment="1">
      <alignment horizontal="left"/>
    </xf>
    <xf numFmtId="0" fontId="11" fillId="0" borderId="0" xfId="82" applyFont="1" applyFill="1" applyBorder="1" applyAlignment="1">
      <alignment horizontal="center"/>
    </xf>
    <xf numFmtId="0" fontId="16" fillId="0" borderId="0" xfId="82" applyFont="1" applyBorder="1" applyAlignment="1">
      <alignment horizontal="center"/>
    </xf>
    <xf numFmtId="166" fontId="11" fillId="2" borderId="0" xfId="1" applyNumberFormat="1" applyFont="1" applyFill="1" applyBorder="1" applyAlignment="1">
      <alignment horizontal="center" vertical="center"/>
    </xf>
    <xf numFmtId="9" fontId="51" fillId="3" borderId="0" xfId="3" quotePrefix="1" applyFont="1" applyFill="1" applyBorder="1" applyAlignment="1">
      <alignment horizontal="center" vertical="center"/>
    </xf>
  </cellXfs>
  <cellStyles count="627">
    <cellStyle name="Comma" xfId="1" builtinId="3"/>
    <cellStyle name="Comma 2" xfId="289"/>
    <cellStyle name="Currency" xfId="2" builtinId="4"/>
    <cellStyle name="Followed Hyperlink" xfId="335" builtinId="9" hidden="1"/>
    <cellStyle name="Followed Hyperlink" xfId="469" builtinId="9" hidden="1"/>
    <cellStyle name="Followed Hyperlink" xfId="240" builtinId="9" hidden="1"/>
    <cellStyle name="Followed Hyperlink" xfId="399" builtinId="9" hidden="1"/>
    <cellStyle name="Followed Hyperlink" xfId="313" builtinId="9" hidden="1"/>
    <cellStyle name="Followed Hyperlink" xfId="299" builtinId="9" hidden="1"/>
    <cellStyle name="Followed Hyperlink" xfId="369" builtinId="9" hidden="1"/>
    <cellStyle name="Followed Hyperlink" xfId="465" builtinId="9" hidden="1"/>
    <cellStyle name="Followed Hyperlink" xfId="345" builtinId="9" hidden="1"/>
    <cellStyle name="Followed Hyperlink" xfId="293" builtinId="9" hidden="1"/>
    <cellStyle name="Followed Hyperlink" xfId="11" builtinId="9" hidden="1"/>
    <cellStyle name="Followed Hyperlink" xfId="170" builtinId="9" hidden="1"/>
    <cellStyle name="Followed Hyperlink" xfId="41" builtinId="9" hidden="1"/>
    <cellStyle name="Followed Hyperlink" xfId="287" builtinId="9" hidden="1"/>
    <cellStyle name="Followed Hyperlink" xfId="495" builtinId="9" hidden="1"/>
    <cellStyle name="Followed Hyperlink" xfId="15" builtinId="9" hidden="1"/>
    <cellStyle name="Followed Hyperlink" xfId="190" builtinId="9" hidden="1"/>
    <cellStyle name="Followed Hyperlink" xfId="419" builtinId="9" hidden="1"/>
    <cellStyle name="Followed Hyperlink" xfId="19" builtinId="9" hidden="1"/>
    <cellStyle name="Followed Hyperlink" xfId="23" builtinId="9" hidden="1"/>
    <cellStyle name="Followed Hyperlink" xfId="337" builtinId="9" hidden="1"/>
    <cellStyle name="Followed Hyperlink" xfId="381" builtinId="9" hidden="1"/>
    <cellStyle name="Followed Hyperlink" xfId="27" builtinId="9" hidden="1"/>
    <cellStyle name="Followed Hyperlink" xfId="433" builtinId="9" hidden="1"/>
    <cellStyle name="Followed Hyperlink" xfId="359" builtinId="9" hidden="1"/>
    <cellStyle name="Followed Hyperlink" xfId="272" builtinId="9" hidden="1"/>
    <cellStyle name="Followed Hyperlink" xfId="104" builtinId="9" hidden="1"/>
    <cellStyle name="Followed Hyperlink" xfId="325" builtinId="9" hidden="1"/>
    <cellStyle name="Followed Hyperlink" xfId="409" builtinId="9" hidden="1"/>
    <cellStyle name="Followed Hyperlink" xfId="311" builtinId="9" hidden="1"/>
    <cellStyle name="Followed Hyperlink" xfId="226" builtinId="9" hidden="1"/>
    <cellStyle name="Followed Hyperlink" xfId="192" builtinId="9" hidden="1"/>
    <cellStyle name="Followed Hyperlink" xfId="146" builtinId="9" hidden="1"/>
    <cellStyle name="Followed Hyperlink" xfId="301" builtinId="9" hidden="1"/>
    <cellStyle name="Followed Hyperlink" xfId="79" builtinId="9" hidden="1"/>
    <cellStyle name="Followed Hyperlink" xfId="128" builtinId="9" hidden="1"/>
    <cellStyle name="Followed Hyperlink" xfId="98" builtinId="9" hidden="1"/>
    <cellStyle name="Followed Hyperlink" xfId="361" builtinId="9" hidden="1"/>
    <cellStyle name="Followed Hyperlink" xfId="511" builtinId="9" hidden="1"/>
    <cellStyle name="Followed Hyperlink" xfId="96" builtinId="9" hidden="1"/>
    <cellStyle name="Followed Hyperlink" xfId="397" builtinId="9" hidden="1"/>
    <cellStyle name="Followed Hyperlink" xfId="142" builtinId="9" hidden="1"/>
    <cellStyle name="Followed Hyperlink" xfId="463" builtinId="9" hidden="1"/>
    <cellStyle name="Followed Hyperlink" xfId="86" builtinId="9" hidden="1"/>
    <cellStyle name="Followed Hyperlink" xfId="61" builtinId="9" hidden="1"/>
    <cellStyle name="Followed Hyperlink" xfId="65" builtinId="9" hidden="1"/>
    <cellStyle name="Followed Hyperlink" xfId="439" builtinId="9" hidden="1"/>
    <cellStyle name="Followed Hyperlink" xfId="503" builtinId="9" hidden="1"/>
    <cellStyle name="Followed Hyperlink" xfId="280" builtinId="9" hidden="1"/>
    <cellStyle name="Followed Hyperlink" xfId="63" builtinId="9" hidden="1"/>
    <cellStyle name="Followed Hyperlink" xfId="329" builtinId="9" hidden="1"/>
    <cellStyle name="Followed Hyperlink" xfId="182" builtinId="9" hidden="1"/>
    <cellStyle name="Followed Hyperlink" xfId="403" builtinId="9" hidden="1"/>
    <cellStyle name="Followed Hyperlink" xfId="162" builtinId="9" hidden="1"/>
    <cellStyle name="Followed Hyperlink" xfId="90" builtinId="9" hidden="1"/>
    <cellStyle name="Followed Hyperlink" xfId="73" builtinId="9" hidden="1"/>
    <cellStyle name="Followed Hyperlink" xfId="383" builtinId="9" hidden="1"/>
    <cellStyle name="Followed Hyperlink" xfId="164" builtinId="9" hidden="1"/>
    <cellStyle name="Followed Hyperlink" xfId="262" builtinId="9" hidden="1"/>
    <cellStyle name="Followed Hyperlink" xfId="17" builtinId="9" hidden="1"/>
    <cellStyle name="Followed Hyperlink" xfId="21" builtinId="9" hidden="1"/>
    <cellStyle name="Followed Hyperlink" xfId="355" builtinId="9" hidden="1"/>
    <cellStyle name="Followed Hyperlink" xfId="363" builtinId="9" hidden="1"/>
    <cellStyle name="Followed Hyperlink" xfId="124" builtinId="9" hidden="1"/>
    <cellStyle name="Followed Hyperlink" xfId="236" builtinId="9" hidden="1"/>
    <cellStyle name="Followed Hyperlink" xfId="317" builtinId="9" hidden="1"/>
    <cellStyle name="Followed Hyperlink" xfId="282" builtinId="9" hidden="1"/>
    <cellStyle name="Followed Hyperlink" xfId="413" builtinId="9" hidden="1"/>
    <cellStyle name="Followed Hyperlink" xfId="309" builtinId="9" hidden="1"/>
    <cellStyle name="Followed Hyperlink" xfId="371" builtinId="9" hidden="1"/>
    <cellStyle name="Followed Hyperlink" xfId="67" builtinId="9" hidden="1"/>
    <cellStyle name="Followed Hyperlink" xfId="25" builtinId="9" hidden="1"/>
    <cellStyle name="Followed Hyperlink" xfId="321" builtinId="9" hidden="1"/>
    <cellStyle name="Followed Hyperlink" xfId="186" builtinId="9" hidden="1"/>
    <cellStyle name="Followed Hyperlink" xfId="297" builtinId="9" hidden="1"/>
    <cellStyle name="Followed Hyperlink" xfId="69" builtinId="9" hidden="1"/>
    <cellStyle name="Followed Hyperlink" xfId="35" builtinId="9" hidden="1"/>
    <cellStyle name="Followed Hyperlink" xfId="339" builtinId="9" hidden="1"/>
    <cellStyle name="Followed Hyperlink" xfId="246" builtinId="9" hidden="1"/>
    <cellStyle name="Followed Hyperlink" xfId="174" builtinId="9" hidden="1"/>
    <cellStyle name="Followed Hyperlink" xfId="250" builtinId="9" hidden="1"/>
    <cellStyle name="Followed Hyperlink" xfId="284" builtinId="9" hidden="1"/>
    <cellStyle name="Followed Hyperlink" xfId="188" builtinId="9" hidden="1"/>
    <cellStyle name="Followed Hyperlink" xfId="349" builtinId="9" hidden="1"/>
    <cellStyle name="Followed Hyperlink" xfId="303" builtinId="9" hidden="1"/>
    <cellStyle name="Followed Hyperlink" xfId="407" builtinId="9" hidden="1"/>
    <cellStyle name="Followed Hyperlink" xfId="367" builtinId="9" hidden="1"/>
    <cellStyle name="Followed Hyperlink" xfId="242" builtinId="9" hidden="1"/>
    <cellStyle name="Followed Hyperlink" xfId="51" builtinId="9" hidden="1"/>
    <cellStyle name="Followed Hyperlink" xfId="305" builtinId="9" hidden="1"/>
    <cellStyle name="Followed Hyperlink" xfId="248" builtinId="9" hidden="1"/>
    <cellStyle name="Followed Hyperlink" xfId="291" builtinId="9" hidden="1"/>
    <cellStyle name="Followed Hyperlink" xfId="425" builtinId="9" hidden="1"/>
    <cellStyle name="Followed Hyperlink" xfId="453" builtinId="9" hidden="1"/>
    <cellStyle name="Followed Hyperlink" xfId="228" builtinId="9" hidden="1"/>
    <cellStyle name="Followed Hyperlink" xfId="415" builtinId="9" hidden="1"/>
    <cellStyle name="Followed Hyperlink" xfId="411" builtinId="9" hidden="1"/>
    <cellStyle name="Followed Hyperlink" xfId="276" builtinId="9" hidden="1"/>
    <cellStyle name="Followed Hyperlink" xfId="184" builtinId="9" hidden="1"/>
    <cellStyle name="Followed Hyperlink" xfId="152" builtinId="9" hidden="1"/>
    <cellStyle name="Followed Hyperlink" xfId="481" builtinId="9" hidden="1"/>
    <cellStyle name="Followed Hyperlink" xfId="379" builtinId="9" hidden="1"/>
    <cellStyle name="Followed Hyperlink" xfId="244" builtinId="9" hidden="1"/>
    <cellStyle name="Followed Hyperlink" xfId="491" builtinId="9" hidden="1"/>
    <cellStyle name="Followed Hyperlink" xfId="160" builtinId="9" hidden="1"/>
    <cellStyle name="Followed Hyperlink" xfId="110" builtinId="9" hidden="1"/>
    <cellStyle name="Followed Hyperlink" xfId="278" builtinId="9" hidden="1"/>
    <cellStyle name="Followed Hyperlink" xfId="449" builtinId="9" hidden="1"/>
    <cellStyle name="Followed Hyperlink" xfId="29" builtinId="9" hidden="1"/>
    <cellStyle name="Followed Hyperlink" xfId="194" builtinId="9" hidden="1"/>
    <cellStyle name="Followed Hyperlink" xfId="501" builtinId="9" hidden="1"/>
    <cellStyle name="Followed Hyperlink" xfId="122" builtinId="9" hidden="1"/>
    <cellStyle name="Followed Hyperlink" xfId="343" builtinId="9" hidden="1"/>
    <cellStyle name="Followed Hyperlink" xfId="232" builtinId="9" hidden="1"/>
    <cellStyle name="Followed Hyperlink" xfId="493" builtinId="9" hidden="1"/>
    <cellStyle name="Followed Hyperlink" xfId="333" builtinId="9" hidden="1"/>
    <cellStyle name="Followed Hyperlink" xfId="55" builtinId="9" hidden="1"/>
    <cellStyle name="Followed Hyperlink" xfId="198" builtinId="9" hidden="1"/>
    <cellStyle name="Followed Hyperlink" xfId="391" builtinId="9" hidden="1"/>
    <cellStyle name="Followed Hyperlink" xfId="256" builtinId="9" hidden="1"/>
    <cellStyle name="Followed Hyperlink" xfId="373" builtinId="9" hidden="1"/>
    <cellStyle name="Followed Hyperlink" xfId="172" builtinId="9" hidden="1"/>
    <cellStyle name="Followed Hyperlink" xfId="138" builtinId="9" hidden="1"/>
    <cellStyle name="Followed Hyperlink" xfId="75" builtinId="9" hidden="1"/>
    <cellStyle name="Followed Hyperlink" xfId="212" builtinId="9" hidden="1"/>
    <cellStyle name="Followed Hyperlink" xfId="200" builtinId="9" hidden="1"/>
    <cellStyle name="Followed Hyperlink" xfId="224" builtinId="9" hidden="1"/>
    <cellStyle name="Followed Hyperlink" xfId="499" builtinId="9" hidden="1"/>
    <cellStyle name="Followed Hyperlink" xfId="437" builtinId="9" hidden="1"/>
    <cellStyle name="Followed Hyperlink" xfId="49" builtinId="9" hidden="1"/>
    <cellStyle name="Followed Hyperlink" xfId="150" builtinId="9" hidden="1"/>
    <cellStyle name="Followed Hyperlink" xfId="196" builtinId="9" hidden="1"/>
    <cellStyle name="Followed Hyperlink" xfId="264" builtinId="9" hidden="1"/>
    <cellStyle name="Followed Hyperlink" xfId="365" builtinId="9" hidden="1"/>
    <cellStyle name="Followed Hyperlink" xfId="487" builtinId="9" hidden="1"/>
    <cellStyle name="Followed Hyperlink" xfId="254" builtinId="9" hidden="1"/>
    <cellStyle name="Followed Hyperlink" xfId="230" builtinId="9" hidden="1"/>
    <cellStyle name="Followed Hyperlink" xfId="77" builtinId="9" hidden="1"/>
    <cellStyle name="Followed Hyperlink" xfId="351" builtinId="9" hidden="1"/>
    <cellStyle name="Followed Hyperlink" xfId="112" builtinId="9" hidden="1"/>
    <cellStyle name="Followed Hyperlink" xfId="71" builtinId="9" hidden="1"/>
    <cellStyle name="Followed Hyperlink" xfId="178" builtinId="9" hidden="1"/>
    <cellStyle name="Followed Hyperlink" xfId="475" builtinId="9" hidden="1"/>
    <cellStyle name="Followed Hyperlink" xfId="45" builtinId="9" hidden="1"/>
    <cellStyle name="Followed Hyperlink" xfId="327" builtinId="9" hidden="1"/>
    <cellStyle name="Followed Hyperlink" xfId="507" builtinId="9" hidden="1"/>
    <cellStyle name="Followed Hyperlink" xfId="315" builtinId="9" hidden="1"/>
    <cellStyle name="Followed Hyperlink" xfId="84" builtinId="9" hidden="1"/>
    <cellStyle name="Followed Hyperlink" xfId="447" builtinId="9" hidden="1"/>
    <cellStyle name="Followed Hyperlink" xfId="331" builtinId="9" hidden="1"/>
    <cellStyle name="Followed Hyperlink" xfId="319" builtinId="9" hidden="1"/>
    <cellStyle name="Followed Hyperlink" xfId="88" builtinId="9" hidden="1"/>
    <cellStyle name="Followed Hyperlink" xfId="57" builtinId="9" hidden="1"/>
    <cellStyle name="Followed Hyperlink" xfId="417" builtinId="9" hidden="1"/>
    <cellStyle name="Followed Hyperlink" xfId="485" builtinId="9" hidden="1"/>
    <cellStyle name="Followed Hyperlink" xfId="154" builtinId="9" hidden="1"/>
    <cellStyle name="Followed Hyperlink" xfId="421" builtinId="9" hidden="1"/>
    <cellStyle name="Followed Hyperlink" xfId="441" builtinId="9" hidden="1"/>
    <cellStyle name="Followed Hyperlink" xfId="387" builtinId="9" hidden="1"/>
    <cellStyle name="Followed Hyperlink" xfId="13" builtinId="9" hidden="1"/>
    <cellStyle name="Followed Hyperlink" xfId="489" builtinId="9" hidden="1"/>
    <cellStyle name="Followed Hyperlink" xfId="114" builtinId="9" hidden="1"/>
    <cellStyle name="Followed Hyperlink" xfId="136" builtinId="9" hidden="1"/>
    <cellStyle name="Followed Hyperlink" xfId="395" builtinId="9" hidden="1"/>
    <cellStyle name="Followed Hyperlink" xfId="435" builtinId="9" hidden="1"/>
    <cellStyle name="Followed Hyperlink" xfId="47" builtinId="9" hidden="1"/>
    <cellStyle name="Followed Hyperlink" xfId="497" builtinId="9" hidden="1"/>
    <cellStyle name="Followed Hyperlink" xfId="7" builtinId="9" hidden="1"/>
    <cellStyle name="Followed Hyperlink" xfId="92" builtinId="9" hidden="1"/>
    <cellStyle name="Followed Hyperlink" xfId="451" builtinId="9" hidden="1"/>
    <cellStyle name="Followed Hyperlink" xfId="100" builtinId="9" hidden="1"/>
    <cellStyle name="Followed Hyperlink" xfId="39" builtinId="9" hidden="1"/>
    <cellStyle name="Followed Hyperlink" xfId="234" builtinId="9" hidden="1"/>
    <cellStyle name="Followed Hyperlink" xfId="270" builtinId="9" hidden="1"/>
    <cellStyle name="Followed Hyperlink" xfId="81" builtinId="9" hidden="1"/>
    <cellStyle name="Followed Hyperlink" xfId="140" builtinId="9" hidden="1"/>
    <cellStyle name="Followed Hyperlink" xfId="94" builtinId="9" hidden="1"/>
    <cellStyle name="Followed Hyperlink" xfId="144" builtinId="9" hidden="1"/>
    <cellStyle name="Followed Hyperlink" xfId="393" builtinId="9" hidden="1"/>
    <cellStyle name="Followed Hyperlink" xfId="37" builtinId="9" hidden="1"/>
    <cellStyle name="Followed Hyperlink" xfId="459" builtinId="9" hidden="1"/>
    <cellStyle name="Followed Hyperlink" xfId="513" builtinId="9" hidden="1"/>
    <cellStyle name="Followed Hyperlink" xfId="126" builtinId="9" hidden="1"/>
    <cellStyle name="Followed Hyperlink" xfId="158" builtinId="9" hidden="1"/>
    <cellStyle name="Followed Hyperlink" xfId="116" builtinId="9" hidden="1"/>
    <cellStyle name="Followed Hyperlink" xfId="457" builtinId="9" hidden="1"/>
    <cellStyle name="Followed Hyperlink" xfId="260" builtinId="9" hidden="1"/>
    <cellStyle name="Followed Hyperlink" xfId="220" builtinId="9" hidden="1"/>
    <cellStyle name="Followed Hyperlink" xfId="134" builtinId="9" hidden="1"/>
    <cellStyle name="Followed Hyperlink" xfId="479" builtinId="9" hidden="1"/>
    <cellStyle name="Followed Hyperlink" xfId="33" builtinId="9" hidden="1"/>
    <cellStyle name="Followed Hyperlink" xfId="102" builtinId="9" hidden="1"/>
    <cellStyle name="Followed Hyperlink" xfId="274" builtinId="9" hidden="1"/>
    <cellStyle name="Followed Hyperlink" xfId="473" builtinId="9" hidden="1"/>
    <cellStyle name="Followed Hyperlink" xfId="5" builtinId="9" hidden="1"/>
    <cellStyle name="Followed Hyperlink" xfId="210" builtinId="9" hidden="1"/>
    <cellStyle name="Followed Hyperlink" xfId="375" builtinId="9" hidden="1"/>
    <cellStyle name="Followed Hyperlink" xfId="9" builtinId="9" hidden="1"/>
    <cellStyle name="Followed Hyperlink" xfId="445" builtinId="9" hidden="1"/>
    <cellStyle name="Followed Hyperlink" xfId="218" builtinId="9" hidden="1"/>
    <cellStyle name="Followed Hyperlink" xfId="176" builtinId="9" hidden="1"/>
    <cellStyle name="Followed Hyperlink" xfId="132" builtinId="9" hidden="1"/>
    <cellStyle name="Followed Hyperlink" xfId="295" builtinId="9" hidden="1"/>
    <cellStyle name="Followed Hyperlink" xfId="268" builtinId="9" hidden="1"/>
    <cellStyle name="Followed Hyperlink" xfId="405" builtinId="9" hidden="1"/>
    <cellStyle name="Followed Hyperlink" xfId="357" builtinId="9" hidden="1"/>
    <cellStyle name="Followed Hyperlink" xfId="307" builtinId="9" hidden="1"/>
    <cellStyle name="Followed Hyperlink" xfId="347" builtinId="9" hidden="1"/>
    <cellStyle name="Followed Hyperlink" xfId="483" builtinId="9" hidden="1"/>
    <cellStyle name="Followed Hyperlink" xfId="53" builtinId="9" hidden="1"/>
    <cellStyle name="Followed Hyperlink" xfId="461" builtinId="9" hidden="1"/>
    <cellStyle name="Followed Hyperlink" xfId="385" builtinId="9" hidden="1"/>
    <cellStyle name="Followed Hyperlink" xfId="206" builtinId="9" hidden="1"/>
    <cellStyle name="Followed Hyperlink" xfId="341" builtinId="9" hidden="1"/>
    <cellStyle name="Followed Hyperlink" xfId="43" builtinId="9" hidden="1"/>
    <cellStyle name="Followed Hyperlink" xfId="31" builtinId="9" hidden="1"/>
    <cellStyle name="Followed Hyperlink" xfId="130" builtinId="9" hidden="1"/>
    <cellStyle name="Followed Hyperlink" xfId="509" builtinId="9" hidden="1"/>
    <cellStyle name="Followed Hyperlink" xfId="252" builtinId="9" hidden="1"/>
    <cellStyle name="Followed Hyperlink" xfId="258" builtinId="9" hidden="1"/>
    <cellStyle name="Followed Hyperlink" xfId="59" builtinId="9" hidden="1"/>
    <cellStyle name="Followed Hyperlink" xfId="266" builtinId="9" hidden="1"/>
    <cellStyle name="Followed Hyperlink" xfId="120" builtinId="9" hidden="1"/>
    <cellStyle name="Followed Hyperlink" xfId="401" builtinId="9" hidden="1"/>
    <cellStyle name="Followed Hyperlink" xfId="423" builtinId="9" hidden="1"/>
    <cellStyle name="Followed Hyperlink" xfId="431" builtinId="9" hidden="1"/>
    <cellStyle name="Followed Hyperlink" xfId="505" builtinId="9" hidden="1"/>
    <cellStyle name="Followed Hyperlink" xfId="202" builtinId="9" hidden="1"/>
    <cellStyle name="Followed Hyperlink" xfId="168" builtinId="9" hidden="1"/>
    <cellStyle name="Followed Hyperlink" xfId="467" builtinId="9" hidden="1"/>
    <cellStyle name="Followed Hyperlink" xfId="323" builtinId="9" hidden="1"/>
    <cellStyle name="Followed Hyperlink" xfId="148" builtinId="9" hidden="1"/>
    <cellStyle name="Followed Hyperlink" xfId="214" builtinId="9" hidden="1"/>
    <cellStyle name="Followed Hyperlink" xfId="427" builtinId="9" hidden="1"/>
    <cellStyle name="Followed Hyperlink" xfId="377" builtinId="9" hidden="1"/>
    <cellStyle name="Followed Hyperlink" xfId="166" builtinId="9" hidden="1"/>
    <cellStyle name="Followed Hyperlink" xfId="222" builtinId="9" hidden="1"/>
    <cellStyle name="Followed Hyperlink" xfId="471" builtinId="9" hidden="1"/>
    <cellStyle name="Followed Hyperlink" xfId="204" builtinId="9" hidden="1"/>
    <cellStyle name="Followed Hyperlink" xfId="180" builtinId="9" hidden="1"/>
    <cellStyle name="Followed Hyperlink" xfId="389" builtinId="9" hidden="1"/>
    <cellStyle name="Followed Hyperlink" xfId="208" builtinId="9" hidden="1"/>
    <cellStyle name="Followed Hyperlink" xfId="216" builtinId="9" hidden="1"/>
    <cellStyle name="Followed Hyperlink" xfId="429" builtinId="9" hidden="1"/>
    <cellStyle name="Followed Hyperlink" xfId="156" builtinId="9" hidden="1"/>
    <cellStyle name="Followed Hyperlink" xfId="238" builtinId="9" hidden="1"/>
    <cellStyle name="Followed Hyperlink" xfId="477" builtinId="9" hidden="1"/>
    <cellStyle name="Followed Hyperlink" xfId="443" builtinId="9" hidden="1"/>
    <cellStyle name="Followed Hyperlink" xfId="106" builtinId="9" hidden="1"/>
    <cellStyle name="Followed Hyperlink" xfId="455" builtinId="9" hidden="1"/>
    <cellStyle name="Followed Hyperlink" xfId="353" builtinId="9" hidden="1"/>
    <cellStyle name="Followed Hyperlink" xfId="118" builtinId="9" hidden="1"/>
    <cellStyle name="Followed Hyperlink" xfId="108"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Hyperlink" xfId="306" builtinId="8" hidden="1"/>
    <cellStyle name="Hyperlink" xfId="478" builtinId="8" hidden="1"/>
    <cellStyle name="Hyperlink" xfId="205" builtinId="8" hidden="1"/>
    <cellStyle name="Hyperlink" xfId="340" builtinId="8" hidden="1"/>
    <cellStyle name="Hyperlink" xfId="344" builtinId="8" hidden="1"/>
    <cellStyle name="Hyperlink" xfId="502" builtinId="8" hidden="1"/>
    <cellStyle name="Hyperlink" xfId="500" builtinId="8" hidden="1"/>
    <cellStyle name="Hyperlink" xfId="494" builtinId="8" hidden="1"/>
    <cellStyle name="Hyperlink" xfId="209" builtinId="8" hidden="1"/>
    <cellStyle name="Hyperlink" xfId="72" builtinId="8" hidden="1"/>
    <cellStyle name="Hyperlink" xfId="338" builtinId="8" hidden="1"/>
    <cellStyle name="Hyperlink" xfId="76" builtinId="8" hidden="1"/>
    <cellStyle name="Hyperlink" xfId="492" builtinId="8" hidden="1"/>
    <cellStyle name="Hyperlink" xfId="510" builtinId="8" hidden="1"/>
    <cellStyle name="Hyperlink" xfId="512" builtinId="8" hidden="1"/>
    <cellStyle name="Hyperlink" xfId="474" builtinId="8" hidden="1"/>
    <cellStyle name="Hyperlink" xfId="496" builtinId="8" hidden="1"/>
    <cellStyle name="Hyperlink" xfId="263" builtinId="8" hidden="1"/>
    <cellStyle name="Hyperlink" xfId="406" builtinId="8" hidden="1"/>
    <cellStyle name="Hyperlink" xfId="412" builtinId="8" hidden="1"/>
    <cellStyle name="Hyperlink" xfId="269" builtinId="8" hidden="1"/>
    <cellStyle name="Hyperlink" xfId="62" builtinId="8" hidden="1"/>
    <cellStyle name="Hyperlink" xfId="26" builtinId="8" hidden="1"/>
    <cellStyle name="Hyperlink" xfId="310" builtinId="8" hidden="1"/>
    <cellStyle name="Hyperlink" xfId="328" builtinId="8" hidden="1"/>
    <cellStyle name="Hyperlink" xfId="123" builtinId="8" hidden="1"/>
    <cellStyle name="Hyperlink" xfId="201" builtinId="8" hidden="1"/>
    <cellStyle name="Hyperlink" xfId="70" builtinId="8" hidden="1"/>
    <cellStyle name="Hyperlink" xfId="275" builtinId="8" hidden="1"/>
    <cellStyle name="Hyperlink" xfId="12" builtinId="8" hidden="1"/>
    <cellStyle name="Hyperlink" xfId="432" builtinId="8" hidden="1"/>
    <cellStyle name="Hyperlink" xfId="44" builtinId="8" hidden="1"/>
    <cellStyle name="Hyperlink" xfId="257" builtinId="8" hidden="1"/>
    <cellStyle name="Hyperlink" xfId="6" builtinId="8" hidden="1"/>
    <cellStyle name="Hyperlink" xfId="113" builtinId="8" hidden="1"/>
    <cellStyle name="Hyperlink" xfId="10" builtinId="8" hidden="1"/>
    <cellStyle name="Hyperlink" xfId="183" builtinId="8" hidden="1"/>
    <cellStyle name="Hyperlink" xfId="171" builtinId="8" hidden="1"/>
    <cellStyle name="Hyperlink" xfId="322" builtinId="8" hidden="1"/>
    <cellStyle name="Hyperlink" xfId="157" builtinId="8" hidden="1"/>
    <cellStyle name="Hyperlink" xfId="506" builtinId="8" hidden="1"/>
    <cellStyle name="Hyperlink" xfId="304" builtinId="8" hidden="1"/>
    <cellStyle name="Hyperlink" xfId="400" builtinId="8" hidden="1"/>
    <cellStyle name="Hyperlink" xfId="56" builtinId="8" hidden="1"/>
    <cellStyle name="Hyperlink" xfId="408" builtinId="8" hidden="1"/>
    <cellStyle name="Hyperlink" xfId="115" builtinId="8" hidden="1"/>
    <cellStyle name="Hyperlink" xfId="265" builtinId="8" hidden="1"/>
    <cellStyle name="Hyperlink" xfId="255" builtinId="8" hidden="1"/>
    <cellStyle name="Hyperlink" xfId="95" builtinId="8" hidden="1"/>
    <cellStyle name="Hyperlink" xfId="326" builtinId="8" hidden="1"/>
    <cellStyle name="Hyperlink" xfId="300" builtinId="8" hidden="1"/>
    <cellStyle name="Hyperlink" xfId="318" builtinId="8" hidden="1"/>
    <cellStyle name="Hyperlink" xfId="249" builtinId="8" hidden="1"/>
    <cellStyle name="Hyperlink" xfId="149" builtinId="8" hidden="1"/>
    <cellStyle name="Hyperlink" xfId="167" builtinId="8" hidden="1"/>
    <cellStyle name="Hyperlink" xfId="177" builtinId="8" hidden="1"/>
    <cellStyle name="Hyperlink" xfId="119" builtinId="8" hidden="1"/>
    <cellStyle name="Hyperlink" xfId="20" builtinId="8" hidden="1"/>
    <cellStyle name="Hyperlink" xfId="203" builtinId="8" hidden="1"/>
    <cellStyle name="Hyperlink" xfId="131" builtinId="8" hidden="1"/>
    <cellStyle name="Hyperlink" xfId="52" builtinId="8" hidden="1"/>
    <cellStyle name="Hyperlink" xfId="360" builtinId="8" hidden="1"/>
    <cellStyle name="Hyperlink" xfId="251" builtinId="8" hidden="1"/>
    <cellStyle name="Hyperlink" xfId="135" builtinId="8" hidden="1"/>
    <cellStyle name="Hyperlink" xfId="302" builtinId="8" hidden="1"/>
    <cellStyle name="Hyperlink" xfId="151" builtinId="8" hidden="1"/>
    <cellStyle name="Hyperlink" xfId="253" builtinId="8" hidden="1"/>
    <cellStyle name="Hyperlink" xfId="241" builtinId="8" hidden="1"/>
    <cellStyle name="Hyperlink" xfId="273" builtinId="8" hidden="1"/>
    <cellStyle name="Hyperlink" xfId="418" builtinId="8" hidden="1"/>
    <cellStyle name="Hyperlink" xfId="233" builtinId="8" hidden="1"/>
    <cellStyle name="Hyperlink" xfId="107" builtinId="8" hidden="1"/>
    <cellStyle name="Hyperlink" xfId="348" builtinId="8" hidden="1"/>
    <cellStyle name="Hyperlink" xfId="161" builtinId="8" hidden="1"/>
    <cellStyle name="Hyperlink" xfId="281" builtinId="8" hidden="1"/>
    <cellStyle name="Hyperlink" xfId="434" builtinId="8" hidden="1"/>
    <cellStyle name="Hyperlink" xfId="139" builtinId="8" hidden="1"/>
    <cellStyle name="Hyperlink" xfId="89" builtinId="8" hidden="1"/>
    <cellStyle name="Hyperlink" xfId="58" builtinId="8" hidden="1"/>
    <cellStyle name="Hyperlink" xfId="105" builtinId="8" hidden="1"/>
    <cellStyle name="Hyperlink" xfId="454" builtinId="8" hidden="1"/>
    <cellStyle name="Hyperlink" xfId="187" builtinId="8" hidden="1"/>
    <cellStyle name="Hyperlink" xfId="97" builtinId="8" hidden="1"/>
    <cellStyle name="Hyperlink" xfId="30" builtinId="8" hidden="1"/>
    <cellStyle name="Hyperlink" xfId="91" builtinId="8" hidden="1"/>
    <cellStyle name="Hyperlink" xfId="476" builtinId="8" hidden="1"/>
    <cellStyle name="Hyperlink" xfId="334" builtinId="8" hidden="1"/>
    <cellStyle name="Hyperlink" xfId="80" builtinId="8" hidden="1"/>
    <cellStyle name="Hyperlink" xfId="346" builtinId="8" hidden="1"/>
    <cellStyle name="Hyperlink" xfId="229" builtinId="8" hidden="1"/>
    <cellStyle name="Hyperlink" xfId="358" builtinId="8" hidden="1"/>
    <cellStyle name="Hyperlink" xfId="416" builtinId="8" hidden="1"/>
    <cellStyle name="Hyperlink" xfId="286" builtinId="8" hidden="1"/>
    <cellStyle name="Hyperlink" xfId="271" builtinId="8" hidden="1"/>
    <cellStyle name="Hyperlink" xfId="436" builtinId="8" hidden="1"/>
    <cellStyle name="Hyperlink" xfId="191" builtinId="8" hidden="1"/>
    <cellStyle name="Hyperlink" xfId="342" builtinId="8" hidden="1"/>
    <cellStyle name="Hyperlink" xfId="38" builtinId="8" hidden="1"/>
    <cellStyle name="Hyperlink" xfId="46" builtinId="8" hidden="1"/>
    <cellStyle name="Hyperlink" xfId="370" builtinId="8" hidden="1"/>
    <cellStyle name="Hyperlink" xfId="18" builtinId="8" hidden="1"/>
    <cellStyle name="Hyperlink" xfId="40" builtinId="8" hidden="1"/>
    <cellStyle name="Hyperlink" xfId="125" builtinId="8" hidden="1"/>
    <cellStyle name="Hyperlink" xfId="292" builtinId="8" hidden="1"/>
    <cellStyle name="Hyperlink" xfId="93" builtinId="8" hidden="1"/>
    <cellStyle name="Hyperlink" xfId="225" builtinId="8" hidden="1"/>
    <cellStyle name="Hyperlink" xfId="470" builtinId="8" hidden="1"/>
    <cellStyle name="Hyperlink" xfId="54" builtinId="8" hidden="1"/>
    <cellStyle name="Hyperlink" xfId="442" builtinId="8" hidden="1"/>
    <cellStyle name="Hyperlink" xfId="16" builtinId="8" hidden="1"/>
    <cellStyle name="Hyperlink" xfId="444" builtinId="8" hidden="1"/>
    <cellStyle name="Hyperlink" xfId="450" builtinId="8" hidden="1"/>
    <cellStyle name="Hyperlink" xfId="99" builtinId="8" hidden="1"/>
    <cellStyle name="Hyperlink" xfId="364" builtinId="8" hidden="1"/>
    <cellStyle name="Hyperlink" xfId="83" builtinId="8" hidden="1"/>
    <cellStyle name="Hyperlink" xfId="141" builtinId="8" hidden="1"/>
    <cellStyle name="Hyperlink" xfId="320" builtinId="8" hidden="1"/>
    <cellStyle name="Hyperlink" xfId="460" builtinId="8" hidden="1"/>
    <cellStyle name="Hyperlink" xfId="452" builtinId="8" hidden="1"/>
    <cellStyle name="Hyperlink" xfId="456" builtinId="8" hidden="1"/>
    <cellStyle name="Hyperlink" xfId="388" builtinId="8" hidden="1"/>
    <cellStyle name="Hyperlink" xfId="430" builtinId="8" hidden="1"/>
    <cellStyle name="Hyperlink" xfId="380" builtinId="8" hidden="1"/>
    <cellStyle name="Hyperlink" xfId="42" builtinId="8" hidden="1"/>
    <cellStyle name="Hyperlink" xfId="211" builtinId="8" hidden="1"/>
    <cellStyle name="Hyperlink" xfId="207" builtinId="8" hidden="1"/>
    <cellStyle name="Hyperlink" xfId="296" builtinId="8" hidden="1"/>
    <cellStyle name="Hyperlink" xfId="332" builtinId="8" hidden="1"/>
    <cellStyle name="Hyperlink" xfId="312" builtinId="8" hidden="1"/>
    <cellStyle name="Hyperlink" xfId="175" builtinId="8" hidden="1"/>
    <cellStyle name="Hyperlink" xfId="398" builtinId="8" hidden="1"/>
    <cellStyle name="Hyperlink" xfId="426" builtinId="8" hidden="1"/>
    <cellStyle name="Hyperlink" xfId="169" builtinId="8" hidden="1"/>
    <cellStyle name="Hyperlink" xfId="468" builtinId="8" hidden="1"/>
    <cellStyle name="Hyperlink" xfId="350" builtinId="8" hidden="1"/>
    <cellStyle name="Hyperlink" xfId="143" builtinId="8" hidden="1"/>
    <cellStyle name="Hyperlink" xfId="376" builtinId="8" hidden="1"/>
    <cellStyle name="Hyperlink" xfId="386" builtinId="8" hidden="1"/>
    <cellStyle name="Hyperlink" xfId="50" builtinId="8" hidden="1"/>
    <cellStyle name="Hyperlink" xfId="189" builtinId="8" hidden="1"/>
    <cellStyle name="Hyperlink" xfId="173" builtinId="8" hidden="1"/>
    <cellStyle name="Hyperlink" xfId="219" builtinId="8" hidden="1"/>
    <cellStyle name="Hyperlink" xfId="490" builtinId="8" hidden="1"/>
    <cellStyle name="Hyperlink" xfId="103" builtinId="8" hidden="1"/>
    <cellStyle name="Hyperlink" xfId="28" builtinId="8" hidden="1"/>
    <cellStyle name="Hyperlink" xfId="147" builtinId="8" hidden="1"/>
    <cellStyle name="Hyperlink" xfId="4" builtinId="8" hidden="1"/>
    <cellStyle name="Hyperlink" xfId="223" builtinId="8" hidden="1"/>
    <cellStyle name="Hyperlink" xfId="85" builtinId="8" hidden="1"/>
    <cellStyle name="Hyperlink" xfId="336" builtinId="8" hidden="1"/>
    <cellStyle name="Hyperlink" xfId="314" builtinId="8" hidden="1"/>
    <cellStyle name="Hyperlink" xfId="486" builtinId="8" hidden="1"/>
    <cellStyle name="Hyperlink" xfId="14" builtinId="8" hidden="1"/>
    <cellStyle name="Hyperlink" xfId="392" builtinId="8" hidden="1"/>
    <cellStyle name="Hyperlink" xfId="330" builtinId="8" hidden="1"/>
    <cellStyle name="Hyperlink" xfId="448" builtinId="8" hidden="1"/>
    <cellStyle name="Hyperlink" xfId="466" builtinId="8" hidden="1"/>
    <cellStyle name="Hyperlink" xfId="482" builtinId="8" hidden="1"/>
    <cellStyle name="Hyperlink" xfId="390" builtinId="8" hidden="1"/>
    <cellStyle name="Hyperlink" xfId="199" builtinId="8" hidden="1"/>
    <cellStyle name="Hyperlink" xfId="197" builtinId="8" hidden="1"/>
    <cellStyle name="Hyperlink" xfId="36" builtinId="8" hidden="1"/>
    <cellStyle name="Hyperlink" xfId="231" builtinId="8" hidden="1"/>
    <cellStyle name="Hyperlink" xfId="163" builtinId="8" hidden="1"/>
    <cellStyle name="Hyperlink" xfId="153" builtinId="8" hidden="1"/>
    <cellStyle name="Hyperlink" xfId="121" builtinId="8" hidden="1"/>
    <cellStyle name="Hyperlink" xfId="410" builtinId="8" hidden="1"/>
    <cellStyle name="Hyperlink" xfId="424" builtinId="8" hidden="1"/>
    <cellStyle name="Hyperlink" xfId="294" builtinId="8" hidden="1"/>
    <cellStyle name="Hyperlink" xfId="378" builtinId="8" hidden="1"/>
    <cellStyle name="Hyperlink" xfId="109" builtinId="8" hidden="1"/>
    <cellStyle name="Hyperlink" xfId="247" builtinId="8" hidden="1"/>
    <cellStyle name="Hyperlink" xfId="267" builtinId="8" hidden="1"/>
    <cellStyle name="Hyperlink" xfId="101" builtinId="8" hidden="1"/>
    <cellStyle name="Hyperlink" xfId="372" builtinId="8" hidden="1"/>
    <cellStyle name="Hyperlink" xfId="227" builtinId="8" hidden="1"/>
    <cellStyle name="Hyperlink" xfId="237" builtinId="8" hidden="1"/>
    <cellStyle name="Hyperlink" xfId="22" builtinId="8" hidden="1"/>
    <cellStyle name="Hyperlink" xfId="414" builtinId="8" hidden="1"/>
    <cellStyle name="Hyperlink" xfId="155" builtinId="8" hidden="1"/>
    <cellStyle name="Hyperlink" xfId="179" builtinId="8" hidden="1"/>
    <cellStyle name="Hyperlink" xfId="420" builtinId="8" hidden="1"/>
    <cellStyle name="Hyperlink" xfId="279" builtinId="8" hidden="1"/>
    <cellStyle name="Hyperlink" xfId="239" builtinId="8" hidden="1"/>
    <cellStyle name="Hyperlink" xfId="34" builtinId="8" hidden="1"/>
    <cellStyle name="Hyperlink" xfId="290" builtinId="8" hidden="1"/>
    <cellStyle name="Hyperlink" xfId="354" builtinId="8" hidden="1"/>
    <cellStyle name="Hyperlink" xfId="117" builtinId="8" hidden="1"/>
    <cellStyle name="Hyperlink" xfId="243" builtinId="8" hidden="1"/>
    <cellStyle name="Hyperlink" xfId="213" builtinId="8" hidden="1"/>
    <cellStyle name="Hyperlink" xfId="396" builtinId="8" hidden="1"/>
    <cellStyle name="Hyperlink" xfId="217" builtinId="8" hidden="1"/>
    <cellStyle name="Hyperlink" xfId="78" builtinId="8" hidden="1"/>
    <cellStyle name="Hyperlink" xfId="24" builtinId="8" hidden="1"/>
    <cellStyle name="Hyperlink" xfId="137" builtinId="8" hidden="1"/>
    <cellStyle name="Hyperlink" xfId="428" builtinId="8" hidden="1"/>
    <cellStyle name="Hyperlink" xfId="159" builtinId="8" hidden="1"/>
    <cellStyle name="Hyperlink" xfId="277" builtinId="8" hidden="1"/>
    <cellStyle name="Hyperlink" xfId="298" builtinId="8" hidden="1"/>
    <cellStyle name="Hyperlink" xfId="221" builtinId="8" hidden="1"/>
    <cellStyle name="Hyperlink" xfId="165" builtinId="8" hidden="1"/>
    <cellStyle name="Hyperlink" xfId="64" builtinId="8" hidden="1"/>
    <cellStyle name="Hyperlink" xfId="440" builtinId="8" hidden="1"/>
    <cellStyle name="Hyperlink" xfId="316" builtinId="8" hidden="1"/>
    <cellStyle name="Hyperlink" xfId="384" builtinId="8" hidden="1"/>
    <cellStyle name="Hyperlink" xfId="259" builtinId="8" hidden="1"/>
    <cellStyle name="Hyperlink" xfId="382" builtinId="8" hidden="1"/>
    <cellStyle name="Hyperlink" xfId="235" builtinId="8" hidden="1"/>
    <cellStyle name="Hyperlink" xfId="261" builtinId="8" hidden="1"/>
    <cellStyle name="Hyperlink" xfId="133" builtinId="8" hidden="1"/>
    <cellStyle name="Hyperlink" xfId="181" builtinId="8" hidden="1"/>
    <cellStyle name="Hyperlink" xfId="374" builtinId="8" hidden="1"/>
    <cellStyle name="Hyperlink" xfId="8" builtinId="8" hidden="1"/>
    <cellStyle name="Hyperlink" xfId="245" builtinId="8" hidden="1"/>
    <cellStyle name="Hyperlink" xfId="215" builtinId="8" hidden="1"/>
    <cellStyle name="Hyperlink" xfId="60" builtinId="8" hidden="1"/>
    <cellStyle name="Hyperlink" xfId="362" builtinId="8" hidden="1"/>
    <cellStyle name="Hyperlink" xfId="66" builtinId="8" hidden="1"/>
    <cellStyle name="Hyperlink" xfId="356" builtinId="8" hidden="1"/>
    <cellStyle name="Hyperlink" xfId="195" builtinId="8" hidden="1"/>
    <cellStyle name="Hyperlink" xfId="145" builtinId="8" hidden="1"/>
    <cellStyle name="Hyperlink" xfId="283" builtinId="8" hidden="1"/>
    <cellStyle name="Hyperlink" xfId="185" builtinId="8" hidden="1"/>
    <cellStyle name="Hyperlink" xfId="127" builtinId="8" hidden="1"/>
    <cellStyle name="Hyperlink" xfId="129" builtinId="8" hidden="1"/>
    <cellStyle name="Hyperlink" xfId="504" builtinId="8" hidden="1"/>
    <cellStyle name="Hyperlink" xfId="324" builtinId="8" hidden="1"/>
    <cellStyle name="Hyperlink" xfId="68" builtinId="8" hidden="1"/>
    <cellStyle name="Hyperlink" xfId="368" builtinId="8" hidden="1"/>
    <cellStyle name="Hyperlink" xfId="32" builtinId="8" hidden="1"/>
    <cellStyle name="Hyperlink" xfId="498" builtinId="8" hidden="1"/>
    <cellStyle name="Hyperlink" xfId="422" builtinId="8" hidden="1"/>
    <cellStyle name="Hyperlink" xfId="462" builtinId="8" hidden="1"/>
    <cellStyle name="Hyperlink" xfId="366" builtinId="8" hidden="1"/>
    <cellStyle name="Hyperlink" xfId="48" builtinId="8" hidden="1"/>
    <cellStyle name="Hyperlink" xfId="480" builtinId="8" hidden="1"/>
    <cellStyle name="Hyperlink" xfId="484" builtinId="8" hidden="1"/>
    <cellStyle name="Hyperlink" xfId="458" builtinId="8" hidden="1"/>
    <cellStyle name="Hyperlink" xfId="508" builtinId="8" hidden="1"/>
    <cellStyle name="Hyperlink" xfId="446" builtinId="8" hidden="1"/>
    <cellStyle name="Hyperlink" xfId="111" builtinId="8" hidden="1"/>
    <cellStyle name="Hyperlink" xfId="352" builtinId="8" hidden="1"/>
    <cellStyle name="Hyperlink" xfId="402" builtinId="8" hidden="1"/>
    <cellStyle name="Hyperlink" xfId="438" builtinId="8" hidden="1"/>
    <cellStyle name="Hyperlink" xfId="193" builtinId="8" hidden="1"/>
    <cellStyle name="Hyperlink" xfId="404" builtinId="8" hidden="1"/>
    <cellStyle name="Hyperlink" xfId="488" builtinId="8" hidden="1"/>
    <cellStyle name="Hyperlink" xfId="87" builtinId="8" hidden="1"/>
    <cellStyle name="Hyperlink" xfId="394" builtinId="8" hidden="1"/>
    <cellStyle name="Hyperlink" xfId="308" builtinId="8" hidden="1"/>
    <cellStyle name="Hyperlink" xfId="472" builtinId="8" hidden="1"/>
    <cellStyle name="Hyperlink" xfId="74" builtinId="8" hidden="1"/>
    <cellStyle name="Hyperlink" xfId="464"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Normal" xfId="0" builtinId="0"/>
    <cellStyle name="Normal 2" xfId="285"/>
    <cellStyle name="Normal 3" xfId="82"/>
    <cellStyle name="Normal 4" xfId="288"/>
    <cellStyle name="Percent" xfId="3" builtinId="5"/>
    <cellStyle name="Percent 2" xfId="514"/>
  </cellStyles>
  <dxfs count="0"/>
  <tableStyles count="0" defaultTableStyle="TableStyleMedium2" defaultPivotStyle="PivotStyleLight16"/>
  <colors>
    <mruColors>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GB" sz="1200" b="1" i="0" baseline="0">
                <a:effectLst/>
              </a:rPr>
              <a:t>Distribution of projected 2015 petroleum receipts</a:t>
            </a:r>
            <a:endParaRPr lang="en-GB" sz="1200" b="1">
              <a:effectLst/>
            </a:endParaRPr>
          </a:p>
        </c:rich>
      </c:tx>
      <c:overlay val="0"/>
      <c:spPr>
        <a:noFill/>
        <a:ln>
          <a:noFill/>
        </a:ln>
        <a:effectLst/>
      </c:spPr>
    </c:title>
    <c:autoTitleDeleted val="0"/>
    <c:plotArea>
      <c:layout/>
      <c:barChart>
        <c:barDir val="col"/>
        <c:grouping val="clustered"/>
        <c:varyColors val="0"/>
        <c:ser>
          <c:idx val="0"/>
          <c:order val="0"/>
          <c:tx>
            <c:v>Budget</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_x0004_GNPC</c:v>
              </c:pt>
              <c:pt idx="1">
                <c:v>_x001c_Annual Budget Funding Amount</c:v>
              </c:pt>
              <c:pt idx="2">
                <c:v>_x0013_Ghana Heritage Fund</c:v>
              </c:pt>
              <c:pt idx="3">
                <c:v>_x0018_Ghana Stabilization Fund</c:v>
              </c:pt>
              <c:pt idx="4">
                <c:v>_x001a_Contingency/Debt Repayment</c:v>
              </c:pt>
            </c:strLit>
          </c:cat>
          <c:val>
            <c:numLit>
              <c:formatCode>General</c:formatCode>
              <c:ptCount val="5"/>
              <c:pt idx="0">
                <c:v>205.20209270000001</c:v>
              </c:pt>
              <c:pt idx="1">
                <c:v>721.81861380999737</c:v>
              </c:pt>
              <c:pt idx="2">
                <c:v>92.805211</c:v>
              </c:pt>
              <c:pt idx="3">
                <c:v>216.54549399999999</c:v>
              </c:pt>
            </c:numLit>
          </c:val>
          <c:extLst xmlns:c16r2="http://schemas.microsoft.com/office/drawing/2015/06/chart">
            <c:ext xmlns:c16="http://schemas.microsoft.com/office/drawing/2014/chart" uri="{C3380CC4-5D6E-409C-BE32-E72D297353CC}">
              <c16:uniqueId val="{00000000-17DB-444A-9341-7C7CBB14B70B}"/>
            </c:ext>
          </c:extLst>
        </c:ser>
        <c:ser>
          <c:idx val="1"/>
          <c:order val="1"/>
          <c:tx>
            <c:v>Model, Brent @ User value</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_x0004_GNPC</c:v>
              </c:pt>
              <c:pt idx="1">
                <c:v>_x001c_Annual Budget Funding Amount</c:v>
              </c:pt>
              <c:pt idx="2">
                <c:v>_x0013_Ghana Heritage Fund</c:v>
              </c:pt>
              <c:pt idx="3">
                <c:v>_x0018_Ghana Stabilization Fund</c:v>
              </c:pt>
              <c:pt idx="4">
                <c:v>_x001a_Contingency/Debt Repayment</c:v>
              </c:pt>
            </c:strLit>
          </c:cat>
          <c:val>
            <c:numLit>
              <c:formatCode>General</c:formatCode>
              <c:ptCount val="5"/>
              <c:pt idx="0">
                <c:v>153.43974148922049</c:v>
              </c:pt>
              <c:pt idx="1">
                <c:v>721.81831286390002</c:v>
              </c:pt>
              <c:pt idx="2">
                <c:v>24.31980293055592</c:v>
              </c:pt>
              <c:pt idx="3">
                <c:v>56.746206837963811</c:v>
              </c:pt>
              <c:pt idx="4">
                <c:v>0</c:v>
              </c:pt>
            </c:numLit>
          </c:val>
          <c:extLst xmlns:c16r2="http://schemas.microsoft.com/office/drawing/2015/06/chart">
            <c:ext xmlns:c16="http://schemas.microsoft.com/office/drawing/2014/chart" uri="{C3380CC4-5D6E-409C-BE32-E72D297353CC}">
              <c16:uniqueId val="{00000001-17DB-444A-9341-7C7CBB14B70B}"/>
            </c:ext>
          </c:extLst>
        </c:ser>
        <c:dLbls>
          <c:dLblPos val="outEnd"/>
          <c:showLegendKey val="0"/>
          <c:showVal val="1"/>
          <c:showCatName val="0"/>
          <c:showSerName val="0"/>
          <c:showPercent val="0"/>
          <c:showBubbleSize val="0"/>
        </c:dLbls>
        <c:gapWidth val="219"/>
        <c:overlap val="-27"/>
        <c:axId val="45163008"/>
        <c:axId val="85182144"/>
      </c:barChart>
      <c:catAx>
        <c:axId val="4516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b" anchorCtr="0"/>
          <a:lstStyle/>
          <a:p>
            <a:pPr>
              <a:defRPr sz="900" b="0" i="0" u="none" strike="noStrike" kern="1200" baseline="0">
                <a:solidFill>
                  <a:schemeClr val="tx1">
                    <a:lumMod val="65000"/>
                    <a:lumOff val="35000"/>
                  </a:schemeClr>
                </a:solidFill>
                <a:latin typeface="+mn-lt"/>
                <a:ea typeface="+mn-ea"/>
                <a:cs typeface="+mn-cs"/>
              </a:defRPr>
            </a:pPr>
            <a:endParaRPr lang="en-US"/>
          </a:p>
        </c:txPr>
        <c:crossAx val="85182144"/>
        <c:crosses val="autoZero"/>
        <c:auto val="1"/>
        <c:lblAlgn val="ctr"/>
        <c:lblOffset val="100"/>
        <c:noMultiLvlLbl val="0"/>
      </c:catAx>
      <c:valAx>
        <c:axId val="85182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 million</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45163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Impact of production start date</a:t>
            </a:r>
          </a:p>
        </c:rich>
      </c:tx>
      <c:overlay val="0"/>
    </c:title>
    <c:autoTitleDeleted val="0"/>
    <c:plotArea>
      <c:layout/>
      <c:lineChart>
        <c:grouping val="standard"/>
        <c:varyColors val="0"/>
        <c:ser>
          <c:idx val="0"/>
          <c:order val="0"/>
          <c:tx>
            <c:strRef>
              <c:f>'Assumptions &amp; Results'!$A$264</c:f>
              <c:strCache>
                <c:ptCount val="1"/>
                <c:pt idx="0">
                  <c:v>Government Take (%)</c:v>
                </c:pt>
              </c:strCache>
            </c:strRef>
          </c:tx>
          <c:cat>
            <c:numRef>
              <c:f>'Assumptions &amp; Results'!$C$263:$G$263</c:f>
              <c:numCache>
                <c:formatCode>General</c:formatCode>
                <c:ptCount val="5"/>
                <c:pt idx="0">
                  <c:v>2018</c:v>
                </c:pt>
                <c:pt idx="1">
                  <c:v>2020</c:v>
                </c:pt>
                <c:pt idx="2">
                  <c:v>2022</c:v>
                </c:pt>
                <c:pt idx="3">
                  <c:v>2030</c:v>
                </c:pt>
                <c:pt idx="4">
                  <c:v>2040</c:v>
                </c:pt>
              </c:numCache>
            </c:numRef>
          </c:cat>
          <c:val>
            <c:numRef>
              <c:f>'Assumptions &amp; Results'!$C$264:$G$264</c:f>
              <c:numCache>
                <c:formatCode>0%</c:formatCode>
                <c:ptCount val="5"/>
                <c:pt idx="0">
                  <c:v>0.49984274501007137</c:v>
                </c:pt>
                <c:pt idx="1">
                  <c:v>0.49823700830482698</c:v>
                </c:pt>
                <c:pt idx="2">
                  <c:v>0.49746921319780185</c:v>
                </c:pt>
                <c:pt idx="3">
                  <c:v>0.49307533933270259</c:v>
                </c:pt>
                <c:pt idx="4">
                  <c:v>0.50080494954134169</c:v>
                </c:pt>
              </c:numCache>
            </c:numRef>
          </c:val>
          <c:smooth val="0"/>
          <c:extLst xmlns:c16r2="http://schemas.microsoft.com/office/drawing/2015/06/chart">
            <c:ext xmlns:c16="http://schemas.microsoft.com/office/drawing/2014/chart" uri="{C3380CC4-5D6E-409C-BE32-E72D297353CC}">
              <c16:uniqueId val="{00000000-06DF-45F0-96D2-69678BB87B58}"/>
            </c:ext>
          </c:extLst>
        </c:ser>
        <c:ser>
          <c:idx val="2"/>
          <c:order val="2"/>
          <c:tx>
            <c:strRef>
              <c:f>'Assumptions &amp; Results'!$A$266</c:f>
              <c:strCache>
                <c:ptCount val="1"/>
                <c:pt idx="0">
                  <c:v>Investor IRR</c:v>
                </c:pt>
              </c:strCache>
            </c:strRef>
          </c:tx>
          <c:cat>
            <c:numRef>
              <c:f>'Assumptions &amp; Results'!$C$263:$G$263</c:f>
              <c:numCache>
                <c:formatCode>General</c:formatCode>
                <c:ptCount val="5"/>
                <c:pt idx="0">
                  <c:v>2018</c:v>
                </c:pt>
                <c:pt idx="1">
                  <c:v>2020</c:v>
                </c:pt>
                <c:pt idx="2">
                  <c:v>2022</c:v>
                </c:pt>
                <c:pt idx="3">
                  <c:v>2030</c:v>
                </c:pt>
                <c:pt idx="4">
                  <c:v>2040</c:v>
                </c:pt>
              </c:numCache>
            </c:numRef>
          </c:cat>
          <c:val>
            <c:numRef>
              <c:f>'Assumptions &amp; Results'!$C$266:$G$266</c:f>
              <c:numCache>
                <c:formatCode>0%</c:formatCode>
                <c:ptCount val="5"/>
                <c:pt idx="0">
                  <c:v>0.21831123752709081</c:v>
                </c:pt>
                <c:pt idx="1">
                  <c:v>0.16716067025355508</c:v>
                </c:pt>
                <c:pt idx="2">
                  <c:v>0.13904835305040186</c:v>
                </c:pt>
                <c:pt idx="3">
                  <c:v>9.2322330062750479E-2</c:v>
                </c:pt>
                <c:pt idx="4">
                  <c:v>6.7566193233293603E-2</c:v>
                </c:pt>
              </c:numCache>
            </c:numRef>
          </c:val>
          <c:smooth val="0"/>
          <c:extLst xmlns:c16r2="http://schemas.microsoft.com/office/drawing/2015/06/chart">
            <c:ext xmlns:c16="http://schemas.microsoft.com/office/drawing/2014/chart" uri="{C3380CC4-5D6E-409C-BE32-E72D297353CC}">
              <c16:uniqueId val="{00000002-06DF-45F0-96D2-69678BB87B58}"/>
            </c:ext>
          </c:extLst>
        </c:ser>
        <c:dLbls>
          <c:showLegendKey val="0"/>
          <c:showVal val="0"/>
          <c:showCatName val="0"/>
          <c:showSerName val="0"/>
          <c:showPercent val="0"/>
          <c:showBubbleSize val="0"/>
        </c:dLbls>
        <c:marker val="1"/>
        <c:smooth val="0"/>
        <c:axId val="97430016"/>
        <c:axId val="95938240"/>
      </c:lineChart>
      <c:lineChart>
        <c:grouping val="standard"/>
        <c:varyColors val="0"/>
        <c:ser>
          <c:idx val="1"/>
          <c:order val="1"/>
          <c:tx>
            <c:strRef>
              <c:f>'Assumptions &amp; Results'!$A$265</c:f>
              <c:strCache>
                <c:ptCount val="1"/>
                <c:pt idx="0">
                  <c:v>Government Take NPV</c:v>
                </c:pt>
              </c:strCache>
            </c:strRef>
          </c:tx>
          <c:cat>
            <c:numRef>
              <c:f>'Assumptions &amp; Results'!$C$263:$G$263</c:f>
              <c:numCache>
                <c:formatCode>General</c:formatCode>
                <c:ptCount val="5"/>
                <c:pt idx="0">
                  <c:v>2018</c:v>
                </c:pt>
                <c:pt idx="1">
                  <c:v>2020</c:v>
                </c:pt>
                <c:pt idx="2">
                  <c:v>2022</c:v>
                </c:pt>
                <c:pt idx="3">
                  <c:v>2030</c:v>
                </c:pt>
                <c:pt idx="4">
                  <c:v>2040</c:v>
                </c:pt>
              </c:numCache>
            </c:numRef>
          </c:cat>
          <c:val>
            <c:numRef>
              <c:f>'Assumptions &amp; Results'!$C$265:$G$265</c:f>
              <c:numCache>
                <c:formatCode>0.0</c:formatCode>
                <c:ptCount val="5"/>
                <c:pt idx="0">
                  <c:v>21970.610793152984</c:v>
                </c:pt>
                <c:pt idx="1">
                  <c:v>19180.402822104032</c:v>
                </c:pt>
                <c:pt idx="2">
                  <c:v>17198.879613559966</c:v>
                </c:pt>
                <c:pt idx="3">
                  <c:v>11896.68914137391</c:v>
                </c:pt>
                <c:pt idx="4">
                  <c:v>8362.7749935742104</c:v>
                </c:pt>
              </c:numCache>
            </c:numRef>
          </c:val>
          <c:smooth val="0"/>
          <c:extLst xmlns:c16r2="http://schemas.microsoft.com/office/drawing/2015/06/chart">
            <c:ext xmlns:c16="http://schemas.microsoft.com/office/drawing/2014/chart" uri="{C3380CC4-5D6E-409C-BE32-E72D297353CC}">
              <c16:uniqueId val="{00000001-06DF-45F0-96D2-69678BB87B58}"/>
            </c:ext>
          </c:extLst>
        </c:ser>
        <c:ser>
          <c:idx val="3"/>
          <c:order val="3"/>
          <c:tx>
            <c:strRef>
              <c:f>'Assumptions &amp; Results'!$A$267</c:f>
              <c:strCache>
                <c:ptCount val="1"/>
                <c:pt idx="0">
                  <c:v>Investor NPV</c:v>
                </c:pt>
              </c:strCache>
            </c:strRef>
          </c:tx>
          <c:cat>
            <c:numRef>
              <c:f>'Assumptions &amp; Results'!$C$263:$G$263</c:f>
              <c:numCache>
                <c:formatCode>General</c:formatCode>
                <c:ptCount val="5"/>
                <c:pt idx="0">
                  <c:v>2018</c:v>
                </c:pt>
                <c:pt idx="1">
                  <c:v>2020</c:v>
                </c:pt>
                <c:pt idx="2">
                  <c:v>2022</c:v>
                </c:pt>
                <c:pt idx="3">
                  <c:v>2030</c:v>
                </c:pt>
                <c:pt idx="4">
                  <c:v>2040</c:v>
                </c:pt>
              </c:numCache>
            </c:numRef>
          </c:cat>
          <c:val>
            <c:numRef>
              <c:f>'Assumptions &amp; Results'!$C$267:$G$267</c:f>
              <c:numCache>
                <c:formatCode>0.0</c:formatCode>
                <c:ptCount val="5"/>
                <c:pt idx="0">
                  <c:v>19663.892902090836</c:v>
                </c:pt>
                <c:pt idx="1">
                  <c:v>15415.730299212008</c:v>
                </c:pt>
                <c:pt idx="2">
                  <c:v>11520.059718038719</c:v>
                </c:pt>
                <c:pt idx="3">
                  <c:v>1595.6355471787913</c:v>
                </c:pt>
                <c:pt idx="4">
                  <c:v>-4063.1614048169267</c:v>
                </c:pt>
              </c:numCache>
            </c:numRef>
          </c:val>
          <c:smooth val="0"/>
          <c:extLst xmlns:c16r2="http://schemas.microsoft.com/office/drawing/2015/06/chart">
            <c:ext xmlns:c16="http://schemas.microsoft.com/office/drawing/2014/chart" uri="{C3380CC4-5D6E-409C-BE32-E72D297353CC}">
              <c16:uniqueId val="{00000000-22FD-476D-AB5E-8409F127A27E}"/>
            </c:ext>
          </c:extLst>
        </c:ser>
        <c:dLbls>
          <c:showLegendKey val="0"/>
          <c:showVal val="0"/>
          <c:showCatName val="0"/>
          <c:showSerName val="0"/>
          <c:showPercent val="0"/>
          <c:showBubbleSize val="0"/>
        </c:dLbls>
        <c:marker val="1"/>
        <c:smooth val="0"/>
        <c:axId val="97431040"/>
        <c:axId val="95938816"/>
      </c:lineChart>
      <c:catAx>
        <c:axId val="97430016"/>
        <c:scaling>
          <c:orientation val="minMax"/>
        </c:scaling>
        <c:delete val="0"/>
        <c:axPos val="b"/>
        <c:title>
          <c:tx>
            <c:rich>
              <a:bodyPr/>
              <a:lstStyle/>
              <a:p>
                <a:pPr>
                  <a:defRPr/>
                </a:pPr>
                <a:r>
                  <a:rPr lang="en-US"/>
                  <a:t>Delay in production start</a:t>
                </a:r>
              </a:p>
            </c:rich>
          </c:tx>
          <c:overlay val="0"/>
        </c:title>
        <c:numFmt formatCode="General" sourceLinked="1"/>
        <c:majorTickMark val="out"/>
        <c:minorTickMark val="none"/>
        <c:tickLblPos val="nextTo"/>
        <c:txPr>
          <a:bodyPr/>
          <a:lstStyle/>
          <a:p>
            <a:pPr>
              <a:defRPr b="1"/>
            </a:pPr>
            <a:endParaRPr lang="en-US"/>
          </a:p>
        </c:txPr>
        <c:crossAx val="95938240"/>
        <c:crosses val="autoZero"/>
        <c:auto val="1"/>
        <c:lblAlgn val="ctr"/>
        <c:lblOffset val="100"/>
        <c:noMultiLvlLbl val="0"/>
      </c:catAx>
      <c:valAx>
        <c:axId val="95938240"/>
        <c:scaling>
          <c:orientation val="minMax"/>
          <c:max val="0.7"/>
          <c:min val="0"/>
        </c:scaling>
        <c:delete val="0"/>
        <c:axPos val="l"/>
        <c:majorGridlines/>
        <c:title>
          <c:tx>
            <c:rich>
              <a:bodyPr rot="-5400000" vert="horz"/>
              <a:lstStyle/>
              <a:p>
                <a:pPr>
                  <a:defRPr/>
                </a:pPr>
                <a:r>
                  <a:rPr lang="en-US"/>
                  <a:t>IRR/</a:t>
                </a:r>
                <a:r>
                  <a:rPr lang="en-US" baseline="0"/>
                  <a:t> Govt Take</a:t>
                </a:r>
                <a:endParaRPr lang="en-US"/>
              </a:p>
            </c:rich>
          </c:tx>
          <c:overlay val="0"/>
        </c:title>
        <c:numFmt formatCode="0%" sourceLinked="1"/>
        <c:majorTickMark val="out"/>
        <c:minorTickMark val="none"/>
        <c:tickLblPos val="nextTo"/>
        <c:txPr>
          <a:bodyPr/>
          <a:lstStyle/>
          <a:p>
            <a:pPr>
              <a:defRPr b="1"/>
            </a:pPr>
            <a:endParaRPr lang="en-US"/>
          </a:p>
        </c:txPr>
        <c:crossAx val="97430016"/>
        <c:crosses val="autoZero"/>
        <c:crossBetween val="between"/>
        <c:majorUnit val="0.1"/>
      </c:valAx>
      <c:valAx>
        <c:axId val="95938816"/>
        <c:scaling>
          <c:orientation val="minMax"/>
        </c:scaling>
        <c:delete val="0"/>
        <c:axPos val="r"/>
        <c:title>
          <c:tx>
            <c:rich>
              <a:bodyPr rot="-5400000" vert="horz"/>
              <a:lstStyle/>
              <a:p>
                <a:pPr>
                  <a:defRPr/>
                </a:pPr>
                <a:r>
                  <a:rPr lang="en-US" sz="1000" b="1" i="0" baseline="0">
                    <a:effectLst/>
                  </a:rPr>
                  <a:t>NPV (US$)</a:t>
                </a:r>
                <a:endParaRPr lang="en-US" sz="1000">
                  <a:effectLst/>
                </a:endParaRPr>
              </a:p>
            </c:rich>
          </c:tx>
          <c:overlay val="0"/>
        </c:title>
        <c:numFmt formatCode="0.0" sourceLinked="1"/>
        <c:majorTickMark val="out"/>
        <c:minorTickMark val="none"/>
        <c:tickLblPos val="nextTo"/>
        <c:txPr>
          <a:bodyPr/>
          <a:lstStyle/>
          <a:p>
            <a:pPr>
              <a:defRPr b="1"/>
            </a:pPr>
            <a:endParaRPr lang="en-US"/>
          </a:p>
        </c:txPr>
        <c:crossAx val="97431040"/>
        <c:crosses val="max"/>
        <c:crossBetween val="between"/>
      </c:valAx>
      <c:catAx>
        <c:axId val="97431040"/>
        <c:scaling>
          <c:orientation val="minMax"/>
        </c:scaling>
        <c:delete val="1"/>
        <c:axPos val="b"/>
        <c:numFmt formatCode="General" sourceLinked="1"/>
        <c:majorTickMark val="out"/>
        <c:minorTickMark val="none"/>
        <c:tickLblPos val="nextTo"/>
        <c:crossAx val="95938816"/>
        <c:crosses val="autoZero"/>
        <c:auto val="1"/>
        <c:lblAlgn val="ctr"/>
        <c:lblOffset val="100"/>
        <c:noMultiLvlLbl val="0"/>
      </c:catAx>
    </c:plotArea>
    <c:legend>
      <c:legendPos val="r"/>
      <c:overlay val="0"/>
      <c:txPr>
        <a:bodyPr/>
        <a:lstStyle/>
        <a:p>
          <a:pPr>
            <a:defRPr b="1"/>
          </a:pPr>
          <a:endParaRPr lang="en-US"/>
        </a:p>
      </c:txPr>
    </c:legend>
    <c:plotVisOnly val="1"/>
    <c:dispBlanksAs val="gap"/>
    <c:showDLblsOverMax val="0"/>
  </c:chart>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Impact of Transfer Pricing</a:t>
            </a:r>
          </a:p>
        </c:rich>
      </c:tx>
      <c:overlay val="0"/>
    </c:title>
    <c:autoTitleDeleted val="0"/>
    <c:plotArea>
      <c:layout/>
      <c:lineChart>
        <c:grouping val="standard"/>
        <c:varyColors val="0"/>
        <c:ser>
          <c:idx val="0"/>
          <c:order val="0"/>
          <c:tx>
            <c:strRef>
              <c:f>'Assumptions &amp; Results'!$A$271</c:f>
              <c:strCache>
                <c:ptCount val="1"/>
                <c:pt idx="0">
                  <c:v>Government Take (%)</c:v>
                </c:pt>
              </c:strCache>
            </c:strRef>
          </c:tx>
          <c:cat>
            <c:numRef>
              <c:f>'Assumptions &amp; Results'!$C$270:$G$270</c:f>
              <c:numCache>
                <c:formatCode>0%</c:formatCode>
                <c:ptCount val="5"/>
                <c:pt idx="0">
                  <c:v>0.6</c:v>
                </c:pt>
                <c:pt idx="1">
                  <c:v>0.8</c:v>
                </c:pt>
                <c:pt idx="2">
                  <c:v>1</c:v>
                </c:pt>
                <c:pt idx="3">
                  <c:v>1.2</c:v>
                </c:pt>
                <c:pt idx="4">
                  <c:v>1.5</c:v>
                </c:pt>
              </c:numCache>
            </c:numRef>
          </c:cat>
          <c:val>
            <c:numRef>
              <c:f>'Assumptions &amp; Results'!$C$271:$G$271</c:f>
              <c:numCache>
                <c:formatCode>0%</c:formatCode>
                <c:ptCount val="5"/>
                <c:pt idx="0">
                  <c:v>0.49786256775010956</c:v>
                </c:pt>
                <c:pt idx="1">
                  <c:v>0.49786256775010956</c:v>
                </c:pt>
                <c:pt idx="2">
                  <c:v>0.49786256775010956</c:v>
                </c:pt>
                <c:pt idx="3">
                  <c:v>0.49786256775010956</c:v>
                </c:pt>
                <c:pt idx="4">
                  <c:v>0.49786256775010956</c:v>
                </c:pt>
              </c:numCache>
            </c:numRef>
          </c:val>
          <c:smooth val="0"/>
          <c:extLst xmlns:c16r2="http://schemas.microsoft.com/office/drawing/2015/06/chart">
            <c:ext xmlns:c16="http://schemas.microsoft.com/office/drawing/2014/chart" uri="{C3380CC4-5D6E-409C-BE32-E72D297353CC}">
              <c16:uniqueId val="{00000000-CB24-4D4D-9341-29BF798AEEBE}"/>
            </c:ext>
          </c:extLst>
        </c:ser>
        <c:ser>
          <c:idx val="2"/>
          <c:order val="2"/>
          <c:tx>
            <c:strRef>
              <c:f>'Assumptions &amp; Results'!$A$273</c:f>
              <c:strCache>
                <c:ptCount val="1"/>
                <c:pt idx="0">
                  <c:v>Investor IRR</c:v>
                </c:pt>
              </c:strCache>
            </c:strRef>
          </c:tx>
          <c:cat>
            <c:numRef>
              <c:f>'Assumptions &amp; Results'!$C$270:$G$270</c:f>
              <c:numCache>
                <c:formatCode>0%</c:formatCode>
                <c:ptCount val="5"/>
                <c:pt idx="0">
                  <c:v>0.6</c:v>
                </c:pt>
                <c:pt idx="1">
                  <c:v>0.8</c:v>
                </c:pt>
                <c:pt idx="2">
                  <c:v>1</c:v>
                </c:pt>
                <c:pt idx="3">
                  <c:v>1.2</c:v>
                </c:pt>
                <c:pt idx="4">
                  <c:v>1.5</c:v>
                </c:pt>
              </c:numCache>
            </c:numRef>
          </c:cat>
          <c:val>
            <c:numRef>
              <c:f>'Assumptions &amp; Results'!$C$273:$G$273</c:f>
              <c:numCache>
                <c:formatCode>0%</c:formatCode>
                <c:ptCount val="5"/>
                <c:pt idx="0">
                  <c:v>0.1512861269408301</c:v>
                </c:pt>
                <c:pt idx="1">
                  <c:v>0.1512861269408301</c:v>
                </c:pt>
                <c:pt idx="2">
                  <c:v>0.1512861269408301</c:v>
                </c:pt>
                <c:pt idx="3">
                  <c:v>0.1512861269408301</c:v>
                </c:pt>
                <c:pt idx="4">
                  <c:v>0.1512861269408301</c:v>
                </c:pt>
              </c:numCache>
            </c:numRef>
          </c:val>
          <c:smooth val="0"/>
          <c:extLst xmlns:c16r2="http://schemas.microsoft.com/office/drawing/2015/06/chart">
            <c:ext xmlns:c16="http://schemas.microsoft.com/office/drawing/2014/chart" uri="{C3380CC4-5D6E-409C-BE32-E72D297353CC}">
              <c16:uniqueId val="{00000000-0640-468A-B8CA-0FBC1E9E9834}"/>
            </c:ext>
          </c:extLst>
        </c:ser>
        <c:dLbls>
          <c:showLegendKey val="0"/>
          <c:showVal val="0"/>
          <c:showCatName val="0"/>
          <c:showSerName val="0"/>
          <c:showPercent val="0"/>
          <c:showBubbleSize val="0"/>
        </c:dLbls>
        <c:marker val="1"/>
        <c:smooth val="0"/>
        <c:axId val="98172928"/>
        <c:axId val="95941120"/>
      </c:lineChart>
      <c:lineChart>
        <c:grouping val="standard"/>
        <c:varyColors val="0"/>
        <c:ser>
          <c:idx val="1"/>
          <c:order val="1"/>
          <c:tx>
            <c:strRef>
              <c:f>'Assumptions &amp; Results'!$A$272</c:f>
              <c:strCache>
                <c:ptCount val="1"/>
                <c:pt idx="0">
                  <c:v>Government Take NPV</c:v>
                </c:pt>
              </c:strCache>
            </c:strRef>
          </c:tx>
          <c:cat>
            <c:numRef>
              <c:f>'Assumptions &amp; Results'!$C$270:$G$270</c:f>
              <c:numCache>
                <c:formatCode>0%</c:formatCode>
                <c:ptCount val="5"/>
                <c:pt idx="0">
                  <c:v>0.6</c:v>
                </c:pt>
                <c:pt idx="1">
                  <c:v>0.8</c:v>
                </c:pt>
                <c:pt idx="2">
                  <c:v>1</c:v>
                </c:pt>
                <c:pt idx="3">
                  <c:v>1.2</c:v>
                </c:pt>
                <c:pt idx="4">
                  <c:v>1.5</c:v>
                </c:pt>
              </c:numCache>
            </c:numRef>
          </c:cat>
          <c:val>
            <c:numRef>
              <c:f>'Assumptions &amp; Results'!$C$272:$G$272</c:f>
              <c:numCache>
                <c:formatCode>0</c:formatCode>
                <c:ptCount val="5"/>
                <c:pt idx="0">
                  <c:v>18132.426270082073</c:v>
                </c:pt>
                <c:pt idx="1">
                  <c:v>18132.426270082073</c:v>
                </c:pt>
                <c:pt idx="2">
                  <c:v>18132.426270082073</c:v>
                </c:pt>
                <c:pt idx="3">
                  <c:v>18132.426270082073</c:v>
                </c:pt>
                <c:pt idx="4">
                  <c:v>18132.426270082073</c:v>
                </c:pt>
              </c:numCache>
            </c:numRef>
          </c:val>
          <c:smooth val="0"/>
          <c:extLst xmlns:c16r2="http://schemas.microsoft.com/office/drawing/2015/06/chart">
            <c:ext xmlns:c16="http://schemas.microsoft.com/office/drawing/2014/chart" uri="{C3380CC4-5D6E-409C-BE32-E72D297353CC}">
              <c16:uniqueId val="{00000001-0640-468A-B8CA-0FBC1E9E9834}"/>
            </c:ext>
          </c:extLst>
        </c:ser>
        <c:ser>
          <c:idx val="3"/>
          <c:order val="3"/>
          <c:tx>
            <c:strRef>
              <c:f>'Assumptions &amp; Results'!$A$274</c:f>
              <c:strCache>
                <c:ptCount val="1"/>
                <c:pt idx="0">
                  <c:v>Investor NPV</c:v>
                </c:pt>
              </c:strCache>
            </c:strRef>
          </c:tx>
          <c:cat>
            <c:numRef>
              <c:f>'Assumptions &amp; Results'!$C$270:$G$270</c:f>
              <c:numCache>
                <c:formatCode>0%</c:formatCode>
                <c:ptCount val="5"/>
                <c:pt idx="0">
                  <c:v>0.6</c:v>
                </c:pt>
                <c:pt idx="1">
                  <c:v>0.8</c:v>
                </c:pt>
                <c:pt idx="2">
                  <c:v>1</c:v>
                </c:pt>
                <c:pt idx="3">
                  <c:v>1.2</c:v>
                </c:pt>
                <c:pt idx="4">
                  <c:v>1.5</c:v>
                </c:pt>
              </c:numCache>
            </c:numRef>
          </c:cat>
          <c:val>
            <c:numRef>
              <c:f>'Assumptions &amp; Results'!$C$274:$G$274</c:f>
              <c:numCache>
                <c:formatCode>0</c:formatCode>
                <c:ptCount val="5"/>
                <c:pt idx="0">
                  <c:v>13393.457259752795</c:v>
                </c:pt>
                <c:pt idx="1">
                  <c:v>13393.457259752795</c:v>
                </c:pt>
                <c:pt idx="2">
                  <c:v>13393.457259752795</c:v>
                </c:pt>
                <c:pt idx="3">
                  <c:v>13393.457259752795</c:v>
                </c:pt>
                <c:pt idx="4">
                  <c:v>13393.457259752795</c:v>
                </c:pt>
              </c:numCache>
            </c:numRef>
          </c:val>
          <c:smooth val="0"/>
          <c:extLst xmlns:c16r2="http://schemas.microsoft.com/office/drawing/2015/06/chart">
            <c:ext xmlns:c16="http://schemas.microsoft.com/office/drawing/2014/chart" uri="{C3380CC4-5D6E-409C-BE32-E72D297353CC}">
              <c16:uniqueId val="{00000002-0640-468A-B8CA-0FBC1E9E9834}"/>
            </c:ext>
          </c:extLst>
        </c:ser>
        <c:dLbls>
          <c:showLegendKey val="0"/>
          <c:showVal val="0"/>
          <c:showCatName val="0"/>
          <c:showSerName val="0"/>
          <c:showPercent val="0"/>
          <c:showBubbleSize val="0"/>
        </c:dLbls>
        <c:marker val="1"/>
        <c:smooth val="0"/>
        <c:axId val="98173952"/>
        <c:axId val="95941696"/>
      </c:lineChart>
      <c:catAx>
        <c:axId val="98172928"/>
        <c:scaling>
          <c:orientation val="minMax"/>
        </c:scaling>
        <c:delete val="0"/>
        <c:axPos val="b"/>
        <c:title>
          <c:tx>
            <c:rich>
              <a:bodyPr/>
              <a:lstStyle/>
              <a:p>
                <a:pPr>
                  <a:defRPr/>
                </a:pPr>
                <a:r>
                  <a:rPr lang="en-US"/>
                  <a:t>% of FOB price</a:t>
                </a:r>
              </a:p>
            </c:rich>
          </c:tx>
          <c:overlay val="0"/>
        </c:title>
        <c:numFmt formatCode="0%" sourceLinked="1"/>
        <c:majorTickMark val="out"/>
        <c:minorTickMark val="none"/>
        <c:tickLblPos val="nextTo"/>
        <c:txPr>
          <a:bodyPr/>
          <a:lstStyle/>
          <a:p>
            <a:pPr>
              <a:defRPr b="1"/>
            </a:pPr>
            <a:endParaRPr lang="en-US"/>
          </a:p>
        </c:txPr>
        <c:crossAx val="95941120"/>
        <c:crosses val="autoZero"/>
        <c:auto val="1"/>
        <c:lblAlgn val="ctr"/>
        <c:lblOffset val="100"/>
        <c:noMultiLvlLbl val="0"/>
      </c:catAx>
      <c:valAx>
        <c:axId val="95941120"/>
        <c:scaling>
          <c:orientation val="minMax"/>
          <c:max val="0.7"/>
          <c:min val="0"/>
        </c:scaling>
        <c:delete val="0"/>
        <c:axPos val="l"/>
        <c:majorGridlines/>
        <c:title>
          <c:tx>
            <c:rich>
              <a:bodyPr rot="-5400000" vert="horz"/>
              <a:lstStyle/>
              <a:p>
                <a:pPr>
                  <a:defRPr/>
                </a:pPr>
                <a:r>
                  <a:rPr lang="en-US"/>
                  <a:t>IRR/</a:t>
                </a:r>
                <a:r>
                  <a:rPr lang="en-US" baseline="0"/>
                  <a:t> Govt Take</a:t>
                </a:r>
                <a:endParaRPr lang="en-US"/>
              </a:p>
            </c:rich>
          </c:tx>
          <c:overlay val="0"/>
        </c:title>
        <c:numFmt formatCode="0%" sourceLinked="1"/>
        <c:majorTickMark val="out"/>
        <c:minorTickMark val="none"/>
        <c:tickLblPos val="nextTo"/>
        <c:txPr>
          <a:bodyPr/>
          <a:lstStyle/>
          <a:p>
            <a:pPr>
              <a:defRPr b="1"/>
            </a:pPr>
            <a:endParaRPr lang="en-US"/>
          </a:p>
        </c:txPr>
        <c:crossAx val="98172928"/>
        <c:crosses val="autoZero"/>
        <c:crossBetween val="between"/>
        <c:majorUnit val="0.1"/>
      </c:valAx>
      <c:valAx>
        <c:axId val="95941696"/>
        <c:scaling>
          <c:orientation val="minMax"/>
        </c:scaling>
        <c:delete val="0"/>
        <c:axPos val="r"/>
        <c:title>
          <c:tx>
            <c:rich>
              <a:bodyPr rot="-5400000" vert="horz"/>
              <a:lstStyle/>
              <a:p>
                <a:pPr>
                  <a:defRPr/>
                </a:pPr>
                <a:r>
                  <a:rPr lang="en-US"/>
                  <a:t>NPV</a:t>
                </a:r>
                <a:r>
                  <a:rPr lang="en-US" baseline="0"/>
                  <a:t> (US$)</a:t>
                </a:r>
              </a:p>
            </c:rich>
          </c:tx>
          <c:overlay val="0"/>
        </c:title>
        <c:numFmt formatCode="0" sourceLinked="1"/>
        <c:majorTickMark val="out"/>
        <c:minorTickMark val="none"/>
        <c:tickLblPos val="nextTo"/>
        <c:crossAx val="98173952"/>
        <c:crosses val="max"/>
        <c:crossBetween val="between"/>
      </c:valAx>
      <c:catAx>
        <c:axId val="98173952"/>
        <c:scaling>
          <c:orientation val="minMax"/>
        </c:scaling>
        <c:delete val="1"/>
        <c:axPos val="b"/>
        <c:numFmt formatCode="0%" sourceLinked="1"/>
        <c:majorTickMark val="out"/>
        <c:minorTickMark val="none"/>
        <c:tickLblPos val="nextTo"/>
        <c:crossAx val="95941696"/>
        <c:crosses val="autoZero"/>
        <c:auto val="1"/>
        <c:lblAlgn val="ctr"/>
        <c:lblOffset val="100"/>
        <c:noMultiLvlLbl val="0"/>
      </c:catAx>
    </c:plotArea>
    <c:legend>
      <c:legendPos val="r"/>
      <c:overlay val="0"/>
      <c:txPr>
        <a:bodyPr/>
        <a:lstStyle/>
        <a:p>
          <a:pPr>
            <a:defRPr b="1"/>
          </a:pPr>
          <a:endParaRPr lang="en-US"/>
        </a:p>
      </c:txPr>
    </c:legend>
    <c:plotVisOnly val="1"/>
    <c:dispBlanksAs val="gap"/>
    <c:showDLblsOverMax val="0"/>
  </c:chart>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Impact of Carried</a:t>
            </a:r>
            <a:r>
              <a:rPr lang="en-US" baseline="0"/>
              <a:t> Interest Rate</a:t>
            </a:r>
            <a:endParaRPr lang="en-US"/>
          </a:p>
        </c:rich>
      </c:tx>
      <c:overlay val="0"/>
    </c:title>
    <c:autoTitleDeleted val="0"/>
    <c:plotArea>
      <c:layout/>
      <c:lineChart>
        <c:grouping val="standard"/>
        <c:varyColors val="0"/>
        <c:ser>
          <c:idx val="0"/>
          <c:order val="0"/>
          <c:tx>
            <c:strRef>
              <c:f>'Assumptions &amp; Results'!$A$285</c:f>
              <c:strCache>
                <c:ptCount val="1"/>
                <c:pt idx="0">
                  <c:v>IOC IRR</c:v>
                </c:pt>
              </c:strCache>
            </c:strRef>
          </c:tx>
          <c:cat>
            <c:numRef>
              <c:f>'Assumptions &amp; Results'!$C$284:$G$284</c:f>
              <c:numCache>
                <c:formatCode>0%</c:formatCode>
                <c:ptCount val="5"/>
                <c:pt idx="0">
                  <c:v>0.6</c:v>
                </c:pt>
                <c:pt idx="1">
                  <c:v>0.8</c:v>
                </c:pt>
                <c:pt idx="2">
                  <c:v>1</c:v>
                </c:pt>
                <c:pt idx="3">
                  <c:v>1.2</c:v>
                </c:pt>
                <c:pt idx="4">
                  <c:v>1.5</c:v>
                </c:pt>
              </c:numCache>
            </c:numRef>
          </c:cat>
          <c:val>
            <c:numRef>
              <c:f>'Assumptions &amp; Results'!$C$285:$G$285</c:f>
              <c:numCache>
                <c:formatCode>0.0%</c:formatCode>
                <c:ptCount val="5"/>
                <c:pt idx="0">
                  <c:v>0.14971341427833162</c:v>
                </c:pt>
                <c:pt idx="1">
                  <c:v>0.14990345516380144</c:v>
                </c:pt>
                <c:pt idx="2">
                  <c:v>0.15010771563561898</c:v>
                </c:pt>
                <c:pt idx="3">
                  <c:v>0.15032472940147135</c:v>
                </c:pt>
                <c:pt idx="4">
                  <c:v>0.15069918903086621</c:v>
                </c:pt>
              </c:numCache>
            </c:numRef>
          </c:val>
          <c:smooth val="0"/>
          <c:extLst xmlns:c16r2="http://schemas.microsoft.com/office/drawing/2015/06/chart">
            <c:ext xmlns:c16="http://schemas.microsoft.com/office/drawing/2014/chart" uri="{C3380CC4-5D6E-409C-BE32-E72D297353CC}">
              <c16:uniqueId val="{00000000-CB24-4D4D-9341-29BF798AEEBE}"/>
            </c:ext>
          </c:extLst>
        </c:ser>
        <c:dLbls>
          <c:showLegendKey val="0"/>
          <c:showVal val="0"/>
          <c:showCatName val="0"/>
          <c:showSerName val="0"/>
          <c:showPercent val="0"/>
          <c:showBubbleSize val="0"/>
        </c:dLbls>
        <c:marker val="1"/>
        <c:smooth val="0"/>
        <c:axId val="98174976"/>
        <c:axId val="95944000"/>
      </c:lineChart>
      <c:lineChart>
        <c:grouping val="standard"/>
        <c:varyColors val="0"/>
        <c:ser>
          <c:idx val="1"/>
          <c:order val="1"/>
          <c:tx>
            <c:strRef>
              <c:f>'Assumptions &amp; Results'!$A$286</c:f>
              <c:strCache>
                <c:ptCount val="1"/>
                <c:pt idx="0">
                  <c:v>NOC IRR</c:v>
                </c:pt>
              </c:strCache>
            </c:strRef>
          </c:tx>
          <c:cat>
            <c:numRef>
              <c:f>'Assumptions &amp; Results'!$C$270:$G$270</c:f>
              <c:numCache>
                <c:formatCode>0%</c:formatCode>
                <c:ptCount val="5"/>
                <c:pt idx="0">
                  <c:v>0.6</c:v>
                </c:pt>
                <c:pt idx="1">
                  <c:v>0.8</c:v>
                </c:pt>
                <c:pt idx="2">
                  <c:v>1</c:v>
                </c:pt>
                <c:pt idx="3">
                  <c:v>1.2</c:v>
                </c:pt>
                <c:pt idx="4">
                  <c:v>1.5</c:v>
                </c:pt>
              </c:numCache>
            </c:numRef>
          </c:cat>
          <c:val>
            <c:numRef>
              <c:f>'Assumptions &amp; Results'!$C$286:$G$286</c:f>
              <c:numCache>
                <c:formatCode>0.0%</c:formatCode>
                <c:ptCount val="5"/>
                <c:pt idx="0">
                  <c:v>0.16907477436678153</c:v>
                </c:pt>
                <c:pt idx="1">
                  <c:v>0.16691225083385475</c:v>
                </c:pt>
                <c:pt idx="2">
                  <c:v>0.16459849152314598</c:v>
                </c:pt>
                <c:pt idx="3">
                  <c:v>0.16215924328246833</c:v>
                </c:pt>
                <c:pt idx="4">
                  <c:v>0.15793539131142253</c:v>
                </c:pt>
              </c:numCache>
            </c:numRef>
          </c:val>
          <c:smooth val="0"/>
          <c:extLst xmlns:c16r2="http://schemas.microsoft.com/office/drawing/2015/06/chart">
            <c:ext xmlns:c16="http://schemas.microsoft.com/office/drawing/2014/chart" uri="{C3380CC4-5D6E-409C-BE32-E72D297353CC}">
              <c16:uniqueId val="{00000001-0640-468A-B8CA-0FBC1E9E9834}"/>
            </c:ext>
          </c:extLst>
        </c:ser>
        <c:dLbls>
          <c:showLegendKey val="0"/>
          <c:showVal val="0"/>
          <c:showCatName val="0"/>
          <c:showSerName val="0"/>
          <c:showPercent val="0"/>
          <c:showBubbleSize val="0"/>
        </c:dLbls>
        <c:marker val="1"/>
        <c:smooth val="0"/>
        <c:axId val="98176000"/>
        <c:axId val="98713600"/>
      </c:lineChart>
      <c:catAx>
        <c:axId val="98174976"/>
        <c:scaling>
          <c:orientation val="minMax"/>
        </c:scaling>
        <c:delete val="0"/>
        <c:axPos val="b"/>
        <c:title>
          <c:tx>
            <c:rich>
              <a:bodyPr/>
              <a:lstStyle/>
              <a:p>
                <a:pPr>
                  <a:defRPr/>
                </a:pPr>
                <a:r>
                  <a:rPr lang="en-US"/>
                  <a:t>Interest Rate</a:t>
                </a:r>
              </a:p>
            </c:rich>
          </c:tx>
          <c:overlay val="0"/>
        </c:title>
        <c:numFmt formatCode="0%" sourceLinked="1"/>
        <c:majorTickMark val="out"/>
        <c:minorTickMark val="none"/>
        <c:tickLblPos val="nextTo"/>
        <c:txPr>
          <a:bodyPr/>
          <a:lstStyle/>
          <a:p>
            <a:pPr>
              <a:defRPr b="1"/>
            </a:pPr>
            <a:endParaRPr lang="en-US"/>
          </a:p>
        </c:txPr>
        <c:crossAx val="95944000"/>
        <c:crosses val="autoZero"/>
        <c:auto val="1"/>
        <c:lblAlgn val="ctr"/>
        <c:lblOffset val="100"/>
        <c:noMultiLvlLbl val="0"/>
      </c:catAx>
      <c:valAx>
        <c:axId val="95944000"/>
        <c:scaling>
          <c:orientation val="minMax"/>
        </c:scaling>
        <c:delete val="0"/>
        <c:axPos val="l"/>
        <c:majorGridlines/>
        <c:title>
          <c:tx>
            <c:rich>
              <a:bodyPr rot="-5400000" vert="horz"/>
              <a:lstStyle/>
              <a:p>
                <a:pPr>
                  <a:defRPr/>
                </a:pPr>
                <a:r>
                  <a:rPr lang="en-US"/>
                  <a:t>IRR</a:t>
                </a:r>
              </a:p>
            </c:rich>
          </c:tx>
          <c:overlay val="0"/>
        </c:title>
        <c:numFmt formatCode="0.0%" sourceLinked="1"/>
        <c:majorTickMark val="out"/>
        <c:minorTickMark val="none"/>
        <c:tickLblPos val="nextTo"/>
        <c:txPr>
          <a:bodyPr/>
          <a:lstStyle/>
          <a:p>
            <a:pPr>
              <a:defRPr b="1"/>
            </a:pPr>
            <a:endParaRPr lang="en-US"/>
          </a:p>
        </c:txPr>
        <c:crossAx val="98174976"/>
        <c:crosses val="autoZero"/>
        <c:crossBetween val="between"/>
      </c:valAx>
      <c:valAx>
        <c:axId val="98713600"/>
        <c:scaling>
          <c:orientation val="minMax"/>
        </c:scaling>
        <c:delete val="1"/>
        <c:axPos val="r"/>
        <c:numFmt formatCode="0.0%" sourceLinked="1"/>
        <c:majorTickMark val="out"/>
        <c:minorTickMark val="none"/>
        <c:tickLblPos val="nextTo"/>
        <c:crossAx val="98176000"/>
        <c:crosses val="max"/>
        <c:crossBetween val="between"/>
      </c:valAx>
      <c:catAx>
        <c:axId val="98176000"/>
        <c:scaling>
          <c:orientation val="minMax"/>
        </c:scaling>
        <c:delete val="1"/>
        <c:axPos val="b"/>
        <c:numFmt formatCode="0%" sourceLinked="1"/>
        <c:majorTickMark val="out"/>
        <c:minorTickMark val="none"/>
        <c:tickLblPos val="nextTo"/>
        <c:crossAx val="98713600"/>
        <c:crosses val="autoZero"/>
        <c:auto val="1"/>
        <c:lblAlgn val="ctr"/>
        <c:lblOffset val="100"/>
        <c:noMultiLvlLbl val="0"/>
      </c:catAx>
    </c:plotArea>
    <c:legend>
      <c:legendPos val="r"/>
      <c:overlay val="0"/>
      <c:txPr>
        <a:bodyPr/>
        <a:lstStyle/>
        <a:p>
          <a:pPr>
            <a:defRPr b="1"/>
          </a:pPr>
          <a:endParaRPr lang="en-US"/>
        </a:p>
      </c:txPr>
    </c:legend>
    <c:plotVisOnly val="1"/>
    <c:dispBlanksAs val="gap"/>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400" b="1"/>
            </a:pPr>
            <a:r>
              <a:rPr lang="en-US" sz="1400" b="1"/>
              <a:t>Project Economics</a:t>
            </a:r>
          </a:p>
        </c:rich>
      </c:tx>
      <c:overlay val="0"/>
    </c:title>
    <c:autoTitleDeleted val="0"/>
    <c:plotArea>
      <c:layout/>
      <c:barChart>
        <c:barDir val="col"/>
        <c:grouping val="stacked"/>
        <c:varyColors val="0"/>
        <c:ser>
          <c:idx val="0"/>
          <c:order val="0"/>
          <c:tx>
            <c:v>Revenue (left axis)</c:v>
          </c:tx>
          <c:invertIfNegative val="0"/>
          <c:cat>
            <c:numRef>
              <c:f>Sheet1!$D$4:$AJ$4</c:f>
              <c:numCache>
                <c:formatCode>General</c:formatCode>
                <c:ptCount val="33"/>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numCache>
            </c:numRef>
          </c:cat>
          <c:val>
            <c:numRef>
              <c:f>Sheet1!$D$5:$AJ$5</c:f>
              <c:numCache>
                <c:formatCode>_(* #,##0.00_);_(* \(#,##0.00\);_(* "-"??_);_(@_)</c:formatCode>
                <c:ptCount val="33"/>
                <c:pt idx="0">
                  <c:v>0</c:v>
                </c:pt>
                <c:pt idx="1">
                  <c:v>0</c:v>
                </c:pt>
                <c:pt idx="2">
                  <c:v>0</c:v>
                </c:pt>
                <c:pt idx="3">
                  <c:v>0</c:v>
                </c:pt>
                <c:pt idx="4">
                  <c:v>4677.9768750000012</c:v>
                </c:pt>
                <c:pt idx="5">
                  <c:v>9355.9537500000024</c:v>
                </c:pt>
                <c:pt idx="6">
                  <c:v>9355.9537500000024</c:v>
                </c:pt>
                <c:pt idx="7">
                  <c:v>8891.1673124999998</c:v>
                </c:pt>
                <c:pt idx="8">
                  <c:v>9355.9537500000024</c:v>
                </c:pt>
                <c:pt idx="9">
                  <c:v>9355.9537500000024</c:v>
                </c:pt>
                <c:pt idx="10">
                  <c:v>9355.9537500000024</c:v>
                </c:pt>
                <c:pt idx="11">
                  <c:v>9355.9537500000024</c:v>
                </c:pt>
                <c:pt idx="12">
                  <c:v>8891.1673124999998</c:v>
                </c:pt>
                <c:pt idx="13">
                  <c:v>9355.9537500000024</c:v>
                </c:pt>
                <c:pt idx="14">
                  <c:v>9355.9537500000024</c:v>
                </c:pt>
                <c:pt idx="15">
                  <c:v>9355.9537500000024</c:v>
                </c:pt>
                <c:pt idx="16">
                  <c:v>9355.9537500000024</c:v>
                </c:pt>
                <c:pt idx="17">
                  <c:v>8891.1673124999998</c:v>
                </c:pt>
                <c:pt idx="18">
                  <c:v>9355.9537500000024</c:v>
                </c:pt>
                <c:pt idx="19">
                  <c:v>9355.9537500000024</c:v>
                </c:pt>
                <c:pt idx="20">
                  <c:v>9355.9537500000024</c:v>
                </c:pt>
                <c:pt idx="21">
                  <c:v>9355.9537500000024</c:v>
                </c:pt>
                <c:pt idx="22">
                  <c:v>8891.1673124999998</c:v>
                </c:pt>
                <c:pt idx="23">
                  <c:v>9355.9537500000024</c:v>
                </c:pt>
                <c:pt idx="24">
                  <c:v>9355.9537500000024</c:v>
                </c:pt>
                <c:pt idx="25">
                  <c:v>9355.9537500000024</c:v>
                </c:pt>
                <c:pt idx="26">
                  <c:v>9355.9537500000024</c:v>
                </c:pt>
                <c:pt idx="27">
                  <c:v>8891.1673124999998</c:v>
                </c:pt>
                <c:pt idx="28">
                  <c:v>9355.9537500000024</c:v>
                </c:pt>
                <c:pt idx="29">
                  <c:v>9355.9537500000024</c:v>
                </c:pt>
                <c:pt idx="30">
                  <c:v>9355.9537500000024</c:v>
                </c:pt>
                <c:pt idx="31">
                  <c:v>9355.9537500000024</c:v>
                </c:pt>
                <c:pt idx="32">
                  <c:v>9355.9537500000024</c:v>
                </c:pt>
              </c:numCache>
            </c:numRef>
          </c:val>
          <c:extLst xmlns:c16r2="http://schemas.microsoft.com/office/drawing/2015/06/chart">
            <c:ext xmlns:c16="http://schemas.microsoft.com/office/drawing/2014/chart" uri="{C3380CC4-5D6E-409C-BE32-E72D297353CC}">
              <c16:uniqueId val="{00000000-D4C3-4C66-B661-53B71BECCB46}"/>
            </c:ext>
          </c:extLst>
        </c:ser>
        <c:ser>
          <c:idx val="1"/>
          <c:order val="1"/>
          <c:tx>
            <c:v>OPEX (left axis)</c:v>
          </c:tx>
          <c:invertIfNegative val="0"/>
          <c:cat>
            <c:numRef>
              <c:f>Sheet1!$D$4:$AJ$4</c:f>
              <c:numCache>
                <c:formatCode>General</c:formatCode>
                <c:ptCount val="33"/>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numCache>
            </c:numRef>
          </c:cat>
          <c:val>
            <c:numRef>
              <c:f>Sheet1!$D$7:$AJ$7</c:f>
              <c:numCache>
                <c:formatCode>_(* #,##0.00_);_(* \(#,##0.00\);_(* "-"??_);_(@_)</c:formatCode>
                <c:ptCount val="33"/>
                <c:pt idx="0">
                  <c:v>0</c:v>
                </c:pt>
                <c:pt idx="1">
                  <c:v>0</c:v>
                </c:pt>
                <c:pt idx="2">
                  <c:v>0</c:v>
                </c:pt>
                <c:pt idx="3">
                  <c:v>0</c:v>
                </c:pt>
                <c:pt idx="4">
                  <c:v>-1139.3486</c:v>
                </c:pt>
                <c:pt idx="5">
                  <c:v>-2278.6972000000001</c:v>
                </c:pt>
                <c:pt idx="6">
                  <c:v>-2278.6972000000001</c:v>
                </c:pt>
                <c:pt idx="7">
                  <c:v>-2390.0837000000001</c:v>
                </c:pt>
                <c:pt idx="8">
                  <c:v>-2278.6972000000001</c:v>
                </c:pt>
                <c:pt idx="9">
                  <c:v>-2278.6972000000001</c:v>
                </c:pt>
                <c:pt idx="10">
                  <c:v>-2278.6972000000001</c:v>
                </c:pt>
                <c:pt idx="11">
                  <c:v>-2278.6972000000001</c:v>
                </c:pt>
                <c:pt idx="12">
                  <c:v>-2390.0837000000001</c:v>
                </c:pt>
                <c:pt idx="13">
                  <c:v>-2278.6972000000001</c:v>
                </c:pt>
                <c:pt idx="14">
                  <c:v>-2278.6972000000001</c:v>
                </c:pt>
                <c:pt idx="15">
                  <c:v>-2278.6972000000001</c:v>
                </c:pt>
                <c:pt idx="16">
                  <c:v>-2278.6972000000001</c:v>
                </c:pt>
                <c:pt idx="17">
                  <c:v>-2390.0837000000001</c:v>
                </c:pt>
                <c:pt idx="18">
                  <c:v>-2278.6972000000001</c:v>
                </c:pt>
                <c:pt idx="19">
                  <c:v>-2278.6972000000001</c:v>
                </c:pt>
                <c:pt idx="20">
                  <c:v>-2278.6972000000001</c:v>
                </c:pt>
                <c:pt idx="21">
                  <c:v>-2278.6972000000001</c:v>
                </c:pt>
                <c:pt idx="22">
                  <c:v>-2390.0837000000001</c:v>
                </c:pt>
                <c:pt idx="23">
                  <c:v>-2278.6972000000001</c:v>
                </c:pt>
                <c:pt idx="24">
                  <c:v>-2278.6972000000001</c:v>
                </c:pt>
                <c:pt idx="25">
                  <c:v>-2278.6972000000001</c:v>
                </c:pt>
                <c:pt idx="26">
                  <c:v>-2278.6972000000001</c:v>
                </c:pt>
                <c:pt idx="27">
                  <c:v>-2390.0837000000001</c:v>
                </c:pt>
                <c:pt idx="28">
                  <c:v>-2278.6972000000001</c:v>
                </c:pt>
                <c:pt idx="29">
                  <c:v>-2278.6972000000001</c:v>
                </c:pt>
                <c:pt idx="30">
                  <c:v>-2878.6972000000001</c:v>
                </c:pt>
                <c:pt idx="31">
                  <c:v>-2878.6972000000001</c:v>
                </c:pt>
                <c:pt idx="32">
                  <c:v>-3478.6972000000001</c:v>
                </c:pt>
              </c:numCache>
            </c:numRef>
          </c:val>
          <c:extLst xmlns:c16r2="http://schemas.microsoft.com/office/drawing/2015/06/chart">
            <c:ext xmlns:c16="http://schemas.microsoft.com/office/drawing/2014/chart" uri="{C3380CC4-5D6E-409C-BE32-E72D297353CC}">
              <c16:uniqueId val="{00000001-D4C3-4C66-B661-53B71BECCB46}"/>
            </c:ext>
          </c:extLst>
        </c:ser>
        <c:ser>
          <c:idx val="2"/>
          <c:order val="2"/>
          <c:tx>
            <c:v>CAPEX (left axis)</c:v>
          </c:tx>
          <c:invertIfNegative val="0"/>
          <c:cat>
            <c:numRef>
              <c:f>Sheet1!$D$4:$AJ$4</c:f>
              <c:numCache>
                <c:formatCode>General</c:formatCode>
                <c:ptCount val="33"/>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numCache>
            </c:numRef>
          </c:cat>
          <c:val>
            <c:numRef>
              <c:f>Sheet1!$D$6:$AJ$6</c:f>
              <c:numCache>
                <c:formatCode>_(* #,##0.00_);_(* \(#,##0.00\);_(* "-"??_);_(@_)</c:formatCode>
                <c:ptCount val="33"/>
                <c:pt idx="0">
                  <c:v>-417</c:v>
                </c:pt>
                <c:pt idx="1">
                  <c:v>-5243</c:v>
                </c:pt>
                <c:pt idx="2">
                  <c:v>-8207</c:v>
                </c:pt>
                <c:pt idx="3">
                  <c:v>-10831</c:v>
                </c:pt>
                <c:pt idx="4">
                  <c:v>-3300</c:v>
                </c:pt>
                <c:pt idx="5">
                  <c:v>-540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xmlns:c16r2="http://schemas.microsoft.com/office/drawing/2015/06/chart">
            <c:ext xmlns:c16="http://schemas.microsoft.com/office/drawing/2014/chart" uri="{C3380CC4-5D6E-409C-BE32-E72D297353CC}">
              <c16:uniqueId val="{00000002-D4C3-4C66-B661-53B71BECCB46}"/>
            </c:ext>
          </c:extLst>
        </c:ser>
        <c:dLbls>
          <c:showLegendKey val="0"/>
          <c:showVal val="0"/>
          <c:showCatName val="0"/>
          <c:showSerName val="0"/>
          <c:showPercent val="0"/>
          <c:showBubbleSize val="0"/>
        </c:dLbls>
        <c:gapWidth val="150"/>
        <c:overlap val="100"/>
        <c:axId val="59040256"/>
        <c:axId val="85185024"/>
      </c:barChart>
      <c:lineChart>
        <c:grouping val="standard"/>
        <c:varyColors val="0"/>
        <c:ser>
          <c:idx val="3"/>
          <c:order val="3"/>
          <c:tx>
            <c:v>Cash flow (right axis)</c:v>
          </c:tx>
          <c:spPr>
            <a:ln>
              <a:solidFill>
                <a:schemeClr val="tx1"/>
              </a:solidFill>
            </a:ln>
          </c:spPr>
          <c:marker>
            <c:symbol val="none"/>
          </c:marker>
          <c:val>
            <c:numRef>
              <c:f>Sheet1!$D$8:$AJ$8</c:f>
              <c:numCache>
                <c:formatCode>_(* #,##0.00_);_(* \(#,##0.00\);_(* "-"??_);_(@_)</c:formatCode>
                <c:ptCount val="33"/>
                <c:pt idx="0">
                  <c:v>-417</c:v>
                </c:pt>
                <c:pt idx="1">
                  <c:v>-5243</c:v>
                </c:pt>
                <c:pt idx="2">
                  <c:v>-8207</c:v>
                </c:pt>
                <c:pt idx="3">
                  <c:v>-10831</c:v>
                </c:pt>
                <c:pt idx="4">
                  <c:v>18.221336875001043</c:v>
                </c:pt>
                <c:pt idx="5">
                  <c:v>6096.4426737500016</c:v>
                </c:pt>
                <c:pt idx="6">
                  <c:v>6636.4426737500016</c:v>
                </c:pt>
                <c:pt idx="7">
                  <c:v>6074.1668507312497</c:v>
                </c:pt>
                <c:pt idx="8">
                  <c:v>5980.7306275659994</c:v>
                </c:pt>
                <c:pt idx="9">
                  <c:v>4973.5706388000017</c:v>
                </c:pt>
                <c:pt idx="10">
                  <c:v>4739.0906388000012</c:v>
                </c:pt>
                <c:pt idx="11">
                  <c:v>4349.3356462755009</c:v>
                </c:pt>
                <c:pt idx="12">
                  <c:v>3551.8374650299997</c:v>
                </c:pt>
                <c:pt idx="13">
                  <c:v>3934.4243233000007</c:v>
                </c:pt>
                <c:pt idx="14">
                  <c:v>3934.4243233000007</c:v>
                </c:pt>
                <c:pt idx="15">
                  <c:v>3934.4243233000007</c:v>
                </c:pt>
                <c:pt idx="16">
                  <c:v>3476.2585405000009</c:v>
                </c:pt>
                <c:pt idx="17">
                  <c:v>3093.4910795000001</c:v>
                </c:pt>
                <c:pt idx="18">
                  <c:v>3476.2585405000009</c:v>
                </c:pt>
                <c:pt idx="19">
                  <c:v>3476.2585405000009</c:v>
                </c:pt>
                <c:pt idx="20">
                  <c:v>3476.2585405000009</c:v>
                </c:pt>
                <c:pt idx="21">
                  <c:v>3476.2585405000009</c:v>
                </c:pt>
                <c:pt idx="22">
                  <c:v>2864.3178867349998</c:v>
                </c:pt>
                <c:pt idx="23">
                  <c:v>3247.175649100001</c:v>
                </c:pt>
                <c:pt idx="24">
                  <c:v>3247.175649100001</c:v>
                </c:pt>
                <c:pt idx="25">
                  <c:v>3247.175649100001</c:v>
                </c:pt>
                <c:pt idx="26">
                  <c:v>3247.175649100001</c:v>
                </c:pt>
                <c:pt idx="27">
                  <c:v>2864.3178867349998</c:v>
                </c:pt>
                <c:pt idx="28">
                  <c:v>3247.175649100001</c:v>
                </c:pt>
                <c:pt idx="29">
                  <c:v>3247.175649100001</c:v>
                </c:pt>
                <c:pt idx="30">
                  <c:v>3083.9756491000007</c:v>
                </c:pt>
                <c:pt idx="31">
                  <c:v>3083.9756491000007</c:v>
                </c:pt>
                <c:pt idx="32">
                  <c:v>2920.7756491000009</c:v>
                </c:pt>
              </c:numCache>
            </c:numRef>
          </c:val>
          <c:smooth val="0"/>
          <c:extLst xmlns:c16r2="http://schemas.microsoft.com/office/drawing/2015/06/chart">
            <c:ext xmlns:c16="http://schemas.microsoft.com/office/drawing/2014/chart" uri="{C3380CC4-5D6E-409C-BE32-E72D297353CC}">
              <c16:uniqueId val="{00000003-D4C3-4C66-B661-53B71BECCB46}"/>
            </c:ext>
          </c:extLst>
        </c:ser>
        <c:dLbls>
          <c:showLegendKey val="0"/>
          <c:showVal val="0"/>
          <c:showCatName val="0"/>
          <c:showSerName val="0"/>
          <c:showPercent val="0"/>
          <c:showBubbleSize val="0"/>
        </c:dLbls>
        <c:marker val="1"/>
        <c:smooth val="0"/>
        <c:axId val="59041280"/>
        <c:axId val="85185600"/>
      </c:lineChart>
      <c:catAx>
        <c:axId val="59040256"/>
        <c:scaling>
          <c:orientation val="minMax"/>
        </c:scaling>
        <c:delete val="0"/>
        <c:axPos val="b"/>
        <c:numFmt formatCode="General" sourceLinked="1"/>
        <c:majorTickMark val="out"/>
        <c:minorTickMark val="none"/>
        <c:tickLblPos val="nextTo"/>
        <c:crossAx val="85185024"/>
        <c:crosses val="autoZero"/>
        <c:auto val="1"/>
        <c:lblAlgn val="ctr"/>
        <c:lblOffset val="100"/>
        <c:noMultiLvlLbl val="0"/>
      </c:catAx>
      <c:valAx>
        <c:axId val="85185024"/>
        <c:scaling>
          <c:orientation val="minMax"/>
        </c:scaling>
        <c:delete val="0"/>
        <c:axPos val="l"/>
        <c:majorGridlines/>
        <c:title>
          <c:tx>
            <c:rich>
              <a:bodyPr rot="-5400000" vert="horz"/>
              <a:lstStyle/>
              <a:p>
                <a:pPr>
                  <a:defRPr/>
                </a:pPr>
                <a:r>
                  <a:rPr lang="en-US"/>
                  <a:t>Million USD</a:t>
                </a:r>
              </a:p>
            </c:rich>
          </c:tx>
          <c:overlay val="0"/>
        </c:title>
        <c:numFmt formatCode="#,##0" sourceLinked="0"/>
        <c:majorTickMark val="out"/>
        <c:minorTickMark val="none"/>
        <c:tickLblPos val="nextTo"/>
        <c:crossAx val="59040256"/>
        <c:crosses val="autoZero"/>
        <c:crossBetween val="between"/>
      </c:valAx>
      <c:valAx>
        <c:axId val="85185600"/>
        <c:scaling>
          <c:orientation val="minMax"/>
        </c:scaling>
        <c:delete val="0"/>
        <c:axPos val="r"/>
        <c:title>
          <c:tx>
            <c:rich>
              <a:bodyPr rot="-5400000" vert="horz"/>
              <a:lstStyle/>
              <a:p>
                <a:pPr>
                  <a:defRPr/>
                </a:pPr>
                <a:r>
                  <a:rPr lang="en-US"/>
                  <a:t>Million USD</a:t>
                </a:r>
              </a:p>
            </c:rich>
          </c:tx>
          <c:overlay val="0"/>
        </c:title>
        <c:numFmt formatCode="#,##0" sourceLinked="0"/>
        <c:majorTickMark val="out"/>
        <c:minorTickMark val="none"/>
        <c:tickLblPos val="nextTo"/>
        <c:crossAx val="59041280"/>
        <c:crosses val="max"/>
        <c:crossBetween val="between"/>
      </c:valAx>
      <c:catAx>
        <c:axId val="59041280"/>
        <c:scaling>
          <c:orientation val="minMax"/>
        </c:scaling>
        <c:delete val="1"/>
        <c:axPos val="b"/>
        <c:majorTickMark val="out"/>
        <c:minorTickMark val="none"/>
        <c:tickLblPos val="nextTo"/>
        <c:crossAx val="85185600"/>
        <c:crosses val="autoZero"/>
        <c:auto val="1"/>
        <c:lblAlgn val="ctr"/>
        <c:lblOffset val="100"/>
        <c:noMultiLvlLbl val="0"/>
      </c:catAx>
    </c:plotArea>
    <c:legend>
      <c:legendPos val="b"/>
      <c:overlay val="0"/>
    </c:legend>
    <c:plotVisOnly val="1"/>
    <c:dispBlanksAs val="gap"/>
    <c:showDLblsOverMax val="0"/>
  </c:chart>
  <c:txPr>
    <a:bodyPr/>
    <a:lstStyle/>
    <a:p>
      <a:pPr>
        <a:defRPr sz="1100" b="0"/>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400"/>
            </a:pPr>
            <a:r>
              <a:rPr lang="en-US" sz="1400"/>
              <a:t>Total Govt. Revenues</a:t>
            </a:r>
          </a:p>
        </c:rich>
      </c:tx>
      <c:layout>
        <c:manualLayout>
          <c:xMode val="edge"/>
          <c:yMode val="edge"/>
          <c:x val="0.33280434845177498"/>
          <c:y val="4.9535615790842702E-2"/>
        </c:manualLayout>
      </c:layout>
      <c:overlay val="0"/>
    </c:title>
    <c:autoTitleDeleted val="0"/>
    <c:plotArea>
      <c:layout>
        <c:manualLayout>
          <c:layoutTarget val="inner"/>
          <c:xMode val="edge"/>
          <c:yMode val="edge"/>
          <c:x val="3.6565862684729299E-2"/>
          <c:y val="0.221377884834081"/>
          <c:w val="0.60191131157244304"/>
          <c:h val="0.70354104081837099"/>
        </c:manualLayout>
      </c:layout>
      <c:pieChart>
        <c:varyColors val="1"/>
        <c:ser>
          <c:idx val="0"/>
          <c:order val="0"/>
          <c:dLbls>
            <c:spPr>
              <a:noFill/>
              <a:ln>
                <a:noFill/>
              </a:ln>
              <a:effectLst/>
            </c:sp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'Assumptions &amp; Results'!$A$197:$A$203</c:f>
              <c:strCache>
                <c:ptCount val="7"/>
                <c:pt idx="0">
                  <c:v>Profit Share Gas</c:v>
                </c:pt>
                <c:pt idx="1">
                  <c:v>Upstream Royalties</c:v>
                </c:pt>
                <c:pt idx="2">
                  <c:v>LNG special tax</c:v>
                </c:pt>
                <c:pt idx="3">
                  <c:v>Upstream Income Tax</c:v>
                </c:pt>
                <c:pt idx="4">
                  <c:v>Pipeline Income Tax</c:v>
                </c:pt>
                <c:pt idx="5">
                  <c:v>LNG Income Tax</c:v>
                </c:pt>
                <c:pt idx="6">
                  <c:v>Consolidated Income Tax</c:v>
                </c:pt>
              </c:strCache>
            </c:strRef>
          </c:cat>
          <c:val>
            <c:numRef>
              <c:f>'Assumptions &amp; Results'!$C$197:$C$203</c:f>
              <c:numCache>
                <c:formatCode>#,##0.0</c:formatCode>
                <c:ptCount val="7"/>
                <c:pt idx="0">
                  <c:v>36923.454027981257</c:v>
                </c:pt>
                <c:pt idx="1">
                  <c:v>7929.6224906249981</c:v>
                </c:pt>
                <c:pt idx="2">
                  <c:v>0</c:v>
                </c:pt>
                <c:pt idx="3">
                  <c:v>11579.598628046009</c:v>
                </c:pt>
                <c:pt idx="4">
                  <c:v>1119.6152</c:v>
                </c:pt>
                <c:pt idx="5">
                  <c:v>26030.344722000002</c:v>
                </c:pt>
                <c:pt idx="6">
                  <c:v>0</c:v>
                </c:pt>
              </c:numCache>
            </c:numRef>
          </c:val>
          <c:extLst xmlns:c16r2="http://schemas.microsoft.com/office/drawing/2015/06/chart">
            <c:ext xmlns:c16="http://schemas.microsoft.com/office/drawing/2014/chart" uri="{C3380CC4-5D6E-409C-BE32-E72D297353CC}">
              <c16:uniqueId val="{00000000-8908-4006-BC06-88556C84C457}"/>
            </c:ext>
          </c:extLst>
        </c:ser>
        <c:dLbls>
          <c:showLegendKey val="0"/>
          <c:showVal val="0"/>
          <c:showCatName val="0"/>
          <c:showSerName val="0"/>
          <c:showPercent val="1"/>
          <c:showBubbleSize val="0"/>
          <c:showLeaderLines val="1"/>
        </c:dLbls>
        <c:firstSliceAng val="0"/>
      </c:pieChart>
    </c:plotArea>
    <c:legend>
      <c:legendPos val="r"/>
      <c:overlay val="0"/>
      <c:txPr>
        <a:bodyPr/>
        <a:lstStyle/>
        <a:p>
          <a:pPr>
            <a:defRPr b="0"/>
          </a:pPr>
          <a:endParaRPr lang="en-US"/>
        </a:p>
      </c:txPr>
    </c:legend>
    <c:plotVisOnly val="1"/>
    <c:dispBlanksAs val="gap"/>
    <c:showDLblsOverMax val="0"/>
  </c:chart>
  <c:txPr>
    <a:bodyPr/>
    <a:lstStyle/>
    <a:p>
      <a:pPr>
        <a:defRPr sz="1100" b="1"/>
      </a:pPr>
      <a:endParaRPr lang="en-US"/>
    </a:p>
  </c:tx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400" b="1"/>
            </a:pPr>
            <a:r>
              <a:rPr lang="en-US" sz="1400" b="1"/>
              <a:t>Government Revenues</a:t>
            </a:r>
          </a:p>
        </c:rich>
      </c:tx>
      <c:overlay val="0"/>
    </c:title>
    <c:autoTitleDeleted val="0"/>
    <c:plotArea>
      <c:layout/>
      <c:barChart>
        <c:barDir val="col"/>
        <c:grouping val="stacked"/>
        <c:varyColors val="0"/>
        <c:ser>
          <c:idx val="0"/>
          <c:order val="0"/>
          <c:tx>
            <c:v>Profit Gas</c:v>
          </c:tx>
          <c:invertIfNegative val="0"/>
          <c:cat>
            <c:numRef>
              <c:f>Sheet1!$D$4:$AJ$4</c:f>
              <c:numCache>
                <c:formatCode>General</c:formatCode>
                <c:ptCount val="33"/>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numCache>
            </c:numRef>
          </c:cat>
          <c:val>
            <c:numRef>
              <c:f>Sheet1!$D$10:$AJ$10</c:f>
              <c:numCache>
                <c:formatCode>_(* #,##0.00_);_(* \(#,##0.00\);_(* "-"??_);_(@_)</c:formatCode>
                <c:ptCount val="33"/>
                <c:pt idx="0">
                  <c:v>0</c:v>
                </c:pt>
                <c:pt idx="1">
                  <c:v>0</c:v>
                </c:pt>
                <c:pt idx="2">
                  <c:v>0</c:v>
                </c:pt>
                <c:pt idx="3">
                  <c:v>0</c:v>
                </c:pt>
                <c:pt idx="4">
                  <c:v>80.067631875000032</c:v>
                </c:pt>
                <c:pt idx="5">
                  <c:v>160.13526375000006</c:v>
                </c:pt>
                <c:pt idx="6">
                  <c:v>160.13526375000006</c:v>
                </c:pt>
                <c:pt idx="7">
                  <c:v>160.18174239375</c:v>
                </c:pt>
                <c:pt idx="8">
                  <c:v>320.27052750000013</c:v>
                </c:pt>
                <c:pt idx="9">
                  <c:v>320.27052750000013</c:v>
                </c:pt>
                <c:pt idx="10">
                  <c:v>320.27052750000013</c:v>
                </c:pt>
                <c:pt idx="11">
                  <c:v>455.71328121250082</c:v>
                </c:pt>
                <c:pt idx="12">
                  <c:v>1011.0582033749998</c:v>
                </c:pt>
                <c:pt idx="13">
                  <c:v>1010.6598150000004</c:v>
                </c:pt>
                <c:pt idx="14">
                  <c:v>1010.6598150000004</c:v>
                </c:pt>
                <c:pt idx="15">
                  <c:v>1010.6598150000004</c:v>
                </c:pt>
                <c:pt idx="16">
                  <c:v>1684.4330250000007</c:v>
                </c:pt>
                <c:pt idx="17">
                  <c:v>1685.0970056249998</c:v>
                </c:pt>
                <c:pt idx="18">
                  <c:v>1684.4330250000007</c:v>
                </c:pt>
                <c:pt idx="19">
                  <c:v>1684.4330250000007</c:v>
                </c:pt>
                <c:pt idx="20">
                  <c:v>1684.4330250000007</c:v>
                </c:pt>
                <c:pt idx="21">
                  <c:v>1684.4330250000007</c:v>
                </c:pt>
                <c:pt idx="22">
                  <c:v>2022.1164067499997</c:v>
                </c:pt>
                <c:pt idx="23">
                  <c:v>2021.3196300000009</c:v>
                </c:pt>
                <c:pt idx="24">
                  <c:v>2021.3196300000009</c:v>
                </c:pt>
                <c:pt idx="25">
                  <c:v>2021.3196300000009</c:v>
                </c:pt>
                <c:pt idx="26">
                  <c:v>2021.3196300000009</c:v>
                </c:pt>
                <c:pt idx="27">
                  <c:v>2022.1164067499997</c:v>
                </c:pt>
                <c:pt idx="28">
                  <c:v>2021.3196300000009</c:v>
                </c:pt>
                <c:pt idx="29">
                  <c:v>2021.3196300000009</c:v>
                </c:pt>
                <c:pt idx="30">
                  <c:v>1661.3196300000009</c:v>
                </c:pt>
                <c:pt idx="31">
                  <c:v>1661.3196300000009</c:v>
                </c:pt>
                <c:pt idx="32">
                  <c:v>1301.3196300000009</c:v>
                </c:pt>
              </c:numCache>
            </c:numRef>
          </c:val>
          <c:extLst xmlns:c16r2="http://schemas.microsoft.com/office/drawing/2015/06/chart">
            <c:ext xmlns:c16="http://schemas.microsoft.com/office/drawing/2014/chart" uri="{C3380CC4-5D6E-409C-BE32-E72D297353CC}">
              <c16:uniqueId val="{00000000-16BF-46D2-9BEB-E1A07B74E23F}"/>
            </c:ext>
          </c:extLst>
        </c:ser>
        <c:ser>
          <c:idx val="1"/>
          <c:order val="1"/>
          <c:tx>
            <c:v>Upstream Royalties</c:v>
          </c:tx>
          <c:invertIfNegative val="0"/>
          <c:cat>
            <c:numRef>
              <c:f>Sheet1!$D$4:$AJ$4</c:f>
              <c:numCache>
                <c:formatCode>General</c:formatCode>
                <c:ptCount val="33"/>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numCache>
            </c:numRef>
          </c:cat>
          <c:val>
            <c:numRef>
              <c:f>Sheet1!$D$11:$AJ$11</c:f>
              <c:numCache>
                <c:formatCode>_(* #,##0.00_);_(* \(#,##0.00\);_(* "-"??_);_(@_)</c:formatCode>
                <c:ptCount val="33"/>
                <c:pt idx="0">
                  <c:v>0</c:v>
                </c:pt>
                <c:pt idx="1">
                  <c:v>0</c:v>
                </c:pt>
                <c:pt idx="2">
                  <c:v>0</c:v>
                </c:pt>
                <c:pt idx="3">
                  <c:v>0</c:v>
                </c:pt>
                <c:pt idx="4">
                  <c:v>140.33930625000002</c:v>
                </c:pt>
                <c:pt idx="5">
                  <c:v>280.67861250000004</c:v>
                </c:pt>
                <c:pt idx="6">
                  <c:v>280.67861250000004</c:v>
                </c:pt>
                <c:pt idx="7">
                  <c:v>266.73501937499998</c:v>
                </c:pt>
                <c:pt idx="8">
                  <c:v>280.67861250000004</c:v>
                </c:pt>
                <c:pt idx="9">
                  <c:v>280.67861250000004</c:v>
                </c:pt>
                <c:pt idx="10">
                  <c:v>280.67861250000004</c:v>
                </c:pt>
                <c:pt idx="11">
                  <c:v>280.67861250000004</c:v>
                </c:pt>
                <c:pt idx="12">
                  <c:v>266.73501937499998</c:v>
                </c:pt>
                <c:pt idx="13">
                  <c:v>280.67861250000004</c:v>
                </c:pt>
                <c:pt idx="14">
                  <c:v>280.67861250000004</c:v>
                </c:pt>
                <c:pt idx="15">
                  <c:v>280.67861250000004</c:v>
                </c:pt>
                <c:pt idx="16">
                  <c:v>280.67861250000004</c:v>
                </c:pt>
                <c:pt idx="17">
                  <c:v>266.73501937499998</c:v>
                </c:pt>
                <c:pt idx="18">
                  <c:v>280.67861250000004</c:v>
                </c:pt>
                <c:pt idx="19">
                  <c:v>280.67861250000004</c:v>
                </c:pt>
                <c:pt idx="20">
                  <c:v>280.67861250000004</c:v>
                </c:pt>
                <c:pt idx="21">
                  <c:v>280.67861250000004</c:v>
                </c:pt>
                <c:pt idx="22">
                  <c:v>266.73501937499998</c:v>
                </c:pt>
                <c:pt idx="23">
                  <c:v>280.67861250000004</c:v>
                </c:pt>
                <c:pt idx="24">
                  <c:v>280.67861250000004</c:v>
                </c:pt>
                <c:pt idx="25">
                  <c:v>280.67861250000004</c:v>
                </c:pt>
                <c:pt idx="26">
                  <c:v>280.67861250000004</c:v>
                </c:pt>
                <c:pt idx="27">
                  <c:v>266.73501937499998</c:v>
                </c:pt>
                <c:pt idx="28">
                  <c:v>280.67861250000004</c:v>
                </c:pt>
                <c:pt idx="29">
                  <c:v>280.67861250000004</c:v>
                </c:pt>
                <c:pt idx="30">
                  <c:v>280.67861250000004</c:v>
                </c:pt>
                <c:pt idx="31">
                  <c:v>280.67861250000004</c:v>
                </c:pt>
                <c:pt idx="32">
                  <c:v>280.67861250000004</c:v>
                </c:pt>
              </c:numCache>
            </c:numRef>
          </c:val>
          <c:extLst xmlns:c16r2="http://schemas.microsoft.com/office/drawing/2015/06/chart">
            <c:ext xmlns:c16="http://schemas.microsoft.com/office/drawing/2014/chart" uri="{C3380CC4-5D6E-409C-BE32-E72D297353CC}">
              <c16:uniqueId val="{00000001-16BF-46D2-9BEB-E1A07B74E23F}"/>
            </c:ext>
          </c:extLst>
        </c:ser>
        <c:ser>
          <c:idx val="6"/>
          <c:order val="2"/>
          <c:tx>
            <c:v>LNG special tax</c:v>
          </c:tx>
          <c:invertIfNegative val="0"/>
          <c:val>
            <c:numRef>
              <c:f>Sheet1!$D$12:$AJ$12</c:f>
              <c:numCache>
                <c:formatCode>_(* #,##0.00_);_(* \(#,##0.00\);_(*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xmlns:c16r2="http://schemas.microsoft.com/office/drawing/2015/06/chart">
            <c:ext xmlns:c16="http://schemas.microsoft.com/office/drawing/2014/chart" uri="{C3380CC4-5D6E-409C-BE32-E72D297353CC}">
              <c16:uniqueId val="{00000000-A7F5-412A-8358-380B74EA9095}"/>
            </c:ext>
          </c:extLst>
        </c:ser>
        <c:ser>
          <c:idx val="3"/>
          <c:order val="3"/>
          <c:tx>
            <c:v>Upstream Income Tax</c:v>
          </c:tx>
          <c:invertIfNegative val="0"/>
          <c:cat>
            <c:numRef>
              <c:f>Sheet1!$D$4:$AJ$4</c:f>
              <c:numCache>
                <c:formatCode>General</c:formatCode>
                <c:ptCount val="33"/>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numCache>
            </c:numRef>
          </c:cat>
          <c:val>
            <c:numRef>
              <c:f>Sheet1!$D$13:$AJ$13</c:f>
              <c:numCache>
                <c:formatCode>_(* #,##0.00_);_(* \(#,##0.00\);_(* "-"??_);_(@_)</c:formatCode>
                <c:ptCount val="33"/>
                <c:pt idx="0">
                  <c:v>0</c:v>
                </c:pt>
                <c:pt idx="1">
                  <c:v>0</c:v>
                </c:pt>
                <c:pt idx="2">
                  <c:v>0</c:v>
                </c:pt>
                <c:pt idx="3">
                  <c:v>0</c:v>
                </c:pt>
                <c:pt idx="4">
                  <c:v>0</c:v>
                </c:pt>
                <c:pt idx="5">
                  <c:v>0</c:v>
                </c:pt>
                <c:pt idx="6">
                  <c:v>0</c:v>
                </c:pt>
                <c:pt idx="7">
                  <c:v>0</c:v>
                </c:pt>
                <c:pt idx="8">
                  <c:v>144.42387003400131</c:v>
                </c:pt>
                <c:pt idx="9">
                  <c:v>885.73341120000055</c:v>
                </c:pt>
                <c:pt idx="10">
                  <c:v>885.73341120000055</c:v>
                </c:pt>
                <c:pt idx="11">
                  <c:v>842.39173001200015</c:v>
                </c:pt>
                <c:pt idx="12">
                  <c:v>669.56825232000006</c:v>
                </c:pt>
                <c:pt idx="13">
                  <c:v>664.80883920000042</c:v>
                </c:pt>
                <c:pt idx="14">
                  <c:v>664.80883920000042</c:v>
                </c:pt>
                <c:pt idx="15">
                  <c:v>664.80883920000042</c:v>
                </c:pt>
                <c:pt idx="16">
                  <c:v>449.20141200000023</c:v>
                </c:pt>
                <c:pt idx="17">
                  <c:v>453.87583560000002</c:v>
                </c:pt>
                <c:pt idx="18">
                  <c:v>449.20141200000023</c:v>
                </c:pt>
                <c:pt idx="19">
                  <c:v>449.20141200000023</c:v>
                </c:pt>
                <c:pt idx="20">
                  <c:v>449.20141200000023</c:v>
                </c:pt>
                <c:pt idx="21">
                  <c:v>449.20141200000023</c:v>
                </c:pt>
                <c:pt idx="22">
                  <c:v>346.02962724000014</c:v>
                </c:pt>
                <c:pt idx="23">
                  <c:v>341.39769840000014</c:v>
                </c:pt>
                <c:pt idx="24">
                  <c:v>341.39769840000014</c:v>
                </c:pt>
                <c:pt idx="25">
                  <c:v>341.39769840000014</c:v>
                </c:pt>
                <c:pt idx="26">
                  <c:v>341.39769840000014</c:v>
                </c:pt>
                <c:pt idx="27">
                  <c:v>346.02962724000014</c:v>
                </c:pt>
                <c:pt idx="28">
                  <c:v>341.39769840000014</c:v>
                </c:pt>
                <c:pt idx="29">
                  <c:v>341.39769840000014</c:v>
                </c:pt>
                <c:pt idx="30">
                  <c:v>264.59769840000018</c:v>
                </c:pt>
                <c:pt idx="31">
                  <c:v>264.59769840000018</c:v>
                </c:pt>
                <c:pt idx="32">
                  <c:v>187.79769840000014</c:v>
                </c:pt>
              </c:numCache>
            </c:numRef>
          </c:val>
          <c:extLst xmlns:c16r2="http://schemas.microsoft.com/office/drawing/2015/06/chart">
            <c:ext xmlns:c16="http://schemas.microsoft.com/office/drawing/2014/chart" uri="{C3380CC4-5D6E-409C-BE32-E72D297353CC}">
              <c16:uniqueId val="{00000002-16BF-46D2-9BEB-E1A07B74E23F}"/>
            </c:ext>
          </c:extLst>
        </c:ser>
        <c:ser>
          <c:idx val="4"/>
          <c:order val="4"/>
          <c:tx>
            <c:v>Pipeline Income Tax</c:v>
          </c:tx>
          <c:invertIfNegative val="0"/>
          <c:cat>
            <c:numRef>
              <c:f>Sheet1!$D$4:$AJ$4</c:f>
              <c:numCache>
                <c:formatCode>General</c:formatCode>
                <c:ptCount val="33"/>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numCache>
            </c:numRef>
          </c:cat>
          <c:val>
            <c:numRef>
              <c:f>Sheet1!$D$14:$AJ$14</c:f>
              <c:numCache>
                <c:formatCode>_(* #,##0.00_);_(* \(#,##0.00\);_(* "-"??_);_(@_)</c:formatCode>
                <c:ptCount val="33"/>
                <c:pt idx="0">
                  <c:v>0</c:v>
                </c:pt>
                <c:pt idx="1">
                  <c:v>0</c:v>
                </c:pt>
                <c:pt idx="2">
                  <c:v>0</c:v>
                </c:pt>
                <c:pt idx="3">
                  <c:v>0</c:v>
                </c:pt>
                <c:pt idx="4">
                  <c:v>0</c:v>
                </c:pt>
                <c:pt idx="5">
                  <c:v>0</c:v>
                </c:pt>
                <c:pt idx="6">
                  <c:v>0</c:v>
                </c:pt>
                <c:pt idx="7">
                  <c:v>0</c:v>
                </c:pt>
                <c:pt idx="8">
                  <c:v>0</c:v>
                </c:pt>
                <c:pt idx="9">
                  <c:v>0</c:v>
                </c:pt>
                <c:pt idx="10">
                  <c:v>0</c:v>
                </c:pt>
                <c:pt idx="11">
                  <c:v>16.41391999999999</c:v>
                </c:pt>
                <c:pt idx="12">
                  <c:v>46.463520000000003</c:v>
                </c:pt>
                <c:pt idx="13">
                  <c:v>53.961599999999997</c:v>
                </c:pt>
                <c:pt idx="14">
                  <c:v>53.961599999999997</c:v>
                </c:pt>
                <c:pt idx="15">
                  <c:v>53.961599999999997</c:v>
                </c:pt>
                <c:pt idx="16">
                  <c:v>53.961599999999997</c:v>
                </c:pt>
                <c:pt idx="17">
                  <c:v>46.463520000000003</c:v>
                </c:pt>
                <c:pt idx="18">
                  <c:v>53.961599999999997</c:v>
                </c:pt>
                <c:pt idx="19">
                  <c:v>53.961599999999997</c:v>
                </c:pt>
                <c:pt idx="20">
                  <c:v>53.961599999999997</c:v>
                </c:pt>
                <c:pt idx="21">
                  <c:v>53.961599999999997</c:v>
                </c:pt>
                <c:pt idx="22">
                  <c:v>46.463520000000003</c:v>
                </c:pt>
                <c:pt idx="23">
                  <c:v>53.961599999999997</c:v>
                </c:pt>
                <c:pt idx="24">
                  <c:v>53.961599999999997</c:v>
                </c:pt>
                <c:pt idx="25">
                  <c:v>53.961599999999997</c:v>
                </c:pt>
                <c:pt idx="26">
                  <c:v>53.961599999999997</c:v>
                </c:pt>
                <c:pt idx="27">
                  <c:v>46.463520000000003</c:v>
                </c:pt>
                <c:pt idx="28">
                  <c:v>53.961599999999997</c:v>
                </c:pt>
                <c:pt idx="29">
                  <c:v>53.961599999999997</c:v>
                </c:pt>
                <c:pt idx="30">
                  <c:v>53.961599999999997</c:v>
                </c:pt>
                <c:pt idx="31">
                  <c:v>53.961599999999997</c:v>
                </c:pt>
                <c:pt idx="32">
                  <c:v>53.961599999999997</c:v>
                </c:pt>
              </c:numCache>
            </c:numRef>
          </c:val>
          <c:extLst xmlns:c16r2="http://schemas.microsoft.com/office/drawing/2015/06/chart">
            <c:ext xmlns:c16="http://schemas.microsoft.com/office/drawing/2014/chart" uri="{C3380CC4-5D6E-409C-BE32-E72D297353CC}">
              <c16:uniqueId val="{00000003-16BF-46D2-9BEB-E1A07B74E23F}"/>
            </c:ext>
          </c:extLst>
        </c:ser>
        <c:ser>
          <c:idx val="5"/>
          <c:order val="5"/>
          <c:tx>
            <c:v>LNG Income Tax</c:v>
          </c:tx>
          <c:invertIfNegative val="0"/>
          <c:cat>
            <c:numRef>
              <c:f>Sheet1!$D$4:$AJ$4</c:f>
              <c:numCache>
                <c:formatCode>General</c:formatCode>
                <c:ptCount val="33"/>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pt idx="14">
                  <c:v>2031</c:v>
                </c:pt>
                <c:pt idx="15">
                  <c:v>2032</c:v>
                </c:pt>
                <c:pt idx="16">
                  <c:v>2033</c:v>
                </c:pt>
                <c:pt idx="17">
                  <c:v>2034</c:v>
                </c:pt>
                <c:pt idx="18">
                  <c:v>2035</c:v>
                </c:pt>
                <c:pt idx="19">
                  <c:v>2036</c:v>
                </c:pt>
                <c:pt idx="20">
                  <c:v>2037</c:v>
                </c:pt>
                <c:pt idx="21">
                  <c:v>2038</c:v>
                </c:pt>
                <c:pt idx="22">
                  <c:v>2039</c:v>
                </c:pt>
                <c:pt idx="23">
                  <c:v>2040</c:v>
                </c:pt>
                <c:pt idx="24">
                  <c:v>2041</c:v>
                </c:pt>
                <c:pt idx="25">
                  <c:v>2042</c:v>
                </c:pt>
                <c:pt idx="26">
                  <c:v>2043</c:v>
                </c:pt>
                <c:pt idx="27">
                  <c:v>2044</c:v>
                </c:pt>
                <c:pt idx="28">
                  <c:v>2045</c:v>
                </c:pt>
                <c:pt idx="29">
                  <c:v>2046</c:v>
                </c:pt>
                <c:pt idx="30">
                  <c:v>2047</c:v>
                </c:pt>
                <c:pt idx="31">
                  <c:v>2048</c:v>
                </c:pt>
                <c:pt idx="32">
                  <c:v>2049</c:v>
                </c:pt>
              </c:numCache>
            </c:numRef>
          </c:cat>
          <c:val>
            <c:numRef>
              <c:f>Sheet1!$D$15:$AJ$15</c:f>
              <c:numCache>
                <c:formatCode>_(* #,##0.00_);_(* \(#,##0.00\);_(* "-"??_);_(@_)</c:formatCode>
                <c:ptCount val="33"/>
                <c:pt idx="0">
                  <c:v>0</c:v>
                </c:pt>
                <c:pt idx="1">
                  <c:v>0</c:v>
                </c:pt>
                <c:pt idx="2">
                  <c:v>0</c:v>
                </c:pt>
                <c:pt idx="3">
                  <c:v>0</c:v>
                </c:pt>
                <c:pt idx="4">
                  <c:v>0</c:v>
                </c:pt>
                <c:pt idx="5">
                  <c:v>0</c:v>
                </c:pt>
                <c:pt idx="6">
                  <c:v>0</c:v>
                </c:pt>
                <c:pt idx="7">
                  <c:v>0</c:v>
                </c:pt>
                <c:pt idx="8">
                  <c:v>351.15291240000079</c:v>
                </c:pt>
                <c:pt idx="9">
                  <c:v>617.00336000000027</c:v>
                </c:pt>
                <c:pt idx="10">
                  <c:v>851.48336000000029</c:v>
                </c:pt>
                <c:pt idx="11">
                  <c:v>1132.7233600000002</c:v>
                </c:pt>
                <c:pt idx="12">
                  <c:v>955.42115239999998</c:v>
                </c:pt>
                <c:pt idx="13">
                  <c:v>1132.7233600000002</c:v>
                </c:pt>
                <c:pt idx="14">
                  <c:v>1132.7233600000002</c:v>
                </c:pt>
                <c:pt idx="15">
                  <c:v>1132.7233600000002</c:v>
                </c:pt>
                <c:pt idx="16">
                  <c:v>1132.7233600000002</c:v>
                </c:pt>
                <c:pt idx="17">
                  <c:v>955.42115239999998</c:v>
                </c:pt>
                <c:pt idx="18">
                  <c:v>1132.7233600000002</c:v>
                </c:pt>
                <c:pt idx="19">
                  <c:v>1132.7233600000002</c:v>
                </c:pt>
                <c:pt idx="20">
                  <c:v>1132.7233600000002</c:v>
                </c:pt>
                <c:pt idx="21">
                  <c:v>1132.7233600000002</c:v>
                </c:pt>
                <c:pt idx="22">
                  <c:v>955.42115239999998</c:v>
                </c:pt>
                <c:pt idx="23">
                  <c:v>1132.7233600000002</c:v>
                </c:pt>
                <c:pt idx="24">
                  <c:v>1132.7233600000002</c:v>
                </c:pt>
                <c:pt idx="25">
                  <c:v>1132.7233600000002</c:v>
                </c:pt>
                <c:pt idx="26">
                  <c:v>1132.7233600000002</c:v>
                </c:pt>
                <c:pt idx="27">
                  <c:v>955.42115239999998</c:v>
                </c:pt>
                <c:pt idx="28">
                  <c:v>1132.7233600000002</c:v>
                </c:pt>
                <c:pt idx="29">
                  <c:v>1132.7233600000002</c:v>
                </c:pt>
                <c:pt idx="30">
                  <c:v>1132.7233600000002</c:v>
                </c:pt>
                <c:pt idx="31">
                  <c:v>1132.7233600000002</c:v>
                </c:pt>
                <c:pt idx="32">
                  <c:v>1132.7233600000002</c:v>
                </c:pt>
              </c:numCache>
            </c:numRef>
          </c:val>
          <c:extLst xmlns:c16r2="http://schemas.microsoft.com/office/drawing/2015/06/chart">
            <c:ext xmlns:c16="http://schemas.microsoft.com/office/drawing/2014/chart" uri="{C3380CC4-5D6E-409C-BE32-E72D297353CC}">
              <c16:uniqueId val="{00000004-16BF-46D2-9BEB-E1A07B74E23F}"/>
            </c:ext>
          </c:extLst>
        </c:ser>
        <c:ser>
          <c:idx val="2"/>
          <c:order val="6"/>
          <c:tx>
            <c:v>Consolidated Income Tax</c:v>
          </c:tx>
          <c:invertIfNegative val="0"/>
          <c:val>
            <c:numRef>
              <c:f>Sheet1!$D$16:$AJ$16</c:f>
              <c:numCache>
                <c:formatCode>_(* #,##0.00_);_(* \(#,##0.00\);_(*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extLst xmlns:c16r2="http://schemas.microsoft.com/office/drawing/2015/06/chart">
            <c:ext xmlns:c16="http://schemas.microsoft.com/office/drawing/2014/chart" uri="{C3380CC4-5D6E-409C-BE32-E72D297353CC}">
              <c16:uniqueId val="{00000001-A7F5-412A-8358-380B74EA9095}"/>
            </c:ext>
          </c:extLst>
        </c:ser>
        <c:dLbls>
          <c:showLegendKey val="0"/>
          <c:showVal val="0"/>
          <c:showCatName val="0"/>
          <c:showSerName val="0"/>
          <c:showPercent val="0"/>
          <c:showBubbleSize val="0"/>
        </c:dLbls>
        <c:gapWidth val="150"/>
        <c:overlap val="100"/>
        <c:axId val="60248576"/>
        <c:axId val="90449024"/>
      </c:barChart>
      <c:catAx>
        <c:axId val="60248576"/>
        <c:scaling>
          <c:orientation val="minMax"/>
        </c:scaling>
        <c:delete val="0"/>
        <c:axPos val="b"/>
        <c:numFmt formatCode="General" sourceLinked="1"/>
        <c:majorTickMark val="out"/>
        <c:minorTickMark val="none"/>
        <c:tickLblPos val="nextTo"/>
        <c:crossAx val="90449024"/>
        <c:crosses val="autoZero"/>
        <c:auto val="1"/>
        <c:lblAlgn val="ctr"/>
        <c:lblOffset val="100"/>
        <c:noMultiLvlLbl val="0"/>
      </c:catAx>
      <c:valAx>
        <c:axId val="90449024"/>
        <c:scaling>
          <c:orientation val="minMax"/>
        </c:scaling>
        <c:delete val="0"/>
        <c:axPos val="l"/>
        <c:majorGridlines/>
        <c:title>
          <c:tx>
            <c:rich>
              <a:bodyPr rot="-5400000" vert="horz"/>
              <a:lstStyle/>
              <a:p>
                <a:pPr>
                  <a:defRPr/>
                </a:pPr>
                <a:r>
                  <a:rPr lang="en-US"/>
                  <a:t>Million USD</a:t>
                </a:r>
              </a:p>
            </c:rich>
          </c:tx>
          <c:overlay val="0"/>
        </c:title>
        <c:numFmt formatCode="#,##0" sourceLinked="0"/>
        <c:majorTickMark val="out"/>
        <c:minorTickMark val="none"/>
        <c:tickLblPos val="nextTo"/>
        <c:crossAx val="60248576"/>
        <c:crosses val="autoZero"/>
        <c:crossBetween val="between"/>
      </c:valAx>
    </c:plotArea>
    <c:legend>
      <c:legendPos val="b"/>
      <c:layout>
        <c:manualLayout>
          <c:xMode val="edge"/>
          <c:yMode val="edge"/>
          <c:x val="2.07622101143695E-2"/>
          <c:y val="0.82001711903941299"/>
          <c:w val="0.97923778988563104"/>
          <c:h val="0.14022454227985701"/>
        </c:manualLayout>
      </c:layout>
      <c:overlay val="0"/>
    </c:legend>
    <c:plotVisOnly val="1"/>
    <c:dispBlanksAs val="gap"/>
    <c:showDLblsOverMax val="0"/>
  </c:chart>
  <c:txPr>
    <a:bodyPr/>
    <a:lstStyle/>
    <a:p>
      <a:pPr>
        <a:defRPr sz="1100" b="0"/>
      </a:pPr>
      <a:endParaRPr lang="en-US"/>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Impact of gas production</a:t>
            </a:r>
          </a:p>
        </c:rich>
      </c:tx>
      <c:overlay val="0"/>
    </c:title>
    <c:autoTitleDeleted val="0"/>
    <c:plotArea>
      <c:layout/>
      <c:lineChart>
        <c:grouping val="standard"/>
        <c:varyColors val="0"/>
        <c:ser>
          <c:idx val="0"/>
          <c:order val="0"/>
          <c:tx>
            <c:strRef>
              <c:f>'Assumptions &amp; Results'!$A$229</c:f>
              <c:strCache>
                <c:ptCount val="1"/>
                <c:pt idx="0">
                  <c:v>Government Take (%)</c:v>
                </c:pt>
              </c:strCache>
            </c:strRef>
          </c:tx>
          <c:cat>
            <c:numRef>
              <c:f>'Assumptions &amp; Results'!$C$228:$G$228</c:f>
              <c:numCache>
                <c:formatCode>0%</c:formatCode>
                <c:ptCount val="5"/>
                <c:pt idx="0">
                  <c:v>0.6</c:v>
                </c:pt>
                <c:pt idx="1">
                  <c:v>0.8</c:v>
                </c:pt>
                <c:pt idx="2">
                  <c:v>1</c:v>
                </c:pt>
                <c:pt idx="3">
                  <c:v>1.2</c:v>
                </c:pt>
                <c:pt idx="4">
                  <c:v>1.5</c:v>
                </c:pt>
              </c:numCache>
            </c:numRef>
          </c:cat>
          <c:val>
            <c:numRef>
              <c:f>'Assumptions &amp; Results'!$C$229:$G$229</c:f>
              <c:numCache>
                <c:formatCode>0%</c:formatCode>
                <c:ptCount val="5"/>
                <c:pt idx="0">
                  <c:v>0.4926713048543479</c:v>
                </c:pt>
                <c:pt idx="1">
                  <c:v>0.49491326331696173</c:v>
                </c:pt>
                <c:pt idx="2">
                  <c:v>0.49786256775010956</c:v>
                </c:pt>
                <c:pt idx="3">
                  <c:v>0.49977788941966678</c:v>
                </c:pt>
                <c:pt idx="4">
                  <c:v>0.50218915144856302</c:v>
                </c:pt>
              </c:numCache>
            </c:numRef>
          </c:val>
          <c:smooth val="0"/>
          <c:extLst xmlns:c16r2="http://schemas.microsoft.com/office/drawing/2015/06/chart">
            <c:ext xmlns:c16="http://schemas.microsoft.com/office/drawing/2014/chart" uri="{C3380CC4-5D6E-409C-BE32-E72D297353CC}">
              <c16:uniqueId val="{00000000-4A6C-4439-B7C5-DBFCB3101E82}"/>
            </c:ext>
          </c:extLst>
        </c:ser>
        <c:ser>
          <c:idx val="2"/>
          <c:order val="2"/>
          <c:tx>
            <c:strRef>
              <c:f>'Assumptions &amp; Results'!$A$231</c:f>
              <c:strCache>
                <c:ptCount val="1"/>
                <c:pt idx="0">
                  <c:v>Investor IRR</c:v>
                </c:pt>
              </c:strCache>
            </c:strRef>
          </c:tx>
          <c:cat>
            <c:numRef>
              <c:f>'Assumptions &amp; Results'!$C$228:$G$228</c:f>
              <c:numCache>
                <c:formatCode>0%</c:formatCode>
                <c:ptCount val="5"/>
                <c:pt idx="0">
                  <c:v>0.6</c:v>
                </c:pt>
                <c:pt idx="1">
                  <c:v>0.8</c:v>
                </c:pt>
                <c:pt idx="2">
                  <c:v>1</c:v>
                </c:pt>
                <c:pt idx="3">
                  <c:v>1.2</c:v>
                </c:pt>
                <c:pt idx="4">
                  <c:v>1.5</c:v>
                </c:pt>
              </c:numCache>
            </c:numRef>
          </c:cat>
          <c:val>
            <c:numRef>
              <c:f>'Assumptions &amp; Results'!$C$231:$G$231</c:f>
              <c:numCache>
                <c:formatCode>0%</c:formatCode>
                <c:ptCount val="5"/>
                <c:pt idx="0">
                  <c:v>0.11798091399099331</c:v>
                </c:pt>
                <c:pt idx="1">
                  <c:v>0.13535002442687349</c:v>
                </c:pt>
                <c:pt idx="2">
                  <c:v>0.1512861269408301</c:v>
                </c:pt>
                <c:pt idx="3">
                  <c:v>0.16620633967012144</c:v>
                </c:pt>
                <c:pt idx="4">
                  <c:v>0.18641995245214171</c:v>
                </c:pt>
              </c:numCache>
            </c:numRef>
          </c:val>
          <c:smooth val="0"/>
          <c:extLst xmlns:c16r2="http://schemas.microsoft.com/office/drawing/2015/06/chart">
            <c:ext xmlns:c16="http://schemas.microsoft.com/office/drawing/2014/chart" uri="{C3380CC4-5D6E-409C-BE32-E72D297353CC}">
              <c16:uniqueId val="{00000002-4A6C-4439-B7C5-DBFCB3101E82}"/>
            </c:ext>
          </c:extLst>
        </c:ser>
        <c:dLbls>
          <c:showLegendKey val="0"/>
          <c:showVal val="0"/>
          <c:showCatName val="0"/>
          <c:showSerName val="0"/>
          <c:showPercent val="0"/>
          <c:showBubbleSize val="0"/>
        </c:dLbls>
        <c:marker val="1"/>
        <c:smooth val="0"/>
        <c:axId val="60249600"/>
        <c:axId val="90451328"/>
      </c:lineChart>
      <c:lineChart>
        <c:grouping val="standard"/>
        <c:varyColors val="0"/>
        <c:ser>
          <c:idx val="1"/>
          <c:order val="1"/>
          <c:tx>
            <c:strRef>
              <c:f>'Assumptions &amp; Results'!$A$230</c:f>
              <c:strCache>
                <c:ptCount val="1"/>
                <c:pt idx="0">
                  <c:v>Government Take NPV</c:v>
                </c:pt>
              </c:strCache>
            </c:strRef>
          </c:tx>
          <c:cat>
            <c:numRef>
              <c:f>'Assumptions &amp; Results'!$C$228:$G$228</c:f>
              <c:numCache>
                <c:formatCode>0%</c:formatCode>
                <c:ptCount val="5"/>
                <c:pt idx="0">
                  <c:v>0.6</c:v>
                </c:pt>
                <c:pt idx="1">
                  <c:v>0.8</c:v>
                </c:pt>
                <c:pt idx="2">
                  <c:v>1</c:v>
                </c:pt>
                <c:pt idx="3">
                  <c:v>1.2</c:v>
                </c:pt>
                <c:pt idx="4">
                  <c:v>1.5</c:v>
                </c:pt>
              </c:numCache>
            </c:numRef>
          </c:cat>
          <c:val>
            <c:numRef>
              <c:f>'Assumptions &amp; Results'!$C$230:$G$230</c:f>
              <c:numCache>
                <c:formatCode>0.0</c:formatCode>
                <c:ptCount val="5"/>
                <c:pt idx="0">
                  <c:v>12587.234365578028</c:v>
                </c:pt>
                <c:pt idx="1">
                  <c:v>15271.641919452264</c:v>
                </c:pt>
                <c:pt idx="2">
                  <c:v>18132.426270082073</c:v>
                </c:pt>
                <c:pt idx="3">
                  <c:v>21080.712275003545</c:v>
                </c:pt>
                <c:pt idx="4">
                  <c:v>25709.73757951906</c:v>
                </c:pt>
              </c:numCache>
            </c:numRef>
          </c:val>
          <c:smooth val="0"/>
          <c:extLst xmlns:c16r2="http://schemas.microsoft.com/office/drawing/2015/06/chart">
            <c:ext xmlns:c16="http://schemas.microsoft.com/office/drawing/2014/chart" uri="{C3380CC4-5D6E-409C-BE32-E72D297353CC}">
              <c16:uniqueId val="{00000001-4A6C-4439-B7C5-DBFCB3101E82}"/>
            </c:ext>
          </c:extLst>
        </c:ser>
        <c:ser>
          <c:idx val="3"/>
          <c:order val="3"/>
          <c:tx>
            <c:strRef>
              <c:f>'Assumptions &amp; Results'!$A$232</c:f>
              <c:strCache>
                <c:ptCount val="1"/>
                <c:pt idx="0">
                  <c:v>Investor NPV</c:v>
                </c:pt>
              </c:strCache>
            </c:strRef>
          </c:tx>
          <c:cat>
            <c:numRef>
              <c:f>'Assumptions &amp; Results'!$C$228:$G$228</c:f>
              <c:numCache>
                <c:formatCode>0%</c:formatCode>
                <c:ptCount val="5"/>
                <c:pt idx="0">
                  <c:v>0.6</c:v>
                </c:pt>
                <c:pt idx="1">
                  <c:v>0.8</c:v>
                </c:pt>
                <c:pt idx="2">
                  <c:v>1</c:v>
                </c:pt>
                <c:pt idx="3">
                  <c:v>1.2</c:v>
                </c:pt>
                <c:pt idx="4">
                  <c:v>1.5</c:v>
                </c:pt>
              </c:numCache>
            </c:numRef>
          </c:cat>
          <c:val>
            <c:numRef>
              <c:f>'Assumptions &amp; Results'!$C$232:$G$232</c:f>
              <c:numCache>
                <c:formatCode>0.0</c:formatCode>
                <c:ptCount val="5"/>
                <c:pt idx="0">
                  <c:v>6269.1705347286052</c:v>
                </c:pt>
                <c:pt idx="1">
                  <c:v>9919.5022956184839</c:v>
                </c:pt>
                <c:pt idx="2">
                  <c:v>13393.457259752795</c:v>
                </c:pt>
                <c:pt idx="3">
                  <c:v>16779.910569595446</c:v>
                </c:pt>
                <c:pt idx="4">
                  <c:v>21652.994237226078</c:v>
                </c:pt>
              </c:numCache>
            </c:numRef>
          </c:val>
          <c:smooth val="0"/>
          <c:extLst xmlns:c16r2="http://schemas.microsoft.com/office/drawing/2015/06/chart">
            <c:ext xmlns:c16="http://schemas.microsoft.com/office/drawing/2014/chart" uri="{C3380CC4-5D6E-409C-BE32-E72D297353CC}">
              <c16:uniqueId val="{00000000-3F73-4485-934E-1D6DBF91F2C5}"/>
            </c:ext>
          </c:extLst>
        </c:ser>
        <c:dLbls>
          <c:showLegendKey val="0"/>
          <c:showVal val="0"/>
          <c:showCatName val="0"/>
          <c:showSerName val="0"/>
          <c:showPercent val="0"/>
          <c:showBubbleSize val="0"/>
        </c:dLbls>
        <c:marker val="1"/>
        <c:smooth val="0"/>
        <c:axId val="60250624"/>
        <c:axId val="90451904"/>
      </c:lineChart>
      <c:catAx>
        <c:axId val="60249600"/>
        <c:scaling>
          <c:orientation val="minMax"/>
        </c:scaling>
        <c:delete val="0"/>
        <c:axPos val="b"/>
        <c:title>
          <c:tx>
            <c:rich>
              <a:bodyPr/>
              <a:lstStyle/>
              <a:p>
                <a:pPr>
                  <a:defRPr/>
                </a:pPr>
                <a:r>
                  <a:rPr lang="en-US"/>
                  <a:t>Percentage of Base</a:t>
                </a:r>
                <a:r>
                  <a:rPr lang="en-US" baseline="0"/>
                  <a:t> Production</a:t>
                </a:r>
                <a:endParaRPr lang="en-US"/>
              </a:p>
            </c:rich>
          </c:tx>
          <c:overlay val="0"/>
        </c:title>
        <c:numFmt formatCode="0%" sourceLinked="1"/>
        <c:majorTickMark val="out"/>
        <c:minorTickMark val="none"/>
        <c:tickLblPos val="nextTo"/>
        <c:txPr>
          <a:bodyPr/>
          <a:lstStyle/>
          <a:p>
            <a:pPr>
              <a:defRPr b="1"/>
            </a:pPr>
            <a:endParaRPr lang="en-US"/>
          </a:p>
        </c:txPr>
        <c:crossAx val="90451328"/>
        <c:crosses val="autoZero"/>
        <c:auto val="1"/>
        <c:lblAlgn val="ctr"/>
        <c:lblOffset val="100"/>
        <c:noMultiLvlLbl val="0"/>
      </c:catAx>
      <c:valAx>
        <c:axId val="90451328"/>
        <c:scaling>
          <c:orientation val="minMax"/>
          <c:max val="0.7"/>
          <c:min val="0"/>
        </c:scaling>
        <c:delete val="0"/>
        <c:axPos val="l"/>
        <c:majorGridlines/>
        <c:title>
          <c:tx>
            <c:rich>
              <a:bodyPr rot="-5400000" vert="horz"/>
              <a:lstStyle/>
              <a:p>
                <a:pPr>
                  <a:defRPr/>
                </a:pPr>
                <a:r>
                  <a:rPr lang="en-US"/>
                  <a:t>IRR/</a:t>
                </a:r>
                <a:r>
                  <a:rPr lang="en-US" baseline="0"/>
                  <a:t> Govt Take</a:t>
                </a:r>
                <a:endParaRPr lang="en-US"/>
              </a:p>
            </c:rich>
          </c:tx>
          <c:overlay val="0"/>
        </c:title>
        <c:numFmt formatCode="0%" sourceLinked="1"/>
        <c:majorTickMark val="out"/>
        <c:minorTickMark val="none"/>
        <c:tickLblPos val="nextTo"/>
        <c:txPr>
          <a:bodyPr/>
          <a:lstStyle/>
          <a:p>
            <a:pPr>
              <a:defRPr b="1"/>
            </a:pPr>
            <a:endParaRPr lang="en-US"/>
          </a:p>
        </c:txPr>
        <c:crossAx val="60249600"/>
        <c:crosses val="autoZero"/>
        <c:crossBetween val="between"/>
        <c:majorUnit val="0.1"/>
      </c:valAx>
      <c:valAx>
        <c:axId val="90451904"/>
        <c:scaling>
          <c:orientation val="minMax"/>
        </c:scaling>
        <c:delete val="0"/>
        <c:axPos val="r"/>
        <c:title>
          <c:tx>
            <c:rich>
              <a:bodyPr rot="-5400000" vert="horz"/>
              <a:lstStyle/>
              <a:p>
                <a:pPr>
                  <a:defRPr/>
                </a:pPr>
                <a:r>
                  <a:rPr lang="en-US"/>
                  <a:t>NPV (US$)</a:t>
                </a:r>
              </a:p>
            </c:rich>
          </c:tx>
          <c:overlay val="0"/>
        </c:title>
        <c:numFmt formatCode="0.0" sourceLinked="1"/>
        <c:majorTickMark val="out"/>
        <c:minorTickMark val="none"/>
        <c:tickLblPos val="nextTo"/>
        <c:txPr>
          <a:bodyPr/>
          <a:lstStyle/>
          <a:p>
            <a:pPr>
              <a:defRPr b="1"/>
            </a:pPr>
            <a:endParaRPr lang="en-US"/>
          </a:p>
        </c:txPr>
        <c:crossAx val="60250624"/>
        <c:crosses val="max"/>
        <c:crossBetween val="between"/>
      </c:valAx>
      <c:catAx>
        <c:axId val="60250624"/>
        <c:scaling>
          <c:orientation val="minMax"/>
        </c:scaling>
        <c:delete val="1"/>
        <c:axPos val="b"/>
        <c:numFmt formatCode="0%" sourceLinked="1"/>
        <c:majorTickMark val="out"/>
        <c:minorTickMark val="none"/>
        <c:tickLblPos val="nextTo"/>
        <c:crossAx val="90451904"/>
        <c:crosses val="autoZero"/>
        <c:auto val="1"/>
        <c:lblAlgn val="ctr"/>
        <c:lblOffset val="100"/>
        <c:noMultiLvlLbl val="0"/>
      </c:catAx>
    </c:plotArea>
    <c:legend>
      <c:legendPos val="r"/>
      <c:overlay val="0"/>
      <c:txPr>
        <a:bodyPr/>
        <a:lstStyle/>
        <a:p>
          <a:pPr>
            <a:defRPr b="1"/>
          </a:pPr>
          <a:endParaRPr lang="en-US"/>
        </a:p>
      </c:txPr>
    </c:legend>
    <c:plotVisOnly val="1"/>
    <c:dispBlanksAs val="gap"/>
    <c:showDLblsOverMax val="0"/>
  </c:chart>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Impact of LNG FOB</a:t>
            </a:r>
            <a:r>
              <a:rPr lang="en-US" baseline="0"/>
              <a:t> Prices</a:t>
            </a:r>
            <a:endParaRPr lang="en-US"/>
          </a:p>
        </c:rich>
      </c:tx>
      <c:overlay val="0"/>
    </c:title>
    <c:autoTitleDeleted val="0"/>
    <c:plotArea>
      <c:layout/>
      <c:lineChart>
        <c:grouping val="standard"/>
        <c:varyColors val="0"/>
        <c:ser>
          <c:idx val="0"/>
          <c:order val="0"/>
          <c:tx>
            <c:strRef>
              <c:f>'Assumptions &amp; Results'!$A$236</c:f>
              <c:strCache>
                <c:ptCount val="1"/>
                <c:pt idx="0">
                  <c:v>Government Take (%)</c:v>
                </c:pt>
              </c:strCache>
            </c:strRef>
          </c:tx>
          <c:cat>
            <c:numRef>
              <c:f>'Assumptions &amp; Results'!$C$235:$G$235</c:f>
              <c:numCache>
                <c:formatCode>0%</c:formatCode>
                <c:ptCount val="5"/>
                <c:pt idx="0">
                  <c:v>0.6</c:v>
                </c:pt>
                <c:pt idx="1">
                  <c:v>0.8</c:v>
                </c:pt>
                <c:pt idx="2">
                  <c:v>1</c:v>
                </c:pt>
                <c:pt idx="3">
                  <c:v>1.2</c:v>
                </c:pt>
                <c:pt idx="4">
                  <c:v>1.5</c:v>
                </c:pt>
              </c:numCache>
            </c:numRef>
          </c:cat>
          <c:val>
            <c:numRef>
              <c:f>'Assumptions &amp; Results'!$C$236:$G$236</c:f>
              <c:numCache>
                <c:formatCode>0%</c:formatCode>
                <c:ptCount val="5"/>
                <c:pt idx="0">
                  <c:v>#N/A</c:v>
                </c:pt>
                <c:pt idx="1">
                  <c:v>0.39687351189175069</c:v>
                </c:pt>
                <c:pt idx="2">
                  <c:v>0.49786256775010956</c:v>
                </c:pt>
                <c:pt idx="3">
                  <c:v>0.55758909294214654</c:v>
                </c:pt>
                <c:pt idx="4">
                  <c:v>0.60483759939395088</c:v>
                </c:pt>
              </c:numCache>
            </c:numRef>
          </c:val>
          <c:smooth val="0"/>
          <c:extLst xmlns:c16r2="http://schemas.microsoft.com/office/drawing/2015/06/chart">
            <c:ext xmlns:c16="http://schemas.microsoft.com/office/drawing/2014/chart" uri="{C3380CC4-5D6E-409C-BE32-E72D297353CC}">
              <c16:uniqueId val="{00000000-2959-4133-BB53-C3F3377E0E54}"/>
            </c:ext>
          </c:extLst>
        </c:ser>
        <c:ser>
          <c:idx val="2"/>
          <c:order val="2"/>
          <c:tx>
            <c:strRef>
              <c:f>'Assumptions &amp; Results'!$A$238</c:f>
              <c:strCache>
                <c:ptCount val="1"/>
                <c:pt idx="0">
                  <c:v>Investor IRR</c:v>
                </c:pt>
              </c:strCache>
            </c:strRef>
          </c:tx>
          <c:cat>
            <c:numRef>
              <c:f>'Assumptions &amp; Results'!$C$235:$G$235</c:f>
              <c:numCache>
                <c:formatCode>0%</c:formatCode>
                <c:ptCount val="5"/>
                <c:pt idx="0">
                  <c:v>0.6</c:v>
                </c:pt>
                <c:pt idx="1">
                  <c:v>0.8</c:v>
                </c:pt>
                <c:pt idx="2">
                  <c:v>1</c:v>
                </c:pt>
                <c:pt idx="3">
                  <c:v>1.2</c:v>
                </c:pt>
                <c:pt idx="4">
                  <c:v>1.5</c:v>
                </c:pt>
              </c:numCache>
            </c:numRef>
          </c:cat>
          <c:val>
            <c:numRef>
              <c:f>'Assumptions &amp; Results'!$C$238:$G$238</c:f>
              <c:numCache>
                <c:formatCode>0%</c:formatCode>
                <c:ptCount val="5"/>
                <c:pt idx="0">
                  <c:v>0</c:v>
                </c:pt>
                <c:pt idx="1">
                  <c:v>0.11922299885632892</c:v>
                </c:pt>
                <c:pt idx="2">
                  <c:v>0.1512861269408301</c:v>
                </c:pt>
                <c:pt idx="3">
                  <c:v>0.17562732932146141</c:v>
                </c:pt>
                <c:pt idx="4">
                  <c:v>0.20792388037231158</c:v>
                </c:pt>
              </c:numCache>
            </c:numRef>
          </c:val>
          <c:smooth val="0"/>
          <c:extLst xmlns:c16r2="http://schemas.microsoft.com/office/drawing/2015/06/chart">
            <c:ext xmlns:c16="http://schemas.microsoft.com/office/drawing/2014/chart" uri="{C3380CC4-5D6E-409C-BE32-E72D297353CC}">
              <c16:uniqueId val="{00000002-2959-4133-BB53-C3F3377E0E54}"/>
            </c:ext>
          </c:extLst>
        </c:ser>
        <c:dLbls>
          <c:showLegendKey val="0"/>
          <c:showVal val="0"/>
          <c:showCatName val="0"/>
          <c:showSerName val="0"/>
          <c:showPercent val="0"/>
          <c:showBubbleSize val="0"/>
        </c:dLbls>
        <c:marker val="1"/>
        <c:smooth val="0"/>
        <c:axId val="60251648"/>
        <c:axId val="90454208"/>
      </c:lineChart>
      <c:lineChart>
        <c:grouping val="standard"/>
        <c:varyColors val="0"/>
        <c:ser>
          <c:idx val="1"/>
          <c:order val="1"/>
          <c:tx>
            <c:strRef>
              <c:f>'Assumptions &amp; Results'!$A$237</c:f>
              <c:strCache>
                <c:ptCount val="1"/>
                <c:pt idx="0">
                  <c:v>Government Take NPV</c:v>
                </c:pt>
              </c:strCache>
            </c:strRef>
          </c:tx>
          <c:cat>
            <c:numRef>
              <c:f>'Assumptions &amp; Results'!$C$235:$G$235</c:f>
              <c:numCache>
                <c:formatCode>0%</c:formatCode>
                <c:ptCount val="5"/>
                <c:pt idx="0">
                  <c:v>0.6</c:v>
                </c:pt>
                <c:pt idx="1">
                  <c:v>0.8</c:v>
                </c:pt>
                <c:pt idx="2">
                  <c:v>1</c:v>
                </c:pt>
                <c:pt idx="3">
                  <c:v>1.2</c:v>
                </c:pt>
                <c:pt idx="4">
                  <c:v>1.5</c:v>
                </c:pt>
              </c:numCache>
            </c:numRef>
          </c:cat>
          <c:val>
            <c:numRef>
              <c:f>'Assumptions &amp; Results'!$C$237:$G$237</c:f>
              <c:numCache>
                <c:formatCode>0.0</c:formatCode>
                <c:ptCount val="5"/>
                <c:pt idx="0">
                  <c:v>#N/A</c:v>
                </c:pt>
                <c:pt idx="1">
                  <c:v>9877.1934567109565</c:v>
                </c:pt>
                <c:pt idx="2">
                  <c:v>18132.426270082073</c:v>
                </c:pt>
                <c:pt idx="3">
                  <c:v>27949.41755138501</c:v>
                </c:pt>
                <c:pt idx="4">
                  <c:v>43084.283936702712</c:v>
                </c:pt>
              </c:numCache>
            </c:numRef>
          </c:val>
          <c:smooth val="0"/>
          <c:extLst xmlns:c16r2="http://schemas.microsoft.com/office/drawing/2015/06/chart">
            <c:ext xmlns:c16="http://schemas.microsoft.com/office/drawing/2014/chart" uri="{C3380CC4-5D6E-409C-BE32-E72D297353CC}">
              <c16:uniqueId val="{00000001-2959-4133-BB53-C3F3377E0E54}"/>
            </c:ext>
          </c:extLst>
        </c:ser>
        <c:ser>
          <c:idx val="3"/>
          <c:order val="3"/>
          <c:tx>
            <c:strRef>
              <c:f>'Assumptions &amp; Results'!$A$239</c:f>
              <c:strCache>
                <c:ptCount val="1"/>
                <c:pt idx="0">
                  <c:v>Investor NPV</c:v>
                </c:pt>
              </c:strCache>
            </c:strRef>
          </c:tx>
          <c:cat>
            <c:numRef>
              <c:f>'Assumptions &amp; Results'!$C$235:$G$235</c:f>
              <c:numCache>
                <c:formatCode>0%</c:formatCode>
                <c:ptCount val="5"/>
                <c:pt idx="0">
                  <c:v>0.6</c:v>
                </c:pt>
                <c:pt idx="1">
                  <c:v>0.8</c:v>
                </c:pt>
                <c:pt idx="2">
                  <c:v>1</c:v>
                </c:pt>
                <c:pt idx="3">
                  <c:v>1.2</c:v>
                </c:pt>
                <c:pt idx="4">
                  <c:v>1.5</c:v>
                </c:pt>
              </c:numCache>
            </c:numRef>
          </c:cat>
          <c:val>
            <c:numRef>
              <c:f>'Assumptions &amp; Results'!$C$239:$G$239</c:f>
              <c:numCache>
                <c:formatCode>0.0</c:formatCode>
                <c:ptCount val="5"/>
                <c:pt idx="0">
                  <c:v>#N/A</c:v>
                </c:pt>
                <c:pt idx="1">
                  <c:v>7048.9437999694974</c:v>
                </c:pt>
                <c:pt idx="2">
                  <c:v>13393.457259752795</c:v>
                </c:pt>
                <c:pt idx="3">
                  <c:v>18176.212251604262</c:v>
                </c:pt>
                <c:pt idx="4">
                  <c:v>24940.965276018171</c:v>
                </c:pt>
              </c:numCache>
            </c:numRef>
          </c:val>
          <c:smooth val="0"/>
          <c:extLst xmlns:c16r2="http://schemas.microsoft.com/office/drawing/2015/06/chart">
            <c:ext xmlns:c16="http://schemas.microsoft.com/office/drawing/2014/chart" uri="{C3380CC4-5D6E-409C-BE32-E72D297353CC}">
              <c16:uniqueId val="{00000000-E692-489C-8C23-100CE6C25587}"/>
            </c:ext>
          </c:extLst>
        </c:ser>
        <c:dLbls>
          <c:showLegendKey val="0"/>
          <c:showVal val="0"/>
          <c:showCatName val="0"/>
          <c:showSerName val="0"/>
          <c:showPercent val="0"/>
          <c:showBubbleSize val="0"/>
        </c:dLbls>
        <c:marker val="1"/>
        <c:smooth val="0"/>
        <c:axId val="95707648"/>
        <c:axId val="90454784"/>
      </c:lineChart>
      <c:catAx>
        <c:axId val="60251648"/>
        <c:scaling>
          <c:orientation val="minMax"/>
        </c:scaling>
        <c:delete val="0"/>
        <c:axPos val="b"/>
        <c:title>
          <c:tx>
            <c:rich>
              <a:bodyPr/>
              <a:lstStyle/>
              <a:p>
                <a:pPr>
                  <a:defRPr/>
                </a:pPr>
                <a:r>
                  <a:rPr lang="en-US"/>
                  <a:t>Percentage of Base</a:t>
                </a:r>
                <a:r>
                  <a:rPr lang="en-US" baseline="0"/>
                  <a:t> Price</a:t>
                </a:r>
                <a:endParaRPr lang="en-US"/>
              </a:p>
            </c:rich>
          </c:tx>
          <c:overlay val="0"/>
        </c:title>
        <c:numFmt formatCode="0%" sourceLinked="1"/>
        <c:majorTickMark val="out"/>
        <c:minorTickMark val="none"/>
        <c:tickLblPos val="nextTo"/>
        <c:txPr>
          <a:bodyPr/>
          <a:lstStyle/>
          <a:p>
            <a:pPr>
              <a:defRPr b="1"/>
            </a:pPr>
            <a:endParaRPr lang="en-US"/>
          </a:p>
        </c:txPr>
        <c:crossAx val="90454208"/>
        <c:crosses val="autoZero"/>
        <c:auto val="1"/>
        <c:lblAlgn val="ctr"/>
        <c:lblOffset val="100"/>
        <c:noMultiLvlLbl val="0"/>
      </c:catAx>
      <c:valAx>
        <c:axId val="90454208"/>
        <c:scaling>
          <c:orientation val="minMax"/>
          <c:max val="0.7"/>
          <c:min val="0"/>
        </c:scaling>
        <c:delete val="0"/>
        <c:axPos val="l"/>
        <c:majorGridlines/>
        <c:title>
          <c:tx>
            <c:rich>
              <a:bodyPr rot="-5400000" vert="horz"/>
              <a:lstStyle/>
              <a:p>
                <a:pPr>
                  <a:defRPr/>
                </a:pPr>
                <a:r>
                  <a:rPr lang="en-US"/>
                  <a:t>IRR/</a:t>
                </a:r>
                <a:r>
                  <a:rPr lang="en-US" baseline="0"/>
                  <a:t> Govt Take</a:t>
                </a:r>
                <a:endParaRPr lang="en-US"/>
              </a:p>
            </c:rich>
          </c:tx>
          <c:overlay val="0"/>
        </c:title>
        <c:numFmt formatCode="0%" sourceLinked="1"/>
        <c:majorTickMark val="out"/>
        <c:minorTickMark val="none"/>
        <c:tickLblPos val="nextTo"/>
        <c:txPr>
          <a:bodyPr/>
          <a:lstStyle/>
          <a:p>
            <a:pPr>
              <a:defRPr b="1"/>
            </a:pPr>
            <a:endParaRPr lang="en-US"/>
          </a:p>
        </c:txPr>
        <c:crossAx val="60251648"/>
        <c:crosses val="autoZero"/>
        <c:crossBetween val="between"/>
        <c:majorUnit val="0.1"/>
      </c:valAx>
      <c:valAx>
        <c:axId val="90454784"/>
        <c:scaling>
          <c:orientation val="minMax"/>
        </c:scaling>
        <c:delete val="0"/>
        <c:axPos val="r"/>
        <c:title>
          <c:tx>
            <c:rich>
              <a:bodyPr rot="-5400000" vert="horz"/>
              <a:lstStyle/>
              <a:p>
                <a:pPr>
                  <a:defRPr/>
                </a:pPr>
                <a:r>
                  <a:rPr lang="en-US" sz="1000" b="1" i="0" baseline="0">
                    <a:effectLst/>
                  </a:rPr>
                  <a:t>NPV (US$)</a:t>
                </a:r>
                <a:endParaRPr lang="en-US" sz="1000">
                  <a:effectLst/>
                </a:endParaRPr>
              </a:p>
            </c:rich>
          </c:tx>
          <c:overlay val="0"/>
        </c:title>
        <c:numFmt formatCode="0.0" sourceLinked="1"/>
        <c:majorTickMark val="out"/>
        <c:minorTickMark val="none"/>
        <c:tickLblPos val="nextTo"/>
        <c:txPr>
          <a:bodyPr/>
          <a:lstStyle/>
          <a:p>
            <a:pPr>
              <a:defRPr b="1"/>
            </a:pPr>
            <a:endParaRPr lang="en-US"/>
          </a:p>
        </c:txPr>
        <c:crossAx val="95707648"/>
        <c:crosses val="max"/>
        <c:crossBetween val="between"/>
      </c:valAx>
      <c:catAx>
        <c:axId val="95707648"/>
        <c:scaling>
          <c:orientation val="minMax"/>
        </c:scaling>
        <c:delete val="1"/>
        <c:axPos val="b"/>
        <c:numFmt formatCode="0%" sourceLinked="1"/>
        <c:majorTickMark val="out"/>
        <c:minorTickMark val="none"/>
        <c:tickLblPos val="nextTo"/>
        <c:crossAx val="90454784"/>
        <c:crosses val="autoZero"/>
        <c:auto val="1"/>
        <c:lblAlgn val="ctr"/>
        <c:lblOffset val="100"/>
        <c:noMultiLvlLbl val="0"/>
      </c:catAx>
    </c:plotArea>
    <c:legend>
      <c:legendPos val="r"/>
      <c:overlay val="0"/>
      <c:txPr>
        <a:bodyPr/>
        <a:lstStyle/>
        <a:p>
          <a:pPr>
            <a:defRPr b="1"/>
          </a:pPr>
          <a:endParaRPr lang="en-US"/>
        </a:p>
      </c:txPr>
    </c:legend>
    <c:plotVisOnly val="1"/>
    <c:dispBlanksAs val="gap"/>
    <c:showDLblsOverMax val="0"/>
  </c:chart>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Impact of Tolling fees</a:t>
            </a:r>
          </a:p>
        </c:rich>
      </c:tx>
      <c:overlay val="0"/>
    </c:title>
    <c:autoTitleDeleted val="0"/>
    <c:plotArea>
      <c:layout/>
      <c:lineChart>
        <c:grouping val="standard"/>
        <c:varyColors val="0"/>
        <c:ser>
          <c:idx val="0"/>
          <c:order val="0"/>
          <c:tx>
            <c:strRef>
              <c:f>'Assumptions &amp; Results'!$A$243</c:f>
              <c:strCache>
                <c:ptCount val="1"/>
                <c:pt idx="0">
                  <c:v>Government Take (%)</c:v>
                </c:pt>
              </c:strCache>
            </c:strRef>
          </c:tx>
          <c:cat>
            <c:numRef>
              <c:f>'Assumptions &amp; Results'!$C$242:$G$242</c:f>
              <c:numCache>
                <c:formatCode>0%</c:formatCode>
                <c:ptCount val="5"/>
                <c:pt idx="0">
                  <c:v>0.6</c:v>
                </c:pt>
                <c:pt idx="1">
                  <c:v>0.8</c:v>
                </c:pt>
                <c:pt idx="2">
                  <c:v>1</c:v>
                </c:pt>
                <c:pt idx="3">
                  <c:v>1.2</c:v>
                </c:pt>
                <c:pt idx="4">
                  <c:v>1.5</c:v>
                </c:pt>
              </c:numCache>
            </c:numRef>
          </c:cat>
          <c:val>
            <c:numRef>
              <c:f>'Assumptions &amp; Results'!$C$243:$G$243</c:f>
              <c:numCache>
                <c:formatCode>0%</c:formatCode>
                <c:ptCount val="5"/>
                <c:pt idx="0">
                  <c:v>0.62758164706371156</c:v>
                </c:pt>
                <c:pt idx="1">
                  <c:v>0.56172372393829773</c:v>
                </c:pt>
                <c:pt idx="2">
                  <c:v>0.49786256775010956</c:v>
                </c:pt>
                <c:pt idx="3">
                  <c:v>0.43318376919446383</c:v>
                </c:pt>
                <c:pt idx="4">
                  <c:v>0.36611057148576498</c:v>
                </c:pt>
              </c:numCache>
            </c:numRef>
          </c:val>
          <c:smooth val="0"/>
          <c:extLst xmlns:c16r2="http://schemas.microsoft.com/office/drawing/2015/06/chart">
            <c:ext xmlns:c16="http://schemas.microsoft.com/office/drawing/2014/chart" uri="{C3380CC4-5D6E-409C-BE32-E72D297353CC}">
              <c16:uniqueId val="{00000000-63CE-493C-A5B4-4D85621681B5}"/>
            </c:ext>
          </c:extLst>
        </c:ser>
        <c:ser>
          <c:idx val="2"/>
          <c:order val="2"/>
          <c:tx>
            <c:strRef>
              <c:f>'Assumptions &amp; Results'!$A$245</c:f>
              <c:strCache>
                <c:ptCount val="1"/>
                <c:pt idx="0">
                  <c:v>Investor IRR</c:v>
                </c:pt>
              </c:strCache>
            </c:strRef>
          </c:tx>
          <c:cat>
            <c:numRef>
              <c:f>'Assumptions &amp; Results'!$C$242:$G$242</c:f>
              <c:numCache>
                <c:formatCode>0%</c:formatCode>
                <c:ptCount val="5"/>
                <c:pt idx="0">
                  <c:v>0.6</c:v>
                </c:pt>
                <c:pt idx="1">
                  <c:v>0.8</c:v>
                </c:pt>
                <c:pt idx="2">
                  <c:v>1</c:v>
                </c:pt>
                <c:pt idx="3">
                  <c:v>1.2</c:v>
                </c:pt>
                <c:pt idx="4">
                  <c:v>1.5</c:v>
                </c:pt>
              </c:numCache>
            </c:numRef>
          </c:cat>
          <c:val>
            <c:numRef>
              <c:f>'Assumptions &amp; Results'!$C$245:$G$245</c:f>
              <c:numCache>
                <c:formatCode>0%</c:formatCode>
                <c:ptCount val="5"/>
                <c:pt idx="0">
                  <c:v>0.12864715270767713</c:v>
                </c:pt>
                <c:pt idx="1">
                  <c:v>0.14229854789550966</c:v>
                </c:pt>
                <c:pt idx="2">
                  <c:v>0.1512861269408301</c:v>
                </c:pt>
                <c:pt idx="3">
                  <c:v>0.15673973551675391</c:v>
                </c:pt>
                <c:pt idx="4">
                  <c:v>0.15604931304938097</c:v>
                </c:pt>
              </c:numCache>
            </c:numRef>
          </c:val>
          <c:smooth val="0"/>
          <c:extLst xmlns:c16r2="http://schemas.microsoft.com/office/drawing/2015/06/chart">
            <c:ext xmlns:c16="http://schemas.microsoft.com/office/drawing/2014/chart" uri="{C3380CC4-5D6E-409C-BE32-E72D297353CC}">
              <c16:uniqueId val="{00000002-63CE-493C-A5B4-4D85621681B5}"/>
            </c:ext>
          </c:extLst>
        </c:ser>
        <c:dLbls>
          <c:showLegendKey val="0"/>
          <c:showVal val="0"/>
          <c:showCatName val="0"/>
          <c:showSerName val="0"/>
          <c:showPercent val="0"/>
          <c:showBubbleSize val="0"/>
        </c:dLbls>
        <c:marker val="1"/>
        <c:smooth val="0"/>
        <c:axId val="95708672"/>
        <c:axId val="90555520"/>
      </c:lineChart>
      <c:lineChart>
        <c:grouping val="standard"/>
        <c:varyColors val="0"/>
        <c:ser>
          <c:idx val="1"/>
          <c:order val="1"/>
          <c:tx>
            <c:strRef>
              <c:f>'Assumptions &amp; Results'!$A$244</c:f>
              <c:strCache>
                <c:ptCount val="1"/>
                <c:pt idx="0">
                  <c:v>Government Take NPV</c:v>
                </c:pt>
              </c:strCache>
            </c:strRef>
          </c:tx>
          <c:cat>
            <c:numRef>
              <c:f>'Assumptions &amp; Results'!$C$242:$G$242</c:f>
              <c:numCache>
                <c:formatCode>0%</c:formatCode>
                <c:ptCount val="5"/>
                <c:pt idx="0">
                  <c:v>0.6</c:v>
                </c:pt>
                <c:pt idx="1">
                  <c:v>0.8</c:v>
                </c:pt>
                <c:pt idx="2">
                  <c:v>1</c:v>
                </c:pt>
                <c:pt idx="3">
                  <c:v>1.2</c:v>
                </c:pt>
                <c:pt idx="4">
                  <c:v>1.5</c:v>
                </c:pt>
              </c:numCache>
            </c:numRef>
          </c:cat>
          <c:val>
            <c:numRef>
              <c:f>'Assumptions &amp; Results'!$C$244:$G$244</c:f>
              <c:numCache>
                <c:formatCode>0.0</c:formatCode>
                <c:ptCount val="5"/>
                <c:pt idx="0">
                  <c:v>23661.738087908197</c:v>
                </c:pt>
                <c:pt idx="1">
                  <c:v>20615.913732807549</c:v>
                </c:pt>
                <c:pt idx="2">
                  <c:v>18132.426270082073</c:v>
                </c:pt>
                <c:pt idx="3">
                  <c:v>16039.789949618844</c:v>
                </c:pt>
                <c:pt idx="4">
                  <c:v>14842.286787651221</c:v>
                </c:pt>
              </c:numCache>
            </c:numRef>
          </c:val>
          <c:smooth val="0"/>
          <c:extLst xmlns:c16r2="http://schemas.microsoft.com/office/drawing/2015/06/chart">
            <c:ext xmlns:c16="http://schemas.microsoft.com/office/drawing/2014/chart" uri="{C3380CC4-5D6E-409C-BE32-E72D297353CC}">
              <c16:uniqueId val="{00000001-63CE-493C-A5B4-4D85621681B5}"/>
            </c:ext>
          </c:extLst>
        </c:ser>
        <c:ser>
          <c:idx val="3"/>
          <c:order val="3"/>
          <c:tx>
            <c:strRef>
              <c:f>'Assumptions &amp; Results'!$A$246</c:f>
              <c:strCache>
                <c:ptCount val="1"/>
                <c:pt idx="0">
                  <c:v>Investor NPV</c:v>
                </c:pt>
              </c:strCache>
            </c:strRef>
          </c:tx>
          <c:cat>
            <c:numRef>
              <c:f>'Assumptions &amp; Results'!$C$242:$G$242</c:f>
              <c:numCache>
                <c:formatCode>0%</c:formatCode>
                <c:ptCount val="5"/>
                <c:pt idx="0">
                  <c:v>0.6</c:v>
                </c:pt>
                <c:pt idx="1">
                  <c:v>0.8</c:v>
                </c:pt>
                <c:pt idx="2">
                  <c:v>1</c:v>
                </c:pt>
                <c:pt idx="3">
                  <c:v>1.2</c:v>
                </c:pt>
                <c:pt idx="4">
                  <c:v>1.5</c:v>
                </c:pt>
              </c:numCache>
            </c:numRef>
          </c:cat>
          <c:val>
            <c:numRef>
              <c:f>'Assumptions &amp; Results'!$C$246:$G$246</c:f>
              <c:numCache>
                <c:formatCode>0.0</c:formatCode>
                <c:ptCount val="5"/>
                <c:pt idx="0">
                  <c:v>7864.1454419266629</c:v>
                </c:pt>
                <c:pt idx="1">
                  <c:v>10909.969797027314</c:v>
                </c:pt>
                <c:pt idx="2">
                  <c:v>13393.457259752795</c:v>
                </c:pt>
                <c:pt idx="3">
                  <c:v>15486.09358021602</c:v>
                </c:pt>
                <c:pt idx="4">
                  <c:v>16683.596742183647</c:v>
                </c:pt>
              </c:numCache>
            </c:numRef>
          </c:val>
          <c:smooth val="0"/>
          <c:extLst xmlns:c16r2="http://schemas.microsoft.com/office/drawing/2015/06/chart">
            <c:ext xmlns:c16="http://schemas.microsoft.com/office/drawing/2014/chart" uri="{C3380CC4-5D6E-409C-BE32-E72D297353CC}">
              <c16:uniqueId val="{00000000-2D92-43C8-A25E-42A22E130375}"/>
            </c:ext>
          </c:extLst>
        </c:ser>
        <c:dLbls>
          <c:showLegendKey val="0"/>
          <c:showVal val="0"/>
          <c:showCatName val="0"/>
          <c:showSerName val="0"/>
          <c:showPercent val="0"/>
          <c:showBubbleSize val="0"/>
        </c:dLbls>
        <c:marker val="1"/>
        <c:smooth val="0"/>
        <c:axId val="95709696"/>
        <c:axId val="90556096"/>
      </c:lineChart>
      <c:catAx>
        <c:axId val="95708672"/>
        <c:scaling>
          <c:orientation val="minMax"/>
        </c:scaling>
        <c:delete val="0"/>
        <c:axPos val="b"/>
        <c:title>
          <c:tx>
            <c:rich>
              <a:bodyPr/>
              <a:lstStyle/>
              <a:p>
                <a:pPr>
                  <a:defRPr/>
                </a:pPr>
                <a:r>
                  <a:rPr lang="en-US"/>
                  <a:t>Percentage of Base</a:t>
                </a:r>
                <a:r>
                  <a:rPr lang="en-US" baseline="0"/>
                  <a:t> Tolling fee</a:t>
                </a:r>
                <a:endParaRPr lang="en-US"/>
              </a:p>
            </c:rich>
          </c:tx>
          <c:overlay val="0"/>
        </c:title>
        <c:numFmt formatCode="0%" sourceLinked="1"/>
        <c:majorTickMark val="out"/>
        <c:minorTickMark val="none"/>
        <c:tickLblPos val="nextTo"/>
        <c:txPr>
          <a:bodyPr/>
          <a:lstStyle/>
          <a:p>
            <a:pPr>
              <a:defRPr b="1"/>
            </a:pPr>
            <a:endParaRPr lang="en-US"/>
          </a:p>
        </c:txPr>
        <c:crossAx val="90555520"/>
        <c:crosses val="autoZero"/>
        <c:auto val="1"/>
        <c:lblAlgn val="ctr"/>
        <c:lblOffset val="100"/>
        <c:noMultiLvlLbl val="0"/>
      </c:catAx>
      <c:valAx>
        <c:axId val="90555520"/>
        <c:scaling>
          <c:orientation val="minMax"/>
          <c:max val="0.7"/>
          <c:min val="0"/>
        </c:scaling>
        <c:delete val="0"/>
        <c:axPos val="l"/>
        <c:majorGridlines/>
        <c:title>
          <c:tx>
            <c:rich>
              <a:bodyPr rot="-5400000" vert="horz"/>
              <a:lstStyle/>
              <a:p>
                <a:pPr>
                  <a:defRPr/>
                </a:pPr>
                <a:r>
                  <a:rPr lang="en-US"/>
                  <a:t>IRR/</a:t>
                </a:r>
                <a:r>
                  <a:rPr lang="en-US" baseline="0"/>
                  <a:t> Govt Take</a:t>
                </a:r>
                <a:endParaRPr lang="en-US"/>
              </a:p>
            </c:rich>
          </c:tx>
          <c:overlay val="0"/>
        </c:title>
        <c:numFmt formatCode="0%" sourceLinked="1"/>
        <c:majorTickMark val="out"/>
        <c:minorTickMark val="none"/>
        <c:tickLblPos val="nextTo"/>
        <c:txPr>
          <a:bodyPr/>
          <a:lstStyle/>
          <a:p>
            <a:pPr>
              <a:defRPr b="1"/>
            </a:pPr>
            <a:endParaRPr lang="en-US"/>
          </a:p>
        </c:txPr>
        <c:crossAx val="95708672"/>
        <c:crosses val="autoZero"/>
        <c:crossBetween val="between"/>
        <c:majorUnit val="0.1"/>
      </c:valAx>
      <c:valAx>
        <c:axId val="90556096"/>
        <c:scaling>
          <c:orientation val="minMax"/>
        </c:scaling>
        <c:delete val="0"/>
        <c:axPos val="r"/>
        <c:title>
          <c:tx>
            <c:rich>
              <a:bodyPr rot="-5400000" vert="horz"/>
              <a:lstStyle/>
              <a:p>
                <a:pPr>
                  <a:defRPr/>
                </a:pPr>
                <a:r>
                  <a:rPr lang="en-US" sz="1000" b="1" i="0" baseline="0">
                    <a:effectLst/>
                  </a:rPr>
                  <a:t>NPV (US$)</a:t>
                </a:r>
                <a:endParaRPr lang="en-US" sz="1000">
                  <a:effectLst/>
                </a:endParaRPr>
              </a:p>
            </c:rich>
          </c:tx>
          <c:overlay val="0"/>
        </c:title>
        <c:numFmt formatCode="0.0" sourceLinked="1"/>
        <c:majorTickMark val="out"/>
        <c:minorTickMark val="none"/>
        <c:tickLblPos val="nextTo"/>
        <c:txPr>
          <a:bodyPr/>
          <a:lstStyle/>
          <a:p>
            <a:pPr>
              <a:defRPr b="1"/>
            </a:pPr>
            <a:endParaRPr lang="en-US"/>
          </a:p>
        </c:txPr>
        <c:crossAx val="95709696"/>
        <c:crosses val="max"/>
        <c:crossBetween val="between"/>
      </c:valAx>
      <c:catAx>
        <c:axId val="95709696"/>
        <c:scaling>
          <c:orientation val="minMax"/>
        </c:scaling>
        <c:delete val="1"/>
        <c:axPos val="b"/>
        <c:numFmt formatCode="0%" sourceLinked="1"/>
        <c:majorTickMark val="out"/>
        <c:minorTickMark val="none"/>
        <c:tickLblPos val="nextTo"/>
        <c:crossAx val="90556096"/>
        <c:crosses val="autoZero"/>
        <c:auto val="1"/>
        <c:lblAlgn val="ctr"/>
        <c:lblOffset val="100"/>
        <c:noMultiLvlLbl val="0"/>
      </c:catAx>
    </c:plotArea>
    <c:legend>
      <c:legendPos val="r"/>
      <c:overlay val="0"/>
      <c:txPr>
        <a:bodyPr/>
        <a:lstStyle/>
        <a:p>
          <a:pPr>
            <a:defRPr b="1"/>
          </a:pPr>
          <a:endParaRPr lang="en-US"/>
        </a:p>
      </c:txPr>
    </c:legend>
    <c:plotVisOnly val="1"/>
    <c:dispBlanksAs val="gap"/>
    <c:showDLblsOverMax val="0"/>
  </c:chart>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Impact of Capex</a:t>
            </a:r>
            <a:r>
              <a:rPr lang="en-US" baseline="0"/>
              <a:t> Field 1</a:t>
            </a:r>
            <a:endParaRPr lang="en-US"/>
          </a:p>
        </c:rich>
      </c:tx>
      <c:overlay val="0"/>
    </c:title>
    <c:autoTitleDeleted val="0"/>
    <c:plotArea>
      <c:layout/>
      <c:lineChart>
        <c:grouping val="standard"/>
        <c:varyColors val="0"/>
        <c:ser>
          <c:idx val="0"/>
          <c:order val="0"/>
          <c:tx>
            <c:strRef>
              <c:f>'Assumptions &amp; Results'!$A$250</c:f>
              <c:strCache>
                <c:ptCount val="1"/>
                <c:pt idx="0">
                  <c:v>Government Take (%)</c:v>
                </c:pt>
              </c:strCache>
            </c:strRef>
          </c:tx>
          <c:cat>
            <c:numRef>
              <c:f>'Assumptions &amp; Results'!$C$249:$G$249</c:f>
              <c:numCache>
                <c:formatCode>0%</c:formatCode>
                <c:ptCount val="5"/>
                <c:pt idx="0">
                  <c:v>0.6</c:v>
                </c:pt>
                <c:pt idx="1">
                  <c:v>0.8</c:v>
                </c:pt>
                <c:pt idx="2">
                  <c:v>1</c:v>
                </c:pt>
                <c:pt idx="3">
                  <c:v>1.2</c:v>
                </c:pt>
                <c:pt idx="4">
                  <c:v>1.5</c:v>
                </c:pt>
              </c:numCache>
            </c:numRef>
          </c:cat>
          <c:val>
            <c:numRef>
              <c:f>'Assumptions &amp; Results'!$C$250:$G$250</c:f>
              <c:numCache>
                <c:formatCode>0%</c:formatCode>
                <c:ptCount val="5"/>
                <c:pt idx="0">
                  <c:v>0.50971198805214457</c:v>
                </c:pt>
                <c:pt idx="1">
                  <c:v>0.50355308143459032</c:v>
                </c:pt>
                <c:pt idx="2">
                  <c:v>0.49786256775010956</c:v>
                </c:pt>
                <c:pt idx="3">
                  <c:v>0.49162124098317572</c:v>
                </c:pt>
                <c:pt idx="4">
                  <c:v>0.48135917983238291</c:v>
                </c:pt>
              </c:numCache>
            </c:numRef>
          </c:val>
          <c:smooth val="0"/>
          <c:extLst xmlns:c16r2="http://schemas.microsoft.com/office/drawing/2015/06/chart">
            <c:ext xmlns:c16="http://schemas.microsoft.com/office/drawing/2014/chart" uri="{C3380CC4-5D6E-409C-BE32-E72D297353CC}">
              <c16:uniqueId val="{00000000-EE36-4848-892F-66FA1A7DC89E}"/>
            </c:ext>
          </c:extLst>
        </c:ser>
        <c:ser>
          <c:idx val="2"/>
          <c:order val="2"/>
          <c:tx>
            <c:strRef>
              <c:f>'Assumptions &amp; Results'!$A$252</c:f>
              <c:strCache>
                <c:ptCount val="1"/>
                <c:pt idx="0">
                  <c:v>Investor IRR</c:v>
                </c:pt>
              </c:strCache>
            </c:strRef>
          </c:tx>
          <c:cat>
            <c:numRef>
              <c:f>'Assumptions &amp; Results'!$C$249:$G$249</c:f>
              <c:numCache>
                <c:formatCode>0%</c:formatCode>
                <c:ptCount val="5"/>
                <c:pt idx="0">
                  <c:v>0.6</c:v>
                </c:pt>
                <c:pt idx="1">
                  <c:v>0.8</c:v>
                </c:pt>
                <c:pt idx="2">
                  <c:v>1</c:v>
                </c:pt>
                <c:pt idx="3">
                  <c:v>1.2</c:v>
                </c:pt>
                <c:pt idx="4">
                  <c:v>1.5</c:v>
                </c:pt>
              </c:numCache>
            </c:numRef>
          </c:cat>
          <c:val>
            <c:numRef>
              <c:f>'Assumptions &amp; Results'!$C$252:$G$252</c:f>
              <c:numCache>
                <c:formatCode>0%</c:formatCode>
                <c:ptCount val="5"/>
                <c:pt idx="0">
                  <c:v>0.15828148799872088</c:v>
                </c:pt>
                <c:pt idx="1">
                  <c:v>0.15498537182291439</c:v>
                </c:pt>
                <c:pt idx="2">
                  <c:v>0.1512861269408301</c:v>
                </c:pt>
                <c:pt idx="3">
                  <c:v>0.14749731422866441</c:v>
                </c:pt>
                <c:pt idx="4">
                  <c:v>0.14183879490210805</c:v>
                </c:pt>
              </c:numCache>
            </c:numRef>
          </c:val>
          <c:smooth val="0"/>
          <c:extLst xmlns:c16r2="http://schemas.microsoft.com/office/drawing/2015/06/chart">
            <c:ext xmlns:c16="http://schemas.microsoft.com/office/drawing/2014/chart" uri="{C3380CC4-5D6E-409C-BE32-E72D297353CC}">
              <c16:uniqueId val="{00000002-EE36-4848-892F-66FA1A7DC89E}"/>
            </c:ext>
          </c:extLst>
        </c:ser>
        <c:dLbls>
          <c:showLegendKey val="0"/>
          <c:showVal val="0"/>
          <c:showCatName val="0"/>
          <c:showSerName val="0"/>
          <c:showPercent val="0"/>
          <c:showBubbleSize val="0"/>
        </c:dLbls>
        <c:marker val="1"/>
        <c:smooth val="0"/>
        <c:axId val="44101632"/>
        <c:axId val="90558400"/>
      </c:lineChart>
      <c:lineChart>
        <c:grouping val="standard"/>
        <c:varyColors val="0"/>
        <c:ser>
          <c:idx val="1"/>
          <c:order val="1"/>
          <c:tx>
            <c:strRef>
              <c:f>'Assumptions &amp; Results'!$A$251</c:f>
              <c:strCache>
                <c:ptCount val="1"/>
                <c:pt idx="0">
                  <c:v>Government Take NPV</c:v>
                </c:pt>
              </c:strCache>
            </c:strRef>
          </c:tx>
          <c:cat>
            <c:numRef>
              <c:f>'Assumptions &amp; Results'!$C$249:$G$249</c:f>
              <c:numCache>
                <c:formatCode>0%</c:formatCode>
                <c:ptCount val="5"/>
                <c:pt idx="0">
                  <c:v>0.6</c:v>
                </c:pt>
                <c:pt idx="1">
                  <c:v>0.8</c:v>
                </c:pt>
                <c:pt idx="2">
                  <c:v>1</c:v>
                </c:pt>
                <c:pt idx="3">
                  <c:v>1.2</c:v>
                </c:pt>
                <c:pt idx="4">
                  <c:v>1.5</c:v>
                </c:pt>
              </c:numCache>
            </c:numRef>
          </c:cat>
          <c:val>
            <c:numRef>
              <c:f>'Assumptions &amp; Results'!$C$251:$G$251</c:f>
              <c:numCache>
                <c:formatCode>0.0</c:formatCode>
                <c:ptCount val="5"/>
                <c:pt idx="0">
                  <c:v>19263.811270952774</c:v>
                </c:pt>
                <c:pt idx="1">
                  <c:v>18648.296615128776</c:v>
                </c:pt>
                <c:pt idx="2">
                  <c:v>18132.426270082073</c:v>
                </c:pt>
                <c:pt idx="3">
                  <c:v>17663.694499662015</c:v>
                </c:pt>
                <c:pt idx="4">
                  <c:v>17022.267624975306</c:v>
                </c:pt>
              </c:numCache>
            </c:numRef>
          </c:val>
          <c:smooth val="0"/>
          <c:extLst xmlns:c16r2="http://schemas.microsoft.com/office/drawing/2015/06/chart">
            <c:ext xmlns:c16="http://schemas.microsoft.com/office/drawing/2014/chart" uri="{C3380CC4-5D6E-409C-BE32-E72D297353CC}">
              <c16:uniqueId val="{00000001-EE36-4848-892F-66FA1A7DC89E}"/>
            </c:ext>
          </c:extLst>
        </c:ser>
        <c:ser>
          <c:idx val="3"/>
          <c:order val="3"/>
          <c:tx>
            <c:strRef>
              <c:f>'Assumptions &amp; Results'!$A$253</c:f>
              <c:strCache>
                <c:ptCount val="1"/>
                <c:pt idx="0">
                  <c:v>investor NPV</c:v>
                </c:pt>
              </c:strCache>
            </c:strRef>
          </c:tx>
          <c:cat>
            <c:numRef>
              <c:f>'Assumptions &amp; Results'!$C$249:$G$249</c:f>
              <c:numCache>
                <c:formatCode>0%</c:formatCode>
                <c:ptCount val="5"/>
                <c:pt idx="0">
                  <c:v>0.6</c:v>
                </c:pt>
                <c:pt idx="1">
                  <c:v>0.8</c:v>
                </c:pt>
                <c:pt idx="2">
                  <c:v>1</c:v>
                </c:pt>
                <c:pt idx="3">
                  <c:v>1.2</c:v>
                </c:pt>
                <c:pt idx="4">
                  <c:v>1.5</c:v>
                </c:pt>
              </c:numCache>
            </c:numRef>
          </c:cat>
          <c:val>
            <c:numRef>
              <c:f>'Assumptions &amp; Results'!$C$253:$G$253</c:f>
              <c:numCache>
                <c:formatCode>0.0</c:formatCode>
                <c:ptCount val="5"/>
                <c:pt idx="0">
                  <c:v>13875.747012550295</c:v>
                </c:pt>
                <c:pt idx="1">
                  <c:v>13684.42429154019</c:v>
                </c:pt>
                <c:pt idx="2">
                  <c:v>13393.457259752795</c:v>
                </c:pt>
                <c:pt idx="3">
                  <c:v>13055.351653338752</c:v>
                </c:pt>
                <c:pt idx="4">
                  <c:v>12486.522462774299</c:v>
                </c:pt>
              </c:numCache>
            </c:numRef>
          </c:val>
          <c:smooth val="0"/>
          <c:extLst xmlns:c16r2="http://schemas.microsoft.com/office/drawing/2015/06/chart">
            <c:ext xmlns:c16="http://schemas.microsoft.com/office/drawing/2014/chart" uri="{C3380CC4-5D6E-409C-BE32-E72D297353CC}">
              <c16:uniqueId val="{00000000-C823-47D2-BDD6-B8293E944534}"/>
            </c:ext>
          </c:extLst>
        </c:ser>
        <c:dLbls>
          <c:showLegendKey val="0"/>
          <c:showVal val="0"/>
          <c:showCatName val="0"/>
          <c:showSerName val="0"/>
          <c:showPercent val="0"/>
          <c:showBubbleSize val="0"/>
        </c:dLbls>
        <c:marker val="1"/>
        <c:smooth val="0"/>
        <c:axId val="95710720"/>
        <c:axId val="90558976"/>
      </c:lineChart>
      <c:catAx>
        <c:axId val="44101632"/>
        <c:scaling>
          <c:orientation val="minMax"/>
        </c:scaling>
        <c:delete val="0"/>
        <c:axPos val="b"/>
        <c:title>
          <c:tx>
            <c:rich>
              <a:bodyPr/>
              <a:lstStyle/>
              <a:p>
                <a:pPr>
                  <a:defRPr/>
                </a:pPr>
                <a:r>
                  <a:rPr lang="en-US"/>
                  <a:t>Percentage of Base</a:t>
                </a:r>
                <a:r>
                  <a:rPr lang="en-US" baseline="0"/>
                  <a:t> Field 1 Capex</a:t>
                </a:r>
                <a:endParaRPr lang="en-US"/>
              </a:p>
            </c:rich>
          </c:tx>
          <c:overlay val="0"/>
        </c:title>
        <c:numFmt formatCode="0%" sourceLinked="1"/>
        <c:majorTickMark val="out"/>
        <c:minorTickMark val="none"/>
        <c:tickLblPos val="nextTo"/>
        <c:txPr>
          <a:bodyPr/>
          <a:lstStyle/>
          <a:p>
            <a:pPr>
              <a:defRPr b="1"/>
            </a:pPr>
            <a:endParaRPr lang="en-US"/>
          </a:p>
        </c:txPr>
        <c:crossAx val="90558400"/>
        <c:crosses val="autoZero"/>
        <c:auto val="1"/>
        <c:lblAlgn val="ctr"/>
        <c:lblOffset val="100"/>
        <c:noMultiLvlLbl val="0"/>
      </c:catAx>
      <c:valAx>
        <c:axId val="90558400"/>
        <c:scaling>
          <c:orientation val="minMax"/>
          <c:max val="0.7"/>
          <c:min val="0"/>
        </c:scaling>
        <c:delete val="0"/>
        <c:axPos val="l"/>
        <c:majorGridlines/>
        <c:title>
          <c:tx>
            <c:rich>
              <a:bodyPr rot="-5400000" vert="horz"/>
              <a:lstStyle/>
              <a:p>
                <a:pPr>
                  <a:defRPr/>
                </a:pPr>
                <a:r>
                  <a:rPr lang="en-US"/>
                  <a:t>IRR/</a:t>
                </a:r>
                <a:r>
                  <a:rPr lang="en-US" baseline="0"/>
                  <a:t> Govt Take</a:t>
                </a:r>
                <a:endParaRPr lang="en-US"/>
              </a:p>
            </c:rich>
          </c:tx>
          <c:overlay val="0"/>
        </c:title>
        <c:numFmt formatCode="0%" sourceLinked="1"/>
        <c:majorTickMark val="out"/>
        <c:minorTickMark val="none"/>
        <c:tickLblPos val="nextTo"/>
        <c:txPr>
          <a:bodyPr/>
          <a:lstStyle/>
          <a:p>
            <a:pPr>
              <a:defRPr b="1"/>
            </a:pPr>
            <a:endParaRPr lang="en-US"/>
          </a:p>
        </c:txPr>
        <c:crossAx val="44101632"/>
        <c:crosses val="autoZero"/>
        <c:crossBetween val="between"/>
        <c:majorUnit val="0.1"/>
      </c:valAx>
      <c:valAx>
        <c:axId val="90558976"/>
        <c:scaling>
          <c:orientation val="minMax"/>
        </c:scaling>
        <c:delete val="0"/>
        <c:axPos val="r"/>
        <c:title>
          <c:tx>
            <c:rich>
              <a:bodyPr rot="-5400000" vert="horz"/>
              <a:lstStyle/>
              <a:p>
                <a:pPr>
                  <a:defRPr/>
                </a:pPr>
                <a:r>
                  <a:rPr lang="en-US"/>
                  <a:t>NPV (US$)</a:t>
                </a:r>
              </a:p>
            </c:rich>
          </c:tx>
          <c:overlay val="0"/>
        </c:title>
        <c:numFmt formatCode="0.0" sourceLinked="1"/>
        <c:majorTickMark val="out"/>
        <c:minorTickMark val="none"/>
        <c:tickLblPos val="nextTo"/>
        <c:txPr>
          <a:bodyPr/>
          <a:lstStyle/>
          <a:p>
            <a:pPr>
              <a:defRPr b="1"/>
            </a:pPr>
            <a:endParaRPr lang="en-US"/>
          </a:p>
        </c:txPr>
        <c:crossAx val="95710720"/>
        <c:crosses val="max"/>
        <c:crossBetween val="between"/>
      </c:valAx>
      <c:catAx>
        <c:axId val="95710720"/>
        <c:scaling>
          <c:orientation val="minMax"/>
        </c:scaling>
        <c:delete val="1"/>
        <c:axPos val="b"/>
        <c:numFmt formatCode="0%" sourceLinked="1"/>
        <c:majorTickMark val="out"/>
        <c:minorTickMark val="none"/>
        <c:tickLblPos val="nextTo"/>
        <c:crossAx val="90558976"/>
        <c:crosses val="autoZero"/>
        <c:auto val="1"/>
        <c:lblAlgn val="ctr"/>
        <c:lblOffset val="100"/>
        <c:noMultiLvlLbl val="0"/>
      </c:catAx>
    </c:plotArea>
    <c:legend>
      <c:legendPos val="r"/>
      <c:overlay val="0"/>
      <c:txPr>
        <a:bodyPr/>
        <a:lstStyle/>
        <a:p>
          <a:pPr>
            <a:defRPr b="1"/>
          </a:pPr>
          <a:endParaRPr lang="en-US"/>
        </a:p>
      </c:txPr>
    </c:legend>
    <c:plotVisOnly val="1"/>
    <c:dispBlanksAs val="gap"/>
    <c:showDLblsOverMax val="0"/>
  </c:chart>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Impact of LNG plant</a:t>
            </a:r>
            <a:r>
              <a:rPr lang="en-US" baseline="0"/>
              <a:t> </a:t>
            </a:r>
            <a:r>
              <a:rPr lang="en-US"/>
              <a:t>Capex</a:t>
            </a:r>
            <a:r>
              <a:rPr lang="en-US" baseline="0"/>
              <a:t> </a:t>
            </a:r>
            <a:endParaRPr lang="en-US"/>
          </a:p>
        </c:rich>
      </c:tx>
      <c:overlay val="0"/>
    </c:title>
    <c:autoTitleDeleted val="0"/>
    <c:plotArea>
      <c:layout/>
      <c:lineChart>
        <c:grouping val="standard"/>
        <c:varyColors val="0"/>
        <c:ser>
          <c:idx val="0"/>
          <c:order val="0"/>
          <c:tx>
            <c:strRef>
              <c:f>'Assumptions &amp; Results'!$A$257</c:f>
              <c:strCache>
                <c:ptCount val="1"/>
                <c:pt idx="0">
                  <c:v>Government Take (%)</c:v>
                </c:pt>
              </c:strCache>
            </c:strRef>
          </c:tx>
          <c:cat>
            <c:numRef>
              <c:f>'Assumptions &amp; Results'!$C$256:$G$256</c:f>
              <c:numCache>
                <c:formatCode>0%</c:formatCode>
                <c:ptCount val="5"/>
                <c:pt idx="0">
                  <c:v>0.6</c:v>
                </c:pt>
                <c:pt idx="1">
                  <c:v>0.8</c:v>
                </c:pt>
                <c:pt idx="2">
                  <c:v>1</c:v>
                </c:pt>
                <c:pt idx="3">
                  <c:v>1.2</c:v>
                </c:pt>
                <c:pt idx="4">
                  <c:v>1.5</c:v>
                </c:pt>
              </c:numCache>
            </c:numRef>
          </c:cat>
          <c:val>
            <c:numRef>
              <c:f>'Assumptions &amp; Results'!$C$257:$G$257</c:f>
              <c:numCache>
                <c:formatCode>0%</c:formatCode>
                <c:ptCount val="5"/>
                <c:pt idx="0">
                  <c:v>0.49102965171791824</c:v>
                </c:pt>
                <c:pt idx="1">
                  <c:v>0.49437919975594935</c:v>
                </c:pt>
                <c:pt idx="2">
                  <c:v>0.49786256775010956</c:v>
                </c:pt>
                <c:pt idx="3">
                  <c:v>0.50148793865279762</c:v>
                </c:pt>
                <c:pt idx="4">
                  <c:v>0.50721184432015343</c:v>
                </c:pt>
              </c:numCache>
            </c:numRef>
          </c:val>
          <c:smooth val="0"/>
          <c:extLst xmlns:c16r2="http://schemas.microsoft.com/office/drawing/2015/06/chart">
            <c:ext xmlns:c16="http://schemas.microsoft.com/office/drawing/2014/chart" uri="{C3380CC4-5D6E-409C-BE32-E72D297353CC}">
              <c16:uniqueId val="{00000000-4309-4D25-81A8-CE0CC5CA7EB2}"/>
            </c:ext>
          </c:extLst>
        </c:ser>
        <c:ser>
          <c:idx val="2"/>
          <c:order val="2"/>
          <c:tx>
            <c:strRef>
              <c:f>'Assumptions &amp; Results'!$A$259</c:f>
              <c:strCache>
                <c:ptCount val="1"/>
                <c:pt idx="0">
                  <c:v>Investor IRR</c:v>
                </c:pt>
              </c:strCache>
            </c:strRef>
          </c:tx>
          <c:cat>
            <c:numRef>
              <c:f>'Assumptions &amp; Results'!$C$256:$G$256</c:f>
              <c:numCache>
                <c:formatCode>0%</c:formatCode>
                <c:ptCount val="5"/>
                <c:pt idx="0">
                  <c:v>0.6</c:v>
                </c:pt>
                <c:pt idx="1">
                  <c:v>0.8</c:v>
                </c:pt>
                <c:pt idx="2">
                  <c:v>1</c:v>
                </c:pt>
                <c:pt idx="3">
                  <c:v>1.2</c:v>
                </c:pt>
                <c:pt idx="4">
                  <c:v>1.5</c:v>
                </c:pt>
              </c:numCache>
            </c:numRef>
          </c:cat>
          <c:val>
            <c:numRef>
              <c:f>'Assumptions &amp; Results'!$C$259:$G$259</c:f>
              <c:numCache>
                <c:formatCode>0%</c:formatCode>
                <c:ptCount val="5"/>
                <c:pt idx="0">
                  <c:v>0.19452506447904039</c:v>
                </c:pt>
                <c:pt idx="1">
                  <c:v>0.17051211448133996</c:v>
                </c:pt>
                <c:pt idx="2">
                  <c:v>0.1512861269408301</c:v>
                </c:pt>
                <c:pt idx="3">
                  <c:v>0.13522680852756963</c:v>
                </c:pt>
                <c:pt idx="4">
                  <c:v>0.11559386056287568</c:v>
                </c:pt>
              </c:numCache>
            </c:numRef>
          </c:val>
          <c:smooth val="0"/>
          <c:extLst xmlns:c16r2="http://schemas.microsoft.com/office/drawing/2015/06/chart">
            <c:ext xmlns:c16="http://schemas.microsoft.com/office/drawing/2014/chart" uri="{C3380CC4-5D6E-409C-BE32-E72D297353CC}">
              <c16:uniqueId val="{00000002-4309-4D25-81A8-CE0CC5CA7EB2}"/>
            </c:ext>
          </c:extLst>
        </c:ser>
        <c:dLbls>
          <c:showLegendKey val="0"/>
          <c:showVal val="0"/>
          <c:showCatName val="0"/>
          <c:showSerName val="0"/>
          <c:showPercent val="0"/>
          <c:showBubbleSize val="0"/>
        </c:dLbls>
        <c:marker val="1"/>
        <c:smooth val="0"/>
        <c:axId val="97427968"/>
        <c:axId val="90561280"/>
      </c:lineChart>
      <c:lineChart>
        <c:grouping val="standard"/>
        <c:varyColors val="0"/>
        <c:ser>
          <c:idx val="1"/>
          <c:order val="1"/>
          <c:tx>
            <c:strRef>
              <c:f>'Assumptions &amp; Results'!$A$258</c:f>
              <c:strCache>
                <c:ptCount val="1"/>
                <c:pt idx="0">
                  <c:v>Government Take NPV</c:v>
                </c:pt>
              </c:strCache>
            </c:strRef>
          </c:tx>
          <c:cat>
            <c:numRef>
              <c:f>'Assumptions &amp; Results'!$C$256:$G$256</c:f>
              <c:numCache>
                <c:formatCode>0%</c:formatCode>
                <c:ptCount val="5"/>
                <c:pt idx="0">
                  <c:v>0.6</c:v>
                </c:pt>
                <c:pt idx="1">
                  <c:v>0.8</c:v>
                </c:pt>
                <c:pt idx="2">
                  <c:v>1</c:v>
                </c:pt>
                <c:pt idx="3">
                  <c:v>1.2</c:v>
                </c:pt>
                <c:pt idx="4">
                  <c:v>1.5</c:v>
                </c:pt>
              </c:numCache>
            </c:numRef>
          </c:cat>
          <c:val>
            <c:numRef>
              <c:f>'Assumptions &amp; Results'!$C$258:$G$258</c:f>
              <c:numCache>
                <c:formatCode>0.0</c:formatCode>
                <c:ptCount val="5"/>
                <c:pt idx="0">
                  <c:v>19331.021449085831</c:v>
                </c:pt>
                <c:pt idx="1">
                  <c:v>18714.307651248735</c:v>
                </c:pt>
                <c:pt idx="2">
                  <c:v>18132.426270082073</c:v>
                </c:pt>
                <c:pt idx="3">
                  <c:v>17620.254338430077</c:v>
                </c:pt>
                <c:pt idx="4">
                  <c:v>16960.580879381527</c:v>
                </c:pt>
              </c:numCache>
            </c:numRef>
          </c:val>
          <c:smooth val="0"/>
          <c:extLst xmlns:c16r2="http://schemas.microsoft.com/office/drawing/2015/06/chart">
            <c:ext xmlns:c16="http://schemas.microsoft.com/office/drawing/2014/chart" uri="{C3380CC4-5D6E-409C-BE32-E72D297353CC}">
              <c16:uniqueId val="{00000001-4309-4D25-81A8-CE0CC5CA7EB2}"/>
            </c:ext>
          </c:extLst>
        </c:ser>
        <c:ser>
          <c:idx val="3"/>
          <c:order val="3"/>
          <c:tx>
            <c:strRef>
              <c:f>'Assumptions &amp; Results'!$A$260</c:f>
              <c:strCache>
                <c:ptCount val="1"/>
                <c:pt idx="0">
                  <c:v>Investor NPV</c:v>
                </c:pt>
              </c:strCache>
            </c:strRef>
          </c:tx>
          <c:cat>
            <c:numRef>
              <c:f>'Assumptions &amp; Results'!$C$256:$G$256</c:f>
              <c:numCache>
                <c:formatCode>0%</c:formatCode>
                <c:ptCount val="5"/>
                <c:pt idx="0">
                  <c:v>0.6</c:v>
                </c:pt>
                <c:pt idx="1">
                  <c:v>0.8</c:v>
                </c:pt>
                <c:pt idx="2">
                  <c:v>1</c:v>
                </c:pt>
                <c:pt idx="3">
                  <c:v>1.2</c:v>
                </c:pt>
                <c:pt idx="4">
                  <c:v>1.5</c:v>
                </c:pt>
              </c:numCache>
            </c:numRef>
          </c:cat>
          <c:val>
            <c:numRef>
              <c:f>'Assumptions &amp; Results'!$C$260:$G$260</c:f>
              <c:numCache>
                <c:formatCode>0.0</c:formatCode>
                <c:ptCount val="5"/>
                <c:pt idx="0">
                  <c:v>17937.410486986144</c:v>
                </c:pt>
                <c:pt idx="1">
                  <c:v>15682.850081704688</c:v>
                </c:pt>
                <c:pt idx="2">
                  <c:v>13393.457259752795</c:v>
                </c:pt>
                <c:pt idx="3">
                  <c:v>11034.354988286235</c:v>
                </c:pt>
                <c:pt idx="4">
                  <c:v>7387.1171426569508</c:v>
                </c:pt>
              </c:numCache>
            </c:numRef>
          </c:val>
          <c:smooth val="0"/>
          <c:extLst xmlns:c16r2="http://schemas.microsoft.com/office/drawing/2015/06/chart">
            <c:ext xmlns:c16="http://schemas.microsoft.com/office/drawing/2014/chart" uri="{C3380CC4-5D6E-409C-BE32-E72D297353CC}">
              <c16:uniqueId val="{00000000-C58F-4B53-A48B-952175F8A3CA}"/>
            </c:ext>
          </c:extLst>
        </c:ser>
        <c:dLbls>
          <c:showLegendKey val="0"/>
          <c:showVal val="0"/>
          <c:showCatName val="0"/>
          <c:showSerName val="0"/>
          <c:showPercent val="0"/>
          <c:showBubbleSize val="0"/>
        </c:dLbls>
        <c:marker val="1"/>
        <c:smooth val="0"/>
        <c:axId val="97428992"/>
        <c:axId val="90561856"/>
      </c:lineChart>
      <c:catAx>
        <c:axId val="97427968"/>
        <c:scaling>
          <c:orientation val="minMax"/>
        </c:scaling>
        <c:delete val="0"/>
        <c:axPos val="b"/>
        <c:title>
          <c:tx>
            <c:rich>
              <a:bodyPr/>
              <a:lstStyle/>
              <a:p>
                <a:pPr>
                  <a:defRPr/>
                </a:pPr>
                <a:r>
                  <a:rPr lang="en-US"/>
                  <a:t>Percentage of Base LNG Plant</a:t>
                </a:r>
                <a:r>
                  <a:rPr lang="en-US" baseline="0"/>
                  <a:t> Capex</a:t>
                </a:r>
                <a:endParaRPr lang="en-US"/>
              </a:p>
            </c:rich>
          </c:tx>
          <c:overlay val="0"/>
        </c:title>
        <c:numFmt formatCode="0%" sourceLinked="1"/>
        <c:majorTickMark val="out"/>
        <c:minorTickMark val="none"/>
        <c:tickLblPos val="nextTo"/>
        <c:txPr>
          <a:bodyPr/>
          <a:lstStyle/>
          <a:p>
            <a:pPr>
              <a:defRPr b="1"/>
            </a:pPr>
            <a:endParaRPr lang="en-US"/>
          </a:p>
        </c:txPr>
        <c:crossAx val="90561280"/>
        <c:crosses val="autoZero"/>
        <c:auto val="1"/>
        <c:lblAlgn val="ctr"/>
        <c:lblOffset val="100"/>
        <c:noMultiLvlLbl val="0"/>
      </c:catAx>
      <c:valAx>
        <c:axId val="90561280"/>
        <c:scaling>
          <c:orientation val="minMax"/>
          <c:max val="0.7"/>
          <c:min val="0"/>
        </c:scaling>
        <c:delete val="0"/>
        <c:axPos val="l"/>
        <c:majorGridlines/>
        <c:title>
          <c:tx>
            <c:rich>
              <a:bodyPr rot="-5400000" vert="horz"/>
              <a:lstStyle/>
              <a:p>
                <a:pPr>
                  <a:defRPr/>
                </a:pPr>
                <a:r>
                  <a:rPr lang="en-US"/>
                  <a:t>IRR/</a:t>
                </a:r>
                <a:r>
                  <a:rPr lang="en-US" baseline="0"/>
                  <a:t> Govt Take</a:t>
                </a:r>
                <a:endParaRPr lang="en-US"/>
              </a:p>
            </c:rich>
          </c:tx>
          <c:overlay val="0"/>
        </c:title>
        <c:numFmt formatCode="0%" sourceLinked="1"/>
        <c:majorTickMark val="out"/>
        <c:minorTickMark val="none"/>
        <c:tickLblPos val="nextTo"/>
        <c:txPr>
          <a:bodyPr/>
          <a:lstStyle/>
          <a:p>
            <a:pPr>
              <a:defRPr b="1"/>
            </a:pPr>
            <a:endParaRPr lang="en-US"/>
          </a:p>
        </c:txPr>
        <c:crossAx val="97427968"/>
        <c:crosses val="autoZero"/>
        <c:crossBetween val="between"/>
        <c:majorUnit val="0.1"/>
      </c:valAx>
      <c:valAx>
        <c:axId val="90561856"/>
        <c:scaling>
          <c:orientation val="minMax"/>
        </c:scaling>
        <c:delete val="0"/>
        <c:axPos val="r"/>
        <c:title>
          <c:tx>
            <c:rich>
              <a:bodyPr rot="-5400000" vert="horz"/>
              <a:lstStyle/>
              <a:p>
                <a:pPr>
                  <a:defRPr/>
                </a:pPr>
                <a:r>
                  <a:rPr lang="en-US" sz="1000" b="1" i="0" baseline="0">
                    <a:effectLst/>
                  </a:rPr>
                  <a:t>NPV (US$)</a:t>
                </a:r>
                <a:endParaRPr lang="en-US" sz="1000">
                  <a:effectLst/>
                </a:endParaRPr>
              </a:p>
            </c:rich>
          </c:tx>
          <c:overlay val="0"/>
        </c:title>
        <c:numFmt formatCode="0.0" sourceLinked="1"/>
        <c:majorTickMark val="out"/>
        <c:minorTickMark val="none"/>
        <c:tickLblPos val="nextTo"/>
        <c:txPr>
          <a:bodyPr/>
          <a:lstStyle/>
          <a:p>
            <a:pPr>
              <a:defRPr b="1"/>
            </a:pPr>
            <a:endParaRPr lang="en-US"/>
          </a:p>
        </c:txPr>
        <c:crossAx val="97428992"/>
        <c:crosses val="max"/>
        <c:crossBetween val="between"/>
      </c:valAx>
      <c:catAx>
        <c:axId val="97428992"/>
        <c:scaling>
          <c:orientation val="minMax"/>
        </c:scaling>
        <c:delete val="1"/>
        <c:axPos val="b"/>
        <c:numFmt formatCode="0%" sourceLinked="1"/>
        <c:majorTickMark val="out"/>
        <c:minorTickMark val="none"/>
        <c:tickLblPos val="nextTo"/>
        <c:crossAx val="90561856"/>
        <c:crosses val="autoZero"/>
        <c:auto val="1"/>
        <c:lblAlgn val="ctr"/>
        <c:lblOffset val="100"/>
        <c:noMultiLvlLbl val="0"/>
      </c:catAx>
    </c:plotArea>
    <c:legend>
      <c:legendPos val="r"/>
      <c:overlay val="0"/>
      <c:txPr>
        <a:bodyPr/>
        <a:lstStyle/>
        <a:p>
          <a:pPr>
            <a:defRPr b="1"/>
          </a:pPr>
          <a:endParaRPr lang="en-US"/>
        </a:p>
      </c:txPr>
    </c:legend>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5" Type="http://schemas.openxmlformats.org/officeDocument/2006/relationships/chart" Target="../charts/chart6.xml"/><Relationship Id="rId10" Type="http://schemas.openxmlformats.org/officeDocument/2006/relationships/chart" Target="../charts/chart11.xml"/><Relationship Id="rId4" Type="http://schemas.openxmlformats.org/officeDocument/2006/relationships/chart" Target="../charts/chart5.xml"/><Relationship Id="rId9"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55</xdr:row>
      <xdr:rowOff>0</xdr:rowOff>
    </xdr:from>
    <xdr:to>
      <xdr:col>7</xdr:col>
      <xdr:colOff>514350</xdr:colOff>
      <xdr:row>55</xdr:row>
      <xdr:rowOff>0</xdr:rowOff>
    </xdr:to>
    <xdr:graphicFrame macro="">
      <xdr:nvGraphicFramePr>
        <xdr:cNvPr id="2" name="Chart 1">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609600</xdr:colOff>
      <xdr:row>0</xdr:row>
      <xdr:rowOff>0</xdr:rowOff>
    </xdr:from>
    <xdr:to>
      <xdr:col>11</xdr:col>
      <xdr:colOff>220133</xdr:colOff>
      <xdr:row>9</xdr:row>
      <xdr:rowOff>140534</xdr:rowOff>
    </xdr:to>
    <xdr:pic>
      <xdr:nvPicPr>
        <xdr:cNvPr id="3" name="Picture 2" descr="VCC_logo_tree_icon.jpg">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38500" y="0"/>
          <a:ext cx="6620933" cy="1816934"/>
        </a:xfrm>
        <a:prstGeom prst="rect">
          <a:avLst/>
        </a:prstGeom>
      </xdr:spPr>
    </xdr:pic>
    <xdr:clientData/>
  </xdr:twoCellAnchor>
  <xdr:twoCellAnchor editAs="oneCell">
    <xdr:from>
      <xdr:col>8</xdr:col>
      <xdr:colOff>711200</xdr:colOff>
      <xdr:row>63</xdr:row>
      <xdr:rowOff>127000</xdr:rowOff>
    </xdr:from>
    <xdr:to>
      <xdr:col>10</xdr:col>
      <xdr:colOff>152400</xdr:colOff>
      <xdr:row>65</xdr:row>
      <xdr:rowOff>41274</xdr:rowOff>
    </xdr:to>
    <xdr:pic>
      <xdr:nvPicPr>
        <xdr:cNvPr id="4" name="Picture 3" descr="https://licensebuttons.net/l/by/4.0/88x31.png">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21600" y="13373100"/>
          <a:ext cx="1193800" cy="269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49092</xdr:colOff>
      <xdr:row>174</xdr:row>
      <xdr:rowOff>236284</xdr:rowOff>
    </xdr:from>
    <xdr:to>
      <xdr:col>11</xdr:col>
      <xdr:colOff>342900</xdr:colOff>
      <xdr:row>201</xdr:row>
      <xdr:rowOff>152833</xdr:rowOff>
    </xdr:to>
    <xdr:graphicFrame macro="">
      <xdr:nvGraphicFramePr>
        <xdr:cNvPr id="3" name="Chart 1">
          <a:extLst>
            <a:ext uri="{FF2B5EF4-FFF2-40B4-BE49-F238E27FC236}">
              <a16:creationId xmlns=""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31284</xdr:colOff>
      <xdr:row>201</xdr:row>
      <xdr:rowOff>165101</xdr:rowOff>
    </xdr:from>
    <xdr:to>
      <xdr:col>18</xdr:col>
      <xdr:colOff>104894</xdr:colOff>
      <xdr:row>220</xdr:row>
      <xdr:rowOff>152400</xdr:rowOff>
    </xdr:to>
    <xdr:graphicFrame macro="">
      <xdr:nvGraphicFramePr>
        <xdr:cNvPr id="5" name="Chart 2">
          <a:extLst>
            <a:ext uri="{FF2B5EF4-FFF2-40B4-BE49-F238E27FC236}">
              <a16:creationId xmlns=""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45678</xdr:colOff>
      <xdr:row>202</xdr:row>
      <xdr:rowOff>2241</xdr:rowOff>
    </xdr:from>
    <xdr:to>
      <xdr:col>11</xdr:col>
      <xdr:colOff>367827</xdr:colOff>
      <xdr:row>222</xdr:row>
      <xdr:rowOff>152400</xdr:rowOff>
    </xdr:to>
    <xdr:graphicFrame macro="">
      <xdr:nvGraphicFramePr>
        <xdr:cNvPr id="7" name="Chart 1">
          <a:extLst>
            <a:ext uri="{FF2B5EF4-FFF2-40B4-BE49-F238E27FC236}">
              <a16:creationId xmlns=""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493060</xdr:colOff>
      <xdr:row>227</xdr:row>
      <xdr:rowOff>74705</xdr:rowOff>
    </xdr:from>
    <xdr:to>
      <xdr:col>15</xdr:col>
      <xdr:colOff>589430</xdr:colOff>
      <xdr:row>239</xdr:row>
      <xdr:rowOff>149412</xdr:rowOff>
    </xdr:to>
    <xdr:graphicFrame macro="">
      <xdr:nvGraphicFramePr>
        <xdr:cNvPr id="8" name="Chart 7">
          <a:extLst>
            <a:ext uri="{FF2B5EF4-FFF2-40B4-BE49-F238E27FC236}">
              <a16:creationId xmlns=""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493059</xdr:colOff>
      <xdr:row>240</xdr:row>
      <xdr:rowOff>104588</xdr:rowOff>
    </xdr:from>
    <xdr:to>
      <xdr:col>15</xdr:col>
      <xdr:colOff>597647</xdr:colOff>
      <xdr:row>253</xdr:row>
      <xdr:rowOff>0</xdr:rowOff>
    </xdr:to>
    <xdr:graphicFrame macro="">
      <xdr:nvGraphicFramePr>
        <xdr:cNvPr id="9" name="Chart 8">
          <a:extLst>
            <a:ext uri="{FF2B5EF4-FFF2-40B4-BE49-F238E27FC236}">
              <a16:creationId xmlns=""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522942</xdr:colOff>
      <xdr:row>253</xdr:row>
      <xdr:rowOff>149412</xdr:rowOff>
    </xdr:from>
    <xdr:to>
      <xdr:col>15</xdr:col>
      <xdr:colOff>627530</xdr:colOff>
      <xdr:row>266</xdr:row>
      <xdr:rowOff>44824</xdr:rowOff>
    </xdr:to>
    <xdr:graphicFrame macro="">
      <xdr:nvGraphicFramePr>
        <xdr:cNvPr id="10" name="Chart 9">
          <a:extLst>
            <a:ext uri="{FF2B5EF4-FFF2-40B4-BE49-F238E27FC236}">
              <a16:creationId xmlns=""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89646</xdr:colOff>
      <xdr:row>227</xdr:row>
      <xdr:rowOff>74704</xdr:rowOff>
    </xdr:from>
    <xdr:to>
      <xdr:col>24</xdr:col>
      <xdr:colOff>533399</xdr:colOff>
      <xdr:row>239</xdr:row>
      <xdr:rowOff>149411</xdr:rowOff>
    </xdr:to>
    <xdr:graphicFrame macro="">
      <xdr:nvGraphicFramePr>
        <xdr:cNvPr id="11" name="Chart 10">
          <a:extLst>
            <a:ext uri="{FF2B5EF4-FFF2-40B4-BE49-F238E27FC236}">
              <a16:creationId xmlns=""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104588</xdr:colOff>
      <xdr:row>240</xdr:row>
      <xdr:rowOff>74704</xdr:rowOff>
    </xdr:from>
    <xdr:to>
      <xdr:col>24</xdr:col>
      <xdr:colOff>533400</xdr:colOff>
      <xdr:row>252</xdr:row>
      <xdr:rowOff>149410</xdr:rowOff>
    </xdr:to>
    <xdr:graphicFrame macro="">
      <xdr:nvGraphicFramePr>
        <xdr:cNvPr id="12" name="Chart 11">
          <a:extLst>
            <a:ext uri="{FF2B5EF4-FFF2-40B4-BE49-F238E27FC236}">
              <a16:creationId xmlns=""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119528</xdr:colOff>
      <xdr:row>253</xdr:row>
      <xdr:rowOff>116542</xdr:rowOff>
    </xdr:from>
    <xdr:to>
      <xdr:col>24</xdr:col>
      <xdr:colOff>546099</xdr:colOff>
      <xdr:row>266</xdr:row>
      <xdr:rowOff>748</xdr:rowOff>
    </xdr:to>
    <xdr:graphicFrame macro="">
      <xdr:nvGraphicFramePr>
        <xdr:cNvPr id="13" name="Chart 12">
          <a:extLst>
            <a:ext uri="{FF2B5EF4-FFF2-40B4-BE49-F238E27FC236}">
              <a16:creationId xmlns=""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508000</xdr:colOff>
      <xdr:row>266</xdr:row>
      <xdr:rowOff>152400</xdr:rowOff>
    </xdr:from>
    <xdr:to>
      <xdr:col>15</xdr:col>
      <xdr:colOff>613335</xdr:colOff>
      <xdr:row>279</xdr:row>
      <xdr:rowOff>62007</xdr:rowOff>
    </xdr:to>
    <xdr:graphicFrame macro="">
      <xdr:nvGraphicFramePr>
        <xdr:cNvPr id="19" name="Chart 18">
          <a:extLst>
            <a:ext uri="{FF2B5EF4-FFF2-40B4-BE49-F238E27FC236}">
              <a16:creationId xmlns=""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88900</xdr:colOff>
      <xdr:row>266</xdr:row>
      <xdr:rowOff>152400</xdr:rowOff>
    </xdr:from>
    <xdr:to>
      <xdr:col>24</xdr:col>
      <xdr:colOff>571500</xdr:colOff>
      <xdr:row>279</xdr:row>
      <xdr:rowOff>63500</xdr:rowOff>
    </xdr:to>
    <xdr:graphicFrame macro="">
      <xdr:nvGraphicFramePr>
        <xdr:cNvPr id="14" name="Chart 13">
          <a:extLst>
            <a:ext uri="{FF2B5EF4-FFF2-40B4-BE49-F238E27FC236}">
              <a16:creationId xmlns=""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9:S66"/>
  <sheetViews>
    <sheetView showGridLines="0" tabSelected="1" workbookViewId="0"/>
  </sheetViews>
  <sheetFormatPr defaultColWidth="11.42578125" defaultRowHeight="15" x14ac:dyDescent="0.25"/>
  <cols>
    <col min="2" max="2" width="20.28515625" customWidth="1"/>
  </cols>
  <sheetData>
    <row r="9" spans="5:5" ht="20.100000000000001" customHeight="1" x14ac:dyDescent="0.2"/>
    <row r="13" spans="5:5" ht="26.1" x14ac:dyDescent="0.3">
      <c r="E13" s="110" t="s">
        <v>0</v>
      </c>
    </row>
    <row r="14" spans="5:5" ht="15.95" x14ac:dyDescent="0.2">
      <c r="E14" s="209" t="s">
        <v>1</v>
      </c>
    </row>
    <row r="15" spans="5:5" x14ac:dyDescent="0.2">
      <c r="E15" s="94">
        <v>42887</v>
      </c>
    </row>
    <row r="20" spans="1:19" s="112" customFormat="1" ht="24" x14ac:dyDescent="0.3">
      <c r="A20" s="112" t="s">
        <v>2</v>
      </c>
    </row>
    <row r="21" spans="1:19" s="118" customFormat="1" ht="24" x14ac:dyDescent="0.3">
      <c r="A21" s="119" t="s">
        <v>3</v>
      </c>
    </row>
    <row r="22" spans="1:19" s="145" customFormat="1" ht="51.95" customHeight="1" x14ac:dyDescent="0.2">
      <c r="A22" s="419" t="s">
        <v>4</v>
      </c>
      <c r="B22" s="419"/>
      <c r="C22" s="419"/>
      <c r="D22" s="419"/>
      <c r="E22" s="419"/>
      <c r="F22" s="419"/>
      <c r="G22" s="419"/>
      <c r="H22" s="419"/>
      <c r="I22" s="419"/>
      <c r="J22" s="419"/>
      <c r="K22" s="419"/>
      <c r="L22" s="419"/>
      <c r="M22" s="419"/>
      <c r="N22" s="419"/>
      <c r="O22" s="419"/>
      <c r="P22" s="209"/>
      <c r="Q22" s="210"/>
      <c r="R22" s="210"/>
      <c r="S22" s="210"/>
    </row>
    <row r="23" spans="1:19" s="147" customFormat="1" ht="17.100000000000001" customHeight="1" x14ac:dyDescent="0.2">
      <c r="A23" s="119" t="s">
        <v>5</v>
      </c>
      <c r="B23" s="111"/>
      <c r="C23" s="111"/>
      <c r="D23" s="111"/>
      <c r="E23" s="111"/>
      <c r="F23" s="111"/>
      <c r="G23" s="111"/>
      <c r="H23" s="111"/>
      <c r="I23" s="111"/>
      <c r="J23" s="111"/>
      <c r="K23" s="111"/>
      <c r="L23" s="111"/>
      <c r="M23" s="111"/>
      <c r="N23" s="111"/>
      <c r="O23" s="111"/>
      <c r="P23" s="146"/>
    </row>
    <row r="24" spans="1:19" s="147" customFormat="1" ht="48" customHeight="1" x14ac:dyDescent="0.2">
      <c r="A24" s="419" t="s">
        <v>6</v>
      </c>
      <c r="B24" s="419"/>
      <c r="C24" s="419"/>
      <c r="D24" s="419"/>
      <c r="E24" s="419"/>
      <c r="F24" s="419"/>
      <c r="G24" s="419"/>
      <c r="H24" s="419"/>
      <c r="I24" s="419"/>
      <c r="J24" s="419"/>
      <c r="K24" s="419"/>
      <c r="L24" s="419"/>
      <c r="M24" s="419"/>
      <c r="N24" s="419"/>
      <c r="O24" s="419"/>
      <c r="P24" s="146"/>
    </row>
    <row r="25" spans="1:19" s="147" customFormat="1" ht="17.100000000000001" customHeight="1" x14ac:dyDescent="0.2">
      <c r="A25" s="119" t="s">
        <v>7</v>
      </c>
      <c r="B25" s="111"/>
      <c r="C25" s="111"/>
      <c r="D25" s="111"/>
      <c r="E25" s="111"/>
      <c r="F25" s="111"/>
      <c r="G25" s="111"/>
      <c r="H25" s="111"/>
      <c r="I25" s="111"/>
      <c r="J25" s="111"/>
      <c r="K25" s="111"/>
      <c r="L25" s="111"/>
      <c r="M25" s="111"/>
      <c r="N25" s="111"/>
      <c r="O25" s="111"/>
      <c r="P25" s="146"/>
    </row>
    <row r="26" spans="1:19" s="147" customFormat="1" ht="62.1" customHeight="1" x14ac:dyDescent="0.2">
      <c r="A26" s="420" t="s">
        <v>8</v>
      </c>
      <c r="B26" s="420"/>
      <c r="C26" s="420"/>
      <c r="D26" s="420"/>
      <c r="E26" s="420"/>
      <c r="F26" s="420"/>
      <c r="G26" s="420"/>
      <c r="H26" s="420"/>
      <c r="I26" s="420"/>
      <c r="J26" s="420"/>
      <c r="K26" s="420"/>
      <c r="L26" s="420"/>
      <c r="M26" s="420"/>
      <c r="N26" s="420"/>
      <c r="O26" s="420"/>
      <c r="P26" s="176"/>
      <c r="Q26" s="176"/>
      <c r="R26" s="176"/>
      <c r="S26" s="176"/>
    </row>
    <row r="27" spans="1:19" s="112" customFormat="1" ht="24" x14ac:dyDescent="0.3">
      <c r="A27" s="112" t="s">
        <v>9</v>
      </c>
    </row>
    <row r="28" spans="1:19" s="114" customFormat="1" ht="18.95" x14ac:dyDescent="0.25">
      <c r="A28" s="113" t="s">
        <v>10</v>
      </c>
      <c r="P28" s="69"/>
    </row>
    <row r="29" spans="1:19" s="109" customFormat="1" ht="15.95" x14ac:dyDescent="0.2">
      <c r="A29" s="422" t="s">
        <v>11</v>
      </c>
      <c r="B29" s="422"/>
      <c r="C29" s="408" t="s">
        <v>12</v>
      </c>
      <c r="D29" s="408"/>
      <c r="E29" s="408"/>
      <c r="F29" s="408"/>
      <c r="G29" s="408"/>
      <c r="H29" s="408"/>
      <c r="I29" s="408"/>
      <c r="J29" s="408"/>
      <c r="K29" s="408"/>
      <c r="L29" s="408"/>
      <c r="M29" s="408"/>
      <c r="N29" s="408"/>
      <c r="O29" s="408"/>
      <c r="P29"/>
    </row>
    <row r="30" spans="1:19" s="109" customFormat="1" ht="15.95" x14ac:dyDescent="0.2">
      <c r="A30" s="196" t="s">
        <v>13</v>
      </c>
      <c r="B30" s="196"/>
      <c r="C30" s="408" t="s">
        <v>14</v>
      </c>
      <c r="D30" s="408"/>
      <c r="E30" s="408"/>
      <c r="F30" s="408"/>
      <c r="G30" s="408"/>
      <c r="H30" s="408"/>
      <c r="I30" s="408"/>
      <c r="J30" s="408"/>
      <c r="K30" s="408"/>
      <c r="L30" s="408"/>
      <c r="M30" s="408"/>
      <c r="N30" s="408"/>
      <c r="O30" s="408"/>
      <c r="P30"/>
    </row>
    <row r="31" spans="1:19" s="109" customFormat="1" ht="15.95" x14ac:dyDescent="0.2">
      <c r="A31" s="414" t="s">
        <v>15</v>
      </c>
      <c r="B31" s="414"/>
      <c r="C31" s="408" t="s">
        <v>16</v>
      </c>
      <c r="D31" s="408"/>
      <c r="E31" s="408"/>
      <c r="F31" s="408"/>
      <c r="G31" s="408"/>
      <c r="H31" s="408"/>
      <c r="I31" s="408"/>
      <c r="J31" s="408"/>
      <c r="K31" s="408"/>
      <c r="L31" s="408"/>
      <c r="M31" s="408"/>
      <c r="N31" s="408"/>
      <c r="O31" s="408"/>
      <c r="P31"/>
    </row>
    <row r="32" spans="1:19" s="109" customFormat="1" ht="15.95" x14ac:dyDescent="0.2">
      <c r="A32" s="414" t="s">
        <v>17</v>
      </c>
      <c r="B32" s="414"/>
      <c r="C32" s="408" t="s">
        <v>18</v>
      </c>
      <c r="D32" s="408"/>
      <c r="E32" s="408"/>
      <c r="F32" s="408"/>
      <c r="G32" s="408"/>
      <c r="H32" s="408"/>
      <c r="I32" s="408"/>
      <c r="J32" s="408"/>
      <c r="K32" s="408"/>
      <c r="L32" s="408"/>
      <c r="M32" s="408"/>
      <c r="N32" s="408"/>
      <c r="O32" s="408"/>
      <c r="P32"/>
    </row>
    <row r="33" spans="1:16" s="109" customFormat="1" ht="15.95" x14ac:dyDescent="0.2">
      <c r="A33" s="414" t="s">
        <v>19</v>
      </c>
      <c r="B33" s="414"/>
      <c r="C33" s="408" t="s">
        <v>20</v>
      </c>
      <c r="D33" s="408"/>
      <c r="E33" s="408"/>
      <c r="F33" s="408"/>
      <c r="G33" s="408"/>
      <c r="H33" s="408"/>
      <c r="I33" s="408"/>
      <c r="J33" s="408"/>
      <c r="K33" s="408"/>
      <c r="L33" s="408"/>
      <c r="M33" s="408"/>
      <c r="N33" s="408"/>
      <c r="O33" s="408"/>
      <c r="P33"/>
    </row>
    <row r="34" spans="1:16" s="109" customFormat="1" ht="15.75" x14ac:dyDescent="0.25">
      <c r="A34" s="414" t="s">
        <v>21</v>
      </c>
      <c r="B34" s="414"/>
      <c r="C34" s="408" t="s">
        <v>22</v>
      </c>
      <c r="D34" s="408"/>
      <c r="E34" s="408"/>
      <c r="F34" s="408"/>
      <c r="G34" s="408"/>
      <c r="H34" s="408"/>
      <c r="I34" s="408"/>
      <c r="J34" s="408"/>
      <c r="K34" s="408"/>
      <c r="L34" s="408"/>
      <c r="M34" s="408"/>
      <c r="N34" s="408"/>
      <c r="O34" s="408"/>
      <c r="P34"/>
    </row>
    <row r="35" spans="1:16" s="109" customFormat="1" ht="15.75" x14ac:dyDescent="0.25">
      <c r="A35" s="414" t="s">
        <v>23</v>
      </c>
      <c r="B35" s="414"/>
      <c r="C35" s="408" t="s">
        <v>24</v>
      </c>
      <c r="D35" s="408"/>
      <c r="E35" s="408"/>
      <c r="F35" s="408"/>
      <c r="G35" s="408"/>
      <c r="H35" s="408"/>
      <c r="I35" s="408"/>
      <c r="J35" s="408"/>
      <c r="K35" s="408"/>
      <c r="L35" s="408"/>
      <c r="M35" s="408"/>
      <c r="N35" s="408"/>
      <c r="O35" s="408"/>
      <c r="P35"/>
    </row>
    <row r="36" spans="1:16" s="109" customFormat="1" ht="15.75" x14ac:dyDescent="0.25">
      <c r="A36" s="414" t="s">
        <v>25</v>
      </c>
      <c r="B36" s="414"/>
      <c r="C36" s="408" t="s">
        <v>26</v>
      </c>
      <c r="D36" s="408"/>
      <c r="E36" s="408"/>
      <c r="F36" s="408"/>
      <c r="G36" s="408"/>
      <c r="H36" s="408"/>
      <c r="I36" s="408"/>
      <c r="J36" s="408"/>
      <c r="K36" s="408"/>
      <c r="L36" s="408"/>
      <c r="M36" s="408"/>
      <c r="N36" s="408"/>
      <c r="O36" s="408"/>
      <c r="P36"/>
    </row>
    <row r="37" spans="1:16" s="109" customFormat="1" ht="15.75" x14ac:dyDescent="0.25">
      <c r="A37" s="414" t="s">
        <v>27</v>
      </c>
      <c r="B37" s="414"/>
      <c r="C37" s="408" t="s">
        <v>28</v>
      </c>
      <c r="D37" s="408"/>
      <c r="E37" s="408"/>
      <c r="F37" s="408"/>
      <c r="G37" s="408"/>
      <c r="H37" s="408"/>
      <c r="I37" s="408"/>
      <c r="J37" s="408"/>
      <c r="K37" s="408"/>
      <c r="L37" s="408"/>
      <c r="M37" s="408"/>
      <c r="N37" s="408"/>
      <c r="O37" s="408"/>
      <c r="P37"/>
    </row>
    <row r="38" spans="1:16" s="109" customFormat="1" ht="15.75" x14ac:dyDescent="0.25">
      <c r="A38" s="414" t="s">
        <v>29</v>
      </c>
      <c r="B38" s="414"/>
      <c r="C38" s="408" t="s">
        <v>30</v>
      </c>
      <c r="D38" s="408"/>
      <c r="E38" s="408"/>
      <c r="F38" s="408"/>
      <c r="G38" s="408"/>
      <c r="H38" s="408"/>
      <c r="I38" s="408"/>
      <c r="J38" s="408"/>
      <c r="K38" s="408"/>
      <c r="L38" s="408"/>
      <c r="M38" s="408"/>
      <c r="N38" s="408"/>
      <c r="O38" s="408"/>
      <c r="P38"/>
    </row>
    <row r="39" spans="1:16" s="109" customFormat="1" ht="15.75" x14ac:dyDescent="0.25">
      <c r="A39" s="414" t="s">
        <v>31</v>
      </c>
      <c r="B39" s="414"/>
      <c r="C39" s="408" t="s">
        <v>32</v>
      </c>
      <c r="D39" s="408"/>
      <c r="E39" s="408"/>
      <c r="F39" s="408"/>
      <c r="G39" s="408"/>
      <c r="H39" s="408"/>
      <c r="I39" s="408"/>
      <c r="J39" s="408"/>
      <c r="K39" s="408"/>
      <c r="L39" s="408"/>
      <c r="M39" s="408"/>
      <c r="N39" s="408"/>
      <c r="O39" s="408"/>
      <c r="P39"/>
    </row>
    <row r="40" spans="1:16" s="109" customFormat="1" ht="15.75" x14ac:dyDescent="0.25">
      <c r="A40" s="415" t="s">
        <v>33</v>
      </c>
      <c r="B40" s="415"/>
      <c r="C40" s="408" t="s">
        <v>34</v>
      </c>
      <c r="D40" s="408"/>
      <c r="E40" s="408"/>
      <c r="F40" s="408"/>
      <c r="G40" s="408"/>
      <c r="H40" s="408"/>
      <c r="I40" s="408"/>
      <c r="J40" s="408"/>
      <c r="K40" s="408"/>
      <c r="L40" s="408"/>
      <c r="M40" s="408"/>
      <c r="N40" s="408"/>
      <c r="O40" s="408"/>
      <c r="P40"/>
    </row>
    <row r="41" spans="1:16" s="109" customFormat="1" ht="30" customHeight="1" x14ac:dyDescent="0.25">
      <c r="A41" s="416" t="s">
        <v>35</v>
      </c>
      <c r="B41" s="416"/>
      <c r="C41" s="408" t="s">
        <v>36</v>
      </c>
      <c r="D41" s="408"/>
      <c r="E41" s="408"/>
      <c r="F41" s="408"/>
      <c r="G41" s="408"/>
      <c r="H41" s="408"/>
      <c r="I41" s="408"/>
      <c r="J41" s="408"/>
      <c r="K41" s="408"/>
      <c r="L41" s="408"/>
      <c r="M41" s="408"/>
      <c r="N41" s="408"/>
      <c r="O41" s="408"/>
      <c r="P41"/>
    </row>
    <row r="42" spans="1:16" s="109" customFormat="1" ht="15.75" x14ac:dyDescent="0.25">
      <c r="A42" s="417" t="s">
        <v>37</v>
      </c>
      <c r="B42" s="417"/>
      <c r="C42" s="408" t="s">
        <v>38</v>
      </c>
      <c r="D42" s="408"/>
      <c r="E42" s="408"/>
      <c r="F42" s="408"/>
      <c r="G42" s="408"/>
      <c r="H42" s="408"/>
      <c r="I42" s="408"/>
      <c r="J42" s="408"/>
      <c r="K42" s="408"/>
      <c r="L42" s="408"/>
      <c r="M42" s="408"/>
      <c r="N42" s="408"/>
      <c r="O42" s="408"/>
      <c r="P42"/>
    </row>
    <row r="43" spans="1:16" s="109" customFormat="1" ht="15.75" x14ac:dyDescent="0.25">
      <c r="A43" s="413" t="s">
        <v>39</v>
      </c>
      <c r="B43" s="413"/>
      <c r="C43" s="408" t="s">
        <v>40</v>
      </c>
      <c r="D43" s="408"/>
      <c r="E43" s="408"/>
      <c r="F43" s="408"/>
      <c r="G43" s="408"/>
      <c r="H43" s="408"/>
      <c r="I43" s="408"/>
      <c r="J43" s="408"/>
      <c r="K43" s="408"/>
      <c r="L43" s="408"/>
      <c r="M43" s="408"/>
      <c r="N43" s="408"/>
      <c r="O43" s="408"/>
      <c r="P43"/>
    </row>
    <row r="44" spans="1:16" s="109" customFormat="1" ht="15.75" x14ac:dyDescent="0.25">
      <c r="A44" s="413" t="s">
        <v>41</v>
      </c>
      <c r="B44" s="413"/>
      <c r="C44" s="408" t="s">
        <v>42</v>
      </c>
      <c r="D44" s="408"/>
      <c r="E44" s="408"/>
      <c r="F44" s="408"/>
      <c r="G44" s="408"/>
      <c r="H44" s="408"/>
      <c r="I44" s="408"/>
      <c r="J44" s="408"/>
      <c r="K44" s="408"/>
      <c r="L44" s="408"/>
      <c r="M44" s="408"/>
      <c r="N44" s="408"/>
      <c r="O44" s="408"/>
      <c r="P44"/>
    </row>
    <row r="45" spans="1:16" s="109" customFormat="1" ht="15.75" x14ac:dyDescent="0.25">
      <c r="A45" s="383" t="s">
        <v>492</v>
      </c>
      <c r="B45" s="383"/>
      <c r="C45" s="313" t="s">
        <v>496</v>
      </c>
      <c r="D45" s="308"/>
      <c r="E45" s="308"/>
      <c r="F45" s="308"/>
      <c r="G45" s="308"/>
      <c r="H45" s="308"/>
      <c r="I45" s="308"/>
      <c r="J45" s="308"/>
      <c r="K45" s="308"/>
      <c r="L45" s="308"/>
      <c r="M45" s="308"/>
      <c r="N45" s="308"/>
      <c r="O45" s="308"/>
      <c r="P45"/>
    </row>
    <row r="46" spans="1:16" s="109" customFormat="1" ht="15.75" x14ac:dyDescent="0.25">
      <c r="A46" s="383" t="s">
        <v>493</v>
      </c>
      <c r="B46" s="383"/>
      <c r="C46" s="314" t="s">
        <v>497</v>
      </c>
      <c r="D46" s="308"/>
      <c r="E46" s="308"/>
      <c r="F46" s="308"/>
      <c r="G46" s="308"/>
      <c r="H46" s="308"/>
      <c r="I46" s="308"/>
      <c r="J46" s="308"/>
      <c r="K46" s="308"/>
      <c r="L46" s="308"/>
      <c r="M46" s="308"/>
      <c r="N46" s="308"/>
      <c r="O46" s="308"/>
      <c r="P46"/>
    </row>
    <row r="47" spans="1:16" s="109" customFormat="1" ht="15.75" x14ac:dyDescent="0.25">
      <c r="A47" s="309" t="s">
        <v>494</v>
      </c>
      <c r="B47" s="309"/>
      <c r="C47" s="407" t="s">
        <v>498</v>
      </c>
      <c r="D47" s="408"/>
      <c r="E47" s="408"/>
      <c r="F47" s="408"/>
      <c r="G47" s="408"/>
      <c r="H47" s="408"/>
      <c r="I47" s="408"/>
      <c r="J47" s="408"/>
      <c r="K47" s="408"/>
      <c r="L47" s="408"/>
      <c r="M47" s="408"/>
      <c r="N47" s="408"/>
      <c r="O47" s="408"/>
      <c r="P47"/>
    </row>
    <row r="48" spans="1:16" s="109" customFormat="1" ht="15.75" x14ac:dyDescent="0.25">
      <c r="A48" s="316" t="s">
        <v>586</v>
      </c>
      <c r="B48" s="316"/>
      <c r="C48" s="314" t="s">
        <v>500</v>
      </c>
      <c r="D48" s="308"/>
      <c r="E48" s="308"/>
      <c r="F48" s="308"/>
      <c r="G48" s="308"/>
      <c r="H48" s="308"/>
      <c r="I48" s="308"/>
      <c r="J48" s="308"/>
      <c r="K48" s="308"/>
      <c r="L48" s="308"/>
      <c r="M48" s="308"/>
      <c r="N48" s="308"/>
      <c r="O48" s="308"/>
      <c r="P48"/>
    </row>
    <row r="49" spans="1:17" s="109" customFormat="1" ht="15.75" x14ac:dyDescent="0.25">
      <c r="A49" s="315" t="s">
        <v>495</v>
      </c>
      <c r="B49" s="315"/>
      <c r="C49" s="314" t="s">
        <v>499</v>
      </c>
      <c r="D49" s="308"/>
      <c r="E49" s="308"/>
      <c r="F49" s="308"/>
      <c r="G49" s="308"/>
      <c r="H49" s="308"/>
      <c r="I49" s="308"/>
      <c r="J49" s="308"/>
      <c r="K49" s="308"/>
      <c r="L49" s="308"/>
      <c r="M49" s="308"/>
      <c r="N49" s="308"/>
      <c r="O49" s="308"/>
      <c r="P49"/>
    </row>
    <row r="50" spans="1:17" s="114" customFormat="1" ht="18.75" x14ac:dyDescent="0.3">
      <c r="A50" s="113" t="s">
        <v>43</v>
      </c>
      <c r="P50" s="69"/>
    </row>
    <row r="51" spans="1:17" s="109" customFormat="1" ht="29.1" customHeight="1" x14ac:dyDescent="0.25">
      <c r="A51" s="425" t="s">
        <v>44</v>
      </c>
      <c r="B51" s="425"/>
      <c r="C51" s="421" t="s">
        <v>549</v>
      </c>
      <c r="D51" s="412"/>
      <c r="E51" s="412"/>
      <c r="F51" s="412"/>
      <c r="G51" s="412"/>
      <c r="H51" s="412"/>
      <c r="I51" s="412"/>
      <c r="J51" s="412"/>
      <c r="K51" s="412"/>
      <c r="L51" s="412"/>
      <c r="M51" s="412"/>
      <c r="N51" s="412"/>
      <c r="O51" s="412"/>
      <c r="P51"/>
    </row>
    <row r="52" spans="1:17" s="109" customFormat="1" ht="15.75" x14ac:dyDescent="0.25">
      <c r="A52" s="426" t="s">
        <v>45</v>
      </c>
      <c r="B52" s="426"/>
      <c r="C52" s="409" t="s">
        <v>46</v>
      </c>
      <c r="D52" s="409"/>
      <c r="E52" s="409"/>
      <c r="F52" s="409"/>
      <c r="G52" s="409"/>
      <c r="H52" s="409"/>
      <c r="I52" s="409"/>
      <c r="J52" s="409"/>
      <c r="K52" s="409"/>
      <c r="L52" s="409"/>
      <c r="M52" s="409"/>
      <c r="N52" s="409"/>
      <c r="O52" s="409"/>
      <c r="P52"/>
    </row>
    <row r="53" spans="1:17" s="109" customFormat="1" ht="29.1" customHeight="1" x14ac:dyDescent="0.25">
      <c r="A53" s="410" t="s">
        <v>47</v>
      </c>
      <c r="B53" s="410"/>
      <c r="C53" s="412" t="s">
        <v>48</v>
      </c>
      <c r="D53" s="412"/>
      <c r="E53" s="412"/>
      <c r="F53" s="412"/>
      <c r="G53" s="412"/>
      <c r="H53" s="412"/>
      <c r="I53" s="412"/>
      <c r="J53" s="412"/>
      <c r="K53" s="412"/>
      <c r="L53" s="412"/>
      <c r="M53" s="412"/>
      <c r="N53" s="412"/>
      <c r="O53" s="412"/>
      <c r="P53"/>
    </row>
    <row r="54" spans="1:17" s="109" customFormat="1" ht="15.75" x14ac:dyDescent="0.25">
      <c r="A54" s="411" t="s">
        <v>532</v>
      </c>
      <c r="B54" s="411"/>
      <c r="C54" s="409" t="s">
        <v>49</v>
      </c>
      <c r="D54" s="409"/>
      <c r="E54" s="409"/>
      <c r="F54" s="409"/>
      <c r="G54" s="409"/>
      <c r="H54" s="409"/>
      <c r="I54" s="409"/>
      <c r="J54" s="409"/>
      <c r="K54" s="409"/>
      <c r="L54" s="409"/>
      <c r="M54" s="409"/>
      <c r="N54" s="409"/>
      <c r="O54" s="409"/>
      <c r="P54"/>
    </row>
    <row r="55" spans="1:17" s="109" customFormat="1" ht="15.75" x14ac:dyDescent="0.25">
      <c r="A55" s="423" t="s">
        <v>50</v>
      </c>
      <c r="B55" s="423"/>
      <c r="C55" s="409" t="s">
        <v>51</v>
      </c>
      <c r="D55" s="409"/>
      <c r="E55" s="409"/>
      <c r="F55" s="409"/>
      <c r="G55" s="409"/>
      <c r="H55" s="409"/>
      <c r="I55" s="409"/>
      <c r="J55" s="409"/>
      <c r="K55" s="409"/>
      <c r="L55" s="409"/>
      <c r="M55" s="409"/>
      <c r="N55" s="409"/>
      <c r="O55" s="409"/>
      <c r="P55"/>
    </row>
    <row r="56" spans="1:17" s="109" customFormat="1" ht="15.75" x14ac:dyDescent="0.25">
      <c r="A56" s="424" t="s">
        <v>52</v>
      </c>
      <c r="B56" s="424"/>
      <c r="C56" s="409" t="s">
        <v>53</v>
      </c>
      <c r="D56" s="409"/>
      <c r="E56" s="409"/>
      <c r="F56" s="409"/>
      <c r="G56" s="409"/>
      <c r="H56" s="409"/>
      <c r="I56" s="409"/>
      <c r="J56" s="409"/>
      <c r="K56" s="409"/>
      <c r="L56" s="409"/>
      <c r="M56" s="409"/>
      <c r="N56" s="409"/>
      <c r="O56" s="409"/>
      <c r="P56"/>
    </row>
    <row r="58" spans="1:17" s="143" customFormat="1" ht="23.25" x14ac:dyDescent="0.35">
      <c r="A58" s="143" t="s">
        <v>54</v>
      </c>
    </row>
    <row r="59" spans="1:17" s="109" customFormat="1" ht="32.1" customHeight="1" x14ac:dyDescent="0.25">
      <c r="A59" s="418" t="s">
        <v>55</v>
      </c>
      <c r="B59" s="418"/>
      <c r="C59" s="418"/>
      <c r="D59" s="418"/>
      <c r="E59" s="418"/>
      <c r="F59" s="418"/>
      <c r="G59" s="418"/>
      <c r="H59" s="418"/>
      <c r="I59" s="418"/>
      <c r="J59" s="418"/>
      <c r="K59" s="418"/>
      <c r="L59" s="418"/>
      <c r="M59" s="418"/>
      <c r="N59" s="418"/>
      <c r="O59" s="418"/>
      <c r="Q59"/>
    </row>
    <row r="60" spans="1:17" s="109" customFormat="1" x14ac:dyDescent="0.25">
      <c r="Q60"/>
    </row>
    <row r="61" spans="1:17" s="143" customFormat="1" ht="23.25" x14ac:dyDescent="0.35">
      <c r="A61" s="143" t="s">
        <v>56</v>
      </c>
    </row>
    <row r="62" spans="1:17" s="109" customFormat="1" x14ac:dyDescent="0.25">
      <c r="J62" s="144" t="s">
        <v>57</v>
      </c>
      <c r="Q62"/>
    </row>
    <row r="63" spans="1:17" s="109" customFormat="1" x14ac:dyDescent="0.25">
      <c r="J63" s="144" t="s">
        <v>58</v>
      </c>
      <c r="Q63"/>
    </row>
    <row r="64" spans="1:17" s="109" customFormat="1" x14ac:dyDescent="0.25">
      <c r="Q64"/>
    </row>
    <row r="65" spans="17:17" s="109" customFormat="1" x14ac:dyDescent="0.25">
      <c r="Q65"/>
    </row>
    <row r="66" spans="17:17" s="109" customFormat="1" x14ac:dyDescent="0.25">
      <c r="Q66"/>
    </row>
  </sheetData>
  <mergeCells count="48">
    <mergeCell ref="A59:O59"/>
    <mergeCell ref="A22:O22"/>
    <mergeCell ref="A24:O24"/>
    <mergeCell ref="A26:O26"/>
    <mergeCell ref="C41:O41"/>
    <mergeCell ref="C51:O51"/>
    <mergeCell ref="A29:B29"/>
    <mergeCell ref="A55:B55"/>
    <mergeCell ref="A56:B56"/>
    <mergeCell ref="C29:O29"/>
    <mergeCell ref="C30:O30"/>
    <mergeCell ref="C31:O31"/>
    <mergeCell ref="A31:B31"/>
    <mergeCell ref="A32:B32"/>
    <mergeCell ref="A51:B51"/>
    <mergeCell ref="A52:B52"/>
    <mergeCell ref="A40:B40"/>
    <mergeCell ref="A41:B41"/>
    <mergeCell ref="A42:B42"/>
    <mergeCell ref="A33:B33"/>
    <mergeCell ref="A34:B34"/>
    <mergeCell ref="A35:B35"/>
    <mergeCell ref="A36:B36"/>
    <mergeCell ref="A37:B37"/>
    <mergeCell ref="A43:B43"/>
    <mergeCell ref="A44:B44"/>
    <mergeCell ref="C32:O32"/>
    <mergeCell ref="C33:O33"/>
    <mergeCell ref="C34:O34"/>
    <mergeCell ref="C35:O35"/>
    <mergeCell ref="C36:O36"/>
    <mergeCell ref="C37:O37"/>
    <mergeCell ref="C38:O38"/>
    <mergeCell ref="C39:O39"/>
    <mergeCell ref="C40:O40"/>
    <mergeCell ref="C42:O42"/>
    <mergeCell ref="C43:O43"/>
    <mergeCell ref="C44:O44"/>
    <mergeCell ref="A38:B38"/>
    <mergeCell ref="A39:B39"/>
    <mergeCell ref="C47:O47"/>
    <mergeCell ref="C55:O55"/>
    <mergeCell ref="C56:O56"/>
    <mergeCell ref="A53:B53"/>
    <mergeCell ref="A54:B54"/>
    <mergeCell ref="C52:O52"/>
    <mergeCell ref="C53:O53"/>
    <mergeCell ref="C54:O54"/>
  </mergeCells>
  <pageMargins left="0.75" right="0.75" top="1" bottom="1" header="0.5" footer="0.5"/>
  <pageSetup orientation="portrait" horizontalDpi="4294967292" verticalDpi="429496729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FF0000"/>
  </sheetPr>
  <dimension ref="A1:AK48"/>
  <sheetViews>
    <sheetView topLeftCell="A28" workbookViewId="0">
      <pane xSplit="1" topLeftCell="B1" activePane="topRight" state="frozen"/>
      <selection activeCell="AI51" sqref="AI51"/>
      <selection pane="topRight" activeCell="A28" sqref="A28"/>
    </sheetView>
  </sheetViews>
  <sheetFormatPr defaultColWidth="8.85546875" defaultRowHeight="15" x14ac:dyDescent="0.25"/>
  <cols>
    <col min="1" max="1" width="42.28515625" customWidth="1"/>
    <col min="2" max="2" width="11.42578125" customWidth="1"/>
    <col min="6" max="6" width="11.140625" customWidth="1"/>
    <col min="36" max="36" width="9.85546875" style="124" customWidth="1"/>
  </cols>
  <sheetData>
    <row r="1" spans="1:36" s="69" customFormat="1" ht="21" x14ac:dyDescent="0.25">
      <c r="A1" s="197" t="s">
        <v>318</v>
      </c>
      <c r="AJ1" s="122"/>
    </row>
    <row r="2" spans="1:36" ht="15.95" thickBot="1" x14ac:dyDescent="0.25">
      <c r="B2" s="1" t="s">
        <v>222</v>
      </c>
      <c r="C2" s="1">
        <f>'Assumptions &amp; Results'!D2</f>
        <v>2017</v>
      </c>
      <c r="D2" s="1">
        <f>'Assumptions &amp; Results'!E2</f>
        <v>2018</v>
      </c>
      <c r="E2" s="1">
        <f>'Assumptions &amp; Results'!F2</f>
        <v>2019</v>
      </c>
      <c r="F2" s="1">
        <f>'Assumptions &amp; Results'!G2</f>
        <v>2020</v>
      </c>
      <c r="G2" s="1">
        <f>'Assumptions &amp; Results'!H2</f>
        <v>2021</v>
      </c>
      <c r="H2" s="1">
        <f>'Assumptions &amp; Results'!I2</f>
        <v>2022</v>
      </c>
      <c r="I2" s="1">
        <f>'Assumptions &amp; Results'!J2</f>
        <v>2023</v>
      </c>
      <c r="J2" s="1">
        <f>'Assumptions &amp; Results'!K2</f>
        <v>2024</v>
      </c>
      <c r="K2" s="1">
        <f>'Assumptions &amp; Results'!L2</f>
        <v>2025</v>
      </c>
      <c r="L2" s="1">
        <f>'Assumptions &amp; Results'!M2</f>
        <v>2026</v>
      </c>
      <c r="M2" s="1">
        <f>'Assumptions &amp; Results'!N2</f>
        <v>2027</v>
      </c>
      <c r="N2" s="1">
        <f>'Assumptions &amp; Results'!O2</f>
        <v>2028</v>
      </c>
      <c r="O2" s="1">
        <f>'Assumptions &amp; Results'!P2</f>
        <v>2029</v>
      </c>
      <c r="P2" s="1">
        <f>'Assumptions &amp; Results'!Q2</f>
        <v>2030</v>
      </c>
      <c r="Q2" s="1">
        <f>'Assumptions &amp; Results'!R2</f>
        <v>2031</v>
      </c>
      <c r="R2" s="1">
        <f>'Assumptions &amp; Results'!S2</f>
        <v>2032</v>
      </c>
      <c r="S2" s="1">
        <f>'Assumptions &amp; Results'!T2</f>
        <v>2033</v>
      </c>
      <c r="T2" s="1">
        <f>'Assumptions &amp; Results'!U2</f>
        <v>2034</v>
      </c>
      <c r="U2" s="1">
        <f>'Assumptions &amp; Results'!V2</f>
        <v>2035</v>
      </c>
      <c r="V2" s="1">
        <f>'Assumptions &amp; Results'!W2</f>
        <v>2036</v>
      </c>
      <c r="W2" s="1">
        <f>'Assumptions &amp; Results'!X2</f>
        <v>2037</v>
      </c>
      <c r="X2" s="1">
        <f>'Assumptions &amp; Results'!Y2</f>
        <v>2038</v>
      </c>
      <c r="Y2" s="1">
        <f>'Assumptions &amp; Results'!Z2</f>
        <v>2039</v>
      </c>
      <c r="Z2" s="1">
        <f>'Assumptions &amp; Results'!AA2</f>
        <v>2040</v>
      </c>
      <c r="AA2" s="1">
        <f>'Assumptions &amp; Results'!AB2</f>
        <v>2041</v>
      </c>
      <c r="AB2" s="1">
        <f>'Assumptions &amp; Results'!AC2</f>
        <v>2042</v>
      </c>
      <c r="AC2" s="1">
        <f>'Assumptions &amp; Results'!AD2</f>
        <v>2043</v>
      </c>
      <c r="AD2" s="1">
        <f>'Assumptions &amp; Results'!AE2</f>
        <v>2044</v>
      </c>
      <c r="AE2" s="1">
        <f>'Assumptions &amp; Results'!AF2</f>
        <v>2045</v>
      </c>
      <c r="AF2" s="1">
        <f>'Assumptions &amp; Results'!AG2</f>
        <v>2046</v>
      </c>
      <c r="AG2" s="1">
        <f>'Assumptions &amp; Results'!AH2</f>
        <v>2047</v>
      </c>
      <c r="AH2" s="1">
        <f>'Assumptions &amp; Results'!AI2</f>
        <v>2048</v>
      </c>
      <c r="AI2" s="1">
        <f>'Assumptions &amp; Results'!AJ2</f>
        <v>2049</v>
      </c>
      <c r="AJ2" s="123" t="s">
        <v>63</v>
      </c>
    </row>
    <row r="3" spans="1:36" ht="15.95" thickBot="1" x14ac:dyDescent="0.25">
      <c r="A3" t="s">
        <v>319</v>
      </c>
      <c r="B3" t="str">
        <f>'Assumptions &amp; Results'!B119</f>
        <v>Straight Line</v>
      </c>
      <c r="C3" s="34">
        <f>'Assumptions &amp; Results'!$C$119</f>
        <v>4</v>
      </c>
    </row>
    <row r="4" spans="1:36" x14ac:dyDescent="0.2">
      <c r="C4" s="38"/>
    </row>
    <row r="5" spans="1:36" x14ac:dyDescent="0.2">
      <c r="A5" t="s">
        <v>224</v>
      </c>
      <c r="B5" t="str">
        <f>'Assumptions &amp; Results'!B40</f>
        <v>$MM</v>
      </c>
      <c r="C5" s="8">
        <f>'Assumptions &amp; Results'!D58</f>
        <v>0</v>
      </c>
      <c r="D5" s="8">
        <f>'Assumptions &amp; Results'!E58</f>
        <v>0</v>
      </c>
      <c r="E5" s="8">
        <f>'Assumptions &amp; Results'!F58</f>
        <v>0</v>
      </c>
      <c r="F5" s="8">
        <f>'Assumptions &amp; Results'!G58</f>
        <v>0</v>
      </c>
      <c r="G5" s="8">
        <f>'Assumptions &amp; Results'!H58</f>
        <v>0</v>
      </c>
      <c r="H5" s="8">
        <f>'Assumptions &amp; Results'!I58</f>
        <v>0</v>
      </c>
      <c r="I5" s="8">
        <f>'Assumptions &amp; Results'!J58</f>
        <v>0</v>
      </c>
      <c r="J5" s="8">
        <f>'Assumptions &amp; Results'!K58</f>
        <v>0</v>
      </c>
      <c r="K5" s="8">
        <f>'Assumptions &amp; Results'!L58</f>
        <v>0</v>
      </c>
      <c r="L5" s="8">
        <f>'Assumptions &amp; Results'!M58</f>
        <v>0</v>
      </c>
      <c r="M5" s="8">
        <f>'Assumptions &amp; Results'!N58</f>
        <v>0</v>
      </c>
      <c r="N5" s="8">
        <f>'Assumptions &amp; Results'!O58</f>
        <v>0</v>
      </c>
      <c r="O5" s="8">
        <f>'Assumptions &amp; Results'!P58</f>
        <v>0</v>
      </c>
      <c r="P5" s="8">
        <f>'Assumptions &amp; Results'!Q58</f>
        <v>0</v>
      </c>
      <c r="Q5" s="8">
        <f>'Assumptions &amp; Results'!R58</f>
        <v>0</v>
      </c>
      <c r="R5" s="8">
        <f>'Assumptions &amp; Results'!S58</f>
        <v>0</v>
      </c>
      <c r="S5" s="8">
        <f>'Assumptions &amp; Results'!T58</f>
        <v>0</v>
      </c>
      <c r="T5" s="8">
        <f>'Assumptions &amp; Results'!U58</f>
        <v>0</v>
      </c>
      <c r="U5" s="8">
        <f>'Assumptions &amp; Results'!V58</f>
        <v>0</v>
      </c>
      <c r="V5" s="8">
        <f>'Assumptions &amp; Results'!W58</f>
        <v>0</v>
      </c>
      <c r="W5" s="8">
        <f>'Assumptions &amp; Results'!X58</f>
        <v>0</v>
      </c>
      <c r="X5" s="8">
        <f>'Assumptions &amp; Results'!Y58</f>
        <v>0</v>
      </c>
      <c r="Y5" s="8">
        <f>'Assumptions &amp; Results'!Z58</f>
        <v>0</v>
      </c>
      <c r="Z5" s="8">
        <f>'Assumptions &amp; Results'!AA58</f>
        <v>0</v>
      </c>
      <c r="AA5" s="8">
        <f>'Assumptions &amp; Results'!AB58</f>
        <v>0</v>
      </c>
      <c r="AB5" s="8">
        <f>'Assumptions &amp; Results'!AC58</f>
        <v>0</v>
      </c>
      <c r="AC5" s="8">
        <f>'Assumptions &amp; Results'!AD58</f>
        <v>0</v>
      </c>
      <c r="AD5" s="8">
        <f>'Assumptions &amp; Results'!AE58</f>
        <v>0</v>
      </c>
      <c r="AE5" s="8">
        <f>'Assumptions &amp; Results'!AF58</f>
        <v>0</v>
      </c>
      <c r="AF5" s="8">
        <f>'Assumptions &amp; Results'!AG58</f>
        <v>0</v>
      </c>
      <c r="AG5" s="8">
        <f>'Assumptions &amp; Results'!AH58</f>
        <v>0</v>
      </c>
      <c r="AH5" s="8">
        <f>'Assumptions &amp; Results'!AI58</f>
        <v>0</v>
      </c>
      <c r="AI5" s="8">
        <f>'Assumptions &amp; Results'!AJ58</f>
        <v>0</v>
      </c>
      <c r="AJ5" s="125">
        <f>SUM(C5:AI5)</f>
        <v>0</v>
      </c>
    </row>
    <row r="6" spans="1:36" x14ac:dyDescent="0.2">
      <c r="A6" s="4"/>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125"/>
    </row>
    <row r="7" spans="1:36" x14ac:dyDescent="0.2">
      <c r="A7" s="1" t="s">
        <v>225</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125"/>
    </row>
    <row r="8" spans="1:36" x14ac:dyDescent="0.2">
      <c r="A8" t="s">
        <v>33</v>
      </c>
      <c r="C8" s="8">
        <f>'Gas PL'!C8*'Assumptions &amp; Results'!$C$70</f>
        <v>0</v>
      </c>
      <c r="D8" s="8">
        <f>'Gas PL'!D8*'Assumptions &amp; Results'!$C$70</f>
        <v>0</v>
      </c>
      <c r="E8" s="8">
        <f>'Gas PL'!E8*'Assumptions &amp; Results'!$C$70</f>
        <v>0</v>
      </c>
      <c r="F8" s="8">
        <f>'Gas PL'!F8*'Assumptions &amp; Results'!$C$70</f>
        <v>0</v>
      </c>
      <c r="G8" s="8">
        <f>'Gas PL'!G8*'Assumptions &amp; Results'!$C$70</f>
        <v>0</v>
      </c>
      <c r="H8" s="8">
        <f>'Gas PL'!H8*'Assumptions &amp; Results'!$C$70</f>
        <v>0</v>
      </c>
      <c r="I8" s="8">
        <f>'Gas PL'!I8*'Assumptions &amp; Results'!$C$70</f>
        <v>0</v>
      </c>
      <c r="J8" s="8">
        <f>'Gas PL'!J8*'Assumptions &amp; Results'!$C$70</f>
        <v>0</v>
      </c>
      <c r="K8" s="8">
        <f>'Gas PL'!K8*'Assumptions &amp; Results'!$C$70</f>
        <v>0</v>
      </c>
      <c r="L8" s="8">
        <f>'Gas PL'!L8*'Assumptions &amp; Results'!$C$70</f>
        <v>0</v>
      </c>
      <c r="M8" s="8">
        <f>'Gas PL'!M8*'Assumptions &amp; Results'!$C$70</f>
        <v>0</v>
      </c>
      <c r="N8" s="8">
        <f>'Gas PL'!N8*'Assumptions &amp; Results'!$C$70</f>
        <v>0</v>
      </c>
      <c r="O8" s="8">
        <f>'Gas PL'!O8*'Assumptions &amp; Results'!$C$70</f>
        <v>0</v>
      </c>
      <c r="P8" s="8">
        <f>'Gas PL'!P8*'Assumptions &amp; Results'!$C$70</f>
        <v>0</v>
      </c>
      <c r="Q8" s="8">
        <f>'Gas PL'!Q8*'Assumptions &amp; Results'!$C$70</f>
        <v>0</v>
      </c>
      <c r="R8" s="8">
        <f>'Gas PL'!R8*'Assumptions &amp; Results'!$C$70</f>
        <v>0</v>
      </c>
      <c r="S8" s="8">
        <f>'Gas PL'!S8*'Assumptions &amp; Results'!$C$70</f>
        <v>0</v>
      </c>
      <c r="T8" s="8">
        <f>'Gas PL'!T8*'Assumptions &amp; Results'!$C$70</f>
        <v>0</v>
      </c>
      <c r="U8" s="8">
        <f>'Gas PL'!U8*'Assumptions &amp; Results'!$C$70</f>
        <v>0</v>
      </c>
      <c r="V8" s="8">
        <f>'Gas PL'!V8*'Assumptions &amp; Results'!$C$70</f>
        <v>0</v>
      </c>
      <c r="W8" s="8">
        <f>'Gas PL'!W8*'Assumptions &amp; Results'!$C$70</f>
        <v>0</v>
      </c>
      <c r="X8" s="8">
        <f>'Gas PL'!X8*'Assumptions &amp; Results'!$C$70</f>
        <v>0</v>
      </c>
      <c r="Y8" s="8">
        <f>'Gas PL'!Y8*'Assumptions &amp; Results'!$C$70</f>
        <v>0</v>
      </c>
      <c r="Z8" s="8">
        <f>'Gas PL'!Z8*'Assumptions &amp; Results'!$C$70</f>
        <v>0</v>
      </c>
      <c r="AA8" s="8">
        <f>'Gas PL'!AA8*'Assumptions &amp; Results'!$C$70</f>
        <v>0</v>
      </c>
      <c r="AB8" s="8">
        <f>'Gas PL'!AB8*'Assumptions &amp; Results'!$C$70</f>
        <v>0</v>
      </c>
      <c r="AC8" s="8">
        <f>'Gas PL'!AC8*'Assumptions &amp; Results'!$C$70</f>
        <v>0</v>
      </c>
      <c r="AD8" s="8">
        <f>'Gas PL'!AD8*'Assumptions &amp; Results'!$C$70</f>
        <v>0</v>
      </c>
      <c r="AE8" s="8">
        <f>'Gas PL'!AE8*'Assumptions &amp; Results'!$C$70</f>
        <v>0</v>
      </c>
      <c r="AF8" s="8">
        <f>'Gas PL'!AF8*'Assumptions &amp; Results'!$C$70</f>
        <v>0</v>
      </c>
      <c r="AG8" s="8">
        <f>'Gas PL'!AG8*'Assumptions &amp; Results'!$C$70</f>
        <v>0</v>
      </c>
      <c r="AH8" s="8">
        <f>'Gas PL'!AH8*'Assumptions &amp; Results'!$C$70</f>
        <v>0</v>
      </c>
      <c r="AI8" s="8">
        <f>'Gas PL'!AI8*'Assumptions &amp; Results'!$C$70</f>
        <v>0</v>
      </c>
      <c r="AJ8" s="125">
        <f>SUM(C8:AI8)</f>
        <v>0</v>
      </c>
    </row>
    <row r="9" spans="1:36" ht="18" x14ac:dyDescent="0.35">
      <c r="A9" t="s">
        <v>226</v>
      </c>
      <c r="C9" s="27">
        <f>'LNG Equity '!C6*'Assumptions &amp; Results'!$C$92</f>
        <v>0</v>
      </c>
      <c r="D9" s="27">
        <f>'LNG Equity '!D6*'Assumptions &amp; Results'!$C$92</f>
        <v>0</v>
      </c>
      <c r="E9" s="27">
        <f>'LNG Equity '!E6*'Assumptions &amp; Results'!$C$92</f>
        <v>0</v>
      </c>
      <c r="F9" s="27">
        <f>'LNG Equity '!F6*'Assumptions &amp; Results'!$C$92</f>
        <v>0</v>
      </c>
      <c r="G9" s="27">
        <f>'LNG Equity '!G6*'Assumptions &amp; Results'!$C$92</f>
        <v>0</v>
      </c>
      <c r="H9" s="27">
        <f>'LNG Equity '!H6*'Assumptions &amp; Results'!$C$92</f>
        <v>0</v>
      </c>
      <c r="I9" s="27">
        <f>'LNG Equity '!I6*'Assumptions &amp; Results'!$C$92</f>
        <v>0</v>
      </c>
      <c r="J9" s="27">
        <f>'LNG Equity '!J6*'Assumptions &amp; Results'!$C$92</f>
        <v>0</v>
      </c>
      <c r="K9" s="27">
        <f>'LNG Equity '!K6*'Assumptions &amp; Results'!$C$92</f>
        <v>0</v>
      </c>
      <c r="L9" s="27">
        <f>'LNG Equity '!L6*'Assumptions &amp; Results'!$C$92</f>
        <v>0</v>
      </c>
      <c r="M9" s="27">
        <f>'LNG Equity '!M6*'Assumptions &amp; Results'!$C$92</f>
        <v>0</v>
      </c>
      <c r="N9" s="27">
        <f>'LNG Equity '!N6*'Assumptions &amp; Results'!$C$92</f>
        <v>0</v>
      </c>
      <c r="O9" s="27">
        <f>'LNG Equity '!O6*'Assumptions &amp; Results'!$C$92</f>
        <v>0</v>
      </c>
      <c r="P9" s="27">
        <f>'LNG Equity '!P6*'Assumptions &amp; Results'!$C$92</f>
        <v>0</v>
      </c>
      <c r="Q9" s="27">
        <f>'LNG Equity '!Q6*'Assumptions &amp; Results'!$C$92</f>
        <v>0</v>
      </c>
      <c r="R9" s="27">
        <f>'LNG Equity '!R6*'Assumptions &amp; Results'!$C$92</f>
        <v>0</v>
      </c>
      <c r="S9" s="27">
        <f>'LNG Equity '!S6*'Assumptions &amp; Results'!$C$92</f>
        <v>0</v>
      </c>
      <c r="T9" s="27">
        <f>'LNG Equity '!T6*'Assumptions &amp; Results'!$C$92</f>
        <v>0</v>
      </c>
      <c r="U9" s="27">
        <f>'LNG Equity '!U6*'Assumptions &amp; Results'!$C$92</f>
        <v>0</v>
      </c>
      <c r="V9" s="27">
        <f>'LNG Equity '!V6*'Assumptions &amp; Results'!$C$92</f>
        <v>0</v>
      </c>
      <c r="W9" s="27">
        <f>'LNG Equity '!W6*'Assumptions &amp; Results'!$C$92</f>
        <v>0</v>
      </c>
      <c r="X9" s="27">
        <f>'LNG Equity '!X6*'Assumptions &amp; Results'!$C$92</f>
        <v>0</v>
      </c>
      <c r="Y9" s="27">
        <f>'LNG Equity '!Y6*'Assumptions &amp; Results'!$C$92</f>
        <v>0</v>
      </c>
      <c r="Z9" s="27">
        <f>'LNG Equity '!Z6*'Assumptions &amp; Results'!$C$92</f>
        <v>0</v>
      </c>
      <c r="AA9" s="27">
        <f>'LNG Equity '!AA6*'Assumptions &amp; Results'!$C$92</f>
        <v>0</v>
      </c>
      <c r="AB9" s="27">
        <f>'LNG Equity '!AB6*'Assumptions &amp; Results'!$C$92</f>
        <v>0</v>
      </c>
      <c r="AC9" s="27">
        <f>'LNG Equity '!AC6*'Assumptions &amp; Results'!$C$92</f>
        <v>0</v>
      </c>
      <c r="AD9" s="27">
        <f>'LNG Equity '!AD6*'Assumptions &amp; Results'!$C$92</f>
        <v>0</v>
      </c>
      <c r="AE9" s="27">
        <f>'LNG Equity '!AE6*'Assumptions &amp; Results'!$C$92</f>
        <v>0</v>
      </c>
      <c r="AF9" s="27">
        <f>'LNG Equity '!AF6*'Assumptions &amp; Results'!$C$92</f>
        <v>0</v>
      </c>
      <c r="AG9" s="27">
        <f>'LNG Equity '!AG6*'Assumptions &amp; Results'!$C$92</f>
        <v>0</v>
      </c>
      <c r="AH9" s="27">
        <f>'LNG Equity '!AH6*'Assumptions &amp; Results'!$C$92</f>
        <v>0</v>
      </c>
      <c r="AI9" s="27">
        <f>'LNG Equity '!AI6*'Assumptions &amp; Results'!$C$92</f>
        <v>0</v>
      </c>
      <c r="AJ9" s="126">
        <f>SUM(C9:AI9)</f>
        <v>0</v>
      </c>
    </row>
    <row r="10" spans="1:36" s="79" customFormat="1" x14ac:dyDescent="0.2">
      <c r="A10" s="79" t="s">
        <v>227</v>
      </c>
      <c r="B10" s="79" t="s">
        <v>99</v>
      </c>
      <c r="C10" s="84">
        <f t="shared" ref="C10:AJ10" si="0">C5+C8+C9</f>
        <v>0</v>
      </c>
      <c r="D10" s="84">
        <f t="shared" si="0"/>
        <v>0</v>
      </c>
      <c r="E10" s="84">
        <f t="shared" si="0"/>
        <v>0</v>
      </c>
      <c r="F10" s="84">
        <f t="shared" si="0"/>
        <v>0</v>
      </c>
      <c r="G10" s="84">
        <f t="shared" si="0"/>
        <v>0</v>
      </c>
      <c r="H10" s="84">
        <f t="shared" si="0"/>
        <v>0</v>
      </c>
      <c r="I10" s="84">
        <f t="shared" si="0"/>
        <v>0</v>
      </c>
      <c r="J10" s="84">
        <f t="shared" si="0"/>
        <v>0</v>
      </c>
      <c r="K10" s="84">
        <f t="shared" si="0"/>
        <v>0</v>
      </c>
      <c r="L10" s="84">
        <f t="shared" si="0"/>
        <v>0</v>
      </c>
      <c r="M10" s="84">
        <f t="shared" si="0"/>
        <v>0</v>
      </c>
      <c r="N10" s="84">
        <f t="shared" si="0"/>
        <v>0</v>
      </c>
      <c r="O10" s="84">
        <f t="shared" si="0"/>
        <v>0</v>
      </c>
      <c r="P10" s="84">
        <f t="shared" si="0"/>
        <v>0</v>
      </c>
      <c r="Q10" s="84">
        <f t="shared" si="0"/>
        <v>0</v>
      </c>
      <c r="R10" s="84">
        <f t="shared" si="0"/>
        <v>0</v>
      </c>
      <c r="S10" s="84">
        <f t="shared" si="0"/>
        <v>0</v>
      </c>
      <c r="T10" s="84">
        <f t="shared" si="0"/>
        <v>0</v>
      </c>
      <c r="U10" s="84">
        <f t="shared" si="0"/>
        <v>0</v>
      </c>
      <c r="V10" s="84">
        <f t="shared" si="0"/>
        <v>0</v>
      </c>
      <c r="W10" s="84">
        <f t="shared" si="0"/>
        <v>0</v>
      </c>
      <c r="X10" s="84">
        <f t="shared" si="0"/>
        <v>0</v>
      </c>
      <c r="Y10" s="84">
        <f t="shared" si="0"/>
        <v>0</v>
      </c>
      <c r="Z10" s="84">
        <f t="shared" si="0"/>
        <v>0</v>
      </c>
      <c r="AA10" s="84">
        <f t="shared" si="0"/>
        <v>0</v>
      </c>
      <c r="AB10" s="84">
        <f t="shared" si="0"/>
        <v>0</v>
      </c>
      <c r="AC10" s="84">
        <f t="shared" si="0"/>
        <v>0</v>
      </c>
      <c r="AD10" s="84">
        <f t="shared" si="0"/>
        <v>0</v>
      </c>
      <c r="AE10" s="84">
        <f t="shared" si="0"/>
        <v>0</v>
      </c>
      <c r="AF10" s="84">
        <f t="shared" si="0"/>
        <v>0</v>
      </c>
      <c r="AG10" s="84">
        <f t="shared" si="0"/>
        <v>0</v>
      </c>
      <c r="AH10" s="84">
        <f t="shared" si="0"/>
        <v>0</v>
      </c>
      <c r="AI10" s="84">
        <f t="shared" si="0"/>
        <v>0</v>
      </c>
      <c r="AJ10" s="127">
        <f t="shared" si="0"/>
        <v>0</v>
      </c>
    </row>
    <row r="11" spans="1:36" x14ac:dyDescent="0.2">
      <c r="A11" t="s">
        <v>228</v>
      </c>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125"/>
    </row>
    <row r="12" spans="1:36" x14ac:dyDescent="0.2">
      <c r="A12" s="4"/>
    </row>
    <row r="13" spans="1:36" x14ac:dyDescent="0.2">
      <c r="B13" s="1" t="s">
        <v>229</v>
      </c>
    </row>
    <row r="14" spans="1:36" x14ac:dyDescent="0.2">
      <c r="A14" t="s">
        <v>230</v>
      </c>
      <c r="B14">
        <f>C2</f>
        <v>2017</v>
      </c>
      <c r="C14" s="8">
        <f>IF(C$2-$B14-$C$3&lt;0,SLN($C10,0,$C$3),0)</f>
        <v>0</v>
      </c>
      <c r="D14" s="8">
        <f>IF(D$2-$B14-$C$3&lt;0,SLN($C10,0,$C$3),0)</f>
        <v>0</v>
      </c>
      <c r="E14" s="8">
        <f t="shared" ref="E14:AI14" si="1">IF(E$2-$B14-$C$3&lt;0,SLN($C$10,0,$C$3),0)</f>
        <v>0</v>
      </c>
      <c r="F14" s="8">
        <f t="shared" si="1"/>
        <v>0</v>
      </c>
      <c r="G14" s="8">
        <f t="shared" si="1"/>
        <v>0</v>
      </c>
      <c r="H14" s="8">
        <f t="shared" si="1"/>
        <v>0</v>
      </c>
      <c r="I14" s="8">
        <f t="shared" si="1"/>
        <v>0</v>
      </c>
      <c r="J14" s="8">
        <f t="shared" si="1"/>
        <v>0</v>
      </c>
      <c r="K14" s="8">
        <f t="shared" si="1"/>
        <v>0</v>
      </c>
      <c r="L14" s="8">
        <f t="shared" si="1"/>
        <v>0</v>
      </c>
      <c r="M14" s="8">
        <f t="shared" si="1"/>
        <v>0</v>
      </c>
      <c r="N14" s="8">
        <f t="shared" si="1"/>
        <v>0</v>
      </c>
      <c r="O14" s="8">
        <f t="shared" si="1"/>
        <v>0</v>
      </c>
      <c r="P14" s="8">
        <f t="shared" si="1"/>
        <v>0</v>
      </c>
      <c r="Q14" s="8">
        <f t="shared" si="1"/>
        <v>0</v>
      </c>
      <c r="R14" s="8">
        <f t="shared" si="1"/>
        <v>0</v>
      </c>
      <c r="S14" s="8">
        <f t="shared" si="1"/>
        <v>0</v>
      </c>
      <c r="T14" s="8">
        <f t="shared" si="1"/>
        <v>0</v>
      </c>
      <c r="U14" s="8">
        <f t="shared" si="1"/>
        <v>0</v>
      </c>
      <c r="V14" s="8">
        <f t="shared" si="1"/>
        <v>0</v>
      </c>
      <c r="W14" s="8">
        <f t="shared" si="1"/>
        <v>0</v>
      </c>
      <c r="X14" s="8">
        <f t="shared" si="1"/>
        <v>0</v>
      </c>
      <c r="Y14" s="8">
        <f t="shared" si="1"/>
        <v>0</v>
      </c>
      <c r="Z14" s="8">
        <f t="shared" si="1"/>
        <v>0</v>
      </c>
      <c r="AA14" s="8">
        <f t="shared" si="1"/>
        <v>0</v>
      </c>
      <c r="AB14" s="8">
        <f t="shared" si="1"/>
        <v>0</v>
      </c>
      <c r="AC14" s="8">
        <f t="shared" si="1"/>
        <v>0</v>
      </c>
      <c r="AD14" s="8">
        <f t="shared" si="1"/>
        <v>0</v>
      </c>
      <c r="AE14" s="8">
        <f t="shared" si="1"/>
        <v>0</v>
      </c>
      <c r="AF14" s="8">
        <f t="shared" si="1"/>
        <v>0</v>
      </c>
      <c r="AG14" s="8">
        <f t="shared" si="1"/>
        <v>0</v>
      </c>
      <c r="AH14" s="8">
        <f t="shared" si="1"/>
        <v>0</v>
      </c>
      <c r="AI14" s="8">
        <f t="shared" si="1"/>
        <v>0</v>
      </c>
      <c r="AJ14" s="125">
        <f t="shared" ref="AJ14:AJ46" si="2">SUM(C14:AI14)</f>
        <v>0</v>
      </c>
    </row>
    <row r="15" spans="1:36" x14ac:dyDescent="0.2">
      <c r="B15">
        <f>D2</f>
        <v>2018</v>
      </c>
      <c r="C15" s="8"/>
      <c r="D15" s="8">
        <f t="shared" ref="D15:AI15" si="3">IF(D$2-$B15-$C$3&lt;0,SLN($D$10,0,$C$3),0)</f>
        <v>0</v>
      </c>
      <c r="E15" s="8">
        <f t="shared" si="3"/>
        <v>0</v>
      </c>
      <c r="F15" s="8">
        <f t="shared" si="3"/>
        <v>0</v>
      </c>
      <c r="G15" s="8">
        <f t="shared" si="3"/>
        <v>0</v>
      </c>
      <c r="H15" s="8">
        <f t="shared" si="3"/>
        <v>0</v>
      </c>
      <c r="I15" s="8">
        <f t="shared" si="3"/>
        <v>0</v>
      </c>
      <c r="J15" s="8">
        <f t="shared" si="3"/>
        <v>0</v>
      </c>
      <c r="K15" s="8">
        <f t="shared" si="3"/>
        <v>0</v>
      </c>
      <c r="L15" s="8">
        <f t="shared" si="3"/>
        <v>0</v>
      </c>
      <c r="M15" s="8">
        <f t="shared" si="3"/>
        <v>0</v>
      </c>
      <c r="N15" s="8">
        <f t="shared" si="3"/>
        <v>0</v>
      </c>
      <c r="O15" s="8">
        <f t="shared" si="3"/>
        <v>0</v>
      </c>
      <c r="P15" s="8">
        <f t="shared" si="3"/>
        <v>0</v>
      </c>
      <c r="Q15" s="8">
        <f t="shared" si="3"/>
        <v>0</v>
      </c>
      <c r="R15" s="8">
        <f t="shared" si="3"/>
        <v>0</v>
      </c>
      <c r="S15" s="8">
        <f t="shared" si="3"/>
        <v>0</v>
      </c>
      <c r="T15" s="8">
        <f t="shared" si="3"/>
        <v>0</v>
      </c>
      <c r="U15" s="8">
        <f t="shared" si="3"/>
        <v>0</v>
      </c>
      <c r="V15" s="8">
        <f t="shared" si="3"/>
        <v>0</v>
      </c>
      <c r="W15" s="8">
        <f t="shared" si="3"/>
        <v>0</v>
      </c>
      <c r="X15" s="8">
        <f t="shared" si="3"/>
        <v>0</v>
      </c>
      <c r="Y15" s="8">
        <f t="shared" si="3"/>
        <v>0</v>
      </c>
      <c r="Z15" s="8">
        <f t="shared" si="3"/>
        <v>0</v>
      </c>
      <c r="AA15" s="8">
        <f t="shared" si="3"/>
        <v>0</v>
      </c>
      <c r="AB15" s="8">
        <f t="shared" si="3"/>
        <v>0</v>
      </c>
      <c r="AC15" s="8">
        <f t="shared" si="3"/>
        <v>0</v>
      </c>
      <c r="AD15" s="8">
        <f t="shared" si="3"/>
        <v>0</v>
      </c>
      <c r="AE15" s="8">
        <f t="shared" si="3"/>
        <v>0</v>
      </c>
      <c r="AF15" s="8">
        <f t="shared" si="3"/>
        <v>0</v>
      </c>
      <c r="AG15" s="8">
        <f t="shared" si="3"/>
        <v>0</v>
      </c>
      <c r="AH15" s="8">
        <f t="shared" si="3"/>
        <v>0</v>
      </c>
      <c r="AI15" s="8">
        <f t="shared" si="3"/>
        <v>0</v>
      </c>
      <c r="AJ15" s="125">
        <f t="shared" si="2"/>
        <v>0</v>
      </c>
    </row>
    <row r="16" spans="1:36" x14ac:dyDescent="0.2">
      <c r="B16">
        <f>E2</f>
        <v>2019</v>
      </c>
      <c r="C16" s="8"/>
      <c r="D16" s="8"/>
      <c r="E16" s="8">
        <f t="shared" ref="E16:AI16" si="4">IF(E$2-$B16-$C$3&lt;0,SLN($E$10,0,$C$3),0)</f>
        <v>0</v>
      </c>
      <c r="F16" s="8">
        <f t="shared" si="4"/>
        <v>0</v>
      </c>
      <c r="G16" s="8">
        <f t="shared" si="4"/>
        <v>0</v>
      </c>
      <c r="H16" s="8">
        <f t="shared" si="4"/>
        <v>0</v>
      </c>
      <c r="I16" s="8">
        <f t="shared" si="4"/>
        <v>0</v>
      </c>
      <c r="J16" s="8">
        <f t="shared" si="4"/>
        <v>0</v>
      </c>
      <c r="K16" s="8">
        <f t="shared" si="4"/>
        <v>0</v>
      </c>
      <c r="L16" s="8">
        <f t="shared" si="4"/>
        <v>0</v>
      </c>
      <c r="M16" s="8">
        <f t="shared" si="4"/>
        <v>0</v>
      </c>
      <c r="N16" s="8">
        <f t="shared" si="4"/>
        <v>0</v>
      </c>
      <c r="O16" s="8">
        <f t="shared" si="4"/>
        <v>0</v>
      </c>
      <c r="P16" s="8">
        <f t="shared" si="4"/>
        <v>0</v>
      </c>
      <c r="Q16" s="8">
        <f t="shared" si="4"/>
        <v>0</v>
      </c>
      <c r="R16" s="8">
        <f t="shared" si="4"/>
        <v>0</v>
      </c>
      <c r="S16" s="8">
        <f t="shared" si="4"/>
        <v>0</v>
      </c>
      <c r="T16" s="8">
        <f t="shared" si="4"/>
        <v>0</v>
      </c>
      <c r="U16" s="8">
        <f t="shared" si="4"/>
        <v>0</v>
      </c>
      <c r="V16" s="8">
        <f t="shared" si="4"/>
        <v>0</v>
      </c>
      <c r="W16" s="8">
        <f t="shared" si="4"/>
        <v>0</v>
      </c>
      <c r="X16" s="8">
        <f t="shared" si="4"/>
        <v>0</v>
      </c>
      <c r="Y16" s="8">
        <f t="shared" si="4"/>
        <v>0</v>
      </c>
      <c r="Z16" s="8">
        <f t="shared" si="4"/>
        <v>0</v>
      </c>
      <c r="AA16" s="8">
        <f t="shared" si="4"/>
        <v>0</v>
      </c>
      <c r="AB16" s="8">
        <f t="shared" si="4"/>
        <v>0</v>
      </c>
      <c r="AC16" s="8">
        <f t="shared" si="4"/>
        <v>0</v>
      </c>
      <c r="AD16" s="8">
        <f t="shared" si="4"/>
        <v>0</v>
      </c>
      <c r="AE16" s="8">
        <f t="shared" si="4"/>
        <v>0</v>
      </c>
      <c r="AF16" s="8">
        <f t="shared" si="4"/>
        <v>0</v>
      </c>
      <c r="AG16" s="8">
        <f t="shared" si="4"/>
        <v>0</v>
      </c>
      <c r="AH16" s="8">
        <f t="shared" si="4"/>
        <v>0</v>
      </c>
      <c r="AI16" s="8">
        <f t="shared" si="4"/>
        <v>0</v>
      </c>
      <c r="AJ16" s="125">
        <f t="shared" si="2"/>
        <v>0</v>
      </c>
    </row>
    <row r="17" spans="2:36" x14ac:dyDescent="0.2">
      <c r="B17">
        <f>F2</f>
        <v>2020</v>
      </c>
      <c r="C17" s="8"/>
      <c r="D17" s="8"/>
      <c r="E17" s="8"/>
      <c r="F17" s="8">
        <f t="shared" ref="F17:AI17" si="5">IF(F$2-$B17-$C$3&lt;0,SLN($F$10,0,$C$3),0)</f>
        <v>0</v>
      </c>
      <c r="G17" s="8">
        <f t="shared" si="5"/>
        <v>0</v>
      </c>
      <c r="H17" s="8">
        <f t="shared" si="5"/>
        <v>0</v>
      </c>
      <c r="I17" s="8">
        <f t="shared" si="5"/>
        <v>0</v>
      </c>
      <c r="J17" s="8">
        <f t="shared" si="5"/>
        <v>0</v>
      </c>
      <c r="K17" s="8">
        <f t="shared" si="5"/>
        <v>0</v>
      </c>
      <c r="L17" s="8">
        <f t="shared" si="5"/>
        <v>0</v>
      </c>
      <c r="M17" s="8">
        <f t="shared" si="5"/>
        <v>0</v>
      </c>
      <c r="N17" s="8">
        <f t="shared" si="5"/>
        <v>0</v>
      </c>
      <c r="O17" s="8">
        <f t="shared" si="5"/>
        <v>0</v>
      </c>
      <c r="P17" s="8">
        <f t="shared" si="5"/>
        <v>0</v>
      </c>
      <c r="Q17" s="8">
        <f t="shared" si="5"/>
        <v>0</v>
      </c>
      <c r="R17" s="8">
        <f t="shared" si="5"/>
        <v>0</v>
      </c>
      <c r="S17" s="8">
        <f t="shared" si="5"/>
        <v>0</v>
      </c>
      <c r="T17" s="8">
        <f t="shared" si="5"/>
        <v>0</v>
      </c>
      <c r="U17" s="8">
        <f t="shared" si="5"/>
        <v>0</v>
      </c>
      <c r="V17" s="8">
        <f t="shared" si="5"/>
        <v>0</v>
      </c>
      <c r="W17" s="8">
        <f t="shared" si="5"/>
        <v>0</v>
      </c>
      <c r="X17" s="8">
        <f t="shared" si="5"/>
        <v>0</v>
      </c>
      <c r="Y17" s="8">
        <f t="shared" si="5"/>
        <v>0</v>
      </c>
      <c r="Z17" s="8">
        <f t="shared" si="5"/>
        <v>0</v>
      </c>
      <c r="AA17" s="8">
        <f t="shared" si="5"/>
        <v>0</v>
      </c>
      <c r="AB17" s="8">
        <f t="shared" si="5"/>
        <v>0</v>
      </c>
      <c r="AC17" s="8">
        <f t="shared" si="5"/>
        <v>0</v>
      </c>
      <c r="AD17" s="8">
        <f t="shared" si="5"/>
        <v>0</v>
      </c>
      <c r="AE17" s="8">
        <f t="shared" si="5"/>
        <v>0</v>
      </c>
      <c r="AF17" s="8">
        <f t="shared" si="5"/>
        <v>0</v>
      </c>
      <c r="AG17" s="8">
        <f t="shared" si="5"/>
        <v>0</v>
      </c>
      <c r="AH17" s="8">
        <f t="shared" si="5"/>
        <v>0</v>
      </c>
      <c r="AI17" s="8">
        <f t="shared" si="5"/>
        <v>0</v>
      </c>
      <c r="AJ17" s="125">
        <f t="shared" si="2"/>
        <v>0</v>
      </c>
    </row>
    <row r="18" spans="2:36" x14ac:dyDescent="0.2">
      <c r="B18">
        <f>G2</f>
        <v>2021</v>
      </c>
      <c r="C18" s="8"/>
      <c r="D18" s="8"/>
      <c r="E18" s="8"/>
      <c r="F18" s="8"/>
      <c r="G18" s="8">
        <f t="shared" ref="G18:AI18" si="6">IF(G$2-$B18-$C$3&lt;0,SLN($G$10,0,$C$3),0)</f>
        <v>0</v>
      </c>
      <c r="H18" s="8">
        <f t="shared" si="6"/>
        <v>0</v>
      </c>
      <c r="I18" s="8">
        <f t="shared" si="6"/>
        <v>0</v>
      </c>
      <c r="J18" s="8">
        <f t="shared" si="6"/>
        <v>0</v>
      </c>
      <c r="K18" s="8">
        <f t="shared" si="6"/>
        <v>0</v>
      </c>
      <c r="L18" s="8">
        <f t="shared" si="6"/>
        <v>0</v>
      </c>
      <c r="M18" s="8">
        <f t="shared" si="6"/>
        <v>0</v>
      </c>
      <c r="N18" s="8">
        <f t="shared" si="6"/>
        <v>0</v>
      </c>
      <c r="O18" s="8">
        <f t="shared" si="6"/>
        <v>0</v>
      </c>
      <c r="P18" s="8">
        <f t="shared" si="6"/>
        <v>0</v>
      </c>
      <c r="Q18" s="8">
        <f t="shared" si="6"/>
        <v>0</v>
      </c>
      <c r="R18" s="8">
        <f t="shared" si="6"/>
        <v>0</v>
      </c>
      <c r="S18" s="8">
        <f t="shared" si="6"/>
        <v>0</v>
      </c>
      <c r="T18" s="8">
        <f t="shared" si="6"/>
        <v>0</v>
      </c>
      <c r="U18" s="8">
        <f t="shared" si="6"/>
        <v>0</v>
      </c>
      <c r="V18" s="8">
        <f t="shared" si="6"/>
        <v>0</v>
      </c>
      <c r="W18" s="8">
        <f t="shared" si="6"/>
        <v>0</v>
      </c>
      <c r="X18" s="8">
        <f t="shared" si="6"/>
        <v>0</v>
      </c>
      <c r="Y18" s="8">
        <f t="shared" si="6"/>
        <v>0</v>
      </c>
      <c r="Z18" s="8">
        <f t="shared" si="6"/>
        <v>0</v>
      </c>
      <c r="AA18" s="8">
        <f t="shared" si="6"/>
        <v>0</v>
      </c>
      <c r="AB18" s="8">
        <f t="shared" si="6"/>
        <v>0</v>
      </c>
      <c r="AC18" s="8">
        <f t="shared" si="6"/>
        <v>0</v>
      </c>
      <c r="AD18" s="8">
        <f t="shared" si="6"/>
        <v>0</v>
      </c>
      <c r="AE18" s="8">
        <f t="shared" si="6"/>
        <v>0</v>
      </c>
      <c r="AF18" s="8">
        <f t="shared" si="6"/>
        <v>0</v>
      </c>
      <c r="AG18" s="8">
        <f t="shared" si="6"/>
        <v>0</v>
      </c>
      <c r="AH18" s="8">
        <f t="shared" si="6"/>
        <v>0</v>
      </c>
      <c r="AI18" s="8">
        <f t="shared" si="6"/>
        <v>0</v>
      </c>
      <c r="AJ18" s="125">
        <f t="shared" si="2"/>
        <v>0</v>
      </c>
    </row>
    <row r="19" spans="2:36" x14ac:dyDescent="0.2">
      <c r="B19">
        <f>H2</f>
        <v>2022</v>
      </c>
      <c r="C19" s="8"/>
      <c r="D19" s="8"/>
      <c r="E19" s="8"/>
      <c r="F19" s="8"/>
      <c r="G19" s="8"/>
      <c r="H19" s="8">
        <f t="shared" ref="H19:AI19" si="7">IF(H$2-$B19-$C$3&lt;0,SLN($H$10,0,$C$3),0)</f>
        <v>0</v>
      </c>
      <c r="I19" s="8">
        <f t="shared" si="7"/>
        <v>0</v>
      </c>
      <c r="J19" s="8">
        <f t="shared" si="7"/>
        <v>0</v>
      </c>
      <c r="K19" s="8">
        <f t="shared" si="7"/>
        <v>0</v>
      </c>
      <c r="L19" s="8">
        <f t="shared" si="7"/>
        <v>0</v>
      </c>
      <c r="M19" s="8">
        <f t="shared" si="7"/>
        <v>0</v>
      </c>
      <c r="N19" s="8">
        <f t="shared" si="7"/>
        <v>0</v>
      </c>
      <c r="O19" s="8">
        <f t="shared" si="7"/>
        <v>0</v>
      </c>
      <c r="P19" s="8">
        <f t="shared" si="7"/>
        <v>0</v>
      </c>
      <c r="Q19" s="8">
        <f t="shared" si="7"/>
        <v>0</v>
      </c>
      <c r="R19" s="8">
        <f t="shared" si="7"/>
        <v>0</v>
      </c>
      <c r="S19" s="8">
        <f t="shared" si="7"/>
        <v>0</v>
      </c>
      <c r="T19" s="8">
        <f t="shared" si="7"/>
        <v>0</v>
      </c>
      <c r="U19" s="8">
        <f t="shared" si="7"/>
        <v>0</v>
      </c>
      <c r="V19" s="8">
        <f t="shared" si="7"/>
        <v>0</v>
      </c>
      <c r="W19" s="8">
        <f t="shared" si="7"/>
        <v>0</v>
      </c>
      <c r="X19" s="8">
        <f t="shared" si="7"/>
        <v>0</v>
      </c>
      <c r="Y19" s="8">
        <f t="shared" si="7"/>
        <v>0</v>
      </c>
      <c r="Z19" s="8">
        <f t="shared" si="7"/>
        <v>0</v>
      </c>
      <c r="AA19" s="8">
        <f t="shared" si="7"/>
        <v>0</v>
      </c>
      <c r="AB19" s="8">
        <f t="shared" si="7"/>
        <v>0</v>
      </c>
      <c r="AC19" s="8">
        <f t="shared" si="7"/>
        <v>0</v>
      </c>
      <c r="AD19" s="8">
        <f t="shared" si="7"/>
        <v>0</v>
      </c>
      <c r="AE19" s="8">
        <f t="shared" si="7"/>
        <v>0</v>
      </c>
      <c r="AF19" s="8">
        <f t="shared" si="7"/>
        <v>0</v>
      </c>
      <c r="AG19" s="8">
        <f t="shared" si="7"/>
        <v>0</v>
      </c>
      <c r="AH19" s="8">
        <f t="shared" si="7"/>
        <v>0</v>
      </c>
      <c r="AI19" s="8">
        <f t="shared" si="7"/>
        <v>0</v>
      </c>
      <c r="AJ19" s="125">
        <f t="shared" si="2"/>
        <v>0</v>
      </c>
    </row>
    <row r="20" spans="2:36" x14ac:dyDescent="0.2">
      <c r="B20">
        <f>I2</f>
        <v>2023</v>
      </c>
      <c r="C20" s="8"/>
      <c r="D20" s="8"/>
      <c r="E20" s="8"/>
      <c r="F20" s="8"/>
      <c r="G20" s="8"/>
      <c r="H20" s="8"/>
      <c r="I20" s="8">
        <f t="shared" ref="I20:AI20" si="8">IF(I$2-$B20-$C$3&lt;0,SLN($I$10,0,$C$3),0)</f>
        <v>0</v>
      </c>
      <c r="J20" s="8">
        <f t="shared" si="8"/>
        <v>0</v>
      </c>
      <c r="K20" s="8">
        <f t="shared" si="8"/>
        <v>0</v>
      </c>
      <c r="L20" s="8">
        <f t="shared" si="8"/>
        <v>0</v>
      </c>
      <c r="M20" s="8">
        <f t="shared" si="8"/>
        <v>0</v>
      </c>
      <c r="N20" s="8">
        <f t="shared" si="8"/>
        <v>0</v>
      </c>
      <c r="O20" s="8">
        <f t="shared" si="8"/>
        <v>0</v>
      </c>
      <c r="P20" s="8">
        <f t="shared" si="8"/>
        <v>0</v>
      </c>
      <c r="Q20" s="8">
        <f t="shared" si="8"/>
        <v>0</v>
      </c>
      <c r="R20" s="8">
        <f t="shared" si="8"/>
        <v>0</v>
      </c>
      <c r="S20" s="8">
        <f t="shared" si="8"/>
        <v>0</v>
      </c>
      <c r="T20" s="8">
        <f t="shared" si="8"/>
        <v>0</v>
      </c>
      <c r="U20" s="8">
        <f t="shared" si="8"/>
        <v>0</v>
      </c>
      <c r="V20" s="8">
        <f t="shared" si="8"/>
        <v>0</v>
      </c>
      <c r="W20" s="8">
        <f t="shared" si="8"/>
        <v>0</v>
      </c>
      <c r="X20" s="8">
        <f t="shared" si="8"/>
        <v>0</v>
      </c>
      <c r="Y20" s="8">
        <f t="shared" si="8"/>
        <v>0</v>
      </c>
      <c r="Z20" s="8">
        <f t="shared" si="8"/>
        <v>0</v>
      </c>
      <c r="AA20" s="8">
        <f t="shared" si="8"/>
        <v>0</v>
      </c>
      <c r="AB20" s="8">
        <f t="shared" si="8"/>
        <v>0</v>
      </c>
      <c r="AC20" s="8">
        <f t="shared" si="8"/>
        <v>0</v>
      </c>
      <c r="AD20" s="8">
        <f t="shared" si="8"/>
        <v>0</v>
      </c>
      <c r="AE20" s="8">
        <f t="shared" si="8"/>
        <v>0</v>
      </c>
      <c r="AF20" s="8">
        <f t="shared" si="8"/>
        <v>0</v>
      </c>
      <c r="AG20" s="8">
        <f t="shared" si="8"/>
        <v>0</v>
      </c>
      <c r="AH20" s="8">
        <f t="shared" si="8"/>
        <v>0</v>
      </c>
      <c r="AI20" s="8">
        <f t="shared" si="8"/>
        <v>0</v>
      </c>
      <c r="AJ20" s="125">
        <f t="shared" si="2"/>
        <v>0</v>
      </c>
    </row>
    <row r="21" spans="2:36" x14ac:dyDescent="0.2">
      <c r="B21">
        <f>J2</f>
        <v>2024</v>
      </c>
      <c r="C21" s="8"/>
      <c r="D21" s="8"/>
      <c r="E21" s="8"/>
      <c r="F21" s="8"/>
      <c r="G21" s="8"/>
      <c r="H21" s="8"/>
      <c r="I21" s="8"/>
      <c r="J21" s="8">
        <f t="shared" ref="J21:AI21" si="9">IF(J$2-$B21-$C$3&lt;0,SLN($J$10,0,$C$3),0)</f>
        <v>0</v>
      </c>
      <c r="K21" s="8">
        <f t="shared" si="9"/>
        <v>0</v>
      </c>
      <c r="L21" s="8">
        <f t="shared" si="9"/>
        <v>0</v>
      </c>
      <c r="M21" s="8">
        <f t="shared" si="9"/>
        <v>0</v>
      </c>
      <c r="N21" s="8">
        <f t="shared" si="9"/>
        <v>0</v>
      </c>
      <c r="O21" s="8">
        <f t="shared" si="9"/>
        <v>0</v>
      </c>
      <c r="P21" s="8">
        <f t="shared" si="9"/>
        <v>0</v>
      </c>
      <c r="Q21" s="8">
        <f t="shared" si="9"/>
        <v>0</v>
      </c>
      <c r="R21" s="8">
        <f t="shared" si="9"/>
        <v>0</v>
      </c>
      <c r="S21" s="8">
        <f t="shared" si="9"/>
        <v>0</v>
      </c>
      <c r="T21" s="8">
        <f t="shared" si="9"/>
        <v>0</v>
      </c>
      <c r="U21" s="8">
        <f t="shared" si="9"/>
        <v>0</v>
      </c>
      <c r="V21" s="8">
        <f t="shared" si="9"/>
        <v>0</v>
      </c>
      <c r="W21" s="8">
        <f t="shared" si="9"/>
        <v>0</v>
      </c>
      <c r="X21" s="8">
        <f t="shared" si="9"/>
        <v>0</v>
      </c>
      <c r="Y21" s="8">
        <f t="shared" si="9"/>
        <v>0</v>
      </c>
      <c r="Z21" s="8">
        <f t="shared" si="9"/>
        <v>0</v>
      </c>
      <c r="AA21" s="8">
        <f t="shared" si="9"/>
        <v>0</v>
      </c>
      <c r="AB21" s="8">
        <f t="shared" si="9"/>
        <v>0</v>
      </c>
      <c r="AC21" s="8">
        <f t="shared" si="9"/>
        <v>0</v>
      </c>
      <c r="AD21" s="8">
        <f t="shared" si="9"/>
        <v>0</v>
      </c>
      <c r="AE21" s="8">
        <f t="shared" si="9"/>
        <v>0</v>
      </c>
      <c r="AF21" s="8">
        <f t="shared" si="9"/>
        <v>0</v>
      </c>
      <c r="AG21" s="8">
        <f t="shared" si="9"/>
        <v>0</v>
      </c>
      <c r="AH21" s="8">
        <f t="shared" si="9"/>
        <v>0</v>
      </c>
      <c r="AI21" s="8">
        <f t="shared" si="9"/>
        <v>0</v>
      </c>
      <c r="AJ21" s="125">
        <f t="shared" si="2"/>
        <v>0</v>
      </c>
    </row>
    <row r="22" spans="2:36" x14ac:dyDescent="0.2">
      <c r="B22">
        <f>K2</f>
        <v>2025</v>
      </c>
      <c r="C22" s="8"/>
      <c r="D22" s="8"/>
      <c r="E22" s="8"/>
      <c r="F22" s="8"/>
      <c r="G22" s="8"/>
      <c r="H22" s="8"/>
      <c r="I22" s="8"/>
      <c r="J22" s="8"/>
      <c r="K22" s="8">
        <f t="shared" ref="K22:AI22" si="10">IF(K$2-$B22-$C$3&lt;0,SLN($K$10,0,$C$3),0)</f>
        <v>0</v>
      </c>
      <c r="L22" s="8">
        <f t="shared" si="10"/>
        <v>0</v>
      </c>
      <c r="M22" s="8">
        <f t="shared" si="10"/>
        <v>0</v>
      </c>
      <c r="N22" s="8">
        <f t="shared" si="10"/>
        <v>0</v>
      </c>
      <c r="O22" s="8">
        <f t="shared" si="10"/>
        <v>0</v>
      </c>
      <c r="P22" s="8">
        <f t="shared" si="10"/>
        <v>0</v>
      </c>
      <c r="Q22" s="8">
        <f t="shared" si="10"/>
        <v>0</v>
      </c>
      <c r="R22" s="8">
        <f t="shared" si="10"/>
        <v>0</v>
      </c>
      <c r="S22" s="8">
        <f t="shared" si="10"/>
        <v>0</v>
      </c>
      <c r="T22" s="8">
        <f t="shared" si="10"/>
        <v>0</v>
      </c>
      <c r="U22" s="8">
        <f t="shared" si="10"/>
        <v>0</v>
      </c>
      <c r="V22" s="8">
        <f t="shared" si="10"/>
        <v>0</v>
      </c>
      <c r="W22" s="8">
        <f t="shared" si="10"/>
        <v>0</v>
      </c>
      <c r="X22" s="8">
        <f t="shared" si="10"/>
        <v>0</v>
      </c>
      <c r="Y22" s="8">
        <f t="shared" si="10"/>
        <v>0</v>
      </c>
      <c r="Z22" s="8">
        <f t="shared" si="10"/>
        <v>0</v>
      </c>
      <c r="AA22" s="8">
        <f t="shared" si="10"/>
        <v>0</v>
      </c>
      <c r="AB22" s="8">
        <f t="shared" si="10"/>
        <v>0</v>
      </c>
      <c r="AC22" s="8">
        <f t="shared" si="10"/>
        <v>0</v>
      </c>
      <c r="AD22" s="8">
        <f t="shared" si="10"/>
        <v>0</v>
      </c>
      <c r="AE22" s="8">
        <f t="shared" si="10"/>
        <v>0</v>
      </c>
      <c r="AF22" s="8">
        <f t="shared" si="10"/>
        <v>0</v>
      </c>
      <c r="AG22" s="8">
        <f t="shared" si="10"/>
        <v>0</v>
      </c>
      <c r="AH22" s="8">
        <f t="shared" si="10"/>
        <v>0</v>
      </c>
      <c r="AI22" s="8">
        <f t="shared" si="10"/>
        <v>0</v>
      </c>
      <c r="AJ22" s="125">
        <f t="shared" si="2"/>
        <v>0</v>
      </c>
    </row>
    <row r="23" spans="2:36" x14ac:dyDescent="0.2">
      <c r="B23">
        <f>L2</f>
        <v>2026</v>
      </c>
      <c r="C23" s="8"/>
      <c r="D23" s="8"/>
      <c r="E23" s="8"/>
      <c r="F23" s="8"/>
      <c r="G23" s="8"/>
      <c r="H23" s="8"/>
      <c r="I23" s="8"/>
      <c r="J23" s="8"/>
      <c r="K23" s="8"/>
      <c r="L23" s="8">
        <f t="shared" ref="L23:AI23" si="11">IF(L$2-$B23-$C$3&lt;0,SLN($L$10,0,$C$3),0)</f>
        <v>0</v>
      </c>
      <c r="M23" s="8">
        <f t="shared" si="11"/>
        <v>0</v>
      </c>
      <c r="N23" s="8">
        <f t="shared" si="11"/>
        <v>0</v>
      </c>
      <c r="O23" s="8">
        <f t="shared" si="11"/>
        <v>0</v>
      </c>
      <c r="P23" s="8">
        <f t="shared" si="11"/>
        <v>0</v>
      </c>
      <c r="Q23" s="8">
        <f t="shared" si="11"/>
        <v>0</v>
      </c>
      <c r="R23" s="8">
        <f t="shared" si="11"/>
        <v>0</v>
      </c>
      <c r="S23" s="8">
        <f t="shared" si="11"/>
        <v>0</v>
      </c>
      <c r="T23" s="8">
        <f t="shared" si="11"/>
        <v>0</v>
      </c>
      <c r="U23" s="8">
        <f t="shared" si="11"/>
        <v>0</v>
      </c>
      <c r="V23" s="8">
        <f t="shared" si="11"/>
        <v>0</v>
      </c>
      <c r="W23" s="8">
        <f t="shared" si="11"/>
        <v>0</v>
      </c>
      <c r="X23" s="8">
        <f t="shared" si="11"/>
        <v>0</v>
      </c>
      <c r="Y23" s="8">
        <f t="shared" si="11"/>
        <v>0</v>
      </c>
      <c r="Z23" s="8">
        <f t="shared" si="11"/>
        <v>0</v>
      </c>
      <c r="AA23" s="8">
        <f t="shared" si="11"/>
        <v>0</v>
      </c>
      <c r="AB23" s="8">
        <f t="shared" si="11"/>
        <v>0</v>
      </c>
      <c r="AC23" s="8">
        <f t="shared" si="11"/>
        <v>0</v>
      </c>
      <c r="AD23" s="8">
        <f t="shared" si="11"/>
        <v>0</v>
      </c>
      <c r="AE23" s="8">
        <f t="shared" si="11"/>
        <v>0</v>
      </c>
      <c r="AF23" s="8">
        <f t="shared" si="11"/>
        <v>0</v>
      </c>
      <c r="AG23" s="8">
        <f t="shared" si="11"/>
        <v>0</v>
      </c>
      <c r="AH23" s="8">
        <f t="shared" si="11"/>
        <v>0</v>
      </c>
      <c r="AI23" s="8">
        <f t="shared" si="11"/>
        <v>0</v>
      </c>
      <c r="AJ23" s="125">
        <f t="shared" si="2"/>
        <v>0</v>
      </c>
    </row>
    <row r="24" spans="2:36" x14ac:dyDescent="0.2">
      <c r="B24">
        <f>M2</f>
        <v>2027</v>
      </c>
      <c r="C24" s="8"/>
      <c r="D24" s="8"/>
      <c r="E24" s="8"/>
      <c r="F24" s="8"/>
      <c r="G24" s="8"/>
      <c r="H24" s="8"/>
      <c r="I24" s="8"/>
      <c r="J24" s="8"/>
      <c r="K24" s="8"/>
      <c r="L24" s="8"/>
      <c r="M24" s="8">
        <f t="shared" ref="M24:AI24" si="12">IF(M$2-$B24-$C$3&lt;0,SLN($M$10,0,$C$3),0)</f>
        <v>0</v>
      </c>
      <c r="N24" s="8">
        <f t="shared" si="12"/>
        <v>0</v>
      </c>
      <c r="O24" s="8">
        <f t="shared" si="12"/>
        <v>0</v>
      </c>
      <c r="P24" s="8">
        <f t="shared" si="12"/>
        <v>0</v>
      </c>
      <c r="Q24" s="8">
        <f t="shared" si="12"/>
        <v>0</v>
      </c>
      <c r="R24" s="8">
        <f t="shared" si="12"/>
        <v>0</v>
      </c>
      <c r="S24" s="8">
        <f t="shared" si="12"/>
        <v>0</v>
      </c>
      <c r="T24" s="8">
        <f t="shared" si="12"/>
        <v>0</v>
      </c>
      <c r="U24" s="8">
        <f t="shared" si="12"/>
        <v>0</v>
      </c>
      <c r="V24" s="8">
        <f t="shared" si="12"/>
        <v>0</v>
      </c>
      <c r="W24" s="8">
        <f t="shared" si="12"/>
        <v>0</v>
      </c>
      <c r="X24" s="8">
        <f t="shared" si="12"/>
        <v>0</v>
      </c>
      <c r="Y24" s="8">
        <f t="shared" si="12"/>
        <v>0</v>
      </c>
      <c r="Z24" s="8">
        <f t="shared" si="12"/>
        <v>0</v>
      </c>
      <c r="AA24" s="8">
        <f t="shared" si="12"/>
        <v>0</v>
      </c>
      <c r="AB24" s="8">
        <f t="shared" si="12"/>
        <v>0</v>
      </c>
      <c r="AC24" s="8">
        <f t="shared" si="12"/>
        <v>0</v>
      </c>
      <c r="AD24" s="8">
        <f t="shared" si="12"/>
        <v>0</v>
      </c>
      <c r="AE24" s="8">
        <f t="shared" si="12"/>
        <v>0</v>
      </c>
      <c r="AF24" s="8">
        <f t="shared" si="12"/>
        <v>0</v>
      </c>
      <c r="AG24" s="8">
        <f t="shared" si="12"/>
        <v>0</v>
      </c>
      <c r="AH24" s="8">
        <f t="shared" si="12"/>
        <v>0</v>
      </c>
      <c r="AI24" s="8">
        <f t="shared" si="12"/>
        <v>0</v>
      </c>
      <c r="AJ24" s="125">
        <f t="shared" si="2"/>
        <v>0</v>
      </c>
    </row>
    <row r="25" spans="2:36" x14ac:dyDescent="0.2">
      <c r="B25">
        <f>N2</f>
        <v>2028</v>
      </c>
      <c r="C25" s="8"/>
      <c r="D25" s="8"/>
      <c r="E25" s="8"/>
      <c r="F25" s="8"/>
      <c r="G25" s="8"/>
      <c r="H25" s="8"/>
      <c r="I25" s="8"/>
      <c r="J25" s="8"/>
      <c r="K25" s="8"/>
      <c r="L25" s="8"/>
      <c r="M25" s="8"/>
      <c r="N25" s="8">
        <f t="shared" ref="N25:AI25" si="13">IF(N$2-$B25-$C$3&lt;0,SLN($N$10,0,$C$3),0)</f>
        <v>0</v>
      </c>
      <c r="O25" s="8">
        <f t="shared" si="13"/>
        <v>0</v>
      </c>
      <c r="P25" s="8">
        <f t="shared" si="13"/>
        <v>0</v>
      </c>
      <c r="Q25" s="8">
        <f t="shared" si="13"/>
        <v>0</v>
      </c>
      <c r="R25" s="8">
        <f t="shared" si="13"/>
        <v>0</v>
      </c>
      <c r="S25" s="8">
        <f t="shared" si="13"/>
        <v>0</v>
      </c>
      <c r="T25" s="8">
        <f t="shared" si="13"/>
        <v>0</v>
      </c>
      <c r="U25" s="8">
        <f t="shared" si="13"/>
        <v>0</v>
      </c>
      <c r="V25" s="8">
        <f t="shared" si="13"/>
        <v>0</v>
      </c>
      <c r="W25" s="8">
        <f t="shared" si="13"/>
        <v>0</v>
      </c>
      <c r="X25" s="8">
        <f t="shared" si="13"/>
        <v>0</v>
      </c>
      <c r="Y25" s="8">
        <f t="shared" si="13"/>
        <v>0</v>
      </c>
      <c r="Z25" s="8">
        <f t="shared" si="13"/>
        <v>0</v>
      </c>
      <c r="AA25" s="8">
        <f t="shared" si="13"/>
        <v>0</v>
      </c>
      <c r="AB25" s="8">
        <f t="shared" si="13"/>
        <v>0</v>
      </c>
      <c r="AC25" s="8">
        <f t="shared" si="13"/>
        <v>0</v>
      </c>
      <c r="AD25" s="8">
        <f t="shared" si="13"/>
        <v>0</v>
      </c>
      <c r="AE25" s="8">
        <f t="shared" si="13"/>
        <v>0</v>
      </c>
      <c r="AF25" s="8">
        <f t="shared" si="13"/>
        <v>0</v>
      </c>
      <c r="AG25" s="8">
        <f t="shared" si="13"/>
        <v>0</v>
      </c>
      <c r="AH25" s="8">
        <f t="shared" si="13"/>
        <v>0</v>
      </c>
      <c r="AI25" s="8">
        <f t="shared" si="13"/>
        <v>0</v>
      </c>
      <c r="AJ25" s="125">
        <f t="shared" si="2"/>
        <v>0</v>
      </c>
    </row>
    <row r="26" spans="2:36" x14ac:dyDescent="0.2">
      <c r="B26">
        <f>O2</f>
        <v>2029</v>
      </c>
      <c r="C26" s="8"/>
      <c r="D26" s="8"/>
      <c r="E26" s="8"/>
      <c r="F26" s="8"/>
      <c r="G26" s="8"/>
      <c r="H26" s="8"/>
      <c r="I26" s="8"/>
      <c r="J26" s="8"/>
      <c r="K26" s="8"/>
      <c r="L26" s="8"/>
      <c r="M26" s="8"/>
      <c r="N26" s="8"/>
      <c r="O26" s="8">
        <f t="shared" ref="O26:AI26" si="14">IF(O$2-$B26-$C$3&lt;0,SLN($O$10,0,$C$3),0)</f>
        <v>0</v>
      </c>
      <c r="P26" s="8">
        <f t="shared" si="14"/>
        <v>0</v>
      </c>
      <c r="Q26" s="8">
        <f t="shared" si="14"/>
        <v>0</v>
      </c>
      <c r="R26" s="8">
        <f t="shared" si="14"/>
        <v>0</v>
      </c>
      <c r="S26" s="8">
        <f t="shared" si="14"/>
        <v>0</v>
      </c>
      <c r="T26" s="8">
        <f t="shared" si="14"/>
        <v>0</v>
      </c>
      <c r="U26" s="8">
        <f t="shared" si="14"/>
        <v>0</v>
      </c>
      <c r="V26" s="8">
        <f t="shared" si="14"/>
        <v>0</v>
      </c>
      <c r="W26" s="8">
        <f t="shared" si="14"/>
        <v>0</v>
      </c>
      <c r="X26" s="8">
        <f t="shared" si="14"/>
        <v>0</v>
      </c>
      <c r="Y26" s="8">
        <f t="shared" si="14"/>
        <v>0</v>
      </c>
      <c r="Z26" s="8">
        <f t="shared" si="14"/>
        <v>0</v>
      </c>
      <c r="AA26" s="8">
        <f t="shared" si="14"/>
        <v>0</v>
      </c>
      <c r="AB26" s="8">
        <f t="shared" si="14"/>
        <v>0</v>
      </c>
      <c r="AC26" s="8">
        <f t="shared" si="14"/>
        <v>0</v>
      </c>
      <c r="AD26" s="8">
        <f t="shared" si="14"/>
        <v>0</v>
      </c>
      <c r="AE26" s="8">
        <f t="shared" si="14"/>
        <v>0</v>
      </c>
      <c r="AF26" s="8">
        <f t="shared" si="14"/>
        <v>0</v>
      </c>
      <c r="AG26" s="8">
        <f t="shared" si="14"/>
        <v>0</v>
      </c>
      <c r="AH26" s="8">
        <f t="shared" si="14"/>
        <v>0</v>
      </c>
      <c r="AI26" s="8">
        <f t="shared" si="14"/>
        <v>0</v>
      </c>
      <c r="AJ26" s="125">
        <f t="shared" si="2"/>
        <v>0</v>
      </c>
    </row>
    <row r="27" spans="2:36" x14ac:dyDescent="0.2">
      <c r="B27">
        <f>P2</f>
        <v>2030</v>
      </c>
      <c r="C27" s="8"/>
      <c r="D27" s="8"/>
      <c r="E27" s="8"/>
      <c r="F27" s="8"/>
      <c r="G27" s="8"/>
      <c r="H27" s="8"/>
      <c r="I27" s="8"/>
      <c r="J27" s="8"/>
      <c r="K27" s="8"/>
      <c r="L27" s="8"/>
      <c r="M27" s="8"/>
      <c r="N27" s="8"/>
      <c r="O27" s="8"/>
      <c r="P27" s="8">
        <f t="shared" ref="P27:AI27" si="15">IF(P$2-$B27-$C$3&lt;0,SLN($P$10,0,$C$3),0)</f>
        <v>0</v>
      </c>
      <c r="Q27" s="8">
        <f t="shared" si="15"/>
        <v>0</v>
      </c>
      <c r="R27" s="8">
        <f t="shared" si="15"/>
        <v>0</v>
      </c>
      <c r="S27" s="8">
        <f t="shared" si="15"/>
        <v>0</v>
      </c>
      <c r="T27" s="8">
        <f t="shared" si="15"/>
        <v>0</v>
      </c>
      <c r="U27" s="8">
        <f t="shared" si="15"/>
        <v>0</v>
      </c>
      <c r="V27" s="8">
        <f t="shared" si="15"/>
        <v>0</v>
      </c>
      <c r="W27" s="8">
        <f t="shared" si="15"/>
        <v>0</v>
      </c>
      <c r="X27" s="8">
        <f t="shared" si="15"/>
        <v>0</v>
      </c>
      <c r="Y27" s="8">
        <f t="shared" si="15"/>
        <v>0</v>
      </c>
      <c r="Z27" s="8">
        <f t="shared" si="15"/>
        <v>0</v>
      </c>
      <c r="AA27" s="8">
        <f t="shared" si="15"/>
        <v>0</v>
      </c>
      <c r="AB27" s="8">
        <f t="shared" si="15"/>
        <v>0</v>
      </c>
      <c r="AC27" s="8">
        <f t="shared" si="15"/>
        <v>0</v>
      </c>
      <c r="AD27" s="8">
        <f t="shared" si="15"/>
        <v>0</v>
      </c>
      <c r="AE27" s="8">
        <f t="shared" si="15"/>
        <v>0</v>
      </c>
      <c r="AF27" s="8">
        <f t="shared" si="15"/>
        <v>0</v>
      </c>
      <c r="AG27" s="8">
        <f t="shared" si="15"/>
        <v>0</v>
      </c>
      <c r="AH27" s="8">
        <f t="shared" si="15"/>
        <v>0</v>
      </c>
      <c r="AI27" s="8">
        <f t="shared" si="15"/>
        <v>0</v>
      </c>
      <c r="AJ27" s="125">
        <f t="shared" si="2"/>
        <v>0</v>
      </c>
    </row>
    <row r="28" spans="2:36" x14ac:dyDescent="0.2">
      <c r="B28">
        <f>Q2</f>
        <v>2031</v>
      </c>
      <c r="C28" s="8"/>
      <c r="D28" s="8"/>
      <c r="E28" s="8"/>
      <c r="F28" s="8"/>
      <c r="G28" s="8"/>
      <c r="H28" s="8"/>
      <c r="I28" s="8"/>
      <c r="J28" s="8"/>
      <c r="K28" s="8"/>
      <c r="L28" s="8"/>
      <c r="M28" s="8"/>
      <c r="N28" s="8"/>
      <c r="O28" s="8"/>
      <c r="P28" s="8"/>
      <c r="Q28" s="8">
        <f t="shared" ref="Q28:AI28" si="16">IF(Q$2-$B28-$C$3&lt;0,SLN($Q$10,0,$C$3),0)</f>
        <v>0</v>
      </c>
      <c r="R28" s="8">
        <f t="shared" si="16"/>
        <v>0</v>
      </c>
      <c r="S28" s="8">
        <f t="shared" si="16"/>
        <v>0</v>
      </c>
      <c r="T28" s="8">
        <f t="shared" si="16"/>
        <v>0</v>
      </c>
      <c r="U28" s="8">
        <f t="shared" si="16"/>
        <v>0</v>
      </c>
      <c r="V28" s="8">
        <f t="shared" si="16"/>
        <v>0</v>
      </c>
      <c r="W28" s="8">
        <f t="shared" si="16"/>
        <v>0</v>
      </c>
      <c r="X28" s="8">
        <f t="shared" si="16"/>
        <v>0</v>
      </c>
      <c r="Y28" s="8">
        <f t="shared" si="16"/>
        <v>0</v>
      </c>
      <c r="Z28" s="8">
        <f t="shared" si="16"/>
        <v>0</v>
      </c>
      <c r="AA28" s="8">
        <f t="shared" si="16"/>
        <v>0</v>
      </c>
      <c r="AB28" s="8">
        <f t="shared" si="16"/>
        <v>0</v>
      </c>
      <c r="AC28" s="8">
        <f t="shared" si="16"/>
        <v>0</v>
      </c>
      <c r="AD28" s="8">
        <f t="shared" si="16"/>
        <v>0</v>
      </c>
      <c r="AE28" s="8">
        <f t="shared" si="16"/>
        <v>0</v>
      </c>
      <c r="AF28" s="8">
        <f t="shared" si="16"/>
        <v>0</v>
      </c>
      <c r="AG28" s="8">
        <f t="shared" si="16"/>
        <v>0</v>
      </c>
      <c r="AH28" s="8">
        <f t="shared" si="16"/>
        <v>0</v>
      </c>
      <c r="AI28" s="8">
        <f t="shared" si="16"/>
        <v>0</v>
      </c>
      <c r="AJ28" s="125">
        <f t="shared" si="2"/>
        <v>0</v>
      </c>
    </row>
    <row r="29" spans="2:36" x14ac:dyDescent="0.2">
      <c r="B29">
        <f>R2</f>
        <v>2032</v>
      </c>
      <c r="C29" s="8"/>
      <c r="D29" s="8"/>
      <c r="E29" s="8"/>
      <c r="F29" s="8"/>
      <c r="G29" s="8"/>
      <c r="H29" s="8"/>
      <c r="I29" s="8"/>
      <c r="J29" s="8"/>
      <c r="K29" s="8"/>
      <c r="L29" s="8"/>
      <c r="M29" s="8"/>
      <c r="N29" s="8"/>
      <c r="O29" s="8"/>
      <c r="P29" s="8"/>
      <c r="Q29" s="8"/>
      <c r="R29" s="8">
        <f t="shared" ref="R29:AI29" si="17">IF(R$2-$B29-$C$3&lt;0,SLN($R$10,0,$C$3),0)</f>
        <v>0</v>
      </c>
      <c r="S29" s="8">
        <f t="shared" si="17"/>
        <v>0</v>
      </c>
      <c r="T29" s="8">
        <f t="shared" si="17"/>
        <v>0</v>
      </c>
      <c r="U29" s="8">
        <f t="shared" si="17"/>
        <v>0</v>
      </c>
      <c r="V29" s="8">
        <f t="shared" si="17"/>
        <v>0</v>
      </c>
      <c r="W29" s="8">
        <f t="shared" si="17"/>
        <v>0</v>
      </c>
      <c r="X29" s="8">
        <f t="shared" si="17"/>
        <v>0</v>
      </c>
      <c r="Y29" s="8">
        <f t="shared" si="17"/>
        <v>0</v>
      </c>
      <c r="Z29" s="8">
        <f t="shared" si="17"/>
        <v>0</v>
      </c>
      <c r="AA29" s="8">
        <f t="shared" si="17"/>
        <v>0</v>
      </c>
      <c r="AB29" s="8">
        <f t="shared" si="17"/>
        <v>0</v>
      </c>
      <c r="AC29" s="8">
        <f t="shared" si="17"/>
        <v>0</v>
      </c>
      <c r="AD29" s="8">
        <f t="shared" si="17"/>
        <v>0</v>
      </c>
      <c r="AE29" s="8">
        <f t="shared" si="17"/>
        <v>0</v>
      </c>
      <c r="AF29" s="8">
        <f t="shared" si="17"/>
        <v>0</v>
      </c>
      <c r="AG29" s="8">
        <f t="shared" si="17"/>
        <v>0</v>
      </c>
      <c r="AH29" s="8">
        <f t="shared" si="17"/>
        <v>0</v>
      </c>
      <c r="AI29" s="8">
        <f t="shared" si="17"/>
        <v>0</v>
      </c>
      <c r="AJ29" s="125">
        <f t="shared" si="2"/>
        <v>0</v>
      </c>
    </row>
    <row r="30" spans="2:36" x14ac:dyDescent="0.2">
      <c r="B30">
        <f>S2</f>
        <v>2033</v>
      </c>
      <c r="C30" s="8"/>
      <c r="D30" s="8"/>
      <c r="E30" s="8"/>
      <c r="F30" s="8"/>
      <c r="G30" s="8"/>
      <c r="H30" s="8"/>
      <c r="I30" s="8"/>
      <c r="J30" s="8"/>
      <c r="K30" s="8"/>
      <c r="L30" s="8"/>
      <c r="M30" s="8"/>
      <c r="N30" s="8"/>
      <c r="O30" s="8"/>
      <c r="P30" s="8"/>
      <c r="Q30" s="8"/>
      <c r="R30" s="8"/>
      <c r="S30" s="8">
        <f t="shared" ref="S30:AI30" si="18">IF(S$2-$B30-$C$3&lt;0,SLN($S$10,0,$C$3),0)</f>
        <v>0</v>
      </c>
      <c r="T30" s="8">
        <f t="shared" si="18"/>
        <v>0</v>
      </c>
      <c r="U30" s="8">
        <f t="shared" si="18"/>
        <v>0</v>
      </c>
      <c r="V30" s="8">
        <f t="shared" si="18"/>
        <v>0</v>
      </c>
      <c r="W30" s="8">
        <f t="shared" si="18"/>
        <v>0</v>
      </c>
      <c r="X30" s="8">
        <f t="shared" si="18"/>
        <v>0</v>
      </c>
      <c r="Y30" s="8">
        <f t="shared" si="18"/>
        <v>0</v>
      </c>
      <c r="Z30" s="8">
        <f t="shared" si="18"/>
        <v>0</v>
      </c>
      <c r="AA30" s="8">
        <f t="shared" si="18"/>
        <v>0</v>
      </c>
      <c r="AB30" s="8">
        <f t="shared" si="18"/>
        <v>0</v>
      </c>
      <c r="AC30" s="8">
        <f t="shared" si="18"/>
        <v>0</v>
      </c>
      <c r="AD30" s="8">
        <f t="shared" si="18"/>
        <v>0</v>
      </c>
      <c r="AE30" s="8">
        <f t="shared" si="18"/>
        <v>0</v>
      </c>
      <c r="AF30" s="8">
        <f t="shared" si="18"/>
        <v>0</v>
      </c>
      <c r="AG30" s="8">
        <f t="shared" si="18"/>
        <v>0</v>
      </c>
      <c r="AH30" s="8">
        <f t="shared" si="18"/>
        <v>0</v>
      </c>
      <c r="AI30" s="8">
        <f t="shared" si="18"/>
        <v>0</v>
      </c>
      <c r="AJ30" s="125">
        <f t="shared" si="2"/>
        <v>0</v>
      </c>
    </row>
    <row r="31" spans="2:36" x14ac:dyDescent="0.2">
      <c r="B31">
        <f>T2</f>
        <v>2034</v>
      </c>
      <c r="C31" s="8"/>
      <c r="D31" s="8"/>
      <c r="E31" s="8"/>
      <c r="F31" s="8"/>
      <c r="G31" s="8"/>
      <c r="H31" s="8"/>
      <c r="I31" s="8"/>
      <c r="J31" s="8"/>
      <c r="K31" s="8"/>
      <c r="L31" s="8"/>
      <c r="M31" s="8"/>
      <c r="N31" s="8"/>
      <c r="O31" s="8"/>
      <c r="P31" s="8"/>
      <c r="Q31" s="8"/>
      <c r="R31" s="8"/>
      <c r="S31" s="8"/>
      <c r="T31" s="8">
        <f t="shared" ref="T31:AI31" si="19">IF(T$2-$B31-$C$3&lt;0,SLN($T$10,0,$C$3),0)</f>
        <v>0</v>
      </c>
      <c r="U31" s="8">
        <f t="shared" si="19"/>
        <v>0</v>
      </c>
      <c r="V31" s="8">
        <f t="shared" si="19"/>
        <v>0</v>
      </c>
      <c r="W31" s="8">
        <f t="shared" si="19"/>
        <v>0</v>
      </c>
      <c r="X31" s="8">
        <f t="shared" si="19"/>
        <v>0</v>
      </c>
      <c r="Y31" s="8">
        <f t="shared" si="19"/>
        <v>0</v>
      </c>
      <c r="Z31" s="8">
        <f t="shared" si="19"/>
        <v>0</v>
      </c>
      <c r="AA31" s="8">
        <f t="shared" si="19"/>
        <v>0</v>
      </c>
      <c r="AB31" s="8">
        <f t="shared" si="19"/>
        <v>0</v>
      </c>
      <c r="AC31" s="8">
        <f t="shared" si="19"/>
        <v>0</v>
      </c>
      <c r="AD31" s="8">
        <f t="shared" si="19"/>
        <v>0</v>
      </c>
      <c r="AE31" s="8">
        <f t="shared" si="19"/>
        <v>0</v>
      </c>
      <c r="AF31" s="8">
        <f t="shared" si="19"/>
        <v>0</v>
      </c>
      <c r="AG31" s="8">
        <f t="shared" si="19"/>
        <v>0</v>
      </c>
      <c r="AH31" s="8">
        <f t="shared" si="19"/>
        <v>0</v>
      </c>
      <c r="AI31" s="8">
        <f t="shared" si="19"/>
        <v>0</v>
      </c>
      <c r="AJ31" s="125">
        <f t="shared" si="2"/>
        <v>0</v>
      </c>
    </row>
    <row r="32" spans="2:36" x14ac:dyDescent="0.2">
      <c r="B32">
        <f>U2</f>
        <v>2035</v>
      </c>
      <c r="C32" s="8"/>
      <c r="D32" s="8"/>
      <c r="E32" s="8"/>
      <c r="F32" s="8"/>
      <c r="G32" s="8"/>
      <c r="H32" s="8"/>
      <c r="I32" s="8"/>
      <c r="J32" s="8"/>
      <c r="K32" s="8"/>
      <c r="L32" s="8"/>
      <c r="M32" s="8"/>
      <c r="N32" s="8"/>
      <c r="O32" s="8"/>
      <c r="P32" s="8"/>
      <c r="Q32" s="8"/>
      <c r="R32" s="8"/>
      <c r="S32" s="8"/>
      <c r="T32" s="8"/>
      <c r="U32" s="8">
        <f t="shared" ref="U32:AI32" si="20">IF(U$2-$B32-$C$3&lt;0,SLN($U$10,0,$C$3),0)</f>
        <v>0</v>
      </c>
      <c r="V32" s="8">
        <f t="shared" si="20"/>
        <v>0</v>
      </c>
      <c r="W32" s="8">
        <f t="shared" si="20"/>
        <v>0</v>
      </c>
      <c r="X32" s="8">
        <f t="shared" si="20"/>
        <v>0</v>
      </c>
      <c r="Y32" s="8">
        <f t="shared" si="20"/>
        <v>0</v>
      </c>
      <c r="Z32" s="8">
        <f t="shared" si="20"/>
        <v>0</v>
      </c>
      <c r="AA32" s="8">
        <f t="shared" si="20"/>
        <v>0</v>
      </c>
      <c r="AB32" s="8">
        <f t="shared" si="20"/>
        <v>0</v>
      </c>
      <c r="AC32" s="8">
        <f t="shared" si="20"/>
        <v>0</v>
      </c>
      <c r="AD32" s="8">
        <f t="shared" si="20"/>
        <v>0</v>
      </c>
      <c r="AE32" s="8">
        <f t="shared" si="20"/>
        <v>0</v>
      </c>
      <c r="AF32" s="8">
        <f t="shared" si="20"/>
        <v>0</v>
      </c>
      <c r="AG32" s="8">
        <f t="shared" si="20"/>
        <v>0</v>
      </c>
      <c r="AH32" s="8">
        <f t="shared" si="20"/>
        <v>0</v>
      </c>
      <c r="AI32" s="8">
        <f t="shared" si="20"/>
        <v>0</v>
      </c>
      <c r="AJ32" s="125">
        <f t="shared" si="2"/>
        <v>0</v>
      </c>
    </row>
    <row r="33" spans="1:37" x14ac:dyDescent="0.2">
      <c r="B33">
        <f>V2</f>
        <v>2036</v>
      </c>
      <c r="C33" s="8"/>
      <c r="D33" s="8"/>
      <c r="E33" s="8"/>
      <c r="F33" s="8"/>
      <c r="G33" s="8"/>
      <c r="H33" s="8"/>
      <c r="I33" s="8"/>
      <c r="J33" s="8"/>
      <c r="K33" s="8"/>
      <c r="L33" s="8"/>
      <c r="M33" s="8"/>
      <c r="N33" s="8"/>
      <c r="O33" s="8"/>
      <c r="P33" s="8"/>
      <c r="Q33" s="8"/>
      <c r="R33" s="8"/>
      <c r="S33" s="8"/>
      <c r="T33" s="8"/>
      <c r="U33" s="8"/>
      <c r="V33" s="8">
        <f t="shared" ref="V33:AI33" si="21">IF(V$2-$B33-$C$3&lt;0,SLN($V$10,0,$C$3),0)</f>
        <v>0</v>
      </c>
      <c r="W33" s="8">
        <f t="shared" si="21"/>
        <v>0</v>
      </c>
      <c r="X33" s="8">
        <f t="shared" si="21"/>
        <v>0</v>
      </c>
      <c r="Y33" s="8">
        <f t="shared" si="21"/>
        <v>0</v>
      </c>
      <c r="Z33" s="8">
        <f t="shared" si="21"/>
        <v>0</v>
      </c>
      <c r="AA33" s="8">
        <f t="shared" si="21"/>
        <v>0</v>
      </c>
      <c r="AB33" s="8">
        <f t="shared" si="21"/>
        <v>0</v>
      </c>
      <c r="AC33" s="8">
        <f t="shared" si="21"/>
        <v>0</v>
      </c>
      <c r="AD33" s="8">
        <f t="shared" si="21"/>
        <v>0</v>
      </c>
      <c r="AE33" s="8">
        <f t="shared" si="21"/>
        <v>0</v>
      </c>
      <c r="AF33" s="8">
        <f t="shared" si="21"/>
        <v>0</v>
      </c>
      <c r="AG33" s="8">
        <f t="shared" si="21"/>
        <v>0</v>
      </c>
      <c r="AH33" s="8">
        <f t="shared" si="21"/>
        <v>0</v>
      </c>
      <c r="AI33" s="8">
        <f t="shared" si="21"/>
        <v>0</v>
      </c>
      <c r="AJ33" s="125">
        <f t="shared" si="2"/>
        <v>0</v>
      </c>
    </row>
    <row r="34" spans="1:37" x14ac:dyDescent="0.2">
      <c r="B34">
        <f>W2</f>
        <v>2037</v>
      </c>
      <c r="C34" s="8"/>
      <c r="D34" s="8"/>
      <c r="E34" s="8"/>
      <c r="F34" s="8"/>
      <c r="G34" s="8"/>
      <c r="H34" s="8"/>
      <c r="I34" s="8"/>
      <c r="J34" s="8"/>
      <c r="K34" s="8"/>
      <c r="L34" s="8"/>
      <c r="M34" s="8"/>
      <c r="N34" s="8"/>
      <c r="O34" s="8"/>
      <c r="P34" s="8"/>
      <c r="Q34" s="8"/>
      <c r="R34" s="8"/>
      <c r="S34" s="8"/>
      <c r="T34" s="8"/>
      <c r="U34" s="8"/>
      <c r="V34" s="8"/>
      <c r="W34" s="8">
        <f t="shared" ref="W34:AI34" si="22">IF(W$2-$B34-$C$3&lt;0,SLN($W$10,0,$C$3),0)</f>
        <v>0</v>
      </c>
      <c r="X34" s="8">
        <f t="shared" si="22"/>
        <v>0</v>
      </c>
      <c r="Y34" s="8">
        <f t="shared" si="22"/>
        <v>0</v>
      </c>
      <c r="Z34" s="8">
        <f t="shared" si="22"/>
        <v>0</v>
      </c>
      <c r="AA34" s="8">
        <f t="shared" si="22"/>
        <v>0</v>
      </c>
      <c r="AB34" s="8">
        <f t="shared" si="22"/>
        <v>0</v>
      </c>
      <c r="AC34" s="8">
        <f t="shared" si="22"/>
        <v>0</v>
      </c>
      <c r="AD34" s="8">
        <f t="shared" si="22"/>
        <v>0</v>
      </c>
      <c r="AE34" s="8">
        <f t="shared" si="22"/>
        <v>0</v>
      </c>
      <c r="AF34" s="8">
        <f t="shared" si="22"/>
        <v>0</v>
      </c>
      <c r="AG34" s="8">
        <f t="shared" si="22"/>
        <v>0</v>
      </c>
      <c r="AH34" s="8">
        <f t="shared" si="22"/>
        <v>0</v>
      </c>
      <c r="AI34" s="8">
        <f t="shared" si="22"/>
        <v>0</v>
      </c>
      <c r="AJ34" s="125">
        <f t="shared" si="2"/>
        <v>0</v>
      </c>
    </row>
    <row r="35" spans="1:37" x14ac:dyDescent="0.2">
      <c r="B35">
        <f>X2</f>
        <v>2038</v>
      </c>
      <c r="C35" s="8"/>
      <c r="D35" s="8"/>
      <c r="E35" s="8"/>
      <c r="F35" s="8"/>
      <c r="G35" s="8"/>
      <c r="H35" s="8"/>
      <c r="I35" s="8"/>
      <c r="J35" s="8"/>
      <c r="K35" s="8"/>
      <c r="L35" s="8"/>
      <c r="M35" s="8"/>
      <c r="N35" s="8"/>
      <c r="O35" s="8"/>
      <c r="P35" s="8"/>
      <c r="Q35" s="8"/>
      <c r="R35" s="8"/>
      <c r="S35" s="8"/>
      <c r="T35" s="8"/>
      <c r="U35" s="8"/>
      <c r="V35" s="8"/>
      <c r="W35" s="8"/>
      <c r="X35" s="8">
        <f t="shared" ref="X35:AI35" si="23">IF(X$2-$B35-$C$3&lt;0,SLN($X$10,0,$C$3),0)</f>
        <v>0</v>
      </c>
      <c r="Y35" s="8">
        <f t="shared" si="23"/>
        <v>0</v>
      </c>
      <c r="Z35" s="8">
        <f t="shared" si="23"/>
        <v>0</v>
      </c>
      <c r="AA35" s="8">
        <f t="shared" si="23"/>
        <v>0</v>
      </c>
      <c r="AB35" s="8">
        <f t="shared" si="23"/>
        <v>0</v>
      </c>
      <c r="AC35" s="8">
        <f t="shared" si="23"/>
        <v>0</v>
      </c>
      <c r="AD35" s="8">
        <f t="shared" si="23"/>
        <v>0</v>
      </c>
      <c r="AE35" s="8">
        <f t="shared" si="23"/>
        <v>0</v>
      </c>
      <c r="AF35" s="8">
        <f t="shared" si="23"/>
        <v>0</v>
      </c>
      <c r="AG35" s="8">
        <f t="shared" si="23"/>
        <v>0</v>
      </c>
      <c r="AH35" s="8">
        <f t="shared" si="23"/>
        <v>0</v>
      </c>
      <c r="AI35" s="8">
        <f t="shared" si="23"/>
        <v>0</v>
      </c>
      <c r="AJ35" s="125">
        <f t="shared" si="2"/>
        <v>0</v>
      </c>
    </row>
    <row r="36" spans="1:37" x14ac:dyDescent="0.2">
      <c r="B36">
        <f>Y2</f>
        <v>2039</v>
      </c>
      <c r="C36" s="8"/>
      <c r="D36" s="8"/>
      <c r="E36" s="8"/>
      <c r="F36" s="8"/>
      <c r="G36" s="8"/>
      <c r="H36" s="8"/>
      <c r="I36" s="8"/>
      <c r="J36" s="8"/>
      <c r="K36" s="8"/>
      <c r="L36" s="8"/>
      <c r="M36" s="8"/>
      <c r="N36" s="8"/>
      <c r="O36" s="8"/>
      <c r="P36" s="8"/>
      <c r="Q36" s="8"/>
      <c r="R36" s="8"/>
      <c r="S36" s="8"/>
      <c r="T36" s="8"/>
      <c r="U36" s="8"/>
      <c r="V36" s="8"/>
      <c r="W36" s="8"/>
      <c r="X36" s="8"/>
      <c r="Y36" s="8">
        <f t="shared" ref="Y36:AI36" si="24">IF(Y$2-$B36-$C$3&lt;0,SLN($Y$10,0,$C$3),0)</f>
        <v>0</v>
      </c>
      <c r="Z36" s="8">
        <f t="shared" si="24"/>
        <v>0</v>
      </c>
      <c r="AA36" s="8">
        <f t="shared" si="24"/>
        <v>0</v>
      </c>
      <c r="AB36" s="8">
        <f t="shared" si="24"/>
        <v>0</v>
      </c>
      <c r="AC36" s="8">
        <f t="shared" si="24"/>
        <v>0</v>
      </c>
      <c r="AD36" s="8">
        <f t="shared" si="24"/>
        <v>0</v>
      </c>
      <c r="AE36" s="8">
        <f t="shared" si="24"/>
        <v>0</v>
      </c>
      <c r="AF36" s="8">
        <f t="shared" si="24"/>
        <v>0</v>
      </c>
      <c r="AG36" s="8">
        <f t="shared" si="24"/>
        <v>0</v>
      </c>
      <c r="AH36" s="8">
        <f t="shared" si="24"/>
        <v>0</v>
      </c>
      <c r="AI36" s="8">
        <f t="shared" si="24"/>
        <v>0</v>
      </c>
      <c r="AJ36" s="125">
        <f t="shared" si="2"/>
        <v>0</v>
      </c>
    </row>
    <row r="37" spans="1:37" x14ac:dyDescent="0.2">
      <c r="B37">
        <f>Z2</f>
        <v>2040</v>
      </c>
      <c r="C37" s="8"/>
      <c r="D37" s="8"/>
      <c r="E37" s="8"/>
      <c r="F37" s="8"/>
      <c r="G37" s="8"/>
      <c r="H37" s="8"/>
      <c r="I37" s="8"/>
      <c r="J37" s="8"/>
      <c r="K37" s="8"/>
      <c r="L37" s="8"/>
      <c r="M37" s="8"/>
      <c r="N37" s="8"/>
      <c r="O37" s="8"/>
      <c r="P37" s="8"/>
      <c r="Q37" s="8"/>
      <c r="R37" s="8"/>
      <c r="S37" s="8"/>
      <c r="T37" s="8"/>
      <c r="U37" s="8"/>
      <c r="V37" s="8"/>
      <c r="W37" s="8"/>
      <c r="X37" s="8"/>
      <c r="Y37" s="8"/>
      <c r="Z37" s="8">
        <f t="shared" ref="Z37:AI37" si="25">IF(Z$2-$B37-$C$3&lt;0,SLN($Z$10,0,$C$3),0)</f>
        <v>0</v>
      </c>
      <c r="AA37" s="8">
        <f t="shared" si="25"/>
        <v>0</v>
      </c>
      <c r="AB37" s="8">
        <f t="shared" si="25"/>
        <v>0</v>
      </c>
      <c r="AC37" s="8">
        <f t="shared" si="25"/>
        <v>0</v>
      </c>
      <c r="AD37" s="8">
        <f t="shared" si="25"/>
        <v>0</v>
      </c>
      <c r="AE37" s="8">
        <f t="shared" si="25"/>
        <v>0</v>
      </c>
      <c r="AF37" s="8">
        <f t="shared" si="25"/>
        <v>0</v>
      </c>
      <c r="AG37" s="8">
        <f t="shared" si="25"/>
        <v>0</v>
      </c>
      <c r="AH37" s="8">
        <f t="shared" si="25"/>
        <v>0</v>
      </c>
      <c r="AI37" s="8">
        <f t="shared" si="25"/>
        <v>0</v>
      </c>
      <c r="AJ37" s="125">
        <f t="shared" si="2"/>
        <v>0</v>
      </c>
    </row>
    <row r="38" spans="1:37" x14ac:dyDescent="0.2">
      <c r="B38">
        <f>AA2</f>
        <v>2041</v>
      </c>
      <c r="C38" s="8"/>
      <c r="D38" s="8"/>
      <c r="E38" s="8"/>
      <c r="F38" s="8"/>
      <c r="G38" s="8"/>
      <c r="H38" s="8"/>
      <c r="I38" s="8"/>
      <c r="J38" s="8"/>
      <c r="K38" s="8"/>
      <c r="L38" s="8"/>
      <c r="M38" s="8"/>
      <c r="N38" s="8"/>
      <c r="O38" s="8"/>
      <c r="P38" s="8"/>
      <c r="Q38" s="8"/>
      <c r="R38" s="8"/>
      <c r="S38" s="8"/>
      <c r="T38" s="8"/>
      <c r="U38" s="8"/>
      <c r="V38" s="8"/>
      <c r="W38" s="8"/>
      <c r="X38" s="8"/>
      <c r="Y38" s="8"/>
      <c r="Z38" s="8"/>
      <c r="AA38" s="8">
        <f t="shared" ref="AA38:AI38" si="26">IF(AA$2-$B38-$C$3&lt;0,SLN($AA$10,0,$C$3),0)</f>
        <v>0</v>
      </c>
      <c r="AB38" s="8">
        <f t="shared" si="26"/>
        <v>0</v>
      </c>
      <c r="AC38" s="8">
        <f t="shared" si="26"/>
        <v>0</v>
      </c>
      <c r="AD38" s="8">
        <f t="shared" si="26"/>
        <v>0</v>
      </c>
      <c r="AE38" s="8">
        <f t="shared" si="26"/>
        <v>0</v>
      </c>
      <c r="AF38" s="8">
        <f t="shared" si="26"/>
        <v>0</v>
      </c>
      <c r="AG38" s="8">
        <f t="shared" si="26"/>
        <v>0</v>
      </c>
      <c r="AH38" s="8">
        <f t="shared" si="26"/>
        <v>0</v>
      </c>
      <c r="AI38" s="8">
        <f t="shared" si="26"/>
        <v>0</v>
      </c>
      <c r="AJ38" s="125">
        <f t="shared" si="2"/>
        <v>0</v>
      </c>
    </row>
    <row r="39" spans="1:37" x14ac:dyDescent="0.2">
      <c r="B39">
        <f>AB2</f>
        <v>2042</v>
      </c>
      <c r="C39" s="8"/>
      <c r="D39" s="8"/>
      <c r="E39" s="8"/>
      <c r="F39" s="8"/>
      <c r="G39" s="8"/>
      <c r="H39" s="8"/>
      <c r="I39" s="8"/>
      <c r="J39" s="8"/>
      <c r="K39" s="8"/>
      <c r="L39" s="8"/>
      <c r="M39" s="8"/>
      <c r="N39" s="8"/>
      <c r="O39" s="8"/>
      <c r="P39" s="8"/>
      <c r="Q39" s="8"/>
      <c r="R39" s="8"/>
      <c r="S39" s="8"/>
      <c r="T39" s="8"/>
      <c r="U39" s="8"/>
      <c r="V39" s="8"/>
      <c r="W39" s="8"/>
      <c r="X39" s="8"/>
      <c r="Y39" s="8"/>
      <c r="Z39" s="8"/>
      <c r="AA39" s="8"/>
      <c r="AB39" s="8">
        <f t="shared" ref="AB39:AI39" si="27">IF(AB$2-$B39-$C$3&lt;0,SLN($AB$10,0,$C$3),0)</f>
        <v>0</v>
      </c>
      <c r="AC39" s="8">
        <f t="shared" si="27"/>
        <v>0</v>
      </c>
      <c r="AD39" s="8">
        <f t="shared" si="27"/>
        <v>0</v>
      </c>
      <c r="AE39" s="8">
        <f t="shared" si="27"/>
        <v>0</v>
      </c>
      <c r="AF39" s="8">
        <f t="shared" si="27"/>
        <v>0</v>
      </c>
      <c r="AG39" s="8">
        <f t="shared" si="27"/>
        <v>0</v>
      </c>
      <c r="AH39" s="8">
        <f t="shared" si="27"/>
        <v>0</v>
      </c>
      <c r="AI39" s="8">
        <f t="shared" si="27"/>
        <v>0</v>
      </c>
      <c r="AJ39" s="125">
        <f t="shared" si="2"/>
        <v>0</v>
      </c>
    </row>
    <row r="40" spans="1:37" x14ac:dyDescent="0.2">
      <c r="B40">
        <f>AC2</f>
        <v>2043</v>
      </c>
      <c r="C40" s="8"/>
      <c r="D40" s="8"/>
      <c r="E40" s="8"/>
      <c r="F40" s="8"/>
      <c r="G40" s="8"/>
      <c r="H40" s="8"/>
      <c r="I40" s="8"/>
      <c r="J40" s="8"/>
      <c r="K40" s="8"/>
      <c r="L40" s="8"/>
      <c r="M40" s="8"/>
      <c r="N40" s="8"/>
      <c r="O40" s="8"/>
      <c r="P40" s="8"/>
      <c r="Q40" s="8"/>
      <c r="R40" s="8"/>
      <c r="S40" s="8"/>
      <c r="T40" s="8"/>
      <c r="U40" s="8"/>
      <c r="V40" s="8"/>
      <c r="W40" s="8"/>
      <c r="X40" s="8"/>
      <c r="Y40" s="8"/>
      <c r="Z40" s="8"/>
      <c r="AA40" s="8"/>
      <c r="AB40" s="8"/>
      <c r="AC40" s="8">
        <f t="shared" ref="AC40:AI40" si="28">IF(AC$2-$B40-$C$3&lt;0,SLN($AC$10,0,$C$3),0)</f>
        <v>0</v>
      </c>
      <c r="AD40" s="8">
        <f t="shared" si="28"/>
        <v>0</v>
      </c>
      <c r="AE40" s="8">
        <f t="shared" si="28"/>
        <v>0</v>
      </c>
      <c r="AF40" s="8">
        <f t="shared" si="28"/>
        <v>0</v>
      </c>
      <c r="AG40" s="8">
        <f t="shared" si="28"/>
        <v>0</v>
      </c>
      <c r="AH40" s="8">
        <f t="shared" si="28"/>
        <v>0</v>
      </c>
      <c r="AI40" s="8">
        <f t="shared" si="28"/>
        <v>0</v>
      </c>
      <c r="AJ40" s="125">
        <f t="shared" si="2"/>
        <v>0</v>
      </c>
    </row>
    <row r="41" spans="1:37" x14ac:dyDescent="0.2">
      <c r="B41">
        <f>AD2</f>
        <v>2044</v>
      </c>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f t="shared" ref="AD41:AI41" si="29">IF(AD$2-$B41-$C$3&lt;0,SLN($AD$10,0,$C$3),0)</f>
        <v>0</v>
      </c>
      <c r="AE41" s="8">
        <f t="shared" si="29"/>
        <v>0</v>
      </c>
      <c r="AF41" s="8">
        <f t="shared" si="29"/>
        <v>0</v>
      </c>
      <c r="AG41" s="8">
        <f t="shared" si="29"/>
        <v>0</v>
      </c>
      <c r="AH41" s="8">
        <f t="shared" si="29"/>
        <v>0</v>
      </c>
      <c r="AI41" s="8">
        <f t="shared" si="29"/>
        <v>0</v>
      </c>
      <c r="AJ41" s="125">
        <f t="shared" si="2"/>
        <v>0</v>
      </c>
    </row>
    <row r="42" spans="1:37" x14ac:dyDescent="0.2">
      <c r="B42">
        <f>AE2</f>
        <v>2045</v>
      </c>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f>IF(AE$2-$B42-$C$3&lt;0,SLN($AE$10,0,$C$3),0)</f>
        <v>0</v>
      </c>
      <c r="AF42" s="8">
        <f>IF(AF$2-$B42-$C$3&lt;0,SLN($AE$10,0,$C$3),0)</f>
        <v>0</v>
      </c>
      <c r="AG42" s="8">
        <f>IF(AG$2-$B42-$C$3&lt;0,SLN($AE$10,0,$C$3),0)</f>
        <v>0</v>
      </c>
      <c r="AH42" s="8">
        <f>IF(AH$2-$B42-$C$3&lt;0,SLN($AE$10,0,$C$3),0)</f>
        <v>0</v>
      </c>
      <c r="AI42" s="8">
        <f>IF(AI$2-$B42-$C$3&lt;0,SLN($AE$10,0,$C$3),0)</f>
        <v>0</v>
      </c>
      <c r="AJ42" s="125">
        <f t="shared" si="2"/>
        <v>0</v>
      </c>
    </row>
    <row r="43" spans="1:37" x14ac:dyDescent="0.2">
      <c r="B43">
        <f>AF2</f>
        <v>2046</v>
      </c>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f>IF(AF$2-$B43-$C$3&lt;0,SLN($AF$10,0,$C$3),0)</f>
        <v>0</v>
      </c>
      <c r="AG43" s="8">
        <f>IF(AG$2-$B43-$C$3&lt;0,SLN($AF$10,0,$C$3),0)</f>
        <v>0</v>
      </c>
      <c r="AH43" s="8">
        <f>IF(AH$2-$B43-$C$3&lt;0,SLN($AF$10,0,$C$3),0)</f>
        <v>0</v>
      </c>
      <c r="AI43" s="8">
        <f>IF(AI$2-$B43-$C$3&lt;0,SLN($AF$10,0,$C$3),0)</f>
        <v>0</v>
      </c>
      <c r="AJ43" s="125">
        <f t="shared" si="2"/>
        <v>0</v>
      </c>
    </row>
    <row r="44" spans="1:37" x14ac:dyDescent="0.2">
      <c r="B44">
        <f>AG2</f>
        <v>2047</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f>IF(AG$2-$B44-$C$3&lt;0,SLN($AG$10,0,$C$3),0)</f>
        <v>0</v>
      </c>
      <c r="AH44" s="8">
        <f>IF(AH$2-$B44-$C$3&lt;0,SLN($AG$10,0,$C$3),0)</f>
        <v>0</v>
      </c>
      <c r="AI44" s="8">
        <f>IF(AI$2-$B44-$C$3&lt;0,SLN($AG$10,0,$C$3),0)</f>
        <v>0</v>
      </c>
      <c r="AJ44" s="125">
        <f t="shared" si="2"/>
        <v>0</v>
      </c>
    </row>
    <row r="45" spans="1:37" x14ac:dyDescent="0.2">
      <c r="B45">
        <f>AH2</f>
        <v>2048</v>
      </c>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f>IF(AH$2-$B45-$C$3&lt;0,SLN($AH$10,0,$C$3),0)</f>
        <v>0</v>
      </c>
      <c r="AI45" s="8">
        <f>IF(AI$2-$B45-$C$3&lt;0,SLN($AH$10,0,$C$3),0)</f>
        <v>0</v>
      </c>
      <c r="AJ45" s="125">
        <f t="shared" si="2"/>
        <v>0</v>
      </c>
    </row>
    <row r="46" spans="1:37" ht="15.95" thickBot="1" x14ac:dyDescent="0.25">
      <c r="B46">
        <f>AI2</f>
        <v>2049</v>
      </c>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f>IF(AI$2-$B46-$C$3&lt;0,SLN($AI$10,0,$C$3),0)</f>
        <v>0</v>
      </c>
      <c r="AJ46" s="128">
        <f t="shared" si="2"/>
        <v>0</v>
      </c>
    </row>
    <row r="47" spans="1:37" s="79" customFormat="1" ht="15.95" thickBot="1" x14ac:dyDescent="0.25">
      <c r="A47" s="105" t="s">
        <v>231</v>
      </c>
      <c r="C47" s="106">
        <f>SUM(C14:C46)</f>
        <v>0</v>
      </c>
      <c r="D47" s="107">
        <f t="shared" ref="D47:AJ47" si="30">SUM(D14:D46)</f>
        <v>0</v>
      </c>
      <c r="E47" s="107">
        <f t="shared" si="30"/>
        <v>0</v>
      </c>
      <c r="F47" s="107">
        <f t="shared" si="30"/>
        <v>0</v>
      </c>
      <c r="G47" s="107">
        <f t="shared" si="30"/>
        <v>0</v>
      </c>
      <c r="H47" s="107">
        <f t="shared" si="30"/>
        <v>0</v>
      </c>
      <c r="I47" s="107">
        <f t="shared" si="30"/>
        <v>0</v>
      </c>
      <c r="J47" s="107">
        <f t="shared" si="30"/>
        <v>0</v>
      </c>
      <c r="K47" s="107">
        <f t="shared" si="30"/>
        <v>0</v>
      </c>
      <c r="L47" s="107">
        <f t="shared" si="30"/>
        <v>0</v>
      </c>
      <c r="M47" s="107">
        <f t="shared" si="30"/>
        <v>0</v>
      </c>
      <c r="N47" s="107">
        <f t="shared" si="30"/>
        <v>0</v>
      </c>
      <c r="O47" s="107">
        <f t="shared" si="30"/>
        <v>0</v>
      </c>
      <c r="P47" s="107">
        <f t="shared" si="30"/>
        <v>0</v>
      </c>
      <c r="Q47" s="107">
        <f t="shared" si="30"/>
        <v>0</v>
      </c>
      <c r="R47" s="107">
        <f t="shared" si="30"/>
        <v>0</v>
      </c>
      <c r="S47" s="107">
        <f t="shared" si="30"/>
        <v>0</v>
      </c>
      <c r="T47" s="107">
        <f t="shared" si="30"/>
        <v>0</v>
      </c>
      <c r="U47" s="107">
        <f t="shared" si="30"/>
        <v>0</v>
      </c>
      <c r="V47" s="107">
        <f t="shared" si="30"/>
        <v>0</v>
      </c>
      <c r="W47" s="107">
        <f t="shared" si="30"/>
        <v>0</v>
      </c>
      <c r="X47" s="107">
        <f t="shared" si="30"/>
        <v>0</v>
      </c>
      <c r="Y47" s="107">
        <f t="shared" si="30"/>
        <v>0</v>
      </c>
      <c r="Z47" s="107">
        <f t="shared" si="30"/>
        <v>0</v>
      </c>
      <c r="AA47" s="107">
        <f t="shared" si="30"/>
        <v>0</v>
      </c>
      <c r="AB47" s="107">
        <f t="shared" si="30"/>
        <v>0</v>
      </c>
      <c r="AC47" s="107">
        <f t="shared" si="30"/>
        <v>0</v>
      </c>
      <c r="AD47" s="107">
        <f t="shared" si="30"/>
        <v>0</v>
      </c>
      <c r="AE47" s="107">
        <f t="shared" si="30"/>
        <v>0</v>
      </c>
      <c r="AF47" s="107">
        <f t="shared" si="30"/>
        <v>0</v>
      </c>
      <c r="AG47" s="107">
        <f t="shared" si="30"/>
        <v>0</v>
      </c>
      <c r="AH47" s="107">
        <f t="shared" si="30"/>
        <v>0</v>
      </c>
      <c r="AI47" s="107">
        <f t="shared" si="30"/>
        <v>0</v>
      </c>
      <c r="AJ47" s="129">
        <f t="shared" si="30"/>
        <v>0</v>
      </c>
      <c r="AK47" s="108">
        <f>AJ47-AJ10</f>
        <v>0</v>
      </c>
    </row>
    <row r="48" spans="1:37" x14ac:dyDescent="0.2">
      <c r="AJ48" s="134" t="s">
        <v>232</v>
      </c>
      <c r="AK48" s="95" t="str">
        <f>IF(AK47=0,"VALID","ERROR")</f>
        <v>VALID</v>
      </c>
    </row>
  </sheetData>
  <pageMargins left="0.7" right="0.7" top="0.75" bottom="0.75" header="0.3" footer="0.3"/>
  <pageSetup orientation="portrait" horizontalDpi="4294967292" verticalDpi="429496729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FF0000"/>
  </sheetPr>
  <dimension ref="A1:AJ55"/>
  <sheetViews>
    <sheetView workbookViewId="0">
      <pane xSplit="1" topLeftCell="B1" activePane="topRight" state="frozen"/>
      <selection activeCell="C46" sqref="C46"/>
      <selection pane="topRight" activeCell="D3" sqref="D3"/>
    </sheetView>
  </sheetViews>
  <sheetFormatPr defaultColWidth="8.85546875" defaultRowHeight="15" x14ac:dyDescent="0.25"/>
  <cols>
    <col min="1" max="1" width="41.85546875" bestFit="1" customWidth="1"/>
    <col min="3" max="3" width="11.85546875" customWidth="1"/>
    <col min="12" max="12" width="12" customWidth="1"/>
    <col min="13" max="13" width="11.140625" customWidth="1"/>
    <col min="14" max="14" width="10.7109375" customWidth="1"/>
    <col min="15" max="15" width="11" customWidth="1"/>
    <col min="16" max="16" width="10" customWidth="1"/>
    <col min="17" max="17" width="9" customWidth="1"/>
    <col min="18" max="18" width="9.140625" customWidth="1"/>
    <col min="19" max="19" width="9.42578125" customWidth="1"/>
    <col min="20" max="20" width="9.85546875" customWidth="1"/>
    <col min="21" max="21" width="9.42578125" customWidth="1"/>
    <col min="22" max="22" width="9" customWidth="1"/>
    <col min="23" max="23" width="9.7109375" customWidth="1"/>
    <col min="24" max="24" width="10.42578125" customWidth="1"/>
    <col min="25" max="27" width="9.85546875" customWidth="1"/>
    <col min="28" max="28" width="10.28515625" customWidth="1"/>
    <col min="29" max="29" width="11" customWidth="1"/>
    <col min="30" max="31" width="9.42578125" customWidth="1"/>
    <col min="32" max="32" width="9.85546875" customWidth="1"/>
    <col min="33" max="34" width="10.140625" customWidth="1"/>
    <col min="35" max="35" width="10.7109375" customWidth="1"/>
    <col min="36" max="36" width="10.7109375" style="124" customWidth="1"/>
  </cols>
  <sheetData>
    <row r="1" spans="1:36" s="69" customFormat="1" ht="21" x14ac:dyDescent="0.25">
      <c r="A1" s="198" t="s">
        <v>320</v>
      </c>
      <c r="D1" s="75"/>
      <c r="AJ1" s="122"/>
    </row>
    <row r="2" spans="1:36" s="69" customFormat="1" ht="21" x14ac:dyDescent="0.25">
      <c r="A2" s="198"/>
      <c r="C2" s="117" t="str">
        <f>IF('Assumptions &amp; Results'!$C$172=3,"INVALID","VALID")</f>
        <v>VALID</v>
      </c>
      <c r="D2" s="235" t="s">
        <v>570</v>
      </c>
      <c r="AJ2" s="132"/>
    </row>
    <row r="3" spans="1:36" x14ac:dyDescent="0.2">
      <c r="D3" s="1"/>
    </row>
    <row r="4" spans="1:36" x14ac:dyDescent="0.2">
      <c r="A4" s="28"/>
      <c r="B4" t="s">
        <v>234</v>
      </c>
      <c r="C4" s="1">
        <f>'Assumptions &amp; Results'!D2</f>
        <v>2017</v>
      </c>
      <c r="D4" s="1">
        <f>'Assumptions &amp; Results'!E2</f>
        <v>2018</v>
      </c>
      <c r="E4" s="1">
        <f>'Assumptions &amp; Results'!F2</f>
        <v>2019</v>
      </c>
      <c r="F4" s="1">
        <f>'Assumptions &amp; Results'!G2</f>
        <v>2020</v>
      </c>
      <c r="G4" s="1">
        <f>'Assumptions &amp; Results'!H2</f>
        <v>2021</v>
      </c>
      <c r="H4" s="1">
        <f>'Assumptions &amp; Results'!I2</f>
        <v>2022</v>
      </c>
      <c r="I4" s="1">
        <f>'Assumptions &amp; Results'!J2</f>
        <v>2023</v>
      </c>
      <c r="J4" s="1">
        <f>'Assumptions &amp; Results'!K2</f>
        <v>2024</v>
      </c>
      <c r="K4" s="1">
        <f>'Assumptions &amp; Results'!L2</f>
        <v>2025</v>
      </c>
      <c r="L4" s="1">
        <f>'Assumptions &amp; Results'!M2</f>
        <v>2026</v>
      </c>
      <c r="M4" s="1">
        <f>'Assumptions &amp; Results'!N2</f>
        <v>2027</v>
      </c>
      <c r="N4" s="1">
        <f>'Assumptions &amp; Results'!O2</f>
        <v>2028</v>
      </c>
      <c r="O4" s="1">
        <f>'Assumptions &amp; Results'!P2</f>
        <v>2029</v>
      </c>
      <c r="P4" s="1">
        <f>'Assumptions &amp; Results'!Q2</f>
        <v>2030</v>
      </c>
      <c r="Q4" s="1">
        <f>'Assumptions &amp; Results'!R2</f>
        <v>2031</v>
      </c>
      <c r="R4" s="1">
        <f>'Assumptions &amp; Results'!S2</f>
        <v>2032</v>
      </c>
      <c r="S4" s="1">
        <f>'Assumptions &amp; Results'!T2</f>
        <v>2033</v>
      </c>
      <c r="T4" s="1">
        <f>'Assumptions &amp; Results'!U2</f>
        <v>2034</v>
      </c>
      <c r="U4" s="1">
        <f>'Assumptions &amp; Results'!V2</f>
        <v>2035</v>
      </c>
      <c r="V4" s="1">
        <f>'Assumptions &amp; Results'!W2</f>
        <v>2036</v>
      </c>
      <c r="W4" s="1">
        <f>'Assumptions &amp; Results'!X2</f>
        <v>2037</v>
      </c>
      <c r="X4" s="1">
        <f>'Assumptions &amp; Results'!Y2</f>
        <v>2038</v>
      </c>
      <c r="Y4" s="1">
        <f>'Assumptions &amp; Results'!Z2</f>
        <v>2039</v>
      </c>
      <c r="Z4" s="1">
        <f>'Assumptions &amp; Results'!AA2</f>
        <v>2040</v>
      </c>
      <c r="AA4" s="1">
        <f>'Assumptions &amp; Results'!AB2</f>
        <v>2041</v>
      </c>
      <c r="AB4" s="1">
        <f>'Assumptions &amp; Results'!AC2</f>
        <v>2042</v>
      </c>
      <c r="AC4" s="1">
        <f>'Assumptions &amp; Results'!AD2</f>
        <v>2043</v>
      </c>
      <c r="AD4" s="1">
        <f>'Assumptions &amp; Results'!AE2</f>
        <v>2044</v>
      </c>
      <c r="AE4" s="1">
        <f>'Assumptions &amp; Results'!AF2</f>
        <v>2045</v>
      </c>
      <c r="AF4" s="1">
        <f>'Assumptions &amp; Results'!AG2</f>
        <v>2046</v>
      </c>
      <c r="AG4" s="1">
        <f>'Assumptions &amp; Results'!AH2</f>
        <v>2047</v>
      </c>
      <c r="AH4" s="1">
        <f>'Assumptions &amp; Results'!AI2</f>
        <v>2048</v>
      </c>
      <c r="AI4" s="1">
        <f>'Assumptions &amp; Results'!AJ2</f>
        <v>2049</v>
      </c>
      <c r="AJ4" s="130" t="s">
        <v>63</v>
      </c>
    </row>
    <row r="5" spans="1:36" x14ac:dyDescent="0.2">
      <c r="A5" s="30" t="str">
        <f>'Field 1 Investor'!A20</f>
        <v xml:space="preserve">   Total Revenues</v>
      </c>
      <c r="B5" s="31" t="s">
        <v>99</v>
      </c>
      <c r="C5" s="32">
        <f>'Field 3 Investor'!C20</f>
        <v>0</v>
      </c>
      <c r="D5" s="32">
        <f>'Field 3 Investor'!D20</f>
        <v>0</v>
      </c>
      <c r="E5" s="32">
        <f>'Field 3 Investor'!E20</f>
        <v>0</v>
      </c>
      <c r="F5" s="32">
        <f>'Field 3 Investor'!F20</f>
        <v>0</v>
      </c>
      <c r="G5" s="32">
        <f>'Field 3 Investor'!G20</f>
        <v>0</v>
      </c>
      <c r="H5" s="32">
        <f>'Field 3 Investor'!H20</f>
        <v>0</v>
      </c>
      <c r="I5" s="32">
        <f>'Field 3 Investor'!I20</f>
        <v>0</v>
      </c>
      <c r="J5" s="32">
        <f>'Field 3 Investor'!J20</f>
        <v>0</v>
      </c>
      <c r="K5" s="32">
        <f>'Field 3 Investor'!K20</f>
        <v>0</v>
      </c>
      <c r="L5" s="32">
        <f>'Field 3 Investor'!L20</f>
        <v>0</v>
      </c>
      <c r="M5" s="32">
        <f>'Field 3 Investor'!M20</f>
        <v>0</v>
      </c>
      <c r="N5" s="32">
        <f>'Field 3 Investor'!N20</f>
        <v>0</v>
      </c>
      <c r="O5" s="32">
        <f>'Field 3 Investor'!O20</f>
        <v>0</v>
      </c>
      <c r="P5" s="32">
        <f>'Field 3 Investor'!P20</f>
        <v>0</v>
      </c>
      <c r="Q5" s="32">
        <f>'Field 3 Investor'!Q20</f>
        <v>0</v>
      </c>
      <c r="R5" s="32">
        <f>'Field 3 Investor'!R20</f>
        <v>0</v>
      </c>
      <c r="S5" s="32">
        <f>'Field 3 Investor'!S20</f>
        <v>0</v>
      </c>
      <c r="T5" s="32">
        <f>'Field 3 Investor'!T20</f>
        <v>0</v>
      </c>
      <c r="U5" s="32">
        <f>'Field 3 Investor'!U20</f>
        <v>0</v>
      </c>
      <c r="V5" s="32">
        <f>'Field 3 Investor'!V20</f>
        <v>0</v>
      </c>
      <c r="W5" s="32">
        <f>'Field 3 Investor'!W20</f>
        <v>0</v>
      </c>
      <c r="X5" s="32">
        <f>'Field 3 Investor'!X20</f>
        <v>0</v>
      </c>
      <c r="Y5" s="32">
        <f>'Field 3 Investor'!Y20</f>
        <v>0</v>
      </c>
      <c r="Z5" s="32">
        <f>'Field 3 Investor'!Z20</f>
        <v>0</v>
      </c>
      <c r="AA5" s="32">
        <f>'Field 3 Investor'!AA20</f>
        <v>0</v>
      </c>
      <c r="AB5" s="32">
        <f>'Field 3 Investor'!AB20</f>
        <v>0</v>
      </c>
      <c r="AC5" s="32">
        <f>'Field 3 Investor'!AC20</f>
        <v>0</v>
      </c>
      <c r="AD5" s="32">
        <f>'Field 3 Investor'!AD20</f>
        <v>0</v>
      </c>
      <c r="AE5" s="32">
        <f>'Field 3 Investor'!AE20</f>
        <v>0</v>
      </c>
      <c r="AF5" s="32">
        <f>'Field 3 Investor'!AF20</f>
        <v>0</v>
      </c>
      <c r="AG5" s="32">
        <f>'Field 3 Investor'!AG20</f>
        <v>0</v>
      </c>
      <c r="AH5" s="32">
        <f>'Field 3 Investor'!AH20</f>
        <v>0</v>
      </c>
      <c r="AI5" s="32">
        <f>'Field 3 Investor'!AI20</f>
        <v>0</v>
      </c>
      <c r="AJ5" s="125">
        <f>SUM(C5:AI5)</f>
        <v>0</v>
      </c>
    </row>
    <row r="6" spans="1:36" x14ac:dyDescent="0.2">
      <c r="A6" s="30" t="s">
        <v>235</v>
      </c>
      <c r="B6" s="31" t="s">
        <v>99</v>
      </c>
      <c r="C6" s="32">
        <f>'LNG Tolling'!C25</f>
        <v>0</v>
      </c>
      <c r="D6" s="32">
        <f>'LNG Tolling'!D25</f>
        <v>0</v>
      </c>
      <c r="E6" s="32">
        <f>'LNG Tolling'!E25</f>
        <v>0</v>
      </c>
      <c r="F6" s="32">
        <f>'LNG Tolling'!F25</f>
        <v>0</v>
      </c>
      <c r="G6" s="32">
        <f>'LNG Tolling'!G25</f>
        <v>0</v>
      </c>
      <c r="H6" s="32">
        <f>'LNG Tolling'!H25</f>
        <v>0</v>
      </c>
      <c r="I6" s="32">
        <f>'LNG Tolling'!I25</f>
        <v>0</v>
      </c>
      <c r="J6" s="32">
        <f>'LNG Tolling'!J25</f>
        <v>0</v>
      </c>
      <c r="K6" s="32">
        <f>'LNG Tolling'!K25</f>
        <v>0</v>
      </c>
      <c r="L6" s="32">
        <f>'LNG Tolling'!L25</f>
        <v>0</v>
      </c>
      <c r="M6" s="32">
        <f>'LNG Tolling'!M25</f>
        <v>0</v>
      </c>
      <c r="N6" s="32">
        <f>'LNG Tolling'!N25</f>
        <v>0</v>
      </c>
      <c r="O6" s="32">
        <f>'LNG Tolling'!O25</f>
        <v>0</v>
      </c>
      <c r="P6" s="32">
        <f>'LNG Tolling'!P25</f>
        <v>0</v>
      </c>
      <c r="Q6" s="32">
        <f>'LNG Tolling'!Q25</f>
        <v>0</v>
      </c>
      <c r="R6" s="32">
        <f>'LNG Tolling'!R25</f>
        <v>0</v>
      </c>
      <c r="S6" s="32">
        <f>'LNG Tolling'!S25</f>
        <v>0</v>
      </c>
      <c r="T6" s="32">
        <f>'LNG Tolling'!T25</f>
        <v>0</v>
      </c>
      <c r="U6" s="32">
        <f>'LNG Tolling'!U25</f>
        <v>0</v>
      </c>
      <c r="V6" s="32">
        <f>'LNG Tolling'!V25</f>
        <v>0</v>
      </c>
      <c r="W6" s="32">
        <f>'LNG Tolling'!W25</f>
        <v>0</v>
      </c>
      <c r="X6" s="32">
        <f>'LNG Tolling'!X25</f>
        <v>0</v>
      </c>
      <c r="Y6" s="32">
        <f>'LNG Tolling'!Y25</f>
        <v>0</v>
      </c>
      <c r="Z6" s="32">
        <f>'LNG Tolling'!Z25</f>
        <v>0</v>
      </c>
      <c r="AA6" s="32">
        <f>'LNG Tolling'!AA25</f>
        <v>0</v>
      </c>
      <c r="AB6" s="32">
        <f>'LNG Tolling'!AB25</f>
        <v>0</v>
      </c>
      <c r="AC6" s="32">
        <f>'LNG Tolling'!AC25</f>
        <v>0</v>
      </c>
      <c r="AD6" s="32">
        <f>'LNG Tolling'!AD25</f>
        <v>0</v>
      </c>
      <c r="AE6" s="32">
        <f>'LNG Tolling'!AE25</f>
        <v>0</v>
      </c>
      <c r="AF6" s="32">
        <f>'LNG Tolling'!AF25</f>
        <v>0</v>
      </c>
      <c r="AG6" s="32">
        <f>'LNG Tolling'!AG25</f>
        <v>0</v>
      </c>
      <c r="AH6" s="32">
        <f>'LNG Tolling'!AH25</f>
        <v>0</v>
      </c>
      <c r="AI6" s="32">
        <f>'LNG Tolling'!AI25</f>
        <v>0</v>
      </c>
      <c r="AJ6" s="125">
        <f>SUM(C6:AI6)</f>
        <v>0</v>
      </c>
    </row>
    <row r="7" spans="1:36" x14ac:dyDescent="0.2">
      <c r="A7" s="30" t="s">
        <v>236</v>
      </c>
      <c r="B7" s="31" t="s">
        <v>99</v>
      </c>
      <c r="C7" s="32">
        <f>C5-C6</f>
        <v>0</v>
      </c>
      <c r="D7" s="32">
        <f t="shared" ref="D7:AI7" si="0">D5-D6</f>
        <v>0</v>
      </c>
      <c r="E7" s="32">
        <f t="shared" si="0"/>
        <v>0</v>
      </c>
      <c r="F7" s="32">
        <f t="shared" si="0"/>
        <v>0</v>
      </c>
      <c r="G7" s="32">
        <f t="shared" si="0"/>
        <v>0</v>
      </c>
      <c r="H7" s="32">
        <f t="shared" si="0"/>
        <v>0</v>
      </c>
      <c r="I7" s="32">
        <f t="shared" si="0"/>
        <v>0</v>
      </c>
      <c r="J7" s="32">
        <f t="shared" si="0"/>
        <v>0</v>
      </c>
      <c r="K7" s="32">
        <f t="shared" si="0"/>
        <v>0</v>
      </c>
      <c r="L7" s="32">
        <f t="shared" si="0"/>
        <v>0</v>
      </c>
      <c r="M7" s="32">
        <f t="shared" si="0"/>
        <v>0</v>
      </c>
      <c r="N7" s="32">
        <f t="shared" si="0"/>
        <v>0</v>
      </c>
      <c r="O7" s="32">
        <f t="shared" si="0"/>
        <v>0</v>
      </c>
      <c r="P7" s="32">
        <f t="shared" si="0"/>
        <v>0</v>
      </c>
      <c r="Q7" s="32">
        <f t="shared" si="0"/>
        <v>0</v>
      </c>
      <c r="R7" s="32">
        <f t="shared" si="0"/>
        <v>0</v>
      </c>
      <c r="S7" s="32">
        <f t="shared" si="0"/>
        <v>0</v>
      </c>
      <c r="T7" s="32">
        <f t="shared" si="0"/>
        <v>0</v>
      </c>
      <c r="U7" s="32">
        <f t="shared" si="0"/>
        <v>0</v>
      </c>
      <c r="V7" s="32">
        <f t="shared" si="0"/>
        <v>0</v>
      </c>
      <c r="W7" s="32">
        <f t="shared" si="0"/>
        <v>0</v>
      </c>
      <c r="X7" s="32">
        <f t="shared" si="0"/>
        <v>0</v>
      </c>
      <c r="Y7" s="32">
        <f t="shared" si="0"/>
        <v>0</v>
      </c>
      <c r="Z7" s="32">
        <f t="shared" si="0"/>
        <v>0</v>
      </c>
      <c r="AA7" s="32">
        <f t="shared" si="0"/>
        <v>0</v>
      </c>
      <c r="AB7" s="32">
        <f t="shared" si="0"/>
        <v>0</v>
      </c>
      <c r="AC7" s="32">
        <f t="shared" si="0"/>
        <v>0</v>
      </c>
      <c r="AD7" s="32">
        <f t="shared" si="0"/>
        <v>0</v>
      </c>
      <c r="AE7" s="32">
        <f t="shared" si="0"/>
        <v>0</v>
      </c>
      <c r="AF7" s="32">
        <f t="shared" si="0"/>
        <v>0</v>
      </c>
      <c r="AG7" s="32">
        <f t="shared" si="0"/>
        <v>0</v>
      </c>
      <c r="AH7" s="32">
        <f t="shared" si="0"/>
        <v>0</v>
      </c>
      <c r="AI7" s="32">
        <f t="shared" si="0"/>
        <v>0</v>
      </c>
      <c r="AJ7" s="125">
        <f>SUM(C7:AI7)</f>
        <v>0</v>
      </c>
    </row>
    <row r="8" spans="1:36" x14ac:dyDescent="0.2">
      <c r="A8" s="30"/>
      <c r="B8" s="31"/>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125"/>
    </row>
    <row r="9" spans="1:36" x14ac:dyDescent="0.2">
      <c r="A9" s="31" t="s">
        <v>237</v>
      </c>
      <c r="B9" s="31" t="s">
        <v>99</v>
      </c>
      <c r="C9" s="33">
        <f>'Field 3 Investor'!C29-C6</f>
        <v>0</v>
      </c>
      <c r="D9" s="33">
        <f>'Field 3 Investor'!D29-D6</f>
        <v>0</v>
      </c>
      <c r="E9" s="33">
        <f>'Field 3 Investor'!E29-E6</f>
        <v>0</v>
      </c>
      <c r="F9" s="33">
        <f>'Field 3 Investor'!F29-F6</f>
        <v>0</v>
      </c>
      <c r="G9" s="33">
        <f>'Field 3 Investor'!G29-G6</f>
        <v>0</v>
      </c>
      <c r="H9" s="33">
        <f>'Field 3 Investor'!H29-H6</f>
        <v>0</v>
      </c>
      <c r="I9" s="33">
        <f>'Field 3 Investor'!I29-I6</f>
        <v>0</v>
      </c>
      <c r="J9" s="33">
        <f>'Field 3 Investor'!J29-J6</f>
        <v>0</v>
      </c>
      <c r="K9" s="33">
        <f>'Field 3 Investor'!K29-K6</f>
        <v>0</v>
      </c>
      <c r="L9" s="33">
        <f>'Field 3 Investor'!L29-L6</f>
        <v>0</v>
      </c>
      <c r="M9" s="33">
        <f>'Field 3 Investor'!M29-M6</f>
        <v>0</v>
      </c>
      <c r="N9" s="33">
        <f>'Field 3 Investor'!N29-N6</f>
        <v>0</v>
      </c>
      <c r="O9" s="33">
        <f>'Field 3 Investor'!O29-O6</f>
        <v>0</v>
      </c>
      <c r="P9" s="33">
        <f>'Field 3 Investor'!P29-P6</f>
        <v>0</v>
      </c>
      <c r="Q9" s="33">
        <f>'Field 3 Investor'!Q29-Q6</f>
        <v>0</v>
      </c>
      <c r="R9" s="33">
        <f>'Field 3 Investor'!R29-R6</f>
        <v>0</v>
      </c>
      <c r="S9" s="33">
        <f>'Field 3 Investor'!S29-S6</f>
        <v>0</v>
      </c>
      <c r="T9" s="33">
        <f>'Field 3 Investor'!T29-T6</f>
        <v>0</v>
      </c>
      <c r="U9" s="33">
        <f>'Field 3 Investor'!U29-U6</f>
        <v>0</v>
      </c>
      <c r="V9" s="33">
        <f>'Field 3 Investor'!V29-V6</f>
        <v>0</v>
      </c>
      <c r="W9" s="33">
        <f>'Field 3 Investor'!W29-W6</f>
        <v>0</v>
      </c>
      <c r="X9" s="33">
        <f>'Field 3 Investor'!X29-X6</f>
        <v>0</v>
      </c>
      <c r="Y9" s="33">
        <f>'Field 3 Investor'!Y29-Y6</f>
        <v>0</v>
      </c>
      <c r="Z9" s="33">
        <f>'Field 3 Investor'!Z29-Z6</f>
        <v>0</v>
      </c>
      <c r="AA9" s="33">
        <f>'Field 3 Investor'!AA29-AA6</f>
        <v>0</v>
      </c>
      <c r="AB9" s="33">
        <f>'Field 3 Investor'!AB29-AB6</f>
        <v>0</v>
      </c>
      <c r="AC9" s="33">
        <f>'Field 3 Investor'!AC29-AC6</f>
        <v>0</v>
      </c>
      <c r="AD9" s="33">
        <f>'Field 3 Investor'!AD29-AD6</f>
        <v>0</v>
      </c>
      <c r="AE9" s="33">
        <f>'Field 3 Investor'!AE29-AE6</f>
        <v>0</v>
      </c>
      <c r="AF9" s="33">
        <f>'Field 3 Investor'!AF29-AF6</f>
        <v>0</v>
      </c>
      <c r="AG9" s="33">
        <f>'Field 3 Investor'!AG29-AG6</f>
        <v>0</v>
      </c>
      <c r="AH9" s="33">
        <f>'Field 3 Investor'!AH29-AH6</f>
        <v>0</v>
      </c>
      <c r="AI9" s="33">
        <f>'Field 3 Investor'!AI29-AI6</f>
        <v>0</v>
      </c>
      <c r="AJ9" s="125">
        <f>SUM(C9:AI9)</f>
        <v>0</v>
      </c>
    </row>
    <row r="10" spans="1:36" x14ac:dyDescent="0.2">
      <c r="A10" s="31" t="s">
        <v>475</v>
      </c>
      <c r="B10" s="31" t="s">
        <v>99</v>
      </c>
      <c r="C10" s="33">
        <f>IF('Assumptions &amp; Results'!$C$127=1,'Financing for Fiscal Terms Only'!C11,0)</f>
        <v>0</v>
      </c>
      <c r="D10" s="33">
        <f>IF('Assumptions &amp; Results'!$C$127=1,'Financing for Fiscal Terms Only'!D11,0)</f>
        <v>0</v>
      </c>
      <c r="E10" s="33">
        <f>IF('Assumptions &amp; Results'!$C$127=1,'Financing for Fiscal Terms Only'!E11,0)</f>
        <v>0</v>
      </c>
      <c r="F10" s="33">
        <f>IF('Assumptions &amp; Results'!$C$127=1,'Financing for Fiscal Terms Only'!F11,0)</f>
        <v>0</v>
      </c>
      <c r="G10" s="33">
        <f>IF('Assumptions &amp; Results'!$C$127=1,'Financing for Fiscal Terms Only'!G11,0)</f>
        <v>0</v>
      </c>
      <c r="H10" s="33">
        <f>IF('Assumptions &amp; Results'!$C$127=1,'Financing for Fiscal Terms Only'!H11,0)</f>
        <v>0</v>
      </c>
      <c r="I10" s="33">
        <f>IF('Assumptions &amp; Results'!$C$127=1,'Financing for Fiscal Terms Only'!I11,0)</f>
        <v>0</v>
      </c>
      <c r="J10" s="33">
        <f>IF('Assumptions &amp; Results'!$C$127=1,'Financing for Fiscal Terms Only'!J11,0)</f>
        <v>0</v>
      </c>
      <c r="K10" s="33">
        <f>IF('Assumptions &amp; Results'!$C$127=1,'Financing for Fiscal Terms Only'!K11,0)</f>
        <v>0</v>
      </c>
      <c r="L10" s="33">
        <f>IF('Assumptions &amp; Results'!$C$127=1,'Financing for Fiscal Terms Only'!L11,0)</f>
        <v>0</v>
      </c>
      <c r="M10" s="33">
        <f>IF('Assumptions &amp; Results'!$C$127=1,'Financing for Fiscal Terms Only'!M11,0)</f>
        <v>0</v>
      </c>
      <c r="N10" s="33">
        <f>IF('Assumptions &amp; Results'!$C$127=1,'Financing for Fiscal Terms Only'!N11,0)</f>
        <v>0</v>
      </c>
      <c r="O10" s="33">
        <f>IF('Assumptions &amp; Results'!$C$127=1,'Financing for Fiscal Terms Only'!O11,0)</f>
        <v>0</v>
      </c>
      <c r="P10" s="33">
        <f>IF('Assumptions &amp; Results'!$C$127=1,'Financing for Fiscal Terms Only'!P11,0)</f>
        <v>0</v>
      </c>
      <c r="Q10" s="33">
        <f>IF('Assumptions &amp; Results'!$C$127=1,'Financing for Fiscal Terms Only'!Q11,0)</f>
        <v>0</v>
      </c>
      <c r="R10" s="33">
        <f>IF('Assumptions &amp; Results'!$C$127=1,'Financing for Fiscal Terms Only'!R11,0)</f>
        <v>0</v>
      </c>
      <c r="S10" s="33">
        <f>IF('Assumptions &amp; Results'!$C$127=1,'Financing for Fiscal Terms Only'!S11,0)</f>
        <v>0</v>
      </c>
      <c r="T10" s="33">
        <f>IF('Assumptions &amp; Results'!$C$127=1,'Financing for Fiscal Terms Only'!T11,0)</f>
        <v>0</v>
      </c>
      <c r="U10" s="33">
        <f>IF('Assumptions &amp; Results'!$C$127=1,'Financing for Fiscal Terms Only'!U11,0)</f>
        <v>0</v>
      </c>
      <c r="V10" s="33">
        <f>IF('Assumptions &amp; Results'!$C$127=1,'Financing for Fiscal Terms Only'!V11,0)</f>
        <v>0</v>
      </c>
      <c r="W10" s="33">
        <f>IF('Assumptions &amp; Results'!$C$127=1,'Financing for Fiscal Terms Only'!W11,0)</f>
        <v>0</v>
      </c>
      <c r="X10" s="33">
        <f>IF('Assumptions &amp; Results'!$C$127=1,'Financing for Fiscal Terms Only'!X11,0)</f>
        <v>0</v>
      </c>
      <c r="Y10" s="33">
        <f>IF('Assumptions &amp; Results'!$C$127=1,'Financing for Fiscal Terms Only'!Y11,0)</f>
        <v>0</v>
      </c>
      <c r="Z10" s="33">
        <f>IF('Assumptions &amp; Results'!$C$127=1,'Financing for Fiscal Terms Only'!Z11,0)</f>
        <v>0</v>
      </c>
      <c r="AA10" s="33">
        <f>IF('Assumptions &amp; Results'!$C$127=1,'Financing for Fiscal Terms Only'!AA11,0)</f>
        <v>0</v>
      </c>
      <c r="AB10" s="33">
        <f>IF('Assumptions &amp; Results'!$C$127=1,'Financing for Fiscal Terms Only'!AB11,0)</f>
        <v>0</v>
      </c>
      <c r="AC10" s="33">
        <f>IF('Assumptions &amp; Results'!$C$127=1,'Financing for Fiscal Terms Only'!AC11,0)</f>
        <v>0</v>
      </c>
      <c r="AD10" s="33">
        <f>IF('Assumptions &amp; Results'!$C$127=1,'Financing for Fiscal Terms Only'!AD11,0)</f>
        <v>0</v>
      </c>
      <c r="AE10" s="33">
        <f>IF('Assumptions &amp; Results'!$C$127=1,'Financing for Fiscal Terms Only'!AE11,0)</f>
        <v>0</v>
      </c>
      <c r="AF10" s="33">
        <f>IF('Assumptions &amp; Results'!$C$127=1,'Financing for Fiscal Terms Only'!AF11,0)</f>
        <v>0</v>
      </c>
      <c r="AG10" s="33">
        <f>IF('Assumptions &amp; Results'!$C$127=1,'Financing for Fiscal Terms Only'!AG11,0)</f>
        <v>0</v>
      </c>
      <c r="AH10" s="33">
        <f>IF('Assumptions &amp; Results'!$C$127=1,'Financing for Fiscal Terms Only'!AH11,0)</f>
        <v>0</v>
      </c>
      <c r="AI10" s="33">
        <f>IF('Assumptions &amp; Results'!$C$127=1,'Financing for Fiscal Terms Only'!AI11,0)</f>
        <v>0</v>
      </c>
      <c r="AJ10" s="125">
        <f>SUM(C10:AI10)</f>
        <v>0</v>
      </c>
    </row>
    <row r="11" spans="1:36" x14ac:dyDescent="0.2">
      <c r="A11" s="31"/>
      <c r="B11" s="31"/>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125"/>
    </row>
    <row r="12" spans="1:36" x14ac:dyDescent="0.2">
      <c r="A12" s="31" t="str">
        <f>'Field 1 Depr'!A11</f>
        <v>Capital Eligible for Upstream Depreciation*</v>
      </c>
      <c r="B12" s="31" t="s">
        <v>99</v>
      </c>
      <c r="C12" s="33">
        <f>'Field 3 Depr'!C10</f>
        <v>0</v>
      </c>
      <c r="D12" s="33">
        <f>'Field 3 Depr'!D10</f>
        <v>0</v>
      </c>
      <c r="E12" s="33">
        <f>'Field 3 Depr'!E10</f>
        <v>0</v>
      </c>
      <c r="F12" s="33">
        <f>'Field 3 Depr'!F10</f>
        <v>0</v>
      </c>
      <c r="G12" s="33">
        <f>'Field 3 Depr'!G10</f>
        <v>0</v>
      </c>
      <c r="H12" s="33">
        <f>'Field 3 Depr'!H10</f>
        <v>0</v>
      </c>
      <c r="I12" s="33">
        <f>'Field 3 Depr'!I10</f>
        <v>0</v>
      </c>
      <c r="J12" s="33">
        <f>'Field 3 Depr'!J10</f>
        <v>0</v>
      </c>
      <c r="K12" s="33">
        <f>'Field 3 Depr'!K10</f>
        <v>0</v>
      </c>
      <c r="L12" s="33">
        <f>'Field 3 Depr'!L10</f>
        <v>0</v>
      </c>
      <c r="M12" s="33">
        <f>'Field 3 Depr'!M10</f>
        <v>0</v>
      </c>
      <c r="N12" s="33">
        <f>'Field 3 Depr'!N10</f>
        <v>0</v>
      </c>
      <c r="O12" s="33">
        <f>'Field 3 Depr'!O10</f>
        <v>0</v>
      </c>
      <c r="P12" s="33">
        <f>'Field 3 Depr'!P10</f>
        <v>0</v>
      </c>
      <c r="Q12" s="33">
        <f>'Field 3 Depr'!Q10</f>
        <v>0</v>
      </c>
      <c r="R12" s="33">
        <f>'Field 3 Depr'!R10</f>
        <v>0</v>
      </c>
      <c r="S12" s="33">
        <f>'Field 3 Depr'!S10</f>
        <v>0</v>
      </c>
      <c r="T12" s="33">
        <f>'Field 3 Depr'!T10</f>
        <v>0</v>
      </c>
      <c r="U12" s="33">
        <f>'Field 3 Depr'!U10</f>
        <v>0</v>
      </c>
      <c r="V12" s="33">
        <f>'Field 3 Depr'!V10</f>
        <v>0</v>
      </c>
      <c r="W12" s="33">
        <f>'Field 3 Depr'!W10</f>
        <v>0</v>
      </c>
      <c r="X12" s="33">
        <f>'Field 3 Depr'!X10</f>
        <v>0</v>
      </c>
      <c r="Y12" s="33">
        <f>'Field 3 Depr'!Y10</f>
        <v>0</v>
      </c>
      <c r="Z12" s="33">
        <f>'Field 3 Depr'!Z10</f>
        <v>0</v>
      </c>
      <c r="AA12" s="33">
        <f>'Field 3 Depr'!AA10</f>
        <v>0</v>
      </c>
      <c r="AB12" s="33">
        <f>'Field 3 Depr'!AB10</f>
        <v>0</v>
      </c>
      <c r="AC12" s="33">
        <f>'Field 3 Depr'!AC10</f>
        <v>0</v>
      </c>
      <c r="AD12" s="33">
        <f>'Field 3 Depr'!AD10</f>
        <v>0</v>
      </c>
      <c r="AE12" s="33">
        <f>'Field 3 Depr'!AE10</f>
        <v>0</v>
      </c>
      <c r="AF12" s="33">
        <f>'Field 3 Depr'!AF10</f>
        <v>0</v>
      </c>
      <c r="AG12" s="33">
        <f>'Field 3 Depr'!AG10</f>
        <v>0</v>
      </c>
      <c r="AH12" s="33">
        <f>'Field 3 Depr'!AH10</f>
        <v>0</v>
      </c>
      <c r="AI12" s="33">
        <f>'Field 3 Depr'!AI10</f>
        <v>0</v>
      </c>
      <c r="AJ12" s="125">
        <f>SUM(C12:AI12)</f>
        <v>0</v>
      </c>
    </row>
    <row r="13" spans="1:36" x14ac:dyDescent="0.2">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125"/>
    </row>
    <row r="14" spans="1:36" x14ac:dyDescent="0.2">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125"/>
    </row>
    <row r="15" spans="1:36" s="69" customFormat="1" x14ac:dyDescent="0.2">
      <c r="A15" s="74" t="s">
        <v>238</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131"/>
    </row>
    <row r="16" spans="1:36" x14ac:dyDescent="0.2">
      <c r="A16" t="s">
        <v>239</v>
      </c>
      <c r="B16" s="96" t="s">
        <v>99</v>
      </c>
      <c r="C16" s="8">
        <f>'Field 3 Depr'!C47</f>
        <v>0</v>
      </c>
      <c r="D16" s="8">
        <f>'Field 3 Depr'!D47</f>
        <v>0</v>
      </c>
      <c r="E16" s="8">
        <f>'Field 3 Depr'!E47</f>
        <v>0</v>
      </c>
      <c r="F16" s="8">
        <f>'Field 3 Depr'!F47</f>
        <v>0</v>
      </c>
      <c r="G16" s="8">
        <f>'Field 3 Depr'!G47</f>
        <v>0</v>
      </c>
      <c r="H16" s="8">
        <f>'Field 3 Depr'!H47</f>
        <v>0</v>
      </c>
      <c r="I16" s="8">
        <f>'Field 3 Depr'!I47</f>
        <v>0</v>
      </c>
      <c r="J16" s="8">
        <f>'Field 3 Depr'!J47</f>
        <v>0</v>
      </c>
      <c r="K16" s="8">
        <f>'Field 3 Depr'!K47</f>
        <v>0</v>
      </c>
      <c r="L16" s="8">
        <f>'Field 3 Depr'!L47</f>
        <v>0</v>
      </c>
      <c r="M16" s="8">
        <f>'Field 3 Depr'!M47</f>
        <v>0</v>
      </c>
      <c r="N16" s="8">
        <f>'Field 3 Depr'!N47</f>
        <v>0</v>
      </c>
      <c r="O16" s="8">
        <f>'Field 3 Depr'!O47</f>
        <v>0</v>
      </c>
      <c r="P16" s="8">
        <f>'Field 3 Depr'!P47</f>
        <v>0</v>
      </c>
      <c r="Q16" s="8">
        <f>'Field 3 Depr'!Q47</f>
        <v>0</v>
      </c>
      <c r="R16" s="8">
        <f>'Field 3 Depr'!R47</f>
        <v>0</v>
      </c>
      <c r="S16" s="8">
        <f>'Field 3 Depr'!S47</f>
        <v>0</v>
      </c>
      <c r="T16" s="8">
        <f>'Field 3 Depr'!T47</f>
        <v>0</v>
      </c>
      <c r="U16" s="8">
        <f>'Field 3 Depr'!U47</f>
        <v>0</v>
      </c>
      <c r="V16" s="8">
        <f>'Field 3 Depr'!V47</f>
        <v>0</v>
      </c>
      <c r="W16" s="8">
        <f>'Field 3 Depr'!W47</f>
        <v>0</v>
      </c>
      <c r="X16" s="8">
        <f>'Field 3 Depr'!X47</f>
        <v>0</v>
      </c>
      <c r="Y16" s="8">
        <f>'Field 3 Depr'!Y47</f>
        <v>0</v>
      </c>
      <c r="Z16" s="8">
        <f>'Field 3 Depr'!Z47</f>
        <v>0</v>
      </c>
      <c r="AA16" s="8">
        <f>'Field 3 Depr'!AA47</f>
        <v>0</v>
      </c>
      <c r="AB16" s="8">
        <f>'Field 3 Depr'!AB47</f>
        <v>0</v>
      </c>
      <c r="AC16" s="8">
        <f>'Field 3 Depr'!AC47</f>
        <v>0</v>
      </c>
      <c r="AD16" s="8">
        <f>'Field 3 Depr'!AD47</f>
        <v>0</v>
      </c>
      <c r="AE16" s="8">
        <f>'Field 3 Depr'!AE47</f>
        <v>0</v>
      </c>
      <c r="AF16" s="8">
        <f>'Field 3 Depr'!AF47</f>
        <v>0</v>
      </c>
      <c r="AG16" s="8">
        <f>'Field 3 Depr'!AG47</f>
        <v>0</v>
      </c>
      <c r="AH16" s="8">
        <f>'Field 3 Depr'!AH47</f>
        <v>0</v>
      </c>
      <c r="AI16" s="8">
        <f>'Field 3 Depr'!AI47</f>
        <v>0</v>
      </c>
      <c r="AJ16" s="125">
        <f t="shared" ref="AJ16:AJ22" si="1">SUM(C16:AI16)</f>
        <v>0</v>
      </c>
    </row>
    <row r="17" spans="1:36" x14ac:dyDescent="0.2">
      <c r="A17" t="s">
        <v>240</v>
      </c>
      <c r="B17" s="96" t="s">
        <v>99</v>
      </c>
      <c r="C17" s="8">
        <f>'Assumptions &amp; Results'!C115</f>
        <v>0</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125"/>
    </row>
    <row r="18" spans="1:36" x14ac:dyDescent="0.2">
      <c r="A18" t="s">
        <v>241</v>
      </c>
      <c r="B18" s="96" t="s">
        <v>99</v>
      </c>
      <c r="C18" s="8">
        <f>C9+C16+C17+C10</f>
        <v>0</v>
      </c>
      <c r="D18" s="8">
        <f t="shared" ref="D18:AI18" si="2">D9+D16+D17+D10</f>
        <v>0</v>
      </c>
      <c r="E18" s="8">
        <f t="shared" si="2"/>
        <v>0</v>
      </c>
      <c r="F18" s="8">
        <f t="shared" si="2"/>
        <v>0</v>
      </c>
      <c r="G18" s="8">
        <f t="shared" si="2"/>
        <v>0</v>
      </c>
      <c r="H18" s="8">
        <f t="shared" si="2"/>
        <v>0</v>
      </c>
      <c r="I18" s="8">
        <f t="shared" si="2"/>
        <v>0</v>
      </c>
      <c r="J18" s="8">
        <f t="shared" si="2"/>
        <v>0</v>
      </c>
      <c r="K18" s="8">
        <f t="shared" si="2"/>
        <v>0</v>
      </c>
      <c r="L18" s="8">
        <f t="shared" si="2"/>
        <v>0</v>
      </c>
      <c r="M18" s="8">
        <f t="shared" si="2"/>
        <v>0</v>
      </c>
      <c r="N18" s="8">
        <f t="shared" si="2"/>
        <v>0</v>
      </c>
      <c r="O18" s="8">
        <f t="shared" si="2"/>
        <v>0</v>
      </c>
      <c r="P18" s="8">
        <f t="shared" si="2"/>
        <v>0</v>
      </c>
      <c r="Q18" s="8">
        <f t="shared" si="2"/>
        <v>0</v>
      </c>
      <c r="R18" s="8">
        <f t="shared" si="2"/>
        <v>0</v>
      </c>
      <c r="S18" s="8">
        <f t="shared" si="2"/>
        <v>0</v>
      </c>
      <c r="T18" s="8">
        <f t="shared" si="2"/>
        <v>0</v>
      </c>
      <c r="U18" s="8">
        <f t="shared" si="2"/>
        <v>0</v>
      </c>
      <c r="V18" s="8">
        <f t="shared" si="2"/>
        <v>0</v>
      </c>
      <c r="W18" s="8">
        <f t="shared" si="2"/>
        <v>0</v>
      </c>
      <c r="X18" s="8">
        <f t="shared" si="2"/>
        <v>0</v>
      </c>
      <c r="Y18" s="8">
        <f t="shared" si="2"/>
        <v>0</v>
      </c>
      <c r="Z18" s="8">
        <f t="shared" si="2"/>
        <v>0</v>
      </c>
      <c r="AA18" s="8">
        <f t="shared" si="2"/>
        <v>0</v>
      </c>
      <c r="AB18" s="8">
        <f t="shared" si="2"/>
        <v>0</v>
      </c>
      <c r="AC18" s="8">
        <f t="shared" si="2"/>
        <v>0</v>
      </c>
      <c r="AD18" s="8">
        <f t="shared" si="2"/>
        <v>0</v>
      </c>
      <c r="AE18" s="8">
        <f t="shared" si="2"/>
        <v>0</v>
      </c>
      <c r="AF18" s="8">
        <f t="shared" si="2"/>
        <v>0</v>
      </c>
      <c r="AG18" s="8">
        <f t="shared" si="2"/>
        <v>0</v>
      </c>
      <c r="AH18" s="8">
        <f t="shared" si="2"/>
        <v>0</v>
      </c>
      <c r="AI18" s="8">
        <f t="shared" si="2"/>
        <v>0</v>
      </c>
      <c r="AJ18" s="125">
        <f t="shared" si="1"/>
        <v>0</v>
      </c>
    </row>
    <row r="19" spans="1:36" x14ac:dyDescent="0.2">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125">
        <f t="shared" si="1"/>
        <v>0</v>
      </c>
    </row>
    <row r="20" spans="1:36" x14ac:dyDescent="0.2">
      <c r="A20" t="s">
        <v>242</v>
      </c>
      <c r="B20" s="96" t="s">
        <v>99</v>
      </c>
      <c r="C20" s="8">
        <f>'Assumptions &amp; Results'!$C$118*C7</f>
        <v>0</v>
      </c>
      <c r="D20" s="8">
        <f>'Assumptions &amp; Results'!$C$118*D7</f>
        <v>0</v>
      </c>
      <c r="E20" s="8">
        <f>'Assumptions &amp; Results'!$C$118*E7</f>
        <v>0</v>
      </c>
      <c r="F20" s="8">
        <f>'Assumptions &amp; Results'!$C$118*F7</f>
        <v>0</v>
      </c>
      <c r="G20" s="8">
        <f>'Assumptions &amp; Results'!$C$118*G7</f>
        <v>0</v>
      </c>
      <c r="H20" s="8">
        <f>'Assumptions &amp; Results'!$C$118*H7</f>
        <v>0</v>
      </c>
      <c r="I20" s="8">
        <f>'Assumptions &amp; Results'!$C$118*I7</f>
        <v>0</v>
      </c>
      <c r="J20" s="8">
        <f>'Assumptions &amp; Results'!$C$118*J7</f>
        <v>0</v>
      </c>
      <c r="K20" s="8">
        <f>'Assumptions &amp; Results'!$C$118*K7</f>
        <v>0</v>
      </c>
      <c r="L20" s="8">
        <f>'Assumptions &amp; Results'!$C$118*L7</f>
        <v>0</v>
      </c>
      <c r="M20" s="8">
        <f>'Assumptions &amp; Results'!$C$118*M7</f>
        <v>0</v>
      </c>
      <c r="N20" s="8">
        <f>'Assumptions &amp; Results'!$C$118*N7</f>
        <v>0</v>
      </c>
      <c r="O20" s="8">
        <f>'Assumptions &amp; Results'!$C$118*O7</f>
        <v>0</v>
      </c>
      <c r="P20" s="8">
        <f>'Assumptions &amp; Results'!$C$118*P7</f>
        <v>0</v>
      </c>
      <c r="Q20" s="8">
        <f>'Assumptions &amp; Results'!$C$118*Q7</f>
        <v>0</v>
      </c>
      <c r="R20" s="8">
        <f>'Assumptions &amp; Results'!$C$118*R7</f>
        <v>0</v>
      </c>
      <c r="S20" s="8">
        <f>'Assumptions &amp; Results'!$C$118*S7</f>
        <v>0</v>
      </c>
      <c r="T20" s="8">
        <f>'Assumptions &amp; Results'!$C$118*T7</f>
        <v>0</v>
      </c>
      <c r="U20" s="8">
        <f>'Assumptions &amp; Results'!$C$118*U7</f>
        <v>0</v>
      </c>
      <c r="V20" s="8">
        <f>'Assumptions &amp; Results'!$C$118*V7</f>
        <v>0</v>
      </c>
      <c r="W20" s="8">
        <f>'Assumptions &amp; Results'!$C$118*W7</f>
        <v>0</v>
      </c>
      <c r="X20" s="8">
        <f>'Assumptions &amp; Results'!$C$118*X7</f>
        <v>0</v>
      </c>
      <c r="Y20" s="8">
        <f>'Assumptions &amp; Results'!$C$118*Y7</f>
        <v>0</v>
      </c>
      <c r="Z20" s="8">
        <f>'Assumptions &amp; Results'!$C$118*Z7</f>
        <v>0</v>
      </c>
      <c r="AA20" s="8">
        <f>'Assumptions &amp; Results'!$C$118*AA7</f>
        <v>0</v>
      </c>
      <c r="AB20" s="8">
        <f>'Assumptions &amp; Results'!$C$118*AB7</f>
        <v>0</v>
      </c>
      <c r="AC20" s="8">
        <f>'Assumptions &amp; Results'!$C$118*AC7</f>
        <v>0</v>
      </c>
      <c r="AD20" s="8">
        <f>'Assumptions &amp; Results'!$C$118*AD7</f>
        <v>0</v>
      </c>
      <c r="AE20" s="8">
        <f>'Assumptions &amp; Results'!$C$118*AE7</f>
        <v>0</v>
      </c>
      <c r="AF20" s="8">
        <f>'Assumptions &amp; Results'!$C$118*AF7</f>
        <v>0</v>
      </c>
      <c r="AG20" s="8">
        <f>'Assumptions &amp; Results'!$C$118*AG7</f>
        <v>0</v>
      </c>
      <c r="AH20" s="8">
        <f>'Assumptions &amp; Results'!$C$118*AH7</f>
        <v>0</v>
      </c>
      <c r="AI20" s="8">
        <f>'Assumptions &amp; Results'!$C$118*AI7</f>
        <v>0</v>
      </c>
      <c r="AJ20" s="125">
        <f t="shared" si="1"/>
        <v>0</v>
      </c>
    </row>
    <row r="21" spans="1:36" x14ac:dyDescent="0.2">
      <c r="A21" t="s">
        <v>243</v>
      </c>
      <c r="B21" s="96" t="s">
        <v>99</v>
      </c>
      <c r="C21" s="8">
        <f t="shared" ref="C21:AI21" si="3">MAX(C18-C20,0)</f>
        <v>0</v>
      </c>
      <c r="D21" s="8">
        <f t="shared" si="3"/>
        <v>0</v>
      </c>
      <c r="E21" s="8">
        <f t="shared" si="3"/>
        <v>0</v>
      </c>
      <c r="F21" s="8">
        <f t="shared" si="3"/>
        <v>0</v>
      </c>
      <c r="G21" s="8">
        <f t="shared" si="3"/>
        <v>0</v>
      </c>
      <c r="H21" s="8">
        <f t="shared" si="3"/>
        <v>0</v>
      </c>
      <c r="I21" s="8">
        <f t="shared" si="3"/>
        <v>0</v>
      </c>
      <c r="J21" s="8">
        <f t="shared" si="3"/>
        <v>0</v>
      </c>
      <c r="K21" s="8">
        <f t="shared" si="3"/>
        <v>0</v>
      </c>
      <c r="L21" s="8">
        <f t="shared" si="3"/>
        <v>0</v>
      </c>
      <c r="M21" s="8">
        <f t="shared" si="3"/>
        <v>0</v>
      </c>
      <c r="N21" s="8">
        <f t="shared" si="3"/>
        <v>0</v>
      </c>
      <c r="O21" s="8">
        <f t="shared" si="3"/>
        <v>0</v>
      </c>
      <c r="P21" s="8">
        <f t="shared" si="3"/>
        <v>0</v>
      </c>
      <c r="Q21" s="8">
        <f t="shared" si="3"/>
        <v>0</v>
      </c>
      <c r="R21" s="8">
        <f t="shared" si="3"/>
        <v>0</v>
      </c>
      <c r="S21" s="8">
        <f t="shared" si="3"/>
        <v>0</v>
      </c>
      <c r="T21" s="8">
        <f t="shared" si="3"/>
        <v>0</v>
      </c>
      <c r="U21" s="8">
        <f t="shared" si="3"/>
        <v>0</v>
      </c>
      <c r="V21" s="8">
        <f t="shared" si="3"/>
        <v>0</v>
      </c>
      <c r="W21" s="8">
        <f t="shared" si="3"/>
        <v>0</v>
      </c>
      <c r="X21" s="8">
        <f t="shared" si="3"/>
        <v>0</v>
      </c>
      <c r="Y21" s="8">
        <f t="shared" si="3"/>
        <v>0</v>
      </c>
      <c r="Z21" s="8">
        <f t="shared" si="3"/>
        <v>0</v>
      </c>
      <c r="AA21" s="8">
        <f t="shared" si="3"/>
        <v>0</v>
      </c>
      <c r="AB21" s="8">
        <f t="shared" si="3"/>
        <v>0</v>
      </c>
      <c r="AC21" s="8">
        <f t="shared" si="3"/>
        <v>0</v>
      </c>
      <c r="AD21" s="8">
        <f t="shared" si="3"/>
        <v>0</v>
      </c>
      <c r="AE21" s="8">
        <f t="shared" si="3"/>
        <v>0</v>
      </c>
      <c r="AF21" s="8">
        <f t="shared" si="3"/>
        <v>0</v>
      </c>
      <c r="AG21" s="8">
        <f t="shared" si="3"/>
        <v>0</v>
      </c>
      <c r="AH21" s="8">
        <f t="shared" si="3"/>
        <v>0</v>
      </c>
      <c r="AI21" s="8">
        <f t="shared" si="3"/>
        <v>0</v>
      </c>
      <c r="AJ21" s="125">
        <f t="shared" si="1"/>
        <v>0</v>
      </c>
    </row>
    <row r="22" spans="1:36" x14ac:dyDescent="0.2">
      <c r="A22" t="s">
        <v>244</v>
      </c>
      <c r="B22" s="96" t="s">
        <v>99</v>
      </c>
      <c r="C22" s="8">
        <f>MIN(C18,C20)</f>
        <v>0</v>
      </c>
      <c r="D22" s="8">
        <f t="shared" ref="D22:AI22" si="4">MIN(D20,D18+C23)</f>
        <v>0</v>
      </c>
      <c r="E22" s="8">
        <f t="shared" si="4"/>
        <v>0</v>
      </c>
      <c r="F22" s="8">
        <f t="shared" si="4"/>
        <v>0</v>
      </c>
      <c r="G22" s="8">
        <f t="shared" si="4"/>
        <v>0</v>
      </c>
      <c r="H22" s="8">
        <f t="shared" si="4"/>
        <v>0</v>
      </c>
      <c r="I22" s="8">
        <f t="shared" si="4"/>
        <v>0</v>
      </c>
      <c r="J22" s="8">
        <f t="shared" si="4"/>
        <v>0</v>
      </c>
      <c r="K22" s="8">
        <f t="shared" si="4"/>
        <v>0</v>
      </c>
      <c r="L22" s="8">
        <f t="shared" si="4"/>
        <v>0</v>
      </c>
      <c r="M22" s="8">
        <f t="shared" si="4"/>
        <v>0</v>
      </c>
      <c r="N22" s="8">
        <f t="shared" si="4"/>
        <v>0</v>
      </c>
      <c r="O22" s="8">
        <f t="shared" si="4"/>
        <v>0</v>
      </c>
      <c r="P22" s="8">
        <f t="shared" si="4"/>
        <v>0</v>
      </c>
      <c r="Q22" s="8">
        <f t="shared" si="4"/>
        <v>0</v>
      </c>
      <c r="R22" s="8">
        <f t="shared" si="4"/>
        <v>0</v>
      </c>
      <c r="S22" s="8">
        <f t="shared" si="4"/>
        <v>0</v>
      </c>
      <c r="T22" s="8">
        <f t="shared" si="4"/>
        <v>0</v>
      </c>
      <c r="U22" s="8">
        <f t="shared" si="4"/>
        <v>0</v>
      </c>
      <c r="V22" s="8">
        <f t="shared" si="4"/>
        <v>0</v>
      </c>
      <c r="W22" s="8">
        <f t="shared" si="4"/>
        <v>0</v>
      </c>
      <c r="X22" s="8">
        <f t="shared" si="4"/>
        <v>0</v>
      </c>
      <c r="Y22" s="8">
        <f t="shared" si="4"/>
        <v>0</v>
      </c>
      <c r="Z22" s="8">
        <f t="shared" si="4"/>
        <v>0</v>
      </c>
      <c r="AA22" s="8">
        <f t="shared" si="4"/>
        <v>0</v>
      </c>
      <c r="AB22" s="8">
        <f t="shared" si="4"/>
        <v>0</v>
      </c>
      <c r="AC22" s="8">
        <f t="shared" si="4"/>
        <v>0</v>
      </c>
      <c r="AD22" s="8">
        <f t="shared" si="4"/>
        <v>0</v>
      </c>
      <c r="AE22" s="8">
        <f t="shared" si="4"/>
        <v>0</v>
      </c>
      <c r="AF22" s="8">
        <f t="shared" si="4"/>
        <v>0</v>
      </c>
      <c r="AG22" s="8">
        <f t="shared" si="4"/>
        <v>0</v>
      </c>
      <c r="AH22" s="8">
        <f t="shared" si="4"/>
        <v>0</v>
      </c>
      <c r="AI22" s="8">
        <f t="shared" si="4"/>
        <v>0</v>
      </c>
      <c r="AJ22" s="125">
        <f t="shared" si="1"/>
        <v>0</v>
      </c>
    </row>
    <row r="23" spans="1:36" x14ac:dyDescent="0.2">
      <c r="A23" t="s">
        <v>245</v>
      </c>
      <c r="B23" s="96" t="s">
        <v>99</v>
      </c>
      <c r="C23" s="8">
        <f>C18-C22</f>
        <v>0</v>
      </c>
      <c r="D23" s="8">
        <f t="shared" ref="D23:AI23" si="5">D18-D22+C23</f>
        <v>0</v>
      </c>
      <c r="E23" s="8">
        <f t="shared" si="5"/>
        <v>0</v>
      </c>
      <c r="F23" s="8">
        <f t="shared" si="5"/>
        <v>0</v>
      </c>
      <c r="G23" s="8">
        <f t="shared" si="5"/>
        <v>0</v>
      </c>
      <c r="H23" s="8">
        <f t="shared" si="5"/>
        <v>0</v>
      </c>
      <c r="I23" s="8">
        <f t="shared" si="5"/>
        <v>0</v>
      </c>
      <c r="J23" s="8">
        <f t="shared" si="5"/>
        <v>0</v>
      </c>
      <c r="K23" s="8">
        <f t="shared" si="5"/>
        <v>0</v>
      </c>
      <c r="L23" s="8">
        <f t="shared" si="5"/>
        <v>0</v>
      </c>
      <c r="M23" s="8">
        <f t="shared" si="5"/>
        <v>0</v>
      </c>
      <c r="N23" s="8">
        <f t="shared" si="5"/>
        <v>0</v>
      </c>
      <c r="O23" s="8">
        <f t="shared" si="5"/>
        <v>0</v>
      </c>
      <c r="P23" s="8">
        <f t="shared" si="5"/>
        <v>0</v>
      </c>
      <c r="Q23" s="8">
        <f t="shared" si="5"/>
        <v>0</v>
      </c>
      <c r="R23" s="8">
        <f t="shared" si="5"/>
        <v>0</v>
      </c>
      <c r="S23" s="8">
        <f t="shared" si="5"/>
        <v>0</v>
      </c>
      <c r="T23" s="8">
        <f t="shared" si="5"/>
        <v>0</v>
      </c>
      <c r="U23" s="8">
        <f t="shared" si="5"/>
        <v>0</v>
      </c>
      <c r="V23" s="8">
        <f t="shared" si="5"/>
        <v>0</v>
      </c>
      <c r="W23" s="8">
        <f t="shared" si="5"/>
        <v>0</v>
      </c>
      <c r="X23" s="8">
        <f t="shared" si="5"/>
        <v>0</v>
      </c>
      <c r="Y23" s="8">
        <f t="shared" si="5"/>
        <v>0</v>
      </c>
      <c r="Z23" s="8">
        <f t="shared" si="5"/>
        <v>0</v>
      </c>
      <c r="AA23" s="8">
        <f t="shared" si="5"/>
        <v>0</v>
      </c>
      <c r="AB23" s="8">
        <f t="shared" si="5"/>
        <v>0</v>
      </c>
      <c r="AC23" s="8">
        <f t="shared" si="5"/>
        <v>0</v>
      </c>
      <c r="AD23" s="8">
        <f t="shared" si="5"/>
        <v>0</v>
      </c>
      <c r="AE23" s="8">
        <f t="shared" si="5"/>
        <v>0</v>
      </c>
      <c r="AF23" s="8">
        <f t="shared" si="5"/>
        <v>0</v>
      </c>
      <c r="AG23" s="8">
        <f t="shared" si="5"/>
        <v>0</v>
      </c>
      <c r="AH23" s="8">
        <f t="shared" si="5"/>
        <v>0</v>
      </c>
      <c r="AI23" s="8">
        <f t="shared" si="5"/>
        <v>0</v>
      </c>
      <c r="AJ23" s="125"/>
    </row>
    <row r="24" spans="1:36" x14ac:dyDescent="0.2">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125"/>
    </row>
    <row r="25" spans="1:36" s="69" customFormat="1" x14ac:dyDescent="0.2">
      <c r="A25" s="74" t="s">
        <v>246</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131"/>
    </row>
    <row r="26" spans="1:36" x14ac:dyDescent="0.2">
      <c r="A26" s="2" t="s">
        <v>247</v>
      </c>
      <c r="B26" t="s">
        <v>99</v>
      </c>
      <c r="C26" s="8">
        <f>'Assumptions &amp; Results'!$C$125*C5</f>
        <v>0</v>
      </c>
      <c r="D26" s="8">
        <f>'Assumptions &amp; Results'!$C$125*D5</f>
        <v>0</v>
      </c>
      <c r="E26" s="8">
        <f>'Assumptions &amp; Results'!$C$125*E5</f>
        <v>0</v>
      </c>
      <c r="F26" s="8">
        <f>'Assumptions &amp; Results'!$C$125*F5</f>
        <v>0</v>
      </c>
      <c r="G26" s="8">
        <f>'Assumptions &amp; Results'!$C$125*G5</f>
        <v>0</v>
      </c>
      <c r="H26" s="8">
        <f>'Assumptions &amp; Results'!$C$125*H5</f>
        <v>0</v>
      </c>
      <c r="I26" s="8">
        <f>'Assumptions &amp; Results'!$C$125*I5</f>
        <v>0</v>
      </c>
      <c r="J26" s="8">
        <f>'Assumptions &amp; Results'!$C$125*J5</f>
        <v>0</v>
      </c>
      <c r="K26" s="8">
        <f>'Assumptions &amp; Results'!$C$125*K5</f>
        <v>0</v>
      </c>
      <c r="L26" s="8">
        <f>'Assumptions &amp; Results'!$C$125*L5</f>
        <v>0</v>
      </c>
      <c r="M26" s="8">
        <f>'Assumptions &amp; Results'!$C$125*M5</f>
        <v>0</v>
      </c>
      <c r="N26" s="8">
        <f>'Assumptions &amp; Results'!$C$125*N5</f>
        <v>0</v>
      </c>
      <c r="O26" s="8">
        <f>'Assumptions &amp; Results'!$C$125*O5</f>
        <v>0</v>
      </c>
      <c r="P26" s="8">
        <f>'Assumptions &amp; Results'!$C$125*P5</f>
        <v>0</v>
      </c>
      <c r="Q26" s="8">
        <f>'Assumptions &amp; Results'!$C$125*Q5</f>
        <v>0</v>
      </c>
      <c r="R26" s="8">
        <f>'Assumptions &amp; Results'!$C$125*R5</f>
        <v>0</v>
      </c>
      <c r="S26" s="8">
        <f>'Assumptions &amp; Results'!$C$125*S5</f>
        <v>0</v>
      </c>
      <c r="T26" s="8">
        <f>'Assumptions &amp; Results'!$C$125*T5</f>
        <v>0</v>
      </c>
      <c r="U26" s="8">
        <f>'Assumptions &amp; Results'!$C$125*U5</f>
        <v>0</v>
      </c>
      <c r="V26" s="8">
        <f>'Assumptions &amp; Results'!$C$125*V5</f>
        <v>0</v>
      </c>
      <c r="W26" s="8">
        <f>'Assumptions &amp; Results'!$C$125*W5</f>
        <v>0</v>
      </c>
      <c r="X26" s="8">
        <f>'Assumptions &amp; Results'!$C$125*X5</f>
        <v>0</v>
      </c>
      <c r="Y26" s="8">
        <f>'Assumptions &amp; Results'!$C$125*Y5</f>
        <v>0</v>
      </c>
      <c r="Z26" s="8">
        <f>'Assumptions &amp; Results'!$C$125*Z5</f>
        <v>0</v>
      </c>
      <c r="AA26" s="8">
        <f>'Assumptions &amp; Results'!$C$125*AA5</f>
        <v>0</v>
      </c>
      <c r="AB26" s="8">
        <f>'Assumptions &amp; Results'!$C$125*AB5</f>
        <v>0</v>
      </c>
      <c r="AC26" s="8">
        <f>'Assumptions &amp; Results'!$C$125*AC5</f>
        <v>0</v>
      </c>
      <c r="AD26" s="8">
        <f>'Assumptions &amp; Results'!$C$125*AD5</f>
        <v>0</v>
      </c>
      <c r="AE26" s="8">
        <f>'Assumptions &amp; Results'!$C$125*AE5</f>
        <v>0</v>
      </c>
      <c r="AF26" s="8">
        <f>'Assumptions &amp; Results'!$C$125*AF5</f>
        <v>0</v>
      </c>
      <c r="AG26" s="8">
        <f>'Assumptions &amp; Results'!$C$125*AG5</f>
        <v>0</v>
      </c>
      <c r="AH26" s="8">
        <f>'Assumptions &amp; Results'!$C$125*AH5</f>
        <v>0</v>
      </c>
      <c r="AI26" s="8">
        <f>'Assumptions &amp; Results'!$C$125*AI5</f>
        <v>0</v>
      </c>
      <c r="AJ26" s="125">
        <f>SUM(C26:AI26)</f>
        <v>0</v>
      </c>
    </row>
    <row r="27" spans="1:36" x14ac:dyDescent="0.2">
      <c r="A27" s="2"/>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125"/>
    </row>
    <row r="28" spans="1:36" x14ac:dyDescent="0.2">
      <c r="A28" s="78" t="s">
        <v>248</v>
      </c>
      <c r="B28" s="79"/>
      <c r="C28" s="84"/>
      <c r="D28" s="84"/>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125"/>
    </row>
    <row r="29" spans="1:36" x14ac:dyDescent="0.2">
      <c r="A29" s="191" t="s">
        <v>249</v>
      </c>
      <c r="B29" s="192" t="s">
        <v>99</v>
      </c>
      <c r="C29" s="84">
        <f>C46+C22-C9</f>
        <v>0</v>
      </c>
      <c r="D29" s="84">
        <f>D46+D22-D9+C29</f>
        <v>0</v>
      </c>
      <c r="E29" s="8">
        <f t="shared" ref="E29:AI29" si="6">E46+E22-E9+D29</f>
        <v>0</v>
      </c>
      <c r="F29" s="8">
        <f t="shared" si="6"/>
        <v>0</v>
      </c>
      <c r="G29" s="8">
        <f t="shared" si="6"/>
        <v>0</v>
      </c>
      <c r="H29" s="8">
        <f t="shared" si="6"/>
        <v>0</v>
      </c>
      <c r="I29" s="8">
        <f t="shared" si="6"/>
        <v>0</v>
      </c>
      <c r="J29" s="8">
        <f t="shared" si="6"/>
        <v>0</v>
      </c>
      <c r="K29" s="8">
        <f t="shared" si="6"/>
        <v>0</v>
      </c>
      <c r="L29" s="8">
        <f t="shared" si="6"/>
        <v>0</v>
      </c>
      <c r="M29" s="8">
        <f t="shared" si="6"/>
        <v>0</v>
      </c>
      <c r="N29" s="8">
        <f t="shared" si="6"/>
        <v>0</v>
      </c>
      <c r="O29" s="8">
        <f t="shared" si="6"/>
        <v>0</v>
      </c>
      <c r="P29" s="8">
        <f t="shared" si="6"/>
        <v>0</v>
      </c>
      <c r="Q29" s="8">
        <f t="shared" si="6"/>
        <v>0</v>
      </c>
      <c r="R29" s="8">
        <f t="shared" si="6"/>
        <v>0</v>
      </c>
      <c r="S29" s="8">
        <f t="shared" si="6"/>
        <v>0</v>
      </c>
      <c r="T29" s="8">
        <f t="shared" si="6"/>
        <v>0</v>
      </c>
      <c r="U29" s="8">
        <f t="shared" si="6"/>
        <v>0</v>
      </c>
      <c r="V29" s="8">
        <f t="shared" si="6"/>
        <v>0</v>
      </c>
      <c r="W29" s="8">
        <f t="shared" si="6"/>
        <v>0</v>
      </c>
      <c r="X29" s="8">
        <f t="shared" si="6"/>
        <v>0</v>
      </c>
      <c r="Y29" s="8">
        <f t="shared" si="6"/>
        <v>0</v>
      </c>
      <c r="Z29" s="8">
        <f t="shared" si="6"/>
        <v>0</v>
      </c>
      <c r="AA29" s="8">
        <f t="shared" si="6"/>
        <v>0</v>
      </c>
      <c r="AB29" s="8">
        <f t="shared" si="6"/>
        <v>0</v>
      </c>
      <c r="AC29" s="8">
        <f t="shared" si="6"/>
        <v>0</v>
      </c>
      <c r="AD29" s="8">
        <f t="shared" si="6"/>
        <v>0</v>
      </c>
      <c r="AE29" s="8">
        <f t="shared" si="6"/>
        <v>0</v>
      </c>
      <c r="AF29" s="8">
        <f t="shared" si="6"/>
        <v>0</v>
      </c>
      <c r="AG29" s="8">
        <f t="shared" si="6"/>
        <v>0</v>
      </c>
      <c r="AH29" s="8">
        <f t="shared" si="6"/>
        <v>0</v>
      </c>
      <c r="AI29" s="8">
        <f t="shared" si="6"/>
        <v>0</v>
      </c>
      <c r="AJ29" s="125"/>
    </row>
    <row r="30" spans="1:36" x14ac:dyDescent="0.2">
      <c r="A30" s="191" t="s">
        <v>250</v>
      </c>
      <c r="B30" s="192" t="s">
        <v>99</v>
      </c>
      <c r="C30" s="84">
        <f>C12</f>
        <v>0</v>
      </c>
      <c r="D30" s="84">
        <f>C30+D12</f>
        <v>0</v>
      </c>
      <c r="E30" s="8">
        <f t="shared" ref="E30:AI30" si="7">D30+E12</f>
        <v>0</v>
      </c>
      <c r="F30" s="8">
        <f t="shared" si="7"/>
        <v>0</v>
      </c>
      <c r="G30" s="8">
        <f t="shared" si="7"/>
        <v>0</v>
      </c>
      <c r="H30" s="8">
        <f t="shared" si="7"/>
        <v>0</v>
      </c>
      <c r="I30" s="8">
        <f t="shared" si="7"/>
        <v>0</v>
      </c>
      <c r="J30" s="8">
        <f t="shared" si="7"/>
        <v>0</v>
      </c>
      <c r="K30" s="8">
        <f t="shared" si="7"/>
        <v>0</v>
      </c>
      <c r="L30" s="8">
        <f t="shared" si="7"/>
        <v>0</v>
      </c>
      <c r="M30" s="8">
        <f t="shared" si="7"/>
        <v>0</v>
      </c>
      <c r="N30" s="8">
        <f t="shared" si="7"/>
        <v>0</v>
      </c>
      <c r="O30" s="8">
        <f t="shared" si="7"/>
        <v>0</v>
      </c>
      <c r="P30" s="8">
        <f t="shared" si="7"/>
        <v>0</v>
      </c>
      <c r="Q30" s="8">
        <f t="shared" si="7"/>
        <v>0</v>
      </c>
      <c r="R30" s="8">
        <f t="shared" si="7"/>
        <v>0</v>
      </c>
      <c r="S30" s="8">
        <f t="shared" si="7"/>
        <v>0</v>
      </c>
      <c r="T30" s="8">
        <f t="shared" si="7"/>
        <v>0</v>
      </c>
      <c r="U30" s="8">
        <f t="shared" si="7"/>
        <v>0</v>
      </c>
      <c r="V30" s="8">
        <f t="shared" si="7"/>
        <v>0</v>
      </c>
      <c r="W30" s="8">
        <f t="shared" si="7"/>
        <v>0</v>
      </c>
      <c r="X30" s="8">
        <f t="shared" si="7"/>
        <v>0</v>
      </c>
      <c r="Y30" s="8">
        <f t="shared" si="7"/>
        <v>0</v>
      </c>
      <c r="Z30" s="8">
        <f t="shared" si="7"/>
        <v>0</v>
      </c>
      <c r="AA30" s="8">
        <f t="shared" si="7"/>
        <v>0</v>
      </c>
      <c r="AB30" s="8">
        <f t="shared" si="7"/>
        <v>0</v>
      </c>
      <c r="AC30" s="8">
        <f t="shared" si="7"/>
        <v>0</v>
      </c>
      <c r="AD30" s="8">
        <f t="shared" si="7"/>
        <v>0</v>
      </c>
      <c r="AE30" s="8">
        <f t="shared" si="7"/>
        <v>0</v>
      </c>
      <c r="AF30" s="8">
        <f t="shared" si="7"/>
        <v>0</v>
      </c>
      <c r="AG30" s="8">
        <f t="shared" si="7"/>
        <v>0</v>
      </c>
      <c r="AH30" s="8">
        <f t="shared" si="7"/>
        <v>0</v>
      </c>
      <c r="AI30" s="8">
        <f t="shared" si="7"/>
        <v>0</v>
      </c>
      <c r="AJ30" s="125"/>
    </row>
    <row r="31" spans="1:36" x14ac:dyDescent="0.2">
      <c r="A31" s="191" t="s">
        <v>251</v>
      </c>
      <c r="B31" s="79"/>
      <c r="C31" s="84">
        <f>IF(C30=0,0,C29/C30)</f>
        <v>0</v>
      </c>
      <c r="D31" s="84">
        <f t="shared" ref="D31:AI31" si="8">IF(D30=0,0,D29/D30)</f>
        <v>0</v>
      </c>
      <c r="E31" s="8">
        <f t="shared" si="8"/>
        <v>0</v>
      </c>
      <c r="F31" s="8">
        <f t="shared" si="8"/>
        <v>0</v>
      </c>
      <c r="G31" s="8">
        <f t="shared" si="8"/>
        <v>0</v>
      </c>
      <c r="H31" s="8">
        <f t="shared" si="8"/>
        <v>0</v>
      </c>
      <c r="I31" s="8">
        <f t="shared" si="8"/>
        <v>0</v>
      </c>
      <c r="J31" s="8">
        <f t="shared" si="8"/>
        <v>0</v>
      </c>
      <c r="K31" s="8">
        <f t="shared" si="8"/>
        <v>0</v>
      </c>
      <c r="L31" s="8">
        <f t="shared" si="8"/>
        <v>0</v>
      </c>
      <c r="M31" s="8">
        <f t="shared" si="8"/>
        <v>0</v>
      </c>
      <c r="N31" s="8">
        <f t="shared" si="8"/>
        <v>0</v>
      </c>
      <c r="O31" s="8">
        <f t="shared" si="8"/>
        <v>0</v>
      </c>
      <c r="P31" s="8">
        <f t="shared" si="8"/>
        <v>0</v>
      </c>
      <c r="Q31" s="8">
        <f t="shared" si="8"/>
        <v>0</v>
      </c>
      <c r="R31" s="8">
        <f t="shared" si="8"/>
        <v>0</v>
      </c>
      <c r="S31" s="8">
        <f t="shared" si="8"/>
        <v>0</v>
      </c>
      <c r="T31" s="8">
        <f t="shared" si="8"/>
        <v>0</v>
      </c>
      <c r="U31" s="8">
        <f t="shared" si="8"/>
        <v>0</v>
      </c>
      <c r="V31" s="8">
        <f t="shared" si="8"/>
        <v>0</v>
      </c>
      <c r="W31" s="8">
        <f t="shared" si="8"/>
        <v>0</v>
      </c>
      <c r="X31" s="8">
        <f t="shared" si="8"/>
        <v>0</v>
      </c>
      <c r="Y31" s="8">
        <f t="shared" si="8"/>
        <v>0</v>
      </c>
      <c r="Z31" s="8">
        <f t="shared" si="8"/>
        <v>0</v>
      </c>
      <c r="AA31" s="8">
        <f t="shared" si="8"/>
        <v>0</v>
      </c>
      <c r="AB31" s="8">
        <f t="shared" si="8"/>
        <v>0</v>
      </c>
      <c r="AC31" s="8">
        <f t="shared" si="8"/>
        <v>0</v>
      </c>
      <c r="AD31" s="8">
        <f t="shared" si="8"/>
        <v>0</v>
      </c>
      <c r="AE31" s="8">
        <f t="shared" si="8"/>
        <v>0</v>
      </c>
      <c r="AF31" s="8">
        <f t="shared" si="8"/>
        <v>0</v>
      </c>
      <c r="AG31" s="8">
        <f t="shared" si="8"/>
        <v>0</v>
      </c>
      <c r="AH31" s="8">
        <f t="shared" si="8"/>
        <v>0</v>
      </c>
      <c r="AI31" s="8">
        <f t="shared" si="8"/>
        <v>0</v>
      </c>
    </row>
    <row r="32" spans="1:36" x14ac:dyDescent="0.2">
      <c r="A32" s="78" t="s">
        <v>252</v>
      </c>
      <c r="B32" s="79" t="s">
        <v>69</v>
      </c>
      <c r="C32" s="153">
        <f>'Assumptions &amp; Results'!C132</f>
        <v>0.1</v>
      </c>
      <c r="D32" s="153">
        <f>LOOKUP(C31,'Assumptions &amp; Results'!$C$131:$I$131,'Assumptions &amp; Results'!$C$132:$I$132)</f>
        <v>0.1</v>
      </c>
      <c r="E32" s="6">
        <f>LOOKUP(D31,'Assumptions &amp; Results'!$C$131:$I$131,'Assumptions &amp; Results'!$C$132:$I$132)</f>
        <v>0.1</v>
      </c>
      <c r="F32" s="6">
        <f>LOOKUP(E31,'Assumptions &amp; Results'!$C$131:$I$131,'Assumptions &amp; Results'!$C$132:$I$132)</f>
        <v>0.1</v>
      </c>
      <c r="G32" s="6">
        <f>LOOKUP(F31,'Assumptions &amp; Results'!$C$131:$I$131,'Assumptions &amp; Results'!$C$132:$I$132)</f>
        <v>0.1</v>
      </c>
      <c r="H32" s="6">
        <f>LOOKUP(G31,'Assumptions &amp; Results'!$C$131:$I$131,'Assumptions &amp; Results'!$C$132:$I$132)</f>
        <v>0.1</v>
      </c>
      <c r="I32" s="6">
        <f>LOOKUP(H31,'Assumptions &amp; Results'!$C$131:$I$131,'Assumptions &amp; Results'!$C$132:$I$132)</f>
        <v>0.1</v>
      </c>
      <c r="J32" s="6">
        <f>LOOKUP(I31,'Assumptions &amp; Results'!$C$131:$I$131,'Assumptions &amp; Results'!$C$132:$I$132)</f>
        <v>0.1</v>
      </c>
      <c r="K32" s="6">
        <f>LOOKUP(J31,'Assumptions &amp; Results'!$C$131:$I$131,'Assumptions &amp; Results'!$C$132:$I$132)</f>
        <v>0.1</v>
      </c>
      <c r="L32" s="6">
        <f>LOOKUP(K31,'Assumptions &amp; Results'!$C$131:$I$131,'Assumptions &amp; Results'!$C$132:$I$132)</f>
        <v>0.1</v>
      </c>
      <c r="M32" s="6">
        <f>LOOKUP(L31,'Assumptions &amp; Results'!$C$131:$I$131,'Assumptions &amp; Results'!$C$132:$I$132)</f>
        <v>0.1</v>
      </c>
      <c r="N32" s="6">
        <f>LOOKUP(M31,'Assumptions &amp; Results'!$C$131:$I$131,'Assumptions &amp; Results'!$C$132:$I$132)</f>
        <v>0.1</v>
      </c>
      <c r="O32" s="6">
        <f>LOOKUP(N31,'Assumptions &amp; Results'!$C$131:$I$131,'Assumptions &amp; Results'!$C$132:$I$132)</f>
        <v>0.1</v>
      </c>
      <c r="P32" s="6">
        <f>LOOKUP(O31,'Assumptions &amp; Results'!$C$131:$I$131,'Assumptions &amp; Results'!$C$132:$I$132)</f>
        <v>0.1</v>
      </c>
      <c r="Q32" s="6">
        <f>LOOKUP(P31,'Assumptions &amp; Results'!$C$131:$I$131,'Assumptions &amp; Results'!$C$132:$I$132)</f>
        <v>0.1</v>
      </c>
      <c r="R32" s="6">
        <f>LOOKUP(Q31,'Assumptions &amp; Results'!$C$131:$I$131,'Assumptions &amp; Results'!$C$132:$I$132)</f>
        <v>0.1</v>
      </c>
      <c r="S32" s="6">
        <f>LOOKUP(R31,'Assumptions &amp; Results'!$C$131:$I$131,'Assumptions &amp; Results'!$C$132:$I$132)</f>
        <v>0.1</v>
      </c>
      <c r="T32" s="6">
        <f>LOOKUP(S31,'Assumptions &amp; Results'!$C$131:$I$131,'Assumptions &amp; Results'!$C$132:$I$132)</f>
        <v>0.1</v>
      </c>
      <c r="U32" s="6">
        <f>LOOKUP(T31,'Assumptions &amp; Results'!$C$131:$I$131,'Assumptions &amp; Results'!$C$132:$I$132)</f>
        <v>0.1</v>
      </c>
      <c r="V32" s="6">
        <f>LOOKUP(U31,'Assumptions &amp; Results'!$C$131:$I$131,'Assumptions &amp; Results'!$C$132:$I$132)</f>
        <v>0.1</v>
      </c>
      <c r="W32" s="6">
        <f>LOOKUP(V31,'Assumptions &amp; Results'!$C$131:$I$131,'Assumptions &amp; Results'!$C$132:$I$132)</f>
        <v>0.1</v>
      </c>
      <c r="X32" s="6">
        <f>LOOKUP(W31,'Assumptions &amp; Results'!$C$131:$I$131,'Assumptions &amp; Results'!$C$132:$I$132)</f>
        <v>0.1</v>
      </c>
      <c r="Y32" s="6">
        <f>LOOKUP(X31,'Assumptions &amp; Results'!$C$131:$I$131,'Assumptions &amp; Results'!$C$132:$I$132)</f>
        <v>0.1</v>
      </c>
      <c r="Z32" s="6">
        <f>LOOKUP(Y31,'Assumptions &amp; Results'!$C$131:$I$131,'Assumptions &amp; Results'!$C$132:$I$132)</f>
        <v>0.1</v>
      </c>
      <c r="AA32" s="6">
        <f>LOOKUP(Z31,'Assumptions &amp; Results'!$C$131:$I$131,'Assumptions &amp; Results'!$C$132:$I$132)</f>
        <v>0.1</v>
      </c>
      <c r="AB32" s="6">
        <f>LOOKUP(AA31,'Assumptions &amp; Results'!$C$131:$I$131,'Assumptions &amp; Results'!$C$132:$I$132)</f>
        <v>0.1</v>
      </c>
      <c r="AC32" s="6">
        <f>LOOKUP(AB31,'Assumptions &amp; Results'!$C$131:$I$131,'Assumptions &amp; Results'!$C$132:$I$132)</f>
        <v>0.1</v>
      </c>
      <c r="AD32" s="6">
        <f>LOOKUP(AC31,'Assumptions &amp; Results'!$C$131:$I$131,'Assumptions &amp; Results'!$C$132:$I$132)</f>
        <v>0.1</v>
      </c>
      <c r="AE32" s="6">
        <f>LOOKUP(AD31,'Assumptions &amp; Results'!$C$131:$I$131,'Assumptions &amp; Results'!$C$132:$I$132)</f>
        <v>0.1</v>
      </c>
      <c r="AF32" s="6">
        <f>LOOKUP(AE31,'Assumptions &amp; Results'!$C$131:$I$131,'Assumptions &amp; Results'!$C$132:$I$132)</f>
        <v>0.1</v>
      </c>
      <c r="AG32" s="6">
        <f>LOOKUP(AF31,'Assumptions &amp; Results'!$C$131:$I$131,'Assumptions &amp; Results'!$C$132:$I$132)</f>
        <v>0.1</v>
      </c>
      <c r="AH32" s="6">
        <f>LOOKUP(AG31,'Assumptions &amp; Results'!$C$131:$I$131,'Assumptions &amp; Results'!$C$132:$I$132)</f>
        <v>0.1</v>
      </c>
      <c r="AI32" s="6">
        <f>LOOKUP(AH31,'Assumptions &amp; Results'!$C$131:$I$131,'Assumptions &amp; Results'!$C$132:$I$132)</f>
        <v>0.1</v>
      </c>
    </row>
    <row r="33" spans="1:36" x14ac:dyDescent="0.2">
      <c r="A33" s="78"/>
      <c r="B33" s="79"/>
      <c r="C33" s="153"/>
      <c r="D33" s="153"/>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6" x14ac:dyDescent="0.2">
      <c r="A34" s="78" t="s">
        <v>253</v>
      </c>
      <c r="B34" s="79"/>
      <c r="C34" s="84"/>
      <c r="D34" s="84"/>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125"/>
    </row>
    <row r="35" spans="1:36" x14ac:dyDescent="0.2">
      <c r="A35" s="187" t="s">
        <v>254</v>
      </c>
      <c r="B35" s="79"/>
      <c r="C35" s="79">
        <f>'Assumptions &amp; Results'!D23</f>
        <v>0</v>
      </c>
      <c r="D35" s="79">
        <f>'Assumptions &amp; Results'!E23</f>
        <v>0</v>
      </c>
      <c r="E35">
        <f>'Assumptions &amp; Results'!F23</f>
        <v>0</v>
      </c>
      <c r="F35">
        <f>'Assumptions &amp; Results'!G23</f>
        <v>0</v>
      </c>
      <c r="G35">
        <f>'Assumptions &amp; Results'!H23</f>
        <v>0</v>
      </c>
      <c r="H35">
        <f>'Assumptions &amp; Results'!I23</f>
        <v>0</v>
      </c>
      <c r="I35">
        <f>'Assumptions &amp; Results'!J23</f>
        <v>0</v>
      </c>
      <c r="J35">
        <f>'Assumptions &amp; Results'!K23</f>
        <v>0</v>
      </c>
      <c r="K35">
        <f>'Assumptions &amp; Results'!L23</f>
        <v>0</v>
      </c>
      <c r="L35">
        <f>'Assumptions &amp; Results'!M23</f>
        <v>0</v>
      </c>
      <c r="M35">
        <f>'Assumptions &amp; Results'!N23</f>
        <v>0</v>
      </c>
      <c r="N35">
        <f>'Assumptions &amp; Results'!O23</f>
        <v>0</v>
      </c>
      <c r="O35">
        <f>'Assumptions &amp; Results'!P23</f>
        <v>0</v>
      </c>
      <c r="P35">
        <f>'Assumptions &amp; Results'!Q23</f>
        <v>0</v>
      </c>
      <c r="Q35">
        <f>'Assumptions &amp; Results'!R23</f>
        <v>0</v>
      </c>
      <c r="R35">
        <f>'Assumptions &amp; Results'!S23</f>
        <v>0</v>
      </c>
      <c r="S35">
        <f>'Assumptions &amp; Results'!T23</f>
        <v>0</v>
      </c>
      <c r="T35">
        <f>'Assumptions &amp; Results'!U23</f>
        <v>0</v>
      </c>
      <c r="U35">
        <f>'Assumptions &amp; Results'!V23</f>
        <v>0</v>
      </c>
      <c r="V35">
        <f>'Assumptions &amp; Results'!W23</f>
        <v>0</v>
      </c>
      <c r="W35">
        <f>'Assumptions &amp; Results'!X23</f>
        <v>0</v>
      </c>
      <c r="X35">
        <f>'Assumptions &amp; Results'!Y23</f>
        <v>0</v>
      </c>
      <c r="Y35">
        <f>'Assumptions &amp; Results'!Z23</f>
        <v>0</v>
      </c>
      <c r="Z35">
        <f>'Assumptions &amp; Results'!AA23</f>
        <v>0</v>
      </c>
      <c r="AA35">
        <f>'Assumptions &amp; Results'!AB23</f>
        <v>0</v>
      </c>
      <c r="AB35">
        <f>'Assumptions &amp; Results'!AC23</f>
        <v>0</v>
      </c>
      <c r="AC35">
        <f>'Assumptions &amp; Results'!AD23</f>
        <v>0</v>
      </c>
      <c r="AD35">
        <f>'Assumptions &amp; Results'!AE23</f>
        <v>0</v>
      </c>
      <c r="AE35">
        <f>'Assumptions &amp; Results'!AF23</f>
        <v>0</v>
      </c>
      <c r="AF35">
        <f>'Assumptions &amp; Results'!AG23</f>
        <v>0</v>
      </c>
      <c r="AG35">
        <f>'Assumptions &amp; Results'!AH23</f>
        <v>0</v>
      </c>
      <c r="AH35">
        <f>'Assumptions &amp; Results'!AI23</f>
        <v>0</v>
      </c>
      <c r="AI35">
        <f>'Assumptions &amp; Results'!AJ23</f>
        <v>0</v>
      </c>
      <c r="AJ35" s="125">
        <f>SUM(C35:AI35)</f>
        <v>0</v>
      </c>
    </row>
    <row r="36" spans="1:36" x14ac:dyDescent="0.2">
      <c r="A36" s="188" t="s">
        <v>255</v>
      </c>
      <c r="B36" s="79"/>
      <c r="C36" s="84">
        <f>MIN(C35,'Assumptions &amp; Results'!$C$135)</f>
        <v>0</v>
      </c>
      <c r="D36" s="84">
        <f>MIN(D35,'Assumptions &amp; Results'!$C$135)</f>
        <v>0</v>
      </c>
      <c r="E36" s="8">
        <f>MIN(E35,'Assumptions &amp; Results'!$C$135)</f>
        <v>0</v>
      </c>
      <c r="F36" s="8">
        <f>MIN(F35,'Assumptions &amp; Results'!$C$135)</f>
        <v>0</v>
      </c>
      <c r="G36" s="8">
        <f>MIN(G35,'Assumptions &amp; Results'!$C$135)</f>
        <v>0</v>
      </c>
      <c r="H36" s="8">
        <f>MIN(H35,'Assumptions &amp; Results'!$C$135)</f>
        <v>0</v>
      </c>
      <c r="I36" s="8">
        <f>MIN(I35,'Assumptions &amp; Results'!$C$135)</f>
        <v>0</v>
      </c>
      <c r="J36" s="8">
        <f>MIN(J35,'Assumptions &amp; Results'!$C$135)</f>
        <v>0</v>
      </c>
      <c r="K36" s="8">
        <f>MIN(K35,'Assumptions &amp; Results'!$C$135)</f>
        <v>0</v>
      </c>
      <c r="L36" s="8">
        <f>MIN(L35,'Assumptions &amp; Results'!$C$135)</f>
        <v>0</v>
      </c>
      <c r="M36" s="8">
        <f>MIN(M35,'Assumptions &amp; Results'!$C$135)</f>
        <v>0</v>
      </c>
      <c r="N36" s="8">
        <f>MIN(N35,'Assumptions &amp; Results'!$C$135)</f>
        <v>0</v>
      </c>
      <c r="O36" s="8">
        <f>MIN(O35,'Assumptions &amp; Results'!$C$135)</f>
        <v>0</v>
      </c>
      <c r="P36" s="8">
        <f>MIN(P35,'Assumptions &amp; Results'!$C$135)</f>
        <v>0</v>
      </c>
      <c r="Q36" s="8">
        <f>MIN(Q35,'Assumptions &amp; Results'!$C$135)</f>
        <v>0</v>
      </c>
      <c r="R36" s="8">
        <f>MIN(R35,'Assumptions &amp; Results'!$C$135)</f>
        <v>0</v>
      </c>
      <c r="S36" s="8">
        <f>MIN(S35,'Assumptions &amp; Results'!$C$135)</f>
        <v>0</v>
      </c>
      <c r="T36" s="8">
        <f>MIN(T35,'Assumptions &amp; Results'!$C$135)</f>
        <v>0</v>
      </c>
      <c r="U36" s="8">
        <f>MIN(U35,'Assumptions &amp; Results'!$C$135)</f>
        <v>0</v>
      </c>
      <c r="V36" s="8">
        <f>MIN(V35,'Assumptions &amp; Results'!$C$135)</f>
        <v>0</v>
      </c>
      <c r="W36" s="8">
        <f>MIN(W35,'Assumptions &amp; Results'!$C$135)</f>
        <v>0</v>
      </c>
      <c r="X36" s="8">
        <f>MIN(X35,'Assumptions &amp; Results'!$C$135)</f>
        <v>0</v>
      </c>
      <c r="Y36" s="8">
        <f>MIN(Y35,'Assumptions &amp; Results'!$C$135)</f>
        <v>0</v>
      </c>
      <c r="Z36" s="8">
        <f>MIN(Z35,'Assumptions &amp; Results'!$C$135)</f>
        <v>0</v>
      </c>
      <c r="AA36" s="8">
        <f>MIN(AA35,'Assumptions &amp; Results'!$C$135)</f>
        <v>0</v>
      </c>
      <c r="AB36" s="8">
        <f>MIN(AB35,'Assumptions &amp; Results'!$C$135)</f>
        <v>0</v>
      </c>
      <c r="AC36" s="8">
        <f>MIN(AC35,'Assumptions &amp; Results'!$C$135)</f>
        <v>0</v>
      </c>
      <c r="AD36" s="8">
        <f>MIN(AD35,'Assumptions &amp; Results'!$C$135)</f>
        <v>0</v>
      </c>
      <c r="AE36" s="8">
        <f>MIN(AE35,'Assumptions &amp; Results'!$C$135)</f>
        <v>0</v>
      </c>
      <c r="AF36" s="8">
        <f>MIN(AF35,'Assumptions &amp; Results'!$C$135)</f>
        <v>0</v>
      </c>
      <c r="AG36" s="8">
        <f>MIN(AG35,'Assumptions &amp; Results'!$C$135)</f>
        <v>0</v>
      </c>
      <c r="AH36" s="8">
        <f>MIN(AH35,'Assumptions &amp; Results'!$C$135)</f>
        <v>0</v>
      </c>
      <c r="AI36" s="8">
        <f>MIN(AI35,'Assumptions &amp; Results'!$C$135)</f>
        <v>0</v>
      </c>
      <c r="AJ36" s="125"/>
    </row>
    <row r="37" spans="1:36" x14ac:dyDescent="0.2">
      <c r="A37" s="188" t="s">
        <v>256</v>
      </c>
      <c r="B37" s="79"/>
      <c r="C37" s="84">
        <f>(C35&gt;'Assumptions &amp; Results'!$C$135)*(C35-'Assumptions &amp; Results'!$C$135-C38-C39-C40-C41)</f>
        <v>0</v>
      </c>
      <c r="D37" s="84">
        <f>(D35&gt;'Assumptions &amp; Results'!$C$135)*(D35-'Assumptions &amp; Results'!$C$135-D38-D39-D40-D41)</f>
        <v>0</v>
      </c>
      <c r="E37" s="8">
        <f>(E35&gt;'Assumptions &amp; Results'!$C$135)*(E35-'Assumptions &amp; Results'!$C$135-E38-E39-E40-E41)</f>
        <v>0</v>
      </c>
      <c r="F37" s="8">
        <f>(F35&gt;'Assumptions &amp; Results'!$C$135)*(F35-'Assumptions &amp; Results'!$C$135-F38-F39-F40-F41)</f>
        <v>0</v>
      </c>
      <c r="G37" s="8">
        <f>(G35&gt;'Assumptions &amp; Results'!$C$135)*(G35-'Assumptions &amp; Results'!$C$135-G38-G39-G40-G41)</f>
        <v>0</v>
      </c>
      <c r="H37" s="8">
        <f>(H35&gt;'Assumptions &amp; Results'!$C$135)*(H35-'Assumptions &amp; Results'!$C$135-H38-H39-H40-H41)</f>
        <v>0</v>
      </c>
      <c r="I37" s="8">
        <f>(I35&gt;'Assumptions &amp; Results'!$C$135)*(I35-'Assumptions &amp; Results'!$C$135-I38-I39-I40-I41)</f>
        <v>0</v>
      </c>
      <c r="J37" s="8">
        <f>(J35&gt;'Assumptions &amp; Results'!$C$135)*(J35-'Assumptions &amp; Results'!$C$135-J38-J39-J40-J41)</f>
        <v>0</v>
      </c>
      <c r="K37" s="8">
        <f>(K35&gt;'Assumptions &amp; Results'!$C$135)*(K35-'Assumptions &amp; Results'!$C$135-K38-K39-K40-K41)</f>
        <v>0</v>
      </c>
      <c r="L37" s="8">
        <f>(L35&gt;'Assumptions &amp; Results'!$C$135)*(L35-'Assumptions &amp; Results'!$C$135-L38-L39-L40-L41)</f>
        <v>0</v>
      </c>
      <c r="M37" s="8">
        <f>(M35&gt;'Assumptions &amp; Results'!$C$135)*(M35-'Assumptions &amp; Results'!$C$135-M38-M39-M40-M41)</f>
        <v>0</v>
      </c>
      <c r="N37" s="8">
        <f>(N35&gt;'Assumptions &amp; Results'!$C$135)*(N35-'Assumptions &amp; Results'!$C$135-N38-N39-N40-N41)</f>
        <v>0</v>
      </c>
      <c r="O37" s="8">
        <f>(O35&gt;'Assumptions &amp; Results'!$C$135)*(O35-'Assumptions &amp; Results'!$C$135-O38-O39-O40-O41)</f>
        <v>0</v>
      </c>
      <c r="P37" s="8">
        <f>(P35&gt;'Assumptions &amp; Results'!$C$135)*(P35-'Assumptions &amp; Results'!$C$135-P38-P39-P40-P41)</f>
        <v>0</v>
      </c>
      <c r="Q37" s="8">
        <f>(Q35&gt;'Assumptions &amp; Results'!$C$135)*(Q35-'Assumptions &amp; Results'!$C$135-Q38-Q39-Q40-Q41)</f>
        <v>0</v>
      </c>
      <c r="R37" s="8">
        <f>(R35&gt;'Assumptions &amp; Results'!$C$135)*(R35-'Assumptions &amp; Results'!$C$135-R38-R39-R40-R41)</f>
        <v>0</v>
      </c>
      <c r="S37" s="8">
        <f>(S35&gt;'Assumptions &amp; Results'!$C$135)*(S35-'Assumptions &amp; Results'!$C$135-S38-S39-S40-S41)</f>
        <v>0</v>
      </c>
      <c r="T37" s="8">
        <f>(T35&gt;'Assumptions &amp; Results'!$C$135)*(T35-'Assumptions &amp; Results'!$C$135-T38-T39-T40-T41)</f>
        <v>0</v>
      </c>
      <c r="U37" s="8">
        <f>(U35&gt;'Assumptions &amp; Results'!$C$135)*(U35-'Assumptions &amp; Results'!$C$135-U38-U39-U40-U41)</f>
        <v>0</v>
      </c>
      <c r="V37" s="8">
        <f>(V35&gt;'Assumptions &amp; Results'!$C$135)*(V35-'Assumptions &amp; Results'!$C$135-V38-V39-V40-V41)</f>
        <v>0</v>
      </c>
      <c r="W37" s="8">
        <f>(W35&gt;'Assumptions &amp; Results'!$C$135)*(W35-'Assumptions &amp; Results'!$C$135-W38-W39-W40-W41)</f>
        <v>0</v>
      </c>
      <c r="X37" s="8">
        <f>(X35&gt;'Assumptions &amp; Results'!$C$135)*(X35-'Assumptions &amp; Results'!$C$135-X38-X39-X40-X41)</f>
        <v>0</v>
      </c>
      <c r="Y37" s="8">
        <f>(Y35&gt;'Assumptions &amp; Results'!$C$135)*(Y35-'Assumptions &amp; Results'!$C$135-Y38-Y39-Y40-Y41)</f>
        <v>0</v>
      </c>
      <c r="Z37" s="8">
        <f>(Z35&gt;'Assumptions &amp; Results'!$C$135)*(Z35-'Assumptions &amp; Results'!$C$135-Z38-Z39-Z40-Z41)</f>
        <v>0</v>
      </c>
      <c r="AA37" s="8">
        <f>(AA35&gt;'Assumptions &amp; Results'!$C$135)*(AA35-'Assumptions &amp; Results'!$C$135-AA38-AA39-AA40-AA41)</f>
        <v>0</v>
      </c>
      <c r="AB37" s="8">
        <f>(AB35&gt;'Assumptions &amp; Results'!$C$135)*(AB35-'Assumptions &amp; Results'!$C$135-AB38-AB39-AB40-AB41)</f>
        <v>0</v>
      </c>
      <c r="AC37" s="8">
        <f>(AC35&gt;'Assumptions &amp; Results'!$C$135)*(AC35-'Assumptions &amp; Results'!$C$135-AC38-AC39-AC40-AC41)</f>
        <v>0</v>
      </c>
      <c r="AD37" s="8">
        <f>(AD35&gt;'Assumptions &amp; Results'!$C$135)*(AD35-'Assumptions &amp; Results'!$C$135-AD38-AD39-AD40-AD41)</f>
        <v>0</v>
      </c>
      <c r="AE37" s="8">
        <f>(AE35&gt;'Assumptions &amp; Results'!$C$135)*(AE35-'Assumptions &amp; Results'!$C$135-AE38-AE39-AE40-AE41)</f>
        <v>0</v>
      </c>
      <c r="AF37" s="8">
        <f>(AF35&gt;'Assumptions &amp; Results'!$C$135)*(AF35-'Assumptions &amp; Results'!$C$135-AF38-AF39-AF40-AF41)</f>
        <v>0</v>
      </c>
      <c r="AG37" s="8">
        <f>(AG35&gt;'Assumptions &amp; Results'!$C$135)*(AG35-'Assumptions &amp; Results'!$C$135-AG38-AG39-AG40-AG41)</f>
        <v>0</v>
      </c>
      <c r="AH37" s="8">
        <f>(AH35&gt;'Assumptions &amp; Results'!$C$135)*(AH35-'Assumptions &amp; Results'!$C$135-AH38-AH39-AH40-AH41)</f>
        <v>0</v>
      </c>
      <c r="AI37" s="8">
        <f>(AI35&gt;'Assumptions &amp; Results'!$C$135)*(AI35-'Assumptions &amp; Results'!$C$135-AI38-AI39-AI40-AI41)</f>
        <v>0</v>
      </c>
      <c r="AJ37" s="125"/>
    </row>
    <row r="38" spans="1:36" x14ac:dyDescent="0.2">
      <c r="A38" s="188" t="s">
        <v>257</v>
      </c>
      <c r="B38" s="79"/>
      <c r="C38" s="84">
        <f>(C35&gt;'Assumptions &amp; Results'!$C$136)*(C35-'Assumptions &amp; Results'!$C$136-C39-C40-C41)</f>
        <v>0</v>
      </c>
      <c r="D38" s="84">
        <f>(D35&gt;'Assumptions &amp; Results'!$C$136)*(D35-'Assumptions &amp; Results'!$C$136-D39-D40-D41)</f>
        <v>0</v>
      </c>
      <c r="E38" s="8">
        <f>(E35&gt;'Assumptions &amp; Results'!$C$136)*(E35-'Assumptions &amp; Results'!$C$136-E39-E40-E41)</f>
        <v>0</v>
      </c>
      <c r="F38" s="8">
        <f>(F35&gt;'Assumptions &amp; Results'!$C$136)*(F35-'Assumptions &amp; Results'!$C$136-F39-F40-F41)</f>
        <v>0</v>
      </c>
      <c r="G38" s="8">
        <f>(G35&gt;'Assumptions &amp; Results'!$C$136)*(G35-'Assumptions &amp; Results'!$C$136-G39-G40-G41)</f>
        <v>0</v>
      </c>
      <c r="H38" s="8">
        <f>(H35&gt;'Assumptions &amp; Results'!$C$136)*(H35-'Assumptions &amp; Results'!$C$136-H39-H40-H41)</f>
        <v>0</v>
      </c>
      <c r="I38" s="8">
        <f>(I35&gt;'Assumptions &amp; Results'!$C$136)*(I35-'Assumptions &amp; Results'!$C$136-I39-I40-I41)</f>
        <v>0</v>
      </c>
      <c r="J38" s="8">
        <f>(J35&gt;'Assumptions &amp; Results'!$C$136)*(J35-'Assumptions &amp; Results'!$C$136-J39-J40-J41)</f>
        <v>0</v>
      </c>
      <c r="K38" s="8">
        <f>(K35&gt;'Assumptions &amp; Results'!$C$136)*(K35-'Assumptions &amp; Results'!$C$136-K39-K40-K41)</f>
        <v>0</v>
      </c>
      <c r="L38" s="8">
        <f>(L35&gt;'Assumptions &amp; Results'!$C$136)*(L35-'Assumptions &amp; Results'!$C$136-L39-L40-L41)</f>
        <v>0</v>
      </c>
      <c r="M38" s="8">
        <f>(M35&gt;'Assumptions &amp; Results'!$C$136)*(M35-'Assumptions &amp; Results'!$C$136-M39-M40-M41)</f>
        <v>0</v>
      </c>
      <c r="N38" s="8">
        <f>(N35&gt;'Assumptions &amp; Results'!$C$136)*(N35-'Assumptions &amp; Results'!$C$136-N39-N40-N41)</f>
        <v>0</v>
      </c>
      <c r="O38" s="8">
        <f>(O35&gt;'Assumptions &amp; Results'!$C$136)*(O35-'Assumptions &amp; Results'!$C$136-O39-O40-O41)</f>
        <v>0</v>
      </c>
      <c r="P38" s="8">
        <f>(P35&gt;'Assumptions &amp; Results'!$C$136)*(P35-'Assumptions &amp; Results'!$C$136-P39-P40-P41)</f>
        <v>0</v>
      </c>
      <c r="Q38" s="8">
        <f>(Q35&gt;'Assumptions &amp; Results'!$C$136)*(Q35-'Assumptions &amp; Results'!$C$136-Q39-Q40-Q41)</f>
        <v>0</v>
      </c>
      <c r="R38" s="8">
        <f>(R35&gt;'Assumptions &amp; Results'!$C$136)*(R35-'Assumptions &amp; Results'!$C$136-R39-R40-R41)</f>
        <v>0</v>
      </c>
      <c r="S38" s="8">
        <f>(S35&gt;'Assumptions &amp; Results'!$C$136)*(S35-'Assumptions &amp; Results'!$C$136-S39-S40-S41)</f>
        <v>0</v>
      </c>
      <c r="T38" s="8">
        <f>(T35&gt;'Assumptions &amp; Results'!$C$136)*(T35-'Assumptions &amp; Results'!$C$136-T39-T40-T41)</f>
        <v>0</v>
      </c>
      <c r="U38" s="8">
        <f>(U35&gt;'Assumptions &amp; Results'!$C$136)*(U35-'Assumptions &amp; Results'!$C$136-U39-U40-U41)</f>
        <v>0</v>
      </c>
      <c r="V38" s="8">
        <f>(V35&gt;'Assumptions &amp; Results'!$C$136)*(V35-'Assumptions &amp; Results'!$C$136-V39-V40-V41)</f>
        <v>0</v>
      </c>
      <c r="W38" s="8">
        <f>(W35&gt;'Assumptions &amp; Results'!$C$136)*(W35-'Assumptions &amp; Results'!$C$136-W39-W40-W41)</f>
        <v>0</v>
      </c>
      <c r="X38" s="8">
        <f>(X35&gt;'Assumptions &amp; Results'!$C$136)*(X35-'Assumptions &amp; Results'!$C$136-X39-X40-X41)</f>
        <v>0</v>
      </c>
      <c r="Y38" s="8">
        <f>(Y35&gt;'Assumptions &amp; Results'!$C$136)*(Y35-'Assumptions &amp; Results'!$C$136-Y39-Y40-Y41)</f>
        <v>0</v>
      </c>
      <c r="Z38" s="8">
        <f>(Z35&gt;'Assumptions &amp; Results'!$C$136)*(Z35-'Assumptions &amp; Results'!$C$136-Z39-Z40-Z41)</f>
        <v>0</v>
      </c>
      <c r="AA38" s="8">
        <f>(AA35&gt;'Assumptions &amp; Results'!$C$136)*(AA35-'Assumptions &amp; Results'!$C$136-AA39-AA40-AA41)</f>
        <v>0</v>
      </c>
      <c r="AB38" s="8">
        <f>(AB35&gt;'Assumptions &amp; Results'!$C$136)*(AB35-'Assumptions &amp; Results'!$C$136-AB39-AB40-AB41)</f>
        <v>0</v>
      </c>
      <c r="AC38" s="8">
        <f>(AC35&gt;'Assumptions &amp; Results'!$C$136)*(AC35-'Assumptions &amp; Results'!$C$136-AC39-AC40-AC41)</f>
        <v>0</v>
      </c>
      <c r="AD38" s="8">
        <f>(AD35&gt;'Assumptions &amp; Results'!$C$136)*(AD35-'Assumptions &amp; Results'!$C$136-AD39-AD40-AD41)</f>
        <v>0</v>
      </c>
      <c r="AE38" s="8">
        <f>(AE35&gt;'Assumptions &amp; Results'!$C$136)*(AE35-'Assumptions &amp; Results'!$C$136-AE39-AE40-AE41)</f>
        <v>0</v>
      </c>
      <c r="AF38" s="8">
        <f>(AF35&gt;'Assumptions &amp; Results'!$C$136)*(AF35-'Assumptions &amp; Results'!$C$136-AF39-AF40-AF41)</f>
        <v>0</v>
      </c>
      <c r="AG38" s="8">
        <f>(AG35&gt;'Assumptions &amp; Results'!$C$136)*(AG35-'Assumptions &amp; Results'!$C$136-AG39-AG40-AG41)</f>
        <v>0</v>
      </c>
      <c r="AH38" s="8">
        <f>(AH35&gt;'Assumptions &amp; Results'!$C$136)*(AH35-'Assumptions &amp; Results'!$C$136-AH39-AH40-AH41)</f>
        <v>0</v>
      </c>
      <c r="AI38" s="8">
        <f>(AI35&gt;'Assumptions &amp; Results'!$C$136)*(AI35-'Assumptions &amp; Results'!$C$136-AI39-AI40-AI41)</f>
        <v>0</v>
      </c>
      <c r="AJ38" s="125"/>
    </row>
    <row r="39" spans="1:36" x14ac:dyDescent="0.2">
      <c r="A39" s="188" t="s">
        <v>258</v>
      </c>
      <c r="B39" s="79"/>
      <c r="C39" s="84">
        <f>(C35&gt;'Assumptions &amp; Results'!$C$137)*(C35-'Assumptions &amp; Results'!$C$137-C40-C41)</f>
        <v>0</v>
      </c>
      <c r="D39" s="84">
        <f>(D35&gt;'Assumptions &amp; Results'!$C$137)*(D35-'Assumptions &amp; Results'!$C$137-D40-D41)</f>
        <v>0</v>
      </c>
      <c r="E39" s="8">
        <f>(E35&gt;'Assumptions &amp; Results'!$C$137)*(E35-'Assumptions &amp; Results'!$C$137-E40-E41)</f>
        <v>0</v>
      </c>
      <c r="F39" s="8">
        <f>(F35&gt;'Assumptions &amp; Results'!$C$137)*(F35-'Assumptions &amp; Results'!$C$137-F40-F41)</f>
        <v>0</v>
      </c>
      <c r="G39" s="8">
        <f>(G35&gt;'Assumptions &amp; Results'!$C$137)*(G35-'Assumptions &amp; Results'!$C$137-G40-G41)</f>
        <v>0</v>
      </c>
      <c r="H39" s="8">
        <f>(H35&gt;'Assumptions &amp; Results'!$C$137)*(H35-'Assumptions &amp; Results'!$C$137-H40-H41)</f>
        <v>0</v>
      </c>
      <c r="I39" s="8">
        <f>(I35&gt;'Assumptions &amp; Results'!$C$137)*(I35-'Assumptions &amp; Results'!$C$137-I40-I41)</f>
        <v>0</v>
      </c>
      <c r="J39" s="8">
        <f>(J35&gt;'Assumptions &amp; Results'!$C$137)*(J35-'Assumptions &amp; Results'!$C$137-J40-J41)</f>
        <v>0</v>
      </c>
      <c r="K39" s="8">
        <f>(K35&gt;'Assumptions &amp; Results'!$C$137)*(K35-'Assumptions &amp; Results'!$C$137-K40-K41)</f>
        <v>0</v>
      </c>
      <c r="L39" s="8">
        <f>(L35&gt;'Assumptions &amp; Results'!$C$137)*(L35-'Assumptions &amp; Results'!$C$137-L40-L41)</f>
        <v>0</v>
      </c>
      <c r="M39" s="8">
        <f>(M35&gt;'Assumptions &amp; Results'!$C$137)*(M35-'Assumptions &amp; Results'!$C$137-M40-M41)</f>
        <v>0</v>
      </c>
      <c r="N39" s="8">
        <f>(N35&gt;'Assumptions &amp; Results'!$C$137)*(N35-'Assumptions &amp; Results'!$C$137-N40-N41)</f>
        <v>0</v>
      </c>
      <c r="O39" s="8">
        <f>(O35&gt;'Assumptions &amp; Results'!$C$137)*(O35-'Assumptions &amp; Results'!$C$137-O40-O41)</f>
        <v>0</v>
      </c>
      <c r="P39" s="8">
        <f>(P35&gt;'Assumptions &amp; Results'!$C$137)*(P35-'Assumptions &amp; Results'!$C$137-P40-P41)</f>
        <v>0</v>
      </c>
      <c r="Q39" s="8">
        <f>(Q35&gt;'Assumptions &amp; Results'!$C$137)*(Q35-'Assumptions &amp; Results'!$C$137-Q40-Q41)</f>
        <v>0</v>
      </c>
      <c r="R39" s="8">
        <f>(R35&gt;'Assumptions &amp; Results'!$C$137)*(R35-'Assumptions &amp; Results'!$C$137-R40-R41)</f>
        <v>0</v>
      </c>
      <c r="S39" s="8">
        <f>(S35&gt;'Assumptions &amp; Results'!$C$137)*(S35-'Assumptions &amp; Results'!$C$137-S40-S41)</f>
        <v>0</v>
      </c>
      <c r="T39" s="8">
        <f>(T35&gt;'Assumptions &amp; Results'!$C$137)*(T35-'Assumptions &amp; Results'!$C$137-T40-T41)</f>
        <v>0</v>
      </c>
      <c r="U39" s="8">
        <f>(U35&gt;'Assumptions &amp; Results'!$C$137)*(U35-'Assumptions &amp; Results'!$C$137-U40-U41)</f>
        <v>0</v>
      </c>
      <c r="V39" s="8">
        <f>(V35&gt;'Assumptions &amp; Results'!$C$137)*(V35-'Assumptions &amp; Results'!$C$137-V40-V41)</f>
        <v>0</v>
      </c>
      <c r="W39" s="8">
        <f>(W35&gt;'Assumptions &amp; Results'!$C$137)*(W35-'Assumptions &amp; Results'!$C$137-W40-W41)</f>
        <v>0</v>
      </c>
      <c r="X39" s="8">
        <f>(X35&gt;'Assumptions &amp; Results'!$C$137)*(X35-'Assumptions &amp; Results'!$C$137-X40-X41)</f>
        <v>0</v>
      </c>
      <c r="Y39" s="8">
        <f>(Y35&gt;'Assumptions &amp; Results'!$C$137)*(Y35-'Assumptions &amp; Results'!$C$137-Y40-Y41)</f>
        <v>0</v>
      </c>
      <c r="Z39" s="8">
        <f>(Z35&gt;'Assumptions &amp; Results'!$C$137)*(Z35-'Assumptions &amp; Results'!$C$137-Z40-Z41)</f>
        <v>0</v>
      </c>
      <c r="AA39" s="8">
        <f>(AA35&gt;'Assumptions &amp; Results'!$C$137)*(AA35-'Assumptions &amp; Results'!$C$137-AA40-AA41)</f>
        <v>0</v>
      </c>
      <c r="AB39" s="8">
        <f>(AB35&gt;'Assumptions &amp; Results'!$C$137)*(AB35-'Assumptions &amp; Results'!$C$137-AB40-AB41)</f>
        <v>0</v>
      </c>
      <c r="AC39" s="8">
        <f>(AC35&gt;'Assumptions &amp; Results'!$C$137)*(AC35-'Assumptions &amp; Results'!$C$137-AC40-AC41)</f>
        <v>0</v>
      </c>
      <c r="AD39" s="8">
        <f>(AD35&gt;'Assumptions &amp; Results'!$C$137)*(AD35-'Assumptions &amp; Results'!$C$137-AD40-AD41)</f>
        <v>0</v>
      </c>
      <c r="AE39" s="8">
        <f>(AE35&gt;'Assumptions &amp; Results'!$C$137)*(AE35-'Assumptions &amp; Results'!$C$137-AE40-AE41)</f>
        <v>0</v>
      </c>
      <c r="AF39" s="8">
        <f>(AF35&gt;'Assumptions &amp; Results'!$C$137)*(AF35-'Assumptions &amp; Results'!$C$137-AF40-AF41)</f>
        <v>0</v>
      </c>
      <c r="AG39" s="8">
        <f>(AG35&gt;'Assumptions &amp; Results'!$C$137)*(AG35-'Assumptions &amp; Results'!$C$137-AG40-AG41)</f>
        <v>0</v>
      </c>
      <c r="AH39" s="8">
        <f>(AH35&gt;'Assumptions &amp; Results'!$C$137)*(AH35-'Assumptions &amp; Results'!$C$137-AH40-AH41)</f>
        <v>0</v>
      </c>
      <c r="AI39" s="8">
        <f>(AI35&gt;'Assumptions &amp; Results'!$C$137)*(AI35-'Assumptions &amp; Results'!$C$137-AI40-AI41)</f>
        <v>0</v>
      </c>
      <c r="AJ39" s="125"/>
    </row>
    <row r="40" spans="1:36" x14ac:dyDescent="0.2">
      <c r="A40" s="188" t="s">
        <v>259</v>
      </c>
      <c r="B40" s="79"/>
      <c r="C40" s="84">
        <f>(C35&gt;'Assumptions &amp; Results'!$C$138)*(C35-'Assumptions &amp; Results'!$C$138-C41)</f>
        <v>0</v>
      </c>
      <c r="D40" s="84">
        <f>(D35&gt;'Assumptions &amp; Results'!$C$138)*(D35-'Assumptions &amp; Results'!$C$138-D41)</f>
        <v>0</v>
      </c>
      <c r="E40" s="8">
        <f>(E35&gt;'Assumptions &amp; Results'!$C$138)*(E35-'Assumptions &amp; Results'!$C$138-E41)</f>
        <v>0</v>
      </c>
      <c r="F40" s="8">
        <f>(F35&gt;'Assumptions &amp; Results'!$C$138)*(F35-'Assumptions &amp; Results'!$C$138-F41)</f>
        <v>0</v>
      </c>
      <c r="G40" s="8">
        <f>(G35&gt;'Assumptions &amp; Results'!$C$138)*(G35-'Assumptions &amp; Results'!$C$138-G41)</f>
        <v>0</v>
      </c>
      <c r="H40" s="8">
        <f>(H35&gt;'Assumptions &amp; Results'!$C$138)*(H35-'Assumptions &amp; Results'!$C$138-H41)</f>
        <v>0</v>
      </c>
      <c r="I40" s="8">
        <f>(I35&gt;'Assumptions &amp; Results'!$C$138)*(I35-'Assumptions &amp; Results'!$C$138-I41)</f>
        <v>0</v>
      </c>
      <c r="J40" s="8">
        <f>(J35&gt;'Assumptions &amp; Results'!$C$138)*(J35-'Assumptions &amp; Results'!$C$138-J41)</f>
        <v>0</v>
      </c>
      <c r="K40" s="8">
        <f>(K35&gt;'Assumptions &amp; Results'!$C$138)*(K35-'Assumptions &amp; Results'!$C$138-K41)</f>
        <v>0</v>
      </c>
      <c r="L40" s="8">
        <f>(L35&gt;'Assumptions &amp; Results'!$C$138)*(L35-'Assumptions &amp; Results'!$C$138-L41)</f>
        <v>0</v>
      </c>
      <c r="M40" s="8">
        <f>(M35&gt;'Assumptions &amp; Results'!$C$138)*(M35-'Assumptions &amp; Results'!$C$138-M41)</f>
        <v>0</v>
      </c>
      <c r="N40" s="8">
        <f>(N35&gt;'Assumptions &amp; Results'!$C$138)*(N35-'Assumptions &amp; Results'!$C$138-N41)</f>
        <v>0</v>
      </c>
      <c r="O40" s="8">
        <f>(O35&gt;'Assumptions &amp; Results'!$C$138)*(O35-'Assumptions &amp; Results'!$C$138-O41)</f>
        <v>0</v>
      </c>
      <c r="P40" s="8">
        <f>(P35&gt;'Assumptions &amp; Results'!$C$138)*(P35-'Assumptions &amp; Results'!$C$138-P41)</f>
        <v>0</v>
      </c>
      <c r="Q40" s="8">
        <f>(Q35&gt;'Assumptions &amp; Results'!$C$138)*(Q35-'Assumptions &amp; Results'!$C$138-Q41)</f>
        <v>0</v>
      </c>
      <c r="R40" s="8">
        <f>(R35&gt;'Assumptions &amp; Results'!$C$138)*(R35-'Assumptions &amp; Results'!$C$138-R41)</f>
        <v>0</v>
      </c>
      <c r="S40" s="8">
        <f>(S35&gt;'Assumptions &amp; Results'!$C$138)*(S35-'Assumptions &amp; Results'!$C$138-S41)</f>
        <v>0</v>
      </c>
      <c r="T40" s="8">
        <f>(T35&gt;'Assumptions &amp; Results'!$C$138)*(T35-'Assumptions &amp; Results'!$C$138-T41)</f>
        <v>0</v>
      </c>
      <c r="U40" s="8">
        <f>(U35&gt;'Assumptions &amp; Results'!$C$138)*(U35-'Assumptions &amp; Results'!$C$138-U41)</f>
        <v>0</v>
      </c>
      <c r="V40" s="8">
        <f>(V35&gt;'Assumptions &amp; Results'!$C$138)*(V35-'Assumptions &amp; Results'!$C$138-V41)</f>
        <v>0</v>
      </c>
      <c r="W40" s="8">
        <f>(W35&gt;'Assumptions &amp; Results'!$C$138)*(W35-'Assumptions &amp; Results'!$C$138-W41)</f>
        <v>0</v>
      </c>
      <c r="X40" s="8">
        <f>(X35&gt;'Assumptions &amp; Results'!$C$138)*(X35-'Assumptions &amp; Results'!$C$138-X41)</f>
        <v>0</v>
      </c>
      <c r="Y40" s="8">
        <f>(Y35&gt;'Assumptions &amp; Results'!$C$138)*(Y35-'Assumptions &amp; Results'!$C$138-Y41)</f>
        <v>0</v>
      </c>
      <c r="Z40" s="8">
        <f>(Z35&gt;'Assumptions &amp; Results'!$C$138)*(Z35-'Assumptions &amp; Results'!$C$138-Z41)</f>
        <v>0</v>
      </c>
      <c r="AA40" s="8">
        <f>(AA35&gt;'Assumptions &amp; Results'!$C$138)*(AA35-'Assumptions &amp; Results'!$C$138-AA41)</f>
        <v>0</v>
      </c>
      <c r="AB40" s="8">
        <f>(AB35&gt;'Assumptions &amp; Results'!$C$138)*(AB35-'Assumptions &amp; Results'!$C$138-AB41)</f>
        <v>0</v>
      </c>
      <c r="AC40" s="8">
        <f>(AC35&gt;'Assumptions &amp; Results'!$C$138)*(AC35-'Assumptions &amp; Results'!$C$138-AC41)</f>
        <v>0</v>
      </c>
      <c r="AD40" s="8">
        <f>(AD35&gt;'Assumptions &amp; Results'!$C$138)*(AD35-'Assumptions &amp; Results'!$C$138-AD41)</f>
        <v>0</v>
      </c>
      <c r="AE40" s="8">
        <f>(AE35&gt;'Assumptions &amp; Results'!$C$138)*(AE35-'Assumptions &amp; Results'!$C$138-AE41)</f>
        <v>0</v>
      </c>
      <c r="AF40" s="8">
        <f>(AF35&gt;'Assumptions &amp; Results'!$C$138)*(AF35-'Assumptions &amp; Results'!$C$138-AF41)</f>
        <v>0</v>
      </c>
      <c r="AG40" s="8">
        <f>(AG35&gt;'Assumptions &amp; Results'!$C$138)*(AG35-'Assumptions &amp; Results'!$C$138-AG41)</f>
        <v>0</v>
      </c>
      <c r="AH40" s="8">
        <f>(AH35&gt;'Assumptions &amp; Results'!$C$138)*(AH35-'Assumptions &amp; Results'!$C$138-AH41)</f>
        <v>0</v>
      </c>
      <c r="AI40" s="8">
        <f>(AI35&gt;'Assumptions &amp; Results'!$C$138)*(AI35-'Assumptions &amp; Results'!$C$138-AI41)</f>
        <v>0</v>
      </c>
      <c r="AJ40" s="125"/>
    </row>
    <row r="41" spans="1:36" x14ac:dyDescent="0.2">
      <c r="A41" s="188" t="s">
        <v>260</v>
      </c>
      <c r="B41" s="79"/>
      <c r="C41" s="84">
        <f>(C35&gt;'Assumptions &amp; Results'!$C$139)*(C35-'Assumptions &amp; Results'!$C$139)</f>
        <v>0</v>
      </c>
      <c r="D41" s="84">
        <f>(D35&gt;'Assumptions &amp; Results'!$C$139)*(D35-'Assumptions &amp; Results'!$C$139)</f>
        <v>0</v>
      </c>
      <c r="E41" s="8">
        <f>(E35&gt;'Assumptions &amp; Results'!$C$139)*(E35-'Assumptions &amp; Results'!$C$139)</f>
        <v>0</v>
      </c>
      <c r="F41" s="8">
        <f>(F35&gt;'Assumptions &amp; Results'!$C$139)*(F35-'Assumptions &amp; Results'!$C$139)</f>
        <v>0</v>
      </c>
      <c r="G41" s="8">
        <f>(G35&gt;'Assumptions &amp; Results'!$C$139)*(G35-'Assumptions &amp; Results'!$C$139)</f>
        <v>0</v>
      </c>
      <c r="H41" s="8">
        <f>(H35&gt;'Assumptions &amp; Results'!$C$139)*(H35-'Assumptions &amp; Results'!$C$139)</f>
        <v>0</v>
      </c>
      <c r="I41" s="8">
        <f>(I35&gt;'Assumptions &amp; Results'!$C$139)*(I35-'Assumptions &amp; Results'!$C$139)</f>
        <v>0</v>
      </c>
      <c r="J41" s="8">
        <f>(J35&gt;'Assumptions &amp; Results'!$C$139)*(J35-'Assumptions &amp; Results'!$C$139)</f>
        <v>0</v>
      </c>
      <c r="K41" s="8">
        <f>(K35&gt;'Assumptions &amp; Results'!$C$139)*(K35-'Assumptions &amp; Results'!$C$139)</f>
        <v>0</v>
      </c>
      <c r="L41" s="8">
        <f>(L35&gt;'Assumptions &amp; Results'!$C$139)*(L35-'Assumptions &amp; Results'!$C$139)</f>
        <v>0</v>
      </c>
      <c r="M41" s="8">
        <f>(M35&gt;'Assumptions &amp; Results'!$C$139)*(M35-'Assumptions &amp; Results'!$C$139)</f>
        <v>0</v>
      </c>
      <c r="N41" s="8">
        <f>(N35&gt;'Assumptions &amp; Results'!$C$139)*(N35-'Assumptions &amp; Results'!$C$139)</f>
        <v>0</v>
      </c>
      <c r="O41" s="8">
        <f>(O35&gt;'Assumptions &amp; Results'!$C$139)*(O35-'Assumptions &amp; Results'!$C$139)</f>
        <v>0</v>
      </c>
      <c r="P41" s="8">
        <f>(P35&gt;'Assumptions &amp; Results'!$C$139)*(P35-'Assumptions &amp; Results'!$C$139)</f>
        <v>0</v>
      </c>
      <c r="Q41" s="8">
        <f>(Q35&gt;'Assumptions &amp; Results'!$C$139)*(Q35-'Assumptions &amp; Results'!$C$139)</f>
        <v>0</v>
      </c>
      <c r="R41" s="8">
        <f>(R35&gt;'Assumptions &amp; Results'!$C$139)*(R35-'Assumptions &amp; Results'!$C$139)</f>
        <v>0</v>
      </c>
      <c r="S41" s="8">
        <f>(S35&gt;'Assumptions &amp; Results'!$C$139)*(S35-'Assumptions &amp; Results'!$C$139)</f>
        <v>0</v>
      </c>
      <c r="T41" s="8">
        <f>(T35&gt;'Assumptions &amp; Results'!$C$139)*(T35-'Assumptions &amp; Results'!$C$139)</f>
        <v>0</v>
      </c>
      <c r="U41" s="8">
        <f>(U35&gt;'Assumptions &amp; Results'!$C$139)*(U35-'Assumptions &amp; Results'!$C$139)</f>
        <v>0</v>
      </c>
      <c r="V41" s="8">
        <f>(V35&gt;'Assumptions &amp; Results'!$C$139)*(V35-'Assumptions &amp; Results'!$C$139)</f>
        <v>0</v>
      </c>
      <c r="W41" s="8">
        <f>(W35&gt;'Assumptions &amp; Results'!$C$139)*(W35-'Assumptions &amp; Results'!$C$139)</f>
        <v>0</v>
      </c>
      <c r="X41" s="8">
        <f>(X35&gt;'Assumptions &amp; Results'!$C$139)*(X35-'Assumptions &amp; Results'!$C$139)</f>
        <v>0</v>
      </c>
      <c r="Y41" s="8">
        <f>(Y35&gt;'Assumptions &amp; Results'!$C$139)*(Y35-'Assumptions &amp; Results'!$C$139)</f>
        <v>0</v>
      </c>
      <c r="Z41" s="8">
        <f>(Z35&gt;'Assumptions &amp; Results'!$C$139)*(Z35-'Assumptions &amp; Results'!$C$139)</f>
        <v>0</v>
      </c>
      <c r="AA41" s="8">
        <f>(AA35&gt;'Assumptions &amp; Results'!$C$139)*(AA35-'Assumptions &amp; Results'!$C$139)</f>
        <v>0</v>
      </c>
      <c r="AB41" s="8">
        <f>(AB35&gt;'Assumptions &amp; Results'!$C$139)*(AB35-'Assumptions &amp; Results'!$C$139)</f>
        <v>0</v>
      </c>
      <c r="AC41" s="8">
        <f>(AC35&gt;'Assumptions &amp; Results'!$C$139)*(AC35-'Assumptions &amp; Results'!$C$139)</f>
        <v>0</v>
      </c>
      <c r="AD41" s="8">
        <f>(AD35&gt;'Assumptions &amp; Results'!$C$139)*(AD35-'Assumptions &amp; Results'!$C$139)</f>
        <v>0</v>
      </c>
      <c r="AE41" s="8">
        <f>(AE35&gt;'Assumptions &amp; Results'!$C$139)*(AE35-'Assumptions &amp; Results'!$C$139)</f>
        <v>0</v>
      </c>
      <c r="AF41" s="8">
        <f>(AF35&gt;'Assumptions &amp; Results'!$C$139)*(AF35-'Assumptions &amp; Results'!$C$139)</f>
        <v>0</v>
      </c>
      <c r="AG41" s="8">
        <f>(AG35&gt;'Assumptions &amp; Results'!$C$139)*(AG35-'Assumptions &amp; Results'!$C$139)</f>
        <v>0</v>
      </c>
      <c r="AH41" s="8">
        <f>(AH35&gt;'Assumptions &amp; Results'!$C$139)*(AH35-'Assumptions &amp; Results'!$C$139)</f>
        <v>0</v>
      </c>
      <c r="AI41" s="8">
        <f>(AI35&gt;'Assumptions &amp; Results'!$C$139)*(AI35-'Assumptions &amp; Results'!$C$139)</f>
        <v>0</v>
      </c>
      <c r="AJ41" s="125"/>
    </row>
    <row r="42" spans="1:36" x14ac:dyDescent="0.2">
      <c r="A42" s="187" t="s">
        <v>261</v>
      </c>
      <c r="B42" s="79"/>
      <c r="C42" s="153">
        <f>SUMPRODUCT((C36:C41*'Assumptions &amp; Results'!$C$141:$C$146/(IF('Field 3 Fiscal'!C35&gt;0,'Field 3 Fiscal'!C35,1))))</f>
        <v>0</v>
      </c>
      <c r="D42" s="153">
        <f>SUMPRODUCT((D36:D41*'Assumptions &amp; Results'!$C$141:$C$146/(IF('Field 3 Fiscal'!D35&gt;0,'Field 3 Fiscal'!D35,1))))</f>
        <v>0</v>
      </c>
      <c r="E42" s="6">
        <f>SUMPRODUCT((E36:E41*'Assumptions &amp; Results'!$C$141:$C$146/(IF('Field 3 Fiscal'!E35&gt;0,'Field 3 Fiscal'!E35,1))))</f>
        <v>0</v>
      </c>
      <c r="F42" s="6">
        <f>SUMPRODUCT((F36:F41*'Assumptions &amp; Results'!$C$141:$C$146/(IF('Field 3 Fiscal'!F35&gt;0,'Field 3 Fiscal'!F35,1))))</f>
        <v>0</v>
      </c>
      <c r="G42" s="6">
        <f>SUMPRODUCT((G36:G41*'Assumptions &amp; Results'!$C$141:$C$146/(IF('Field 3 Fiscal'!G35&gt;0,'Field 3 Fiscal'!G35,1))))</f>
        <v>0</v>
      </c>
      <c r="H42" s="6">
        <f>SUMPRODUCT((H36:H41*'Assumptions &amp; Results'!$C$141:$C$146/(IF('Field 3 Fiscal'!H35&gt;0,'Field 3 Fiscal'!H35,1))))</f>
        <v>0</v>
      </c>
      <c r="I42" s="6">
        <f>SUMPRODUCT((I36:I41*'Assumptions &amp; Results'!$C$141:$C$146/(IF('Field 3 Fiscal'!I35&gt;0,'Field 3 Fiscal'!I35,1))))</f>
        <v>0</v>
      </c>
      <c r="J42" s="6">
        <f>SUMPRODUCT((J36:J41*'Assumptions &amp; Results'!$C$141:$C$146/(IF('Field 3 Fiscal'!J35&gt;0,'Field 3 Fiscal'!J35,1))))</f>
        <v>0</v>
      </c>
      <c r="K42" s="6">
        <f>SUMPRODUCT((K36:K41*'Assumptions &amp; Results'!$C$141:$C$146/(IF('Field 3 Fiscal'!K35&gt;0,'Field 3 Fiscal'!K35,1))))</f>
        <v>0</v>
      </c>
      <c r="L42" s="6">
        <f>SUMPRODUCT((L36:L41*'Assumptions &amp; Results'!$C$141:$C$146/(IF('Field 3 Fiscal'!L35&gt;0,'Field 3 Fiscal'!L35,1))))</f>
        <v>0</v>
      </c>
      <c r="M42" s="6">
        <f>SUMPRODUCT((M36:M41*'Assumptions &amp; Results'!$C$141:$C$146/(IF('Field 3 Fiscal'!M35&gt;0,'Field 3 Fiscal'!M35,1))))</f>
        <v>0</v>
      </c>
      <c r="N42" s="6">
        <f>SUMPRODUCT((N36:N41*'Assumptions &amp; Results'!$C$141:$C$146/(IF('Field 3 Fiscal'!N35&gt;0,'Field 3 Fiscal'!N35,1))))</f>
        <v>0</v>
      </c>
      <c r="O42" s="6">
        <f>SUMPRODUCT((O36:O41*'Assumptions &amp; Results'!$C$141:$C$146/(IF('Field 3 Fiscal'!O35&gt;0,'Field 3 Fiscal'!O35,1))))</f>
        <v>0</v>
      </c>
      <c r="P42" s="6">
        <f>SUMPRODUCT((P36:P41*'Assumptions &amp; Results'!$C$141:$C$146/(IF('Field 3 Fiscal'!P35&gt;0,'Field 3 Fiscal'!P35,1))))</f>
        <v>0</v>
      </c>
      <c r="Q42" s="6">
        <f>SUMPRODUCT((Q36:Q41*'Assumptions &amp; Results'!$C$141:$C$146/(IF('Field 3 Fiscal'!Q35&gt;0,'Field 3 Fiscal'!Q35,1))))</f>
        <v>0</v>
      </c>
      <c r="R42" s="6">
        <f>SUMPRODUCT((R36:R41*'Assumptions &amp; Results'!$C$141:$C$146/(IF('Field 3 Fiscal'!R35&gt;0,'Field 3 Fiscal'!R35,1))))</f>
        <v>0</v>
      </c>
      <c r="S42" s="6">
        <f>SUMPRODUCT((S36:S41*'Assumptions &amp; Results'!$C$141:$C$146/(IF('Field 3 Fiscal'!S35&gt;0,'Field 3 Fiscal'!S35,1))))</f>
        <v>0</v>
      </c>
      <c r="T42" s="6">
        <f>SUMPRODUCT((T36:T41*'Assumptions &amp; Results'!$C$141:$C$146/(IF('Field 3 Fiscal'!T35&gt;0,'Field 3 Fiscal'!T35,1))))</f>
        <v>0</v>
      </c>
      <c r="U42" s="6">
        <f>SUMPRODUCT((U36:U41*'Assumptions &amp; Results'!$C$141:$C$146/(IF('Field 3 Fiscal'!U35&gt;0,'Field 3 Fiscal'!U35,1))))</f>
        <v>0</v>
      </c>
      <c r="V42" s="6">
        <f>SUMPRODUCT((V36:V41*'Assumptions &amp; Results'!$C$141:$C$146/(IF('Field 3 Fiscal'!V35&gt;0,'Field 3 Fiscal'!V35,1))))</f>
        <v>0</v>
      </c>
      <c r="W42" s="6">
        <f>SUMPRODUCT((W36:W41*'Assumptions &amp; Results'!$C$141:$C$146/(IF('Field 3 Fiscal'!W35&gt;0,'Field 3 Fiscal'!W35,1))))</f>
        <v>0</v>
      </c>
      <c r="X42" s="6">
        <f>SUMPRODUCT((X36:X41*'Assumptions &amp; Results'!$C$141:$C$146/(IF('Field 3 Fiscal'!X35&gt;0,'Field 3 Fiscal'!X35,1))))</f>
        <v>0</v>
      </c>
      <c r="Y42" s="6">
        <f>SUMPRODUCT((Y36:Y41*'Assumptions &amp; Results'!$C$141:$C$146/(IF('Field 3 Fiscal'!Y35&gt;0,'Field 3 Fiscal'!Y35,1))))</f>
        <v>0</v>
      </c>
      <c r="Z42" s="6">
        <f>SUMPRODUCT((Z36:Z41*'Assumptions &amp; Results'!$C$141:$C$146/(IF('Field 3 Fiscal'!Z35&gt;0,'Field 3 Fiscal'!Z35,1))))</f>
        <v>0</v>
      </c>
      <c r="AA42" s="6">
        <f>SUMPRODUCT((AA36:AA41*'Assumptions &amp; Results'!$C$141:$C$146/(IF('Field 3 Fiscal'!AA35&gt;0,'Field 3 Fiscal'!AA35,1))))</f>
        <v>0</v>
      </c>
      <c r="AB42" s="6">
        <f>SUMPRODUCT((AB36:AB41*'Assumptions &amp; Results'!$C$141:$C$146/(IF('Field 3 Fiscal'!AB35&gt;0,'Field 3 Fiscal'!AB35,1))))</f>
        <v>0</v>
      </c>
      <c r="AC42" s="6">
        <f>SUMPRODUCT((AC36:AC41*'Assumptions &amp; Results'!$C$141:$C$146/(IF('Field 3 Fiscal'!AC35&gt;0,'Field 3 Fiscal'!AC35,1))))</f>
        <v>0</v>
      </c>
      <c r="AD42" s="6">
        <f>SUMPRODUCT((AD36:AD41*'Assumptions &amp; Results'!$C$141:$C$146/(IF('Field 3 Fiscal'!AD35&gt;0,'Field 3 Fiscal'!AD35,1))))</f>
        <v>0</v>
      </c>
      <c r="AE42" s="6">
        <f>SUMPRODUCT((AE36:AE41*'Assumptions &amp; Results'!$C$141:$C$146/(IF('Field 3 Fiscal'!AE35&gt;0,'Field 3 Fiscal'!AE35,1))))</f>
        <v>0</v>
      </c>
      <c r="AF42" s="6">
        <f>SUMPRODUCT((AF36:AF41*'Assumptions &amp; Results'!$C$141:$C$146/(IF('Field 3 Fiscal'!AF35&gt;0,'Field 3 Fiscal'!AF35,1))))</f>
        <v>0</v>
      </c>
      <c r="AG42" s="6">
        <f>SUMPRODUCT((AG36:AG41*'Assumptions &amp; Results'!$C$141:$C$146/(IF('Field 3 Fiscal'!AG35&gt;0,'Field 3 Fiscal'!AG35,1))))</f>
        <v>0</v>
      </c>
      <c r="AH42" s="6">
        <f>SUMPRODUCT((AH36:AH41*'Assumptions &amp; Results'!$C$141:$C$146/(IF('Field 3 Fiscal'!AH35&gt;0,'Field 3 Fiscal'!AH35,1))))</f>
        <v>0</v>
      </c>
      <c r="AI42" s="6">
        <f>SUMPRODUCT((AI36:AI41*'Assumptions &amp; Results'!$C$141:$C$146/(IF('Field 3 Fiscal'!AI35&gt;0,'Field 3 Fiscal'!AI35,1))))</f>
        <v>0</v>
      </c>
      <c r="AJ42" s="168"/>
    </row>
    <row r="43" spans="1:36" x14ac:dyDescent="0.2">
      <c r="A43" s="78"/>
      <c r="B43" s="79"/>
      <c r="C43" s="84"/>
      <c r="D43" s="84"/>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125"/>
    </row>
    <row r="44" spans="1:36" x14ac:dyDescent="0.25">
      <c r="A44" s="79" t="s">
        <v>262</v>
      </c>
      <c r="B44" s="192" t="s">
        <v>99</v>
      </c>
      <c r="C44" s="84">
        <f>C7-C22</f>
        <v>0</v>
      </c>
      <c r="D44" s="84">
        <f t="shared" ref="D44:AI44" si="9">D7-D22</f>
        <v>0</v>
      </c>
      <c r="E44" s="8">
        <f t="shared" si="9"/>
        <v>0</v>
      </c>
      <c r="F44" s="8">
        <f t="shared" si="9"/>
        <v>0</v>
      </c>
      <c r="G44" s="8">
        <f t="shared" si="9"/>
        <v>0</v>
      </c>
      <c r="H44" s="8">
        <f t="shared" si="9"/>
        <v>0</v>
      </c>
      <c r="I44" s="8">
        <f t="shared" si="9"/>
        <v>0</v>
      </c>
      <c r="J44" s="8">
        <f t="shared" si="9"/>
        <v>0</v>
      </c>
      <c r="K44" s="8">
        <f t="shared" si="9"/>
        <v>0</v>
      </c>
      <c r="L44" s="8">
        <f t="shared" si="9"/>
        <v>0</v>
      </c>
      <c r="M44" s="8">
        <f t="shared" si="9"/>
        <v>0</v>
      </c>
      <c r="N44" s="8">
        <f t="shared" si="9"/>
        <v>0</v>
      </c>
      <c r="O44" s="8">
        <f t="shared" si="9"/>
        <v>0</v>
      </c>
      <c r="P44" s="8">
        <f t="shared" si="9"/>
        <v>0</v>
      </c>
      <c r="Q44" s="8">
        <f t="shared" si="9"/>
        <v>0</v>
      </c>
      <c r="R44" s="8">
        <f t="shared" si="9"/>
        <v>0</v>
      </c>
      <c r="S44" s="8">
        <f t="shared" si="9"/>
        <v>0</v>
      </c>
      <c r="T44" s="8">
        <f t="shared" si="9"/>
        <v>0</v>
      </c>
      <c r="U44" s="8">
        <f t="shared" si="9"/>
        <v>0</v>
      </c>
      <c r="V44" s="8">
        <f t="shared" si="9"/>
        <v>0</v>
      </c>
      <c r="W44" s="8">
        <f t="shared" si="9"/>
        <v>0</v>
      </c>
      <c r="X44" s="8">
        <f t="shared" si="9"/>
        <v>0</v>
      </c>
      <c r="Y44" s="8">
        <f t="shared" si="9"/>
        <v>0</v>
      </c>
      <c r="Z44" s="8">
        <f t="shared" si="9"/>
        <v>0</v>
      </c>
      <c r="AA44" s="8">
        <f t="shared" si="9"/>
        <v>0</v>
      </c>
      <c r="AB44" s="8">
        <f t="shared" si="9"/>
        <v>0</v>
      </c>
      <c r="AC44" s="8">
        <f t="shared" si="9"/>
        <v>0</v>
      </c>
      <c r="AD44" s="8">
        <f t="shared" si="9"/>
        <v>0</v>
      </c>
      <c r="AE44" s="8">
        <f t="shared" si="9"/>
        <v>0</v>
      </c>
      <c r="AF44" s="8">
        <f t="shared" si="9"/>
        <v>0</v>
      </c>
      <c r="AG44" s="8">
        <f t="shared" si="9"/>
        <v>0</v>
      </c>
      <c r="AH44" s="8">
        <f t="shared" si="9"/>
        <v>0</v>
      </c>
      <c r="AI44" s="8">
        <f t="shared" si="9"/>
        <v>0</v>
      </c>
      <c r="AJ44" s="125">
        <f t="shared" ref="AJ44:AJ51" si="10">SUM(C44:AI44)</f>
        <v>0</v>
      </c>
    </row>
    <row r="45" spans="1:36" x14ac:dyDescent="0.25">
      <c r="A45" s="79" t="s">
        <v>263</v>
      </c>
      <c r="B45" s="192" t="s">
        <v>99</v>
      </c>
      <c r="C45" s="84">
        <f>IF('Assumptions &amp; Results'!$C$130=1,C32*C44,'Field 3 Fiscal'!C42*C44)</f>
        <v>0</v>
      </c>
      <c r="D45" s="84">
        <f>IF('Assumptions &amp; Results'!$C$130=1,D32*D44,'Field 3 Fiscal'!D42*D44)</f>
        <v>0</v>
      </c>
      <c r="E45" s="8">
        <f>IF('Assumptions &amp; Results'!$C$130=1,E32*E44,'Field 3 Fiscal'!E42*E44)</f>
        <v>0</v>
      </c>
      <c r="F45" s="8">
        <f>IF('Assumptions &amp; Results'!$C$130=1,F32*F44,'Field 3 Fiscal'!F42*F44)</f>
        <v>0</v>
      </c>
      <c r="G45" s="8">
        <f>IF('Assumptions &amp; Results'!$C$130=1,G32*G44,'Field 3 Fiscal'!G42*G44)</f>
        <v>0</v>
      </c>
      <c r="H45" s="8">
        <f>IF('Assumptions &amp; Results'!$C$130=1,H32*H44,'Field 3 Fiscal'!H42*H44)</f>
        <v>0</v>
      </c>
      <c r="I45" s="8">
        <f>IF('Assumptions &amp; Results'!$C$130=1,I32*I44,'Field 3 Fiscal'!I42*I44)</f>
        <v>0</v>
      </c>
      <c r="J45" s="8">
        <f>IF('Assumptions &amp; Results'!$C$130=1,J32*J44,'Field 3 Fiscal'!J42*J44)</f>
        <v>0</v>
      </c>
      <c r="K45" s="8">
        <f>IF('Assumptions &amp; Results'!$C$130=1,K32*K44,'Field 3 Fiscal'!K42*K44)</f>
        <v>0</v>
      </c>
      <c r="L45" s="8">
        <f>IF('Assumptions &amp; Results'!$C$130=1,L32*L44,'Field 3 Fiscal'!L42*L44)</f>
        <v>0</v>
      </c>
      <c r="M45" s="8">
        <f>IF('Assumptions &amp; Results'!$C$130=1,M32*M44,'Field 3 Fiscal'!M42*M44)</f>
        <v>0</v>
      </c>
      <c r="N45" s="8">
        <f>IF('Assumptions &amp; Results'!$C$130=1,N32*N44,'Field 3 Fiscal'!N42*N44)</f>
        <v>0</v>
      </c>
      <c r="O45" s="8">
        <f>IF('Assumptions &amp; Results'!$C$130=1,O32*O44,'Field 3 Fiscal'!O42*O44)</f>
        <v>0</v>
      </c>
      <c r="P45" s="8">
        <f>IF('Assumptions &amp; Results'!$C$130=1,P32*P44,'Field 3 Fiscal'!P42*P44)</f>
        <v>0</v>
      </c>
      <c r="Q45" s="8">
        <f>IF('Assumptions &amp; Results'!$C$130=1,Q32*Q44,'Field 3 Fiscal'!Q42*Q44)</f>
        <v>0</v>
      </c>
      <c r="R45" s="8">
        <f>IF('Assumptions &amp; Results'!$C$130=1,R32*R44,'Field 3 Fiscal'!R42*R44)</f>
        <v>0</v>
      </c>
      <c r="S45" s="8">
        <f>IF('Assumptions &amp; Results'!$C$130=1,S32*S44,'Field 3 Fiscal'!S42*S44)</f>
        <v>0</v>
      </c>
      <c r="T45" s="8">
        <f>IF('Assumptions &amp; Results'!$C$130=1,T32*T44,'Field 3 Fiscal'!T42*T44)</f>
        <v>0</v>
      </c>
      <c r="U45" s="8">
        <f>IF('Assumptions &amp; Results'!$C$130=1,U32*U44,'Field 3 Fiscal'!U42*U44)</f>
        <v>0</v>
      </c>
      <c r="V45" s="8">
        <f>IF('Assumptions &amp; Results'!$C$130=1,V32*V44,'Field 3 Fiscal'!V42*V44)</f>
        <v>0</v>
      </c>
      <c r="W45" s="8">
        <f>IF('Assumptions &amp; Results'!$C$130=1,W32*W44,'Field 3 Fiscal'!W42*W44)</f>
        <v>0</v>
      </c>
      <c r="X45" s="8">
        <f>IF('Assumptions &amp; Results'!$C$130=1,X32*X44,'Field 3 Fiscal'!X42*X44)</f>
        <v>0</v>
      </c>
      <c r="Y45" s="8">
        <f>IF('Assumptions &amp; Results'!$C$130=1,Y32*Y44,'Field 3 Fiscal'!Y42*Y44)</f>
        <v>0</v>
      </c>
      <c r="Z45" s="8">
        <f>IF('Assumptions &amp; Results'!$C$130=1,Z32*Z44,'Field 3 Fiscal'!Z42*Z44)</f>
        <v>0</v>
      </c>
      <c r="AA45" s="8">
        <f>IF('Assumptions &amp; Results'!$C$130=1,AA32*AA44,'Field 3 Fiscal'!AA42*AA44)</f>
        <v>0</v>
      </c>
      <c r="AB45" s="8">
        <f>IF('Assumptions &amp; Results'!$C$130=1,AB32*AB44,'Field 3 Fiscal'!AB42*AB44)</f>
        <v>0</v>
      </c>
      <c r="AC45" s="8">
        <f>IF('Assumptions &amp; Results'!$C$130=1,AC32*AC44,'Field 3 Fiscal'!AC42*AC44)</f>
        <v>0</v>
      </c>
      <c r="AD45" s="8">
        <f>IF('Assumptions &amp; Results'!$C$130=1,AD32*AD44,'Field 3 Fiscal'!AD42*AD44)</f>
        <v>0</v>
      </c>
      <c r="AE45" s="8">
        <f>IF('Assumptions &amp; Results'!$C$130=1,AE32*AE44,'Field 3 Fiscal'!AE42*AE44)</f>
        <v>0</v>
      </c>
      <c r="AF45" s="8">
        <f>IF('Assumptions &amp; Results'!$C$130=1,AF32*AF44,'Field 3 Fiscal'!AF42*AF44)</f>
        <v>0</v>
      </c>
      <c r="AG45" s="8">
        <f>IF('Assumptions &amp; Results'!$C$130=1,AG32*AG44,'Field 3 Fiscal'!AG42*AG44)</f>
        <v>0</v>
      </c>
      <c r="AH45" s="8">
        <f>IF('Assumptions &amp; Results'!$C$130=1,AH32*AH44,'Field 3 Fiscal'!AH42*AH44)</f>
        <v>0</v>
      </c>
      <c r="AI45" s="8">
        <f>IF('Assumptions &amp; Results'!$C$130=1,AI32*AI44,'Field 3 Fiscal'!AI42*AI44)</f>
        <v>0</v>
      </c>
      <c r="AJ45" s="125">
        <f t="shared" si="10"/>
        <v>0</v>
      </c>
    </row>
    <row r="46" spans="1:36" x14ac:dyDescent="0.25">
      <c r="A46" s="79" t="s">
        <v>264</v>
      </c>
      <c r="B46" s="192" t="s">
        <v>99</v>
      </c>
      <c r="C46" s="84">
        <f>C44-C45</f>
        <v>0</v>
      </c>
      <c r="D46" s="84">
        <f t="shared" ref="D46:AI46" si="11">D44-D45</f>
        <v>0</v>
      </c>
      <c r="E46" s="8">
        <f t="shared" si="11"/>
        <v>0</v>
      </c>
      <c r="F46" s="8">
        <f t="shared" si="11"/>
        <v>0</v>
      </c>
      <c r="G46" s="8">
        <f t="shared" si="11"/>
        <v>0</v>
      </c>
      <c r="H46" s="8">
        <f t="shared" si="11"/>
        <v>0</v>
      </c>
      <c r="I46" s="8">
        <f t="shared" si="11"/>
        <v>0</v>
      </c>
      <c r="J46" s="8">
        <f t="shared" si="11"/>
        <v>0</v>
      </c>
      <c r="K46" s="8">
        <f t="shared" si="11"/>
        <v>0</v>
      </c>
      <c r="L46" s="8">
        <f t="shared" si="11"/>
        <v>0</v>
      </c>
      <c r="M46" s="8">
        <f t="shared" si="11"/>
        <v>0</v>
      </c>
      <c r="N46" s="8">
        <f t="shared" si="11"/>
        <v>0</v>
      </c>
      <c r="O46" s="8">
        <f t="shared" si="11"/>
        <v>0</v>
      </c>
      <c r="P46" s="8">
        <f t="shared" si="11"/>
        <v>0</v>
      </c>
      <c r="Q46" s="8">
        <f t="shared" si="11"/>
        <v>0</v>
      </c>
      <c r="R46" s="8">
        <f t="shared" si="11"/>
        <v>0</v>
      </c>
      <c r="S46" s="8">
        <f t="shared" si="11"/>
        <v>0</v>
      </c>
      <c r="T46" s="8">
        <f t="shared" si="11"/>
        <v>0</v>
      </c>
      <c r="U46" s="8">
        <f t="shared" si="11"/>
        <v>0</v>
      </c>
      <c r="V46" s="8">
        <f t="shared" si="11"/>
        <v>0</v>
      </c>
      <c r="W46" s="8">
        <f t="shared" si="11"/>
        <v>0</v>
      </c>
      <c r="X46" s="8">
        <f t="shared" si="11"/>
        <v>0</v>
      </c>
      <c r="Y46" s="8">
        <f t="shared" si="11"/>
        <v>0</v>
      </c>
      <c r="Z46" s="8">
        <f t="shared" si="11"/>
        <v>0</v>
      </c>
      <c r="AA46" s="8">
        <f t="shared" si="11"/>
        <v>0</v>
      </c>
      <c r="AB46" s="8">
        <f t="shared" si="11"/>
        <v>0</v>
      </c>
      <c r="AC46" s="8">
        <f t="shared" si="11"/>
        <v>0</v>
      </c>
      <c r="AD46" s="8">
        <f t="shared" si="11"/>
        <v>0</v>
      </c>
      <c r="AE46" s="8">
        <f t="shared" si="11"/>
        <v>0</v>
      </c>
      <c r="AF46" s="8">
        <f t="shared" si="11"/>
        <v>0</v>
      </c>
      <c r="AG46" s="8">
        <f t="shared" si="11"/>
        <v>0</v>
      </c>
      <c r="AH46" s="8">
        <f t="shared" si="11"/>
        <v>0</v>
      </c>
      <c r="AI46" s="8">
        <f t="shared" si="11"/>
        <v>0</v>
      </c>
      <c r="AJ46" s="125">
        <f t="shared" si="10"/>
        <v>0</v>
      </c>
    </row>
    <row r="47" spans="1:36" x14ac:dyDescent="0.25">
      <c r="A47" s="79"/>
      <c r="B47" s="79"/>
      <c r="C47" s="84"/>
      <c r="D47" s="84"/>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125"/>
    </row>
    <row r="48" spans="1:36" x14ac:dyDescent="0.25">
      <c r="A48" s="79" t="s">
        <v>265</v>
      </c>
      <c r="B48" s="192" t="s">
        <v>99</v>
      </c>
      <c r="C48" s="84">
        <f>C22+C46-C9-C16-C26-C17-C10</f>
        <v>0</v>
      </c>
      <c r="D48" s="84">
        <f t="shared" ref="D48:AI48" si="12">D22+D46-D9-D16-D26-D17-D10</f>
        <v>0</v>
      </c>
      <c r="E48" s="84">
        <f t="shared" si="12"/>
        <v>0</v>
      </c>
      <c r="F48" s="84">
        <f t="shared" si="12"/>
        <v>0</v>
      </c>
      <c r="G48" s="84">
        <f t="shared" si="12"/>
        <v>0</v>
      </c>
      <c r="H48" s="84">
        <f t="shared" si="12"/>
        <v>0</v>
      </c>
      <c r="I48" s="84">
        <f t="shared" si="12"/>
        <v>0</v>
      </c>
      <c r="J48" s="84">
        <f t="shared" si="12"/>
        <v>0</v>
      </c>
      <c r="K48" s="84">
        <f t="shared" si="12"/>
        <v>0</v>
      </c>
      <c r="L48" s="84">
        <f t="shared" si="12"/>
        <v>0</v>
      </c>
      <c r="M48" s="84">
        <f t="shared" si="12"/>
        <v>0</v>
      </c>
      <c r="N48" s="84">
        <f t="shared" si="12"/>
        <v>0</v>
      </c>
      <c r="O48" s="84">
        <f t="shared" si="12"/>
        <v>0</v>
      </c>
      <c r="P48" s="84">
        <f t="shared" si="12"/>
        <v>0</v>
      </c>
      <c r="Q48" s="84">
        <f t="shared" si="12"/>
        <v>0</v>
      </c>
      <c r="R48" s="84">
        <f t="shared" si="12"/>
        <v>0</v>
      </c>
      <c r="S48" s="84">
        <f t="shared" si="12"/>
        <v>0</v>
      </c>
      <c r="T48" s="84">
        <f t="shared" si="12"/>
        <v>0</v>
      </c>
      <c r="U48" s="84">
        <f t="shared" si="12"/>
        <v>0</v>
      </c>
      <c r="V48" s="84">
        <f t="shared" si="12"/>
        <v>0</v>
      </c>
      <c r="W48" s="84">
        <f t="shared" si="12"/>
        <v>0</v>
      </c>
      <c r="X48" s="84">
        <f t="shared" si="12"/>
        <v>0</v>
      </c>
      <c r="Y48" s="84">
        <f t="shared" si="12"/>
        <v>0</v>
      </c>
      <c r="Z48" s="84">
        <f t="shared" si="12"/>
        <v>0</v>
      </c>
      <c r="AA48" s="84">
        <f t="shared" si="12"/>
        <v>0</v>
      </c>
      <c r="AB48" s="84">
        <f t="shared" si="12"/>
        <v>0</v>
      </c>
      <c r="AC48" s="84">
        <f t="shared" si="12"/>
        <v>0</v>
      </c>
      <c r="AD48" s="84">
        <f t="shared" si="12"/>
        <v>0</v>
      </c>
      <c r="AE48" s="84">
        <f t="shared" si="12"/>
        <v>0</v>
      </c>
      <c r="AF48" s="84">
        <f t="shared" si="12"/>
        <v>0</v>
      </c>
      <c r="AG48" s="84">
        <f t="shared" si="12"/>
        <v>0</v>
      </c>
      <c r="AH48" s="84">
        <f t="shared" si="12"/>
        <v>0</v>
      </c>
      <c r="AI48" s="84">
        <f t="shared" si="12"/>
        <v>0</v>
      </c>
      <c r="AJ48" s="125">
        <f t="shared" si="10"/>
        <v>0</v>
      </c>
    </row>
    <row r="49" spans="1:36" x14ac:dyDescent="0.25">
      <c r="A49" s="79" t="s">
        <v>266</v>
      </c>
      <c r="B49" s="192" t="s">
        <v>99</v>
      </c>
      <c r="C49" s="84">
        <f>IF(C48&lt;0,C48,0)</f>
        <v>0</v>
      </c>
      <c r="D49" s="84">
        <f>IF((D48+C49)&lt;0,(D48+C49),0)</f>
        <v>0</v>
      </c>
      <c r="E49" s="8">
        <f t="shared" ref="E49:AI49" si="13">IF((E48+D49)&lt;0,(E48+D49),0)</f>
        <v>0</v>
      </c>
      <c r="F49" s="8">
        <f t="shared" si="13"/>
        <v>0</v>
      </c>
      <c r="G49" s="8">
        <f t="shared" si="13"/>
        <v>0</v>
      </c>
      <c r="H49" s="8">
        <f t="shared" si="13"/>
        <v>0</v>
      </c>
      <c r="I49" s="8">
        <f t="shared" si="13"/>
        <v>0</v>
      </c>
      <c r="J49" s="8">
        <f t="shared" si="13"/>
        <v>0</v>
      </c>
      <c r="K49" s="8">
        <f t="shared" si="13"/>
        <v>0</v>
      </c>
      <c r="L49" s="8">
        <f t="shared" si="13"/>
        <v>0</v>
      </c>
      <c r="M49" s="8">
        <f t="shared" si="13"/>
        <v>0</v>
      </c>
      <c r="N49" s="8">
        <f t="shared" si="13"/>
        <v>0</v>
      </c>
      <c r="O49" s="8">
        <f t="shared" si="13"/>
        <v>0</v>
      </c>
      <c r="P49" s="8">
        <f t="shared" si="13"/>
        <v>0</v>
      </c>
      <c r="Q49" s="8">
        <f t="shared" si="13"/>
        <v>0</v>
      </c>
      <c r="R49" s="8">
        <f t="shared" si="13"/>
        <v>0</v>
      </c>
      <c r="S49" s="8">
        <f t="shared" si="13"/>
        <v>0</v>
      </c>
      <c r="T49" s="8">
        <f t="shared" si="13"/>
        <v>0</v>
      </c>
      <c r="U49" s="8">
        <f t="shared" si="13"/>
        <v>0</v>
      </c>
      <c r="V49" s="8">
        <f t="shared" si="13"/>
        <v>0</v>
      </c>
      <c r="W49" s="8">
        <f t="shared" si="13"/>
        <v>0</v>
      </c>
      <c r="X49" s="8">
        <f t="shared" si="13"/>
        <v>0</v>
      </c>
      <c r="Y49" s="8">
        <f t="shared" si="13"/>
        <v>0</v>
      </c>
      <c r="Z49" s="8">
        <f t="shared" si="13"/>
        <v>0</v>
      </c>
      <c r="AA49" s="8">
        <f t="shared" si="13"/>
        <v>0</v>
      </c>
      <c r="AB49" s="8">
        <f t="shared" si="13"/>
        <v>0</v>
      </c>
      <c r="AC49" s="8">
        <f t="shared" si="13"/>
        <v>0</v>
      </c>
      <c r="AD49" s="8">
        <f t="shared" si="13"/>
        <v>0</v>
      </c>
      <c r="AE49" s="8">
        <f t="shared" si="13"/>
        <v>0</v>
      </c>
      <c r="AF49" s="8">
        <f t="shared" si="13"/>
        <v>0</v>
      </c>
      <c r="AG49" s="8">
        <f t="shared" si="13"/>
        <v>0</v>
      </c>
      <c r="AH49" s="8">
        <f t="shared" si="13"/>
        <v>0</v>
      </c>
      <c r="AI49" s="8">
        <f t="shared" si="13"/>
        <v>0</v>
      </c>
      <c r="AJ49" s="125"/>
    </row>
    <row r="50" spans="1:36" x14ac:dyDescent="0.25">
      <c r="A50" s="79" t="s">
        <v>267</v>
      </c>
      <c r="B50" s="192" t="s">
        <v>99</v>
      </c>
      <c r="C50" s="84"/>
      <c r="D50" s="84">
        <f t="shared" ref="D50:I50" si="14">IF((D48+C49)&gt;0,(D48+C49),0)</f>
        <v>0</v>
      </c>
      <c r="E50" s="8">
        <f t="shared" si="14"/>
        <v>0</v>
      </c>
      <c r="F50" s="8">
        <f t="shared" si="14"/>
        <v>0</v>
      </c>
      <c r="G50" s="8">
        <f t="shared" si="14"/>
        <v>0</v>
      </c>
      <c r="H50" s="8">
        <f t="shared" si="14"/>
        <v>0</v>
      </c>
      <c r="I50" s="8">
        <f t="shared" si="14"/>
        <v>0</v>
      </c>
      <c r="J50" s="8">
        <f>IF((J48+I49)&gt;0,(J48+I49),0)</f>
        <v>0</v>
      </c>
      <c r="K50" s="8">
        <f t="shared" ref="K50:AI50" si="15">IF((K48+J49)&gt;0,(K48+J49),0)</f>
        <v>0</v>
      </c>
      <c r="L50" s="8">
        <f t="shared" si="15"/>
        <v>0</v>
      </c>
      <c r="M50" s="8">
        <f t="shared" si="15"/>
        <v>0</v>
      </c>
      <c r="N50" s="8">
        <f t="shared" si="15"/>
        <v>0</v>
      </c>
      <c r="O50" s="8">
        <f t="shared" si="15"/>
        <v>0</v>
      </c>
      <c r="P50" s="8">
        <f t="shared" si="15"/>
        <v>0</v>
      </c>
      <c r="Q50" s="8">
        <f t="shared" si="15"/>
        <v>0</v>
      </c>
      <c r="R50" s="8">
        <f t="shared" si="15"/>
        <v>0</v>
      </c>
      <c r="S50" s="8">
        <f t="shared" si="15"/>
        <v>0</v>
      </c>
      <c r="T50" s="8">
        <f t="shared" si="15"/>
        <v>0</v>
      </c>
      <c r="U50" s="8">
        <f t="shared" si="15"/>
        <v>0</v>
      </c>
      <c r="V50" s="8">
        <f t="shared" si="15"/>
        <v>0</v>
      </c>
      <c r="W50" s="8">
        <f t="shared" si="15"/>
        <v>0</v>
      </c>
      <c r="X50" s="8">
        <f t="shared" si="15"/>
        <v>0</v>
      </c>
      <c r="Y50" s="8">
        <f t="shared" si="15"/>
        <v>0</v>
      </c>
      <c r="Z50" s="8">
        <f t="shared" si="15"/>
        <v>0</v>
      </c>
      <c r="AA50" s="8">
        <f t="shared" si="15"/>
        <v>0</v>
      </c>
      <c r="AB50" s="8">
        <f t="shared" si="15"/>
        <v>0</v>
      </c>
      <c r="AC50" s="8">
        <f t="shared" si="15"/>
        <v>0</v>
      </c>
      <c r="AD50" s="8">
        <f t="shared" si="15"/>
        <v>0</v>
      </c>
      <c r="AE50" s="8">
        <f t="shared" si="15"/>
        <v>0</v>
      </c>
      <c r="AF50" s="8">
        <f t="shared" si="15"/>
        <v>0</v>
      </c>
      <c r="AG50" s="8">
        <f t="shared" si="15"/>
        <v>0</v>
      </c>
      <c r="AH50" s="8">
        <f t="shared" si="15"/>
        <v>0</v>
      </c>
      <c r="AI50" s="8">
        <f t="shared" si="15"/>
        <v>0</v>
      </c>
      <c r="AJ50" s="125">
        <f t="shared" si="10"/>
        <v>0</v>
      </c>
    </row>
    <row r="51" spans="1:36" x14ac:dyDescent="0.25">
      <c r="A51" s="79" t="s">
        <v>268</v>
      </c>
      <c r="B51" s="192" t="s">
        <v>99</v>
      </c>
      <c r="C51" s="84">
        <f>C50*('Assumptions &amp; Results'!$C$122-'Assumptions &amp; Results'!D128)</f>
        <v>0</v>
      </c>
      <c r="D51" s="84">
        <f>D50*('Assumptions &amp; Results'!$C$122-'Assumptions &amp; Results'!E128)</f>
        <v>0</v>
      </c>
      <c r="E51" s="8">
        <f>E50*('Assumptions &amp; Results'!$C$122-'Assumptions &amp; Results'!F128)</f>
        <v>0</v>
      </c>
      <c r="F51" s="8">
        <f>F50*('Assumptions &amp; Results'!$C$122-'Assumptions &amp; Results'!G128)</f>
        <v>0</v>
      </c>
      <c r="G51" s="8">
        <f>G50*('Assumptions &amp; Results'!$C$122-'Assumptions &amp; Results'!H128)</f>
        <v>0</v>
      </c>
      <c r="H51" s="8">
        <f>H50*('Assumptions &amp; Results'!$C$122-'Assumptions &amp; Results'!I128)</f>
        <v>0</v>
      </c>
      <c r="I51" s="8">
        <f>I50*('Assumptions &amp; Results'!$C$122-'Assumptions &amp; Results'!J128)</f>
        <v>0</v>
      </c>
      <c r="J51" s="8">
        <f>J50*('Assumptions &amp; Results'!$C$122-'Assumptions &amp; Results'!K128)</f>
        <v>0</v>
      </c>
      <c r="K51" s="8">
        <f>K50*('Assumptions &amp; Results'!$C$122-'Assumptions &amp; Results'!L128)</f>
        <v>0</v>
      </c>
      <c r="L51" s="8">
        <f>L50*('Assumptions &amp; Results'!$C$122-'Assumptions &amp; Results'!M128)</f>
        <v>0</v>
      </c>
      <c r="M51" s="8">
        <f>M50*('Assumptions &amp; Results'!$C$122-'Assumptions &amp; Results'!N128)</f>
        <v>0</v>
      </c>
      <c r="N51" s="8">
        <f>N50*('Assumptions &amp; Results'!$C$122-'Assumptions &amp; Results'!O128)</f>
        <v>0</v>
      </c>
      <c r="O51" s="8">
        <f>O50*('Assumptions &amp; Results'!$C$122-'Assumptions &amp; Results'!P128)</f>
        <v>0</v>
      </c>
      <c r="P51" s="8">
        <f>P50*('Assumptions &amp; Results'!$C$122-'Assumptions &amp; Results'!Q128)</f>
        <v>0</v>
      </c>
      <c r="Q51" s="8">
        <f>Q50*('Assumptions &amp; Results'!$C$122-'Assumptions &amp; Results'!R128)</f>
        <v>0</v>
      </c>
      <c r="R51" s="8">
        <f>R50*('Assumptions &amp; Results'!$C$122-'Assumptions &amp; Results'!S128)</f>
        <v>0</v>
      </c>
      <c r="S51" s="8">
        <f>S50*('Assumptions &amp; Results'!$C$122-'Assumptions &amp; Results'!T128)</f>
        <v>0</v>
      </c>
      <c r="T51" s="8">
        <f>T50*('Assumptions &amp; Results'!$C$122-'Assumptions &amp; Results'!U128)</f>
        <v>0</v>
      </c>
      <c r="U51" s="8">
        <f>U50*('Assumptions &amp; Results'!$C$122-'Assumptions &amp; Results'!V128)</f>
        <v>0</v>
      </c>
      <c r="V51" s="8">
        <f>V50*('Assumptions &amp; Results'!$C$122-'Assumptions &amp; Results'!W128)</f>
        <v>0</v>
      </c>
      <c r="W51" s="8">
        <f>W50*('Assumptions &amp; Results'!$C$122-'Assumptions &amp; Results'!X128)</f>
        <v>0</v>
      </c>
      <c r="X51" s="8">
        <f>X50*('Assumptions &amp; Results'!$C$122-'Assumptions &amp; Results'!Y128)</f>
        <v>0</v>
      </c>
      <c r="Y51" s="8">
        <f>Y50*('Assumptions &amp; Results'!$C$122-'Assumptions &amp; Results'!Z128)</f>
        <v>0</v>
      </c>
      <c r="Z51" s="8">
        <f>Z50*('Assumptions &amp; Results'!$C$122-'Assumptions &amp; Results'!AA128)</f>
        <v>0</v>
      </c>
      <c r="AA51" s="8">
        <f>AA50*('Assumptions &amp; Results'!$C$122-'Assumptions &amp; Results'!AB128)</f>
        <v>0</v>
      </c>
      <c r="AB51" s="8">
        <f>AB50*('Assumptions &amp; Results'!$C$122-'Assumptions &amp; Results'!AC128)</f>
        <v>0</v>
      </c>
      <c r="AC51" s="8">
        <f>AC50*('Assumptions &amp; Results'!$C$122-'Assumptions &amp; Results'!AD128)</f>
        <v>0</v>
      </c>
      <c r="AD51" s="8">
        <f>AD50*('Assumptions &amp; Results'!$C$122-'Assumptions &amp; Results'!AE128)</f>
        <v>0</v>
      </c>
      <c r="AE51" s="8">
        <f>AE50*('Assumptions &amp; Results'!$C$122-'Assumptions &amp; Results'!AF128)</f>
        <v>0</v>
      </c>
      <c r="AF51" s="8">
        <f>AF50*('Assumptions &amp; Results'!$C$122-'Assumptions &amp; Results'!AG128)</f>
        <v>0</v>
      </c>
      <c r="AG51" s="8">
        <f>AG50*('Assumptions &amp; Results'!$C$122-'Assumptions &amp; Results'!AH128)</f>
        <v>0</v>
      </c>
      <c r="AH51" s="8">
        <f>AH50*('Assumptions &amp; Results'!$C$122-'Assumptions &amp; Results'!AI128)</f>
        <v>0</v>
      </c>
      <c r="AI51" s="8">
        <f>AI50*('Assumptions &amp; Results'!$C$122-'Assumptions &amp; Results'!AJ128)</f>
        <v>0</v>
      </c>
      <c r="AJ51" s="125">
        <f t="shared" si="10"/>
        <v>0</v>
      </c>
    </row>
    <row r="52" spans="1:36" x14ac:dyDescent="0.25">
      <c r="A52" s="79"/>
      <c r="B52" s="79"/>
      <c r="C52" s="84"/>
      <c r="D52" s="84"/>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125"/>
    </row>
    <row r="53" spans="1:36" x14ac:dyDescent="0.25">
      <c r="A53" s="79"/>
      <c r="B53" s="79"/>
      <c r="C53" s="79"/>
      <c r="D53" s="79"/>
    </row>
    <row r="54" spans="1:36" x14ac:dyDescent="0.25">
      <c r="A54" s="79"/>
      <c r="B54" s="79"/>
      <c r="C54" s="79"/>
      <c r="D54" s="79"/>
    </row>
    <row r="55" spans="1:36" x14ac:dyDescent="0.25">
      <c r="A55" s="79"/>
      <c r="B55" s="79"/>
      <c r="C55" s="79"/>
      <c r="D55" s="79"/>
    </row>
  </sheetData>
  <pageMargins left="0.7" right="0.7" top="0.75" bottom="0.75" header="0.3" footer="0.3"/>
  <pageSetup orientation="portrait" horizontalDpi="4294967292" verticalDpi="429496729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rgb="FFFF0000"/>
  </sheetPr>
  <dimension ref="A1:AJ83"/>
  <sheetViews>
    <sheetView topLeftCell="A43" workbookViewId="0">
      <pane xSplit="1" topLeftCell="B1" activePane="topRight" state="frozen"/>
      <selection activeCell="C50" sqref="C50"/>
      <selection pane="topRight" activeCell="A57" sqref="A57:XFD57"/>
    </sheetView>
  </sheetViews>
  <sheetFormatPr defaultColWidth="8.85546875" defaultRowHeight="15" x14ac:dyDescent="0.25"/>
  <cols>
    <col min="1" max="1" width="53.85546875" customWidth="1"/>
    <col min="2" max="2" width="13.140625" customWidth="1"/>
    <col min="3" max="3" width="12" customWidth="1"/>
    <col min="6" max="6" width="10.7109375" customWidth="1"/>
    <col min="7" max="7" width="9.7109375" customWidth="1"/>
    <col min="8" max="8" width="10.140625" customWidth="1"/>
    <col min="9" max="9" width="9.7109375" customWidth="1"/>
    <col min="10" max="10" width="10" customWidth="1"/>
    <col min="11" max="11" width="9.85546875" customWidth="1"/>
    <col min="12" max="12" width="9.28515625" customWidth="1"/>
    <col min="13" max="13" width="10.42578125" customWidth="1"/>
    <col min="14" max="14" width="9.7109375" customWidth="1"/>
    <col min="15" max="15" width="9.140625" customWidth="1"/>
    <col min="16" max="16" width="9.85546875" customWidth="1"/>
    <col min="17" max="17" width="9.140625" customWidth="1"/>
    <col min="18" max="18" width="10.28515625" customWidth="1"/>
    <col min="19" max="19" width="9.85546875" customWidth="1"/>
    <col min="20" max="20" width="9.28515625" customWidth="1"/>
    <col min="21" max="21" width="9.7109375" customWidth="1"/>
    <col min="22" max="22" width="9.85546875" customWidth="1"/>
    <col min="23" max="23" width="10" customWidth="1"/>
    <col min="24" max="24" width="10.28515625" customWidth="1"/>
    <col min="25" max="25" width="9.85546875" customWidth="1"/>
    <col min="26" max="26" width="9.28515625" customWidth="1"/>
    <col min="27" max="27" width="9.85546875" customWidth="1"/>
    <col min="28" max="28" width="9.28515625" customWidth="1"/>
    <col min="29" max="29" width="9.85546875" customWidth="1"/>
    <col min="30" max="31" width="9.7109375" customWidth="1"/>
    <col min="32" max="32" width="10" customWidth="1"/>
    <col min="33" max="33" width="9.7109375" customWidth="1"/>
    <col min="34" max="34" width="10.7109375" customWidth="1"/>
    <col min="35" max="35" width="10" customWidth="1"/>
    <col min="36" max="36" width="12.28515625" style="124" customWidth="1"/>
  </cols>
  <sheetData>
    <row r="1" spans="1:36" s="69" customFormat="1" ht="21" x14ac:dyDescent="0.25">
      <c r="A1" s="197" t="s">
        <v>321</v>
      </c>
      <c r="C1" s="75"/>
      <c r="AJ1" s="122"/>
    </row>
    <row r="2" spans="1:36" s="69" customFormat="1" ht="21" x14ac:dyDescent="0.25">
      <c r="A2" s="197"/>
      <c r="C2" s="117" t="str">
        <f>IF('Assumptions &amp; Results'!$C$172=3,"INVALID","VALID")</f>
        <v>VALID</v>
      </c>
      <c r="D2" s="235" t="s">
        <v>570</v>
      </c>
      <c r="AJ2" s="132"/>
    </row>
    <row r="3" spans="1:36" x14ac:dyDescent="0.2">
      <c r="B3" t="s">
        <v>234</v>
      </c>
      <c r="C3" s="1">
        <f>'Assumptions &amp; Results'!D2</f>
        <v>2017</v>
      </c>
      <c r="D3" s="1">
        <f>'Assumptions &amp; Results'!E2</f>
        <v>2018</v>
      </c>
      <c r="E3" s="1">
        <f>'Assumptions &amp; Results'!F2</f>
        <v>2019</v>
      </c>
      <c r="F3" s="1">
        <f>'Assumptions &amp; Results'!G2</f>
        <v>2020</v>
      </c>
      <c r="G3" s="1">
        <f>'Assumptions &amp; Results'!H2</f>
        <v>2021</v>
      </c>
      <c r="H3" s="1">
        <f>'Assumptions &amp; Results'!I2</f>
        <v>2022</v>
      </c>
      <c r="I3" s="1">
        <f>'Assumptions &amp; Results'!J2</f>
        <v>2023</v>
      </c>
      <c r="J3" s="1">
        <f>'Assumptions &amp; Results'!K2</f>
        <v>2024</v>
      </c>
      <c r="K3" s="1">
        <f>'Assumptions &amp; Results'!L2</f>
        <v>2025</v>
      </c>
      <c r="L3" s="1">
        <f>'Assumptions &amp; Results'!M2</f>
        <v>2026</v>
      </c>
      <c r="M3" s="1">
        <f>'Assumptions &amp; Results'!N2</f>
        <v>2027</v>
      </c>
      <c r="N3" s="1">
        <f>'Assumptions &amp; Results'!O2</f>
        <v>2028</v>
      </c>
      <c r="O3" s="1">
        <f>'Assumptions &amp; Results'!P2</f>
        <v>2029</v>
      </c>
      <c r="P3" s="1">
        <f>'Assumptions &amp; Results'!Q2</f>
        <v>2030</v>
      </c>
      <c r="Q3" s="1">
        <f>'Assumptions &amp; Results'!R2</f>
        <v>2031</v>
      </c>
      <c r="R3" s="1">
        <f>'Assumptions &amp; Results'!S2</f>
        <v>2032</v>
      </c>
      <c r="S3" s="1">
        <f>'Assumptions &amp; Results'!T2</f>
        <v>2033</v>
      </c>
      <c r="T3" s="1">
        <f>'Assumptions &amp; Results'!U2</f>
        <v>2034</v>
      </c>
      <c r="U3" s="1">
        <f>'Assumptions &amp; Results'!V2</f>
        <v>2035</v>
      </c>
      <c r="V3" s="1">
        <f>'Assumptions &amp; Results'!W2</f>
        <v>2036</v>
      </c>
      <c r="W3" s="1">
        <f>'Assumptions &amp; Results'!X2</f>
        <v>2037</v>
      </c>
      <c r="X3" s="1">
        <f>'Assumptions &amp; Results'!Y2</f>
        <v>2038</v>
      </c>
      <c r="Y3" s="1">
        <f>'Assumptions &amp; Results'!Z2</f>
        <v>2039</v>
      </c>
      <c r="Z3" s="1">
        <f>'Assumptions &amp; Results'!AA2</f>
        <v>2040</v>
      </c>
      <c r="AA3" s="1">
        <f>'Assumptions &amp; Results'!AB2</f>
        <v>2041</v>
      </c>
      <c r="AB3" s="1">
        <f>'Assumptions &amp; Results'!AC2</f>
        <v>2042</v>
      </c>
      <c r="AC3" s="1">
        <f>'Assumptions &amp; Results'!AD2</f>
        <v>2043</v>
      </c>
      <c r="AD3" s="1">
        <f>'Assumptions &amp; Results'!AE2</f>
        <v>2044</v>
      </c>
      <c r="AE3" s="1">
        <f>'Assumptions &amp; Results'!AF2</f>
        <v>2045</v>
      </c>
      <c r="AF3" s="1">
        <f>'Assumptions &amp; Results'!AG2</f>
        <v>2046</v>
      </c>
      <c r="AG3" s="1">
        <f>'Assumptions &amp; Results'!AH2</f>
        <v>2047</v>
      </c>
      <c r="AH3" s="1">
        <f>'Assumptions &amp; Results'!AI2</f>
        <v>2048</v>
      </c>
      <c r="AI3" s="1">
        <f>'Assumptions &amp; Results'!AJ2</f>
        <v>2049</v>
      </c>
      <c r="AJ3" s="130" t="s">
        <v>63</v>
      </c>
    </row>
    <row r="4" spans="1:36" x14ac:dyDescent="0.2">
      <c r="A4" s="74" t="str">
        <f>'Assumptions &amp; Results'!A58</f>
        <v>Total Upstream Capital Expenditures Block 3</v>
      </c>
      <c r="B4" t="str">
        <f>'Assumptions &amp; Results'!B40</f>
        <v>$MM</v>
      </c>
      <c r="C4" s="8">
        <f>'Assumptions &amp; Results'!D58</f>
        <v>0</v>
      </c>
      <c r="D4" s="8">
        <f>'Assumptions &amp; Results'!E58</f>
        <v>0</v>
      </c>
      <c r="E4" s="8">
        <f>'Assumptions &amp; Results'!F58</f>
        <v>0</v>
      </c>
      <c r="F4" s="8">
        <f>'Assumptions &amp; Results'!G58</f>
        <v>0</v>
      </c>
      <c r="G4" s="8">
        <f>'Assumptions &amp; Results'!H58</f>
        <v>0</v>
      </c>
      <c r="H4" s="8">
        <f>'Assumptions &amp; Results'!I58</f>
        <v>0</v>
      </c>
      <c r="I4" s="8">
        <f>'Assumptions &amp; Results'!J58</f>
        <v>0</v>
      </c>
      <c r="J4" s="8">
        <f>'Assumptions &amp; Results'!K58</f>
        <v>0</v>
      </c>
      <c r="K4" s="8">
        <f>'Assumptions &amp; Results'!L58</f>
        <v>0</v>
      </c>
      <c r="L4" s="8">
        <f>'Assumptions &amp; Results'!M58</f>
        <v>0</v>
      </c>
      <c r="M4" s="8">
        <f>'Assumptions &amp; Results'!N58</f>
        <v>0</v>
      </c>
      <c r="N4" s="8">
        <f>'Assumptions &amp; Results'!O58</f>
        <v>0</v>
      </c>
      <c r="O4" s="8">
        <f>'Assumptions &amp; Results'!P58</f>
        <v>0</v>
      </c>
      <c r="P4" s="8">
        <f>'Assumptions &amp; Results'!Q58</f>
        <v>0</v>
      </c>
      <c r="Q4" s="8">
        <f>'Assumptions &amp; Results'!R58</f>
        <v>0</v>
      </c>
      <c r="R4" s="8">
        <f>'Assumptions &amp; Results'!S58</f>
        <v>0</v>
      </c>
      <c r="S4" s="8">
        <f>'Assumptions &amp; Results'!T58</f>
        <v>0</v>
      </c>
      <c r="T4" s="8">
        <f>'Assumptions &amp; Results'!U58</f>
        <v>0</v>
      </c>
      <c r="U4" s="8">
        <f>'Assumptions &amp; Results'!V58</f>
        <v>0</v>
      </c>
      <c r="V4" s="8">
        <f>'Assumptions &amp; Results'!W58</f>
        <v>0</v>
      </c>
      <c r="W4" s="8">
        <f>'Assumptions &amp; Results'!X58</f>
        <v>0</v>
      </c>
      <c r="X4" s="8">
        <f>'Assumptions &amp; Results'!Y58</f>
        <v>0</v>
      </c>
      <c r="Y4" s="8">
        <f>'Assumptions &amp; Results'!Z58</f>
        <v>0</v>
      </c>
      <c r="Z4" s="8">
        <f>'Assumptions &amp; Results'!AA58</f>
        <v>0</v>
      </c>
      <c r="AA4" s="8">
        <f>'Assumptions &amp; Results'!AB58</f>
        <v>0</v>
      </c>
      <c r="AB4" s="8">
        <f>'Assumptions &amp; Results'!AC58</f>
        <v>0</v>
      </c>
      <c r="AC4" s="8">
        <f>'Assumptions &amp; Results'!AD58</f>
        <v>0</v>
      </c>
      <c r="AD4" s="8">
        <f>'Assumptions &amp; Results'!AE58</f>
        <v>0</v>
      </c>
      <c r="AE4" s="8">
        <f>'Assumptions &amp; Results'!AF58</f>
        <v>0</v>
      </c>
      <c r="AF4" s="8">
        <f>'Assumptions &amp; Results'!AG58</f>
        <v>0</v>
      </c>
      <c r="AG4" s="8">
        <f>'Assumptions &amp; Results'!AH58</f>
        <v>0</v>
      </c>
      <c r="AH4" s="8">
        <f>'Assumptions &amp; Results'!AI58</f>
        <v>0</v>
      </c>
      <c r="AI4" s="8">
        <f>'Assumptions &amp; Results'!AJ58</f>
        <v>0</v>
      </c>
      <c r="AJ4" s="125">
        <f>SUM(C4:AI4)</f>
        <v>0</v>
      </c>
    </row>
    <row r="6" spans="1:36" s="69" customFormat="1" x14ac:dyDescent="0.2">
      <c r="A6" s="74" t="s">
        <v>270</v>
      </c>
      <c r="AJ6" s="131"/>
    </row>
    <row r="7" spans="1:36" x14ac:dyDescent="0.2">
      <c r="A7" t="s">
        <v>271</v>
      </c>
      <c r="B7" t="s">
        <v>272</v>
      </c>
      <c r="C7" s="8">
        <f>'Assumptions &amp; Results'!D23</f>
        <v>0</v>
      </c>
      <c r="D7" s="8">
        <f>'Assumptions &amp; Results'!E23</f>
        <v>0</v>
      </c>
      <c r="E7" s="8">
        <f>'Assumptions &amp; Results'!F23</f>
        <v>0</v>
      </c>
      <c r="F7" s="8">
        <f>'Assumptions &amp; Results'!G23</f>
        <v>0</v>
      </c>
      <c r="G7" s="8">
        <f>'Assumptions &amp; Results'!H23</f>
        <v>0</v>
      </c>
      <c r="H7" s="8">
        <f>'Assumptions &amp; Results'!I23</f>
        <v>0</v>
      </c>
      <c r="I7" s="8">
        <f>'Assumptions &amp; Results'!J23</f>
        <v>0</v>
      </c>
      <c r="J7" s="8">
        <f>'Assumptions &amp; Results'!K23</f>
        <v>0</v>
      </c>
      <c r="K7" s="8">
        <f>'Assumptions &amp; Results'!L23</f>
        <v>0</v>
      </c>
      <c r="L7" s="8">
        <f>'Assumptions &amp; Results'!M23</f>
        <v>0</v>
      </c>
      <c r="M7" s="8">
        <f>'Assumptions &amp; Results'!N23</f>
        <v>0</v>
      </c>
      <c r="N7" s="8">
        <f>'Assumptions &amp; Results'!O23</f>
        <v>0</v>
      </c>
      <c r="O7" s="8">
        <f>'Assumptions &amp; Results'!P23</f>
        <v>0</v>
      </c>
      <c r="P7" s="8">
        <f>'Assumptions &amp; Results'!Q23</f>
        <v>0</v>
      </c>
      <c r="Q7" s="8">
        <f>'Assumptions &amp; Results'!R23</f>
        <v>0</v>
      </c>
      <c r="R7" s="8">
        <f>'Assumptions &amp; Results'!S23</f>
        <v>0</v>
      </c>
      <c r="S7" s="8">
        <f>'Assumptions &amp; Results'!T23</f>
        <v>0</v>
      </c>
      <c r="T7" s="8">
        <f>'Assumptions &amp; Results'!U23</f>
        <v>0</v>
      </c>
      <c r="U7" s="8">
        <f>'Assumptions &amp; Results'!V23</f>
        <v>0</v>
      </c>
      <c r="V7" s="8">
        <f>'Assumptions &amp; Results'!W23</f>
        <v>0</v>
      </c>
      <c r="W7" s="8">
        <f>'Assumptions &amp; Results'!X23</f>
        <v>0</v>
      </c>
      <c r="X7" s="8">
        <f>'Assumptions &amp; Results'!Y23</f>
        <v>0</v>
      </c>
      <c r="Y7" s="8">
        <f>'Assumptions &amp; Results'!Z23</f>
        <v>0</v>
      </c>
      <c r="Z7" s="8">
        <f>'Assumptions &amp; Results'!AA23</f>
        <v>0</v>
      </c>
      <c r="AA7" s="8">
        <f>'Assumptions &amp; Results'!AB23</f>
        <v>0</v>
      </c>
      <c r="AB7" s="8">
        <f>'Assumptions &amp; Results'!AC23</f>
        <v>0</v>
      </c>
      <c r="AC7" s="8">
        <f>'Assumptions &amp; Results'!AD23</f>
        <v>0</v>
      </c>
      <c r="AD7" s="8">
        <f>'Assumptions &amp; Results'!AE23</f>
        <v>0</v>
      </c>
      <c r="AE7" s="8">
        <f>'Assumptions &amp; Results'!AF23</f>
        <v>0</v>
      </c>
      <c r="AF7" s="8">
        <f>'Assumptions &amp; Results'!AG23</f>
        <v>0</v>
      </c>
      <c r="AG7" s="8">
        <f>'Assumptions &amp; Results'!AH23</f>
        <v>0</v>
      </c>
      <c r="AH7" s="8">
        <f>'Assumptions &amp; Results'!AI23</f>
        <v>0</v>
      </c>
      <c r="AI7" s="8">
        <f>'Assumptions &amp; Results'!AJ23</f>
        <v>0</v>
      </c>
      <c r="AJ7" s="125"/>
    </row>
    <row r="8" spans="1:36" x14ac:dyDescent="0.2">
      <c r="A8" t="s">
        <v>273</v>
      </c>
      <c r="B8" t="s">
        <v>274</v>
      </c>
      <c r="C8" s="8">
        <f>C7*365/1000</f>
        <v>0</v>
      </c>
      <c r="D8" s="8">
        <f>D7*365/1000</f>
        <v>0</v>
      </c>
      <c r="E8" s="8">
        <f>E7*365/1000</f>
        <v>0</v>
      </c>
      <c r="F8" s="8">
        <f>F7*365/1000</f>
        <v>0</v>
      </c>
      <c r="G8" s="8">
        <f>G7*365/1000</f>
        <v>0</v>
      </c>
      <c r="H8" s="8">
        <f t="shared" ref="H8:AI8" si="0">H7*365/1000</f>
        <v>0</v>
      </c>
      <c r="I8" s="8">
        <f t="shared" si="0"/>
        <v>0</v>
      </c>
      <c r="J8" s="8">
        <f t="shared" si="0"/>
        <v>0</v>
      </c>
      <c r="K8" s="8">
        <f t="shared" si="0"/>
        <v>0</v>
      </c>
      <c r="L8" s="8">
        <f t="shared" si="0"/>
        <v>0</v>
      </c>
      <c r="M8" s="8">
        <f t="shared" si="0"/>
        <v>0</v>
      </c>
      <c r="N8" s="8">
        <f t="shared" si="0"/>
        <v>0</v>
      </c>
      <c r="O8" s="8">
        <f t="shared" si="0"/>
        <v>0</v>
      </c>
      <c r="P8" s="8">
        <f t="shared" si="0"/>
        <v>0</v>
      </c>
      <c r="Q8" s="8">
        <f t="shared" si="0"/>
        <v>0</v>
      </c>
      <c r="R8" s="8">
        <f t="shared" si="0"/>
        <v>0</v>
      </c>
      <c r="S8" s="8">
        <f t="shared" si="0"/>
        <v>0</v>
      </c>
      <c r="T8" s="8">
        <f t="shared" si="0"/>
        <v>0</v>
      </c>
      <c r="U8" s="8">
        <f t="shared" si="0"/>
        <v>0</v>
      </c>
      <c r="V8" s="8">
        <f t="shared" si="0"/>
        <v>0</v>
      </c>
      <c r="W8" s="8">
        <f t="shared" si="0"/>
        <v>0</v>
      </c>
      <c r="X8" s="8">
        <f t="shared" si="0"/>
        <v>0</v>
      </c>
      <c r="Y8" s="8">
        <f t="shared" si="0"/>
        <v>0</v>
      </c>
      <c r="Z8" s="8">
        <f t="shared" si="0"/>
        <v>0</v>
      </c>
      <c r="AA8" s="8">
        <f t="shared" si="0"/>
        <v>0</v>
      </c>
      <c r="AB8" s="8">
        <f t="shared" si="0"/>
        <v>0</v>
      </c>
      <c r="AC8" s="8">
        <f t="shared" si="0"/>
        <v>0</v>
      </c>
      <c r="AD8" s="8">
        <f t="shared" si="0"/>
        <v>0</v>
      </c>
      <c r="AE8" s="8">
        <f t="shared" si="0"/>
        <v>0</v>
      </c>
      <c r="AF8" s="8">
        <f t="shared" si="0"/>
        <v>0</v>
      </c>
      <c r="AG8" s="8">
        <f t="shared" si="0"/>
        <v>0</v>
      </c>
      <c r="AH8" s="8">
        <f t="shared" si="0"/>
        <v>0</v>
      </c>
      <c r="AI8" s="8">
        <f t="shared" si="0"/>
        <v>0</v>
      </c>
      <c r="AJ8" s="125">
        <f t="shared" ref="AJ8:AJ13" si="1">SUM(C8:AI8)</f>
        <v>0</v>
      </c>
    </row>
    <row r="9" spans="1:36" x14ac:dyDescent="0.2">
      <c r="A9" t="s">
        <v>275</v>
      </c>
      <c r="B9" t="s">
        <v>274</v>
      </c>
      <c r="C9" s="12">
        <f>'Assumptions &amp; Results'!D26*C8</f>
        <v>0</v>
      </c>
      <c r="D9" s="12">
        <f>'Assumptions &amp; Results'!E26*D8</f>
        <v>0</v>
      </c>
      <c r="E9" s="12">
        <f>'Assumptions &amp; Results'!F26*E8</f>
        <v>0</v>
      </c>
      <c r="F9" s="12">
        <f>'Assumptions &amp; Results'!G26*F8</f>
        <v>0</v>
      </c>
      <c r="G9" s="12">
        <f>'Assumptions &amp; Results'!H26*G8</f>
        <v>0</v>
      </c>
      <c r="H9" s="12">
        <f>'Assumptions &amp; Results'!I26*H8</f>
        <v>0</v>
      </c>
      <c r="I9" s="12">
        <f>'Assumptions &amp; Results'!J26*I8</f>
        <v>0</v>
      </c>
      <c r="J9" s="12">
        <f>'Assumptions &amp; Results'!K26*J8</f>
        <v>0</v>
      </c>
      <c r="K9" s="12">
        <f>'Assumptions &amp; Results'!L26*K8</f>
        <v>0</v>
      </c>
      <c r="L9" s="12">
        <f>'Assumptions &amp; Results'!M26*L8</f>
        <v>0</v>
      </c>
      <c r="M9" s="12">
        <f>'Assumptions &amp; Results'!N26*M8</f>
        <v>0</v>
      </c>
      <c r="N9" s="12">
        <f>'Assumptions &amp; Results'!O26*N8</f>
        <v>0</v>
      </c>
      <c r="O9" s="12">
        <f>'Assumptions &amp; Results'!P26*O8</f>
        <v>0</v>
      </c>
      <c r="P9" s="12">
        <f>'Assumptions &amp; Results'!Q26*P8</f>
        <v>0</v>
      </c>
      <c r="Q9" s="12">
        <f>'Assumptions &amp; Results'!R26*Q8</f>
        <v>0</v>
      </c>
      <c r="R9" s="12">
        <f>'Assumptions &amp; Results'!S26*R8</f>
        <v>0</v>
      </c>
      <c r="S9" s="12">
        <f>'Assumptions &amp; Results'!T26*S8</f>
        <v>0</v>
      </c>
      <c r="T9" s="12">
        <f>'Assumptions &amp; Results'!U26*T8</f>
        <v>0</v>
      </c>
      <c r="U9" s="12">
        <f>'Assumptions &amp; Results'!V26*U8</f>
        <v>0</v>
      </c>
      <c r="V9" s="12">
        <f>'Assumptions &amp; Results'!W26*V8</f>
        <v>0</v>
      </c>
      <c r="W9" s="12">
        <f>'Assumptions &amp; Results'!X26*W8</f>
        <v>0</v>
      </c>
      <c r="X9" s="12">
        <f>'Assumptions &amp; Results'!Y26*X8</f>
        <v>0</v>
      </c>
      <c r="Y9" s="12">
        <f>'Assumptions &amp; Results'!Z26*Y8</f>
        <v>0</v>
      </c>
      <c r="Z9" s="12">
        <f>'Assumptions &amp; Results'!AA26*Z8</f>
        <v>0</v>
      </c>
      <c r="AA9" s="12">
        <f>'Assumptions &amp; Results'!AB26*AA8</f>
        <v>0</v>
      </c>
      <c r="AB9" s="12">
        <f>'Assumptions &amp; Results'!AC26*AB8</f>
        <v>0</v>
      </c>
      <c r="AC9" s="12">
        <f>'Assumptions &amp; Results'!AD26*AC8</f>
        <v>0</v>
      </c>
      <c r="AD9" s="12">
        <f>'Assumptions &amp; Results'!AE26*AD8</f>
        <v>0</v>
      </c>
      <c r="AE9" s="12">
        <f>'Assumptions &amp; Results'!AF26*AE8</f>
        <v>0</v>
      </c>
      <c r="AF9" s="12">
        <f>'Assumptions &amp; Results'!AG26*AF8</f>
        <v>0</v>
      </c>
      <c r="AG9" s="12">
        <f>'Assumptions &amp; Results'!AH26*AG8</f>
        <v>0</v>
      </c>
      <c r="AH9" s="12">
        <f>'Assumptions &amp; Results'!AI26*AH8</f>
        <v>0</v>
      </c>
      <c r="AI9" s="12">
        <f>'Assumptions &amp; Results'!AJ26*AI8</f>
        <v>0</v>
      </c>
      <c r="AJ9" s="125">
        <f t="shared" si="1"/>
        <v>0</v>
      </c>
    </row>
    <row r="10" spans="1:36" x14ac:dyDescent="0.2">
      <c r="A10" t="s">
        <v>276</v>
      </c>
      <c r="B10" t="s">
        <v>274</v>
      </c>
      <c r="C10">
        <f>IF('Assumptions &amp; Results'!$C$14=1,'Assumptions &amp; Results'!D27*C8,0)</f>
        <v>0</v>
      </c>
      <c r="D10" s="8">
        <f>IF('Assumptions &amp; Results'!$C$14=1,'Assumptions &amp; Results'!E27*D8,0)</f>
        <v>0</v>
      </c>
      <c r="E10" s="8">
        <f>IF('Assumptions &amp; Results'!$C$14=1,'Assumptions &amp; Results'!F27*E8,0)</f>
        <v>0</v>
      </c>
      <c r="F10" s="8">
        <f>IF('Assumptions &amp; Results'!$C$14=1,'Assumptions &amp; Results'!G27*F8,0)</f>
        <v>0</v>
      </c>
      <c r="G10" s="8">
        <f>IF('Assumptions &amp; Results'!$C$14=1,'Assumptions &amp; Results'!H27*G8,0)</f>
        <v>0</v>
      </c>
      <c r="H10" s="8">
        <f>IF('Assumptions &amp; Results'!$C$14=1,'Assumptions &amp; Results'!I27*H8,0)</f>
        <v>0</v>
      </c>
      <c r="I10" s="8">
        <f>IF('Assumptions &amp; Results'!$C$14=1,'Assumptions &amp; Results'!J27*I8,0)</f>
        <v>0</v>
      </c>
      <c r="J10" s="8">
        <f>IF('Assumptions &amp; Results'!$C$14=1,'Assumptions &amp; Results'!K27*J8,0)</f>
        <v>0</v>
      </c>
      <c r="K10" s="8">
        <f>IF('Assumptions &amp; Results'!$C$14=1,'Assumptions &amp; Results'!L27*K8,0)</f>
        <v>0</v>
      </c>
      <c r="L10" s="8">
        <f>IF('Assumptions &amp; Results'!$C$14=1,'Assumptions &amp; Results'!M27*L8,0)</f>
        <v>0</v>
      </c>
      <c r="M10" s="8">
        <f>IF('Assumptions &amp; Results'!$C$14=1,'Assumptions &amp; Results'!N27*M8,0)</f>
        <v>0</v>
      </c>
      <c r="N10" s="8">
        <f>IF('Assumptions &amp; Results'!$C$14=1,'Assumptions &amp; Results'!O27*N8,0)</f>
        <v>0</v>
      </c>
      <c r="O10" s="8">
        <f>IF('Assumptions &amp; Results'!$C$14=1,'Assumptions &amp; Results'!P27*O8,0)</f>
        <v>0</v>
      </c>
      <c r="P10" s="8">
        <f>IF('Assumptions &amp; Results'!$C$14=1,'Assumptions &amp; Results'!Q27*P8,0)</f>
        <v>0</v>
      </c>
      <c r="Q10" s="8">
        <f>IF('Assumptions &amp; Results'!$C$14=1,'Assumptions &amp; Results'!R27*Q8,0)</f>
        <v>0</v>
      </c>
      <c r="R10" s="8">
        <f>IF('Assumptions &amp; Results'!$C$14=1,'Assumptions &amp; Results'!S27*R8,0)</f>
        <v>0</v>
      </c>
      <c r="S10" s="8">
        <f>IF('Assumptions &amp; Results'!$C$14=1,'Assumptions &amp; Results'!T27*S8,0)</f>
        <v>0</v>
      </c>
      <c r="T10" s="8">
        <f>IF('Assumptions &amp; Results'!$C$14=1,'Assumptions &amp; Results'!U27*T8,0)</f>
        <v>0</v>
      </c>
      <c r="U10" s="8">
        <f>IF('Assumptions &amp; Results'!$C$14=1,'Assumptions &amp; Results'!V27*U8,0)</f>
        <v>0</v>
      </c>
      <c r="V10" s="8">
        <f>IF('Assumptions &amp; Results'!$C$14=1,'Assumptions &amp; Results'!W27*V8,0)</f>
        <v>0</v>
      </c>
      <c r="W10" s="8">
        <f>IF('Assumptions &amp; Results'!$C$14=1,'Assumptions &amp; Results'!X27*W8,0)</f>
        <v>0</v>
      </c>
      <c r="X10" s="8">
        <f>IF('Assumptions &amp; Results'!$C$14=1,'Assumptions &amp; Results'!Y27*X8,0)</f>
        <v>0</v>
      </c>
      <c r="Y10" s="8">
        <f>IF('Assumptions &amp; Results'!$C$14=1,'Assumptions &amp; Results'!Z27*Y8,0)</f>
        <v>0</v>
      </c>
      <c r="Z10" s="8">
        <f>IF('Assumptions &amp; Results'!$C$14=1,'Assumptions &amp; Results'!AA27*Z8,0)</f>
        <v>0</v>
      </c>
      <c r="AA10" s="8">
        <f>IF('Assumptions &amp; Results'!$C$14=1,'Assumptions &amp; Results'!AB27*AA8,0)</f>
        <v>0</v>
      </c>
      <c r="AB10" s="8">
        <f>IF('Assumptions &amp; Results'!$C$14=1,'Assumptions &amp; Results'!AC27*AB8,0)</f>
        <v>0</v>
      </c>
      <c r="AC10" s="8">
        <f>IF('Assumptions &amp; Results'!$C$14=1,'Assumptions &amp; Results'!AD27*AC8,0)</f>
        <v>0</v>
      </c>
      <c r="AD10" s="8">
        <f>IF('Assumptions &amp; Results'!$C$14=1,'Assumptions &amp; Results'!AE27*AD8,0)</f>
        <v>0</v>
      </c>
      <c r="AE10" s="8">
        <f>IF('Assumptions &amp; Results'!$C$14=1,'Assumptions &amp; Results'!AF27*AE8,0)</f>
        <v>0</v>
      </c>
      <c r="AF10" s="8">
        <f>IF('Assumptions &amp; Results'!$C$14=1,'Assumptions &amp; Results'!AG27*AF8,0)</f>
        <v>0</v>
      </c>
      <c r="AG10" s="8">
        <f>IF('Assumptions &amp; Results'!$C$14=1,'Assumptions &amp; Results'!AH27*AG8,0)</f>
        <v>0</v>
      </c>
      <c r="AH10" s="8">
        <f>IF('Assumptions &amp; Results'!$C$14=1,'Assumptions &amp; Results'!AI27*AH8,0)</f>
        <v>0</v>
      </c>
      <c r="AI10" s="8">
        <f>IF('Assumptions &amp; Results'!$C$14=1,'Assumptions &amp; Results'!AJ27*AI8,0)</f>
        <v>0</v>
      </c>
      <c r="AJ10" s="125">
        <f t="shared" si="1"/>
        <v>0</v>
      </c>
    </row>
    <row r="11" spans="1:36" x14ac:dyDescent="0.2">
      <c r="A11" t="s">
        <v>277</v>
      </c>
      <c r="B11" t="s">
        <v>278</v>
      </c>
      <c r="C11" s="2">
        <f>'Assumptions &amp; Results'!D28*C10</f>
        <v>0</v>
      </c>
      <c r="D11" s="2">
        <f>'Assumptions &amp; Results'!E28*D10</f>
        <v>0</v>
      </c>
      <c r="E11" s="2">
        <f>'Assumptions &amp; Results'!F28*E10</f>
        <v>0</v>
      </c>
      <c r="F11" s="2">
        <f>'Assumptions &amp; Results'!G28*F10</f>
        <v>0</v>
      </c>
      <c r="G11" s="2">
        <f>'Assumptions &amp; Results'!H28*G10</f>
        <v>0</v>
      </c>
      <c r="H11" s="2">
        <f>'Assumptions &amp; Results'!I28*H10</f>
        <v>0</v>
      </c>
      <c r="I11" s="2">
        <f>'Assumptions &amp; Results'!J28*I10</f>
        <v>0</v>
      </c>
      <c r="J11" s="2">
        <f>'Assumptions &amp; Results'!K28*J10</f>
        <v>0</v>
      </c>
      <c r="K11" s="2">
        <f>'Assumptions &amp; Results'!L28*K10</f>
        <v>0</v>
      </c>
      <c r="L11" s="2">
        <f>'Assumptions &amp; Results'!M28*L10</f>
        <v>0</v>
      </c>
      <c r="M11" s="2">
        <f>'Assumptions &amp; Results'!N28*M10</f>
        <v>0</v>
      </c>
      <c r="N11" s="2">
        <f>'Assumptions &amp; Results'!O28*N10</f>
        <v>0</v>
      </c>
      <c r="O11" s="2">
        <f>'Assumptions &amp; Results'!P28*O10</f>
        <v>0</v>
      </c>
      <c r="P11" s="2">
        <f>'Assumptions &amp; Results'!Q28*P10</f>
        <v>0</v>
      </c>
      <c r="Q11" s="2">
        <f>'Assumptions &amp; Results'!R28*Q10</f>
        <v>0</v>
      </c>
      <c r="R11" s="2">
        <f>'Assumptions &amp; Results'!S28*R10</f>
        <v>0</v>
      </c>
      <c r="S11" s="2">
        <f>'Assumptions &amp; Results'!T28*S10</f>
        <v>0</v>
      </c>
      <c r="T11" s="2">
        <f>'Assumptions &amp; Results'!U28*T10</f>
        <v>0</v>
      </c>
      <c r="U11" s="2">
        <f>'Assumptions &amp; Results'!V28*U10</f>
        <v>0</v>
      </c>
      <c r="V11" s="2">
        <f>'Assumptions &amp; Results'!W28*V10</f>
        <v>0</v>
      </c>
      <c r="W11" s="2">
        <f>'Assumptions &amp; Results'!X28*W10</f>
        <v>0</v>
      </c>
      <c r="X11" s="2">
        <f>'Assumptions &amp; Results'!Y28*X10</f>
        <v>0</v>
      </c>
      <c r="Y11" s="2">
        <f>'Assumptions &amp; Results'!Z28*Y10</f>
        <v>0</v>
      </c>
      <c r="Z11" s="2">
        <f>'Assumptions &amp; Results'!AA28*Z10</f>
        <v>0</v>
      </c>
      <c r="AA11" s="2">
        <f>'Assumptions &amp; Results'!AB28*AA10</f>
        <v>0</v>
      </c>
      <c r="AB11" s="2">
        <f>'Assumptions &amp; Results'!AC28*AB10</f>
        <v>0</v>
      </c>
      <c r="AC11" s="2">
        <f>'Assumptions &amp; Results'!AD28*AC10</f>
        <v>0</v>
      </c>
      <c r="AD11" s="2">
        <f>'Assumptions &amp; Results'!AE28*AD10</f>
        <v>0</v>
      </c>
      <c r="AE11" s="2">
        <f>'Assumptions &amp; Results'!AF28*AE10</f>
        <v>0</v>
      </c>
      <c r="AF11" s="2">
        <f>'Assumptions &amp; Results'!AG28*AF10</f>
        <v>0</v>
      </c>
      <c r="AG11" s="2">
        <f>'Assumptions &amp; Results'!AH28*AG10</f>
        <v>0</v>
      </c>
      <c r="AH11" s="2">
        <f>'Assumptions &amp; Results'!AI28*AH10</f>
        <v>0</v>
      </c>
      <c r="AI11" s="2">
        <f>'Assumptions &amp; Results'!AJ28*AI10</f>
        <v>0</v>
      </c>
      <c r="AJ11" s="125">
        <f t="shared" si="1"/>
        <v>0</v>
      </c>
    </row>
    <row r="12" spans="1:36" x14ac:dyDescent="0.2">
      <c r="A12" t="s">
        <v>279</v>
      </c>
      <c r="B12" t="s">
        <v>274</v>
      </c>
      <c r="C12" s="12">
        <f>(C8-C9-C10)*'Assumptions &amp; Results'!D25</f>
        <v>0</v>
      </c>
      <c r="D12" s="12">
        <f>(D8-D9-D10)*'Assumptions &amp; Results'!E25</f>
        <v>0</v>
      </c>
      <c r="E12" s="12">
        <f>(E8-E9-E10)*'Assumptions &amp; Results'!F25</f>
        <v>0</v>
      </c>
      <c r="F12" s="12">
        <f>(F8-F9-F10)*'Assumptions &amp; Results'!G25</f>
        <v>0</v>
      </c>
      <c r="G12" s="12">
        <f>(G8-G9-G10)*'Assumptions &amp; Results'!H25</f>
        <v>0</v>
      </c>
      <c r="H12" s="12">
        <f>(H8-H9-H10)*'Assumptions &amp; Results'!I25</f>
        <v>0</v>
      </c>
      <c r="I12" s="12">
        <f>(I8-I9-I10)*'Assumptions &amp; Results'!J25</f>
        <v>0</v>
      </c>
      <c r="J12" s="12">
        <f>(J8-J9-J10)*'Assumptions &amp; Results'!K25</f>
        <v>0</v>
      </c>
      <c r="K12" s="12">
        <f>(K8-K9-K10)*'Assumptions &amp; Results'!L25</f>
        <v>0</v>
      </c>
      <c r="L12" s="12">
        <f>(L8-L9-L10)*'Assumptions &amp; Results'!M25</f>
        <v>0</v>
      </c>
      <c r="M12" s="12">
        <f>(M8-M9-M10)*'Assumptions &amp; Results'!N25</f>
        <v>0</v>
      </c>
      <c r="N12" s="12">
        <f>(N8-N9-N10)*'Assumptions &amp; Results'!O25</f>
        <v>0</v>
      </c>
      <c r="O12" s="12">
        <f>(O8-O9-O10)*'Assumptions &amp; Results'!P25</f>
        <v>0</v>
      </c>
      <c r="P12" s="12">
        <f>(P8-P9-P10)*'Assumptions &amp; Results'!Q25</f>
        <v>0</v>
      </c>
      <c r="Q12" s="12">
        <f>(Q8-Q9-Q10)*'Assumptions &amp; Results'!R25</f>
        <v>0</v>
      </c>
      <c r="R12" s="12">
        <f>(R8-R9-R10)*'Assumptions &amp; Results'!S25</f>
        <v>0</v>
      </c>
      <c r="S12" s="12">
        <f>(S8-S9-S10)*'Assumptions &amp; Results'!T25</f>
        <v>0</v>
      </c>
      <c r="T12" s="12">
        <f>(T8-T9-T10)*'Assumptions &amp; Results'!U25</f>
        <v>0</v>
      </c>
      <c r="U12" s="12">
        <f>(U8-U9-U10)*'Assumptions &amp; Results'!V25</f>
        <v>0</v>
      </c>
      <c r="V12" s="12">
        <f>(V8-V9-V10)*'Assumptions &amp; Results'!W25</f>
        <v>0</v>
      </c>
      <c r="W12" s="12">
        <f>(W8-W9-W10)*'Assumptions &amp; Results'!X25</f>
        <v>0</v>
      </c>
      <c r="X12" s="12">
        <f>(X8-X9-X10)*'Assumptions &amp; Results'!Y25</f>
        <v>0</v>
      </c>
      <c r="Y12" s="12">
        <f>(Y8-Y9-Y10)*'Assumptions &amp; Results'!Z25</f>
        <v>0</v>
      </c>
      <c r="Z12" s="12">
        <f>(Z8-Z9-Z10)*'Assumptions &amp; Results'!AA25</f>
        <v>0</v>
      </c>
      <c r="AA12" s="12">
        <f>(AA8-AA9-AA10)*'Assumptions &amp; Results'!AB25</f>
        <v>0</v>
      </c>
      <c r="AB12" s="12">
        <f>(AB8-AB9-AB10)*'Assumptions &amp; Results'!AC25</f>
        <v>0</v>
      </c>
      <c r="AC12" s="12">
        <f>(AC8-AC9-AC10)*'Assumptions &amp; Results'!AD25</f>
        <v>0</v>
      </c>
      <c r="AD12" s="12">
        <f>(AD8-AD9-AD10)*'Assumptions &amp; Results'!AE25</f>
        <v>0</v>
      </c>
      <c r="AE12" s="12">
        <f>(AE8-AE9-AE10)*'Assumptions &amp; Results'!AF25</f>
        <v>0</v>
      </c>
      <c r="AF12" s="12">
        <f>(AF8-AF9-AF10)*'Assumptions &amp; Results'!AG25</f>
        <v>0</v>
      </c>
      <c r="AG12" s="12">
        <f>(AG8-AG9-AG10)*'Assumptions &amp; Results'!AH25</f>
        <v>0</v>
      </c>
      <c r="AH12" s="12">
        <f>(AH8-AH9-AH10)*'Assumptions &amp; Results'!AI25</f>
        <v>0</v>
      </c>
      <c r="AI12" s="12">
        <f>(AI8-AI9-AI10)*'Assumptions &amp; Results'!AJ25</f>
        <v>0</v>
      </c>
      <c r="AJ12" s="125">
        <f t="shared" si="1"/>
        <v>0</v>
      </c>
    </row>
    <row r="13" spans="1:36" ht="30" x14ac:dyDescent="0.2">
      <c r="A13" s="208" t="s">
        <v>280</v>
      </c>
      <c r="B13" t="s">
        <v>274</v>
      </c>
      <c r="C13" s="12">
        <f>IF('Assumptions &amp; Results'!$C$172=1,C12*(1-'Assumptions &amp; Results'!D24),0)</f>
        <v>0</v>
      </c>
      <c r="D13" s="12">
        <f>IF('Assumptions &amp; Results'!$C$172=1,D12*(1-'Assumptions &amp; Results'!E24),0)</f>
        <v>0</v>
      </c>
      <c r="E13" s="12">
        <f>IF('Assumptions &amp; Results'!$C$172=1,E12*(1-'Assumptions &amp; Results'!F24),0)</f>
        <v>0</v>
      </c>
      <c r="F13" s="12">
        <f>IF('Assumptions &amp; Results'!$C$172=1,F12*(1-'Assumptions &amp; Results'!G24),0)</f>
        <v>0</v>
      </c>
      <c r="G13" s="12">
        <f>IF('Assumptions &amp; Results'!$C$172=1,G12*(1-'Assumptions &amp; Results'!H24),0)</f>
        <v>0</v>
      </c>
      <c r="H13" s="12">
        <f>IF('Assumptions &amp; Results'!$C$172=1,H12*(1-'Assumptions &amp; Results'!I24),0)</f>
        <v>0</v>
      </c>
      <c r="I13" s="12">
        <f>IF('Assumptions &amp; Results'!$C$172=1,I12*(1-'Assumptions &amp; Results'!J24),0)</f>
        <v>0</v>
      </c>
      <c r="J13" s="12">
        <f>IF('Assumptions &amp; Results'!$C$172=1,J12*(1-'Assumptions &amp; Results'!K24),0)</f>
        <v>0</v>
      </c>
      <c r="K13" s="12">
        <f>IF('Assumptions &amp; Results'!$C$172=1,K12*(1-'Assumptions &amp; Results'!L24),0)</f>
        <v>0</v>
      </c>
      <c r="L13" s="12">
        <f>IF('Assumptions &amp; Results'!$C$172=1,L12*(1-'Assumptions &amp; Results'!M24),0)</f>
        <v>0</v>
      </c>
      <c r="M13" s="12">
        <f>IF('Assumptions &amp; Results'!$C$172=1,M12*(1-'Assumptions &amp; Results'!N24),0)</f>
        <v>0</v>
      </c>
      <c r="N13" s="12">
        <f>IF('Assumptions &amp; Results'!$C$172=1,N12*(1-'Assumptions &amp; Results'!O24),0)</f>
        <v>0</v>
      </c>
      <c r="O13" s="12">
        <f>IF('Assumptions &amp; Results'!$C$172=1,O12*(1-'Assumptions &amp; Results'!P24),0)</f>
        <v>0</v>
      </c>
      <c r="P13" s="12">
        <f>IF('Assumptions &amp; Results'!$C$172=1,P12*(1-'Assumptions &amp; Results'!Q24),0)</f>
        <v>0</v>
      </c>
      <c r="Q13" s="12">
        <f>IF('Assumptions &amp; Results'!$C$172=1,Q12*(1-'Assumptions &amp; Results'!R24),0)</f>
        <v>0</v>
      </c>
      <c r="R13" s="12">
        <f>IF('Assumptions &amp; Results'!$C$172=1,R12*(1-'Assumptions &amp; Results'!S24),0)</f>
        <v>0</v>
      </c>
      <c r="S13" s="12">
        <f>IF('Assumptions &amp; Results'!$C$172=1,S12*(1-'Assumptions &amp; Results'!T24),0)</f>
        <v>0</v>
      </c>
      <c r="T13" s="12">
        <f>IF('Assumptions &amp; Results'!$C$172=1,T12*(1-'Assumptions &amp; Results'!U24),0)</f>
        <v>0</v>
      </c>
      <c r="U13" s="12">
        <f>IF('Assumptions &amp; Results'!$C$172=1,U12*(1-'Assumptions &amp; Results'!V24),0)</f>
        <v>0</v>
      </c>
      <c r="V13" s="12">
        <f>IF('Assumptions &amp; Results'!$C$172=1,V12*(1-'Assumptions &amp; Results'!W24),0)</f>
        <v>0</v>
      </c>
      <c r="W13" s="12">
        <f>IF('Assumptions &amp; Results'!$C$172=1,W12*(1-'Assumptions &amp; Results'!X24),0)</f>
        <v>0</v>
      </c>
      <c r="X13" s="12">
        <f>IF('Assumptions &amp; Results'!$C$172=1,X12*(1-'Assumptions &amp; Results'!Y24),0)</f>
        <v>0</v>
      </c>
      <c r="Y13" s="12">
        <f>IF('Assumptions &amp; Results'!$C$172=1,Y12*(1-'Assumptions &amp; Results'!Z24),0)</f>
        <v>0</v>
      </c>
      <c r="Z13" s="12">
        <f>IF('Assumptions &amp; Results'!$C$172=1,Z12*(1-'Assumptions &amp; Results'!AA24),0)</f>
        <v>0</v>
      </c>
      <c r="AA13" s="12">
        <f>IF('Assumptions &amp; Results'!$C$172=1,AA12*(1-'Assumptions &amp; Results'!AB24),0)</f>
        <v>0</v>
      </c>
      <c r="AB13" s="12">
        <f>IF('Assumptions &amp; Results'!$C$172=1,AB12*(1-'Assumptions &amp; Results'!AC24),0)</f>
        <v>0</v>
      </c>
      <c r="AC13" s="12">
        <f>IF('Assumptions &amp; Results'!$C$172=1,AC12*(1-'Assumptions &amp; Results'!AD24),0)</f>
        <v>0</v>
      </c>
      <c r="AD13" s="12">
        <f>IF('Assumptions &amp; Results'!$C$172=1,AD12*(1-'Assumptions &amp; Results'!AE24),0)</f>
        <v>0</v>
      </c>
      <c r="AE13" s="12">
        <f>IF('Assumptions &amp; Results'!$C$172=1,AE12*(1-'Assumptions &amp; Results'!AF24),0)</f>
        <v>0</v>
      </c>
      <c r="AF13" s="12">
        <f>IF('Assumptions &amp; Results'!$C$172=1,AF12*(1-'Assumptions &amp; Results'!AG24),0)</f>
        <v>0</v>
      </c>
      <c r="AG13" s="12">
        <f>IF('Assumptions &amp; Results'!$C$172=1,AG12*(1-'Assumptions &amp; Results'!AH24),0)</f>
        <v>0</v>
      </c>
      <c r="AH13" s="12">
        <f>IF('Assumptions &amp; Results'!$C$172=1,AH12*(1-'Assumptions &amp; Results'!AI24),0)</f>
        <v>0</v>
      </c>
      <c r="AI13" s="12">
        <f>IF('Assumptions &amp; Results'!$C$172=1,AI12*(1-'Assumptions &amp; Results'!AJ24),0)</f>
        <v>0</v>
      </c>
      <c r="AJ13" s="125">
        <f t="shared" si="1"/>
        <v>0</v>
      </c>
    </row>
    <row r="14" spans="1:36" x14ac:dyDescent="0.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5"/>
    </row>
    <row r="15" spans="1:36" ht="30" x14ac:dyDescent="0.2">
      <c r="A15" s="208" t="s">
        <v>281</v>
      </c>
      <c r="B15" t="s">
        <v>67</v>
      </c>
      <c r="C15" s="11">
        <f>IF('Assumptions &amp; Results'!$C$172=1,'Assumptions &amp; Results'!D6,'Assumptions &amp; Results'!D4)</f>
        <v>8.75</v>
      </c>
      <c r="D15" s="11">
        <f>IF('Assumptions &amp; Results'!$C$172=1,'Assumptions &amp; Results'!E6,'Assumptions &amp; Results'!E4)</f>
        <v>8.75</v>
      </c>
      <c r="E15" s="11">
        <f>IF('Assumptions &amp; Results'!$C$172=1,'Assumptions &amp; Results'!F6,'Assumptions &amp; Results'!F4)</f>
        <v>8.75</v>
      </c>
      <c r="F15" s="11">
        <f>IF('Assumptions &amp; Results'!$C$172=1,'Assumptions &amp; Results'!G6,'Assumptions &amp; Results'!G4)</f>
        <v>8.75</v>
      </c>
      <c r="G15" s="11">
        <f>IF('Assumptions &amp; Results'!$C$172=1,'Assumptions &amp; Results'!H6,'Assumptions &amp; Results'!H4)</f>
        <v>8.75</v>
      </c>
      <c r="H15" s="11">
        <f>IF('Assumptions &amp; Results'!$C$172=1,'Assumptions &amp; Results'!I6,'Assumptions &amp; Results'!I4)</f>
        <v>8.75</v>
      </c>
      <c r="I15" s="11">
        <f>IF('Assumptions &amp; Results'!$C$172=1,'Assumptions &amp; Results'!J6,'Assumptions &amp; Results'!J4)</f>
        <v>8.75</v>
      </c>
      <c r="J15" s="11">
        <f>IF('Assumptions &amp; Results'!$C$172=1,'Assumptions &amp; Results'!K6,'Assumptions &amp; Results'!K4)</f>
        <v>8.75</v>
      </c>
      <c r="K15" s="11">
        <f>IF('Assumptions &amp; Results'!$C$172=1,'Assumptions &amp; Results'!L6,'Assumptions &amp; Results'!L4)</f>
        <v>8.75</v>
      </c>
      <c r="L15" s="11">
        <f>IF('Assumptions &amp; Results'!$C$172=1,'Assumptions &amp; Results'!M6,'Assumptions &amp; Results'!M4)</f>
        <v>8.75</v>
      </c>
      <c r="M15" s="11">
        <f>IF('Assumptions &amp; Results'!$C$172=1,'Assumptions &amp; Results'!N6,'Assumptions &amp; Results'!N4)</f>
        <v>8.75</v>
      </c>
      <c r="N15" s="11">
        <f>IF('Assumptions &amp; Results'!$C$172=1,'Assumptions &amp; Results'!O6,'Assumptions &amp; Results'!O4)</f>
        <v>8.75</v>
      </c>
      <c r="O15" s="11">
        <f>IF('Assumptions &amp; Results'!$C$172=1,'Assumptions &amp; Results'!P6,'Assumptions &amp; Results'!P4)</f>
        <v>8.75</v>
      </c>
      <c r="P15" s="11">
        <f>IF('Assumptions &amp; Results'!$C$172=1,'Assumptions &amp; Results'!Q6,'Assumptions &amp; Results'!Q4)</f>
        <v>8.75</v>
      </c>
      <c r="Q15" s="11">
        <f>IF('Assumptions &amp; Results'!$C$172=1,'Assumptions &amp; Results'!R6,'Assumptions &amp; Results'!R4)</f>
        <v>8.75</v>
      </c>
      <c r="R15" s="11">
        <f>IF('Assumptions &amp; Results'!$C$172=1,'Assumptions &amp; Results'!S6,'Assumptions &amp; Results'!S4)</f>
        <v>8.75</v>
      </c>
      <c r="S15" s="11">
        <f>IF('Assumptions &amp; Results'!$C$172=1,'Assumptions &amp; Results'!T6,'Assumptions &amp; Results'!T4)</f>
        <v>8.75</v>
      </c>
      <c r="T15" s="11">
        <f>IF('Assumptions &amp; Results'!$C$172=1,'Assumptions &amp; Results'!U6,'Assumptions &amp; Results'!U4)</f>
        <v>8.75</v>
      </c>
      <c r="U15" s="11">
        <f>IF('Assumptions &amp; Results'!$C$172=1,'Assumptions &amp; Results'!V6,'Assumptions &amp; Results'!V4)</f>
        <v>8.75</v>
      </c>
      <c r="V15" s="11">
        <f>IF('Assumptions &amp; Results'!$C$172=1,'Assumptions &amp; Results'!W6,'Assumptions &amp; Results'!W4)</f>
        <v>8.75</v>
      </c>
      <c r="W15" s="11">
        <f>IF('Assumptions &amp; Results'!$C$172=1,'Assumptions &amp; Results'!X6,'Assumptions &amp; Results'!X4)</f>
        <v>8.75</v>
      </c>
      <c r="X15" s="11">
        <f>IF('Assumptions &amp; Results'!$C$172=1,'Assumptions &amp; Results'!Y6,'Assumptions &amp; Results'!Y4)</f>
        <v>8.75</v>
      </c>
      <c r="Y15" s="11">
        <f>IF('Assumptions &amp; Results'!$C$172=1,'Assumptions &amp; Results'!Z6,'Assumptions &amp; Results'!Z4)</f>
        <v>8.75</v>
      </c>
      <c r="Z15" s="11">
        <f>IF('Assumptions &amp; Results'!$C$172=1,'Assumptions &amp; Results'!AA6,'Assumptions &amp; Results'!AA4)</f>
        <v>8.75</v>
      </c>
      <c r="AA15" s="11">
        <f>IF('Assumptions &amp; Results'!$C$172=1,'Assumptions &amp; Results'!AB6,'Assumptions &amp; Results'!AB4)</f>
        <v>8.75</v>
      </c>
      <c r="AB15" s="11">
        <f>IF('Assumptions &amp; Results'!$C$172=1,'Assumptions &amp; Results'!AC6,'Assumptions &amp; Results'!AC4)</f>
        <v>8.75</v>
      </c>
      <c r="AC15" s="11">
        <f>IF('Assumptions &amp; Results'!$C$172=1,'Assumptions &amp; Results'!AD6,'Assumptions &amp; Results'!AD4)</f>
        <v>8.75</v>
      </c>
      <c r="AD15" s="11">
        <f>IF('Assumptions &amp; Results'!$C$172=1,'Assumptions &amp; Results'!AE6,'Assumptions &amp; Results'!AE4)</f>
        <v>8.75</v>
      </c>
      <c r="AE15" s="11">
        <f>IF('Assumptions &amp; Results'!$C$172=1,'Assumptions &amp; Results'!AF6,'Assumptions &amp; Results'!AF4)</f>
        <v>8.75</v>
      </c>
      <c r="AF15" s="11">
        <f>IF('Assumptions &amp; Results'!$C$172=1,'Assumptions &amp; Results'!AG6,'Assumptions &amp; Results'!AG4)</f>
        <v>8.75</v>
      </c>
      <c r="AG15" s="11">
        <f>IF('Assumptions &amp; Results'!$C$172=1,'Assumptions &amp; Results'!AH6,'Assumptions &amp; Results'!AH4)</f>
        <v>8.75</v>
      </c>
      <c r="AH15" s="11">
        <f>IF('Assumptions &amp; Results'!$C$172=1,'Assumptions &amp; Results'!AI6,'Assumptions &amp; Results'!AI4)</f>
        <v>8.75</v>
      </c>
      <c r="AI15" s="11">
        <f>IF('Assumptions &amp; Results'!$C$172=1,'Assumptions &amp; Results'!AJ6,'Assumptions &amp; Results'!AJ4)</f>
        <v>8.75</v>
      </c>
      <c r="AJ15" s="125"/>
    </row>
    <row r="16" spans="1:36" x14ac:dyDescent="0.2">
      <c r="A16" t="s">
        <v>282</v>
      </c>
      <c r="B16" t="s">
        <v>99</v>
      </c>
      <c r="C16" s="8">
        <f>C9*'Assumptions &amp; Results'!D10</f>
        <v>0</v>
      </c>
      <c r="D16" s="8">
        <f>D9*'Assumptions &amp; Results'!E10</f>
        <v>0</v>
      </c>
      <c r="E16" s="8">
        <f>E9*'Assumptions &amp; Results'!F10</f>
        <v>0</v>
      </c>
      <c r="F16" s="8">
        <f>F9*'Assumptions &amp; Results'!G10</f>
        <v>0</v>
      </c>
      <c r="G16" s="8">
        <f>G9*'Assumptions &amp; Results'!H10</f>
        <v>0</v>
      </c>
      <c r="H16" s="8">
        <f>H9*'Assumptions &amp; Results'!I10</f>
        <v>0</v>
      </c>
      <c r="I16" s="8">
        <f>I9*'Assumptions &amp; Results'!J10</f>
        <v>0</v>
      </c>
      <c r="J16" s="8">
        <f>J9*'Assumptions &amp; Results'!K10</f>
        <v>0</v>
      </c>
      <c r="K16" s="8">
        <f>K9*'Assumptions &amp; Results'!L10</f>
        <v>0</v>
      </c>
      <c r="L16" s="8">
        <f>L9*'Assumptions &amp; Results'!M10</f>
        <v>0</v>
      </c>
      <c r="M16" s="8">
        <f>M9*'Assumptions &amp; Results'!N10</f>
        <v>0</v>
      </c>
      <c r="N16" s="8">
        <f>N9*'Assumptions &amp; Results'!O10</f>
        <v>0</v>
      </c>
      <c r="O16" s="8">
        <f>O9*'Assumptions &amp; Results'!P10</f>
        <v>0</v>
      </c>
      <c r="P16" s="8">
        <f>P9*'Assumptions &amp; Results'!Q10</f>
        <v>0</v>
      </c>
      <c r="Q16" s="8">
        <f>Q9*'Assumptions &amp; Results'!R10</f>
        <v>0</v>
      </c>
      <c r="R16" s="8">
        <f>R9*'Assumptions &amp; Results'!S10</f>
        <v>0</v>
      </c>
      <c r="S16" s="8">
        <f>S9*'Assumptions &amp; Results'!T10</f>
        <v>0</v>
      </c>
      <c r="T16" s="8">
        <f>T9*'Assumptions &amp; Results'!U10</f>
        <v>0</v>
      </c>
      <c r="U16" s="8">
        <f>U9*'Assumptions &amp; Results'!V10</f>
        <v>0</v>
      </c>
      <c r="V16" s="8">
        <f>V9*'Assumptions &amp; Results'!W10</f>
        <v>0</v>
      </c>
      <c r="W16" s="8">
        <f>W9*'Assumptions &amp; Results'!X10</f>
        <v>0</v>
      </c>
      <c r="X16" s="8">
        <f>X9*'Assumptions &amp; Results'!Y10</f>
        <v>0</v>
      </c>
      <c r="Y16" s="8">
        <f>Y9*'Assumptions &amp; Results'!Z10</f>
        <v>0</v>
      </c>
      <c r="Z16" s="8">
        <f>Z9*'Assumptions &amp; Results'!AA10</f>
        <v>0</v>
      </c>
      <c r="AA16" s="8">
        <f>AA9*'Assumptions &amp; Results'!AB10</f>
        <v>0</v>
      </c>
      <c r="AB16" s="8">
        <f>AB9*'Assumptions &amp; Results'!AC10</f>
        <v>0</v>
      </c>
      <c r="AC16" s="8">
        <f>AC9*'Assumptions &amp; Results'!AD10</f>
        <v>0</v>
      </c>
      <c r="AD16" s="8">
        <f>AD9*'Assumptions &amp; Results'!AE10</f>
        <v>0</v>
      </c>
      <c r="AE16" s="8">
        <f>AE9*'Assumptions &amp; Results'!AF10</f>
        <v>0</v>
      </c>
      <c r="AF16" s="8">
        <f>AF9*'Assumptions &amp; Results'!AG10</f>
        <v>0</v>
      </c>
      <c r="AG16" s="8">
        <f>AG9*'Assumptions &amp; Results'!AH10</f>
        <v>0</v>
      </c>
      <c r="AH16" s="8">
        <f>AH9*'Assumptions &amp; Results'!AI10</f>
        <v>0</v>
      </c>
      <c r="AI16" s="8">
        <f>AI9*'Assumptions &amp; Results'!AJ10</f>
        <v>0</v>
      </c>
      <c r="AJ16" s="125">
        <f>SUM(C16:AI16)</f>
        <v>0</v>
      </c>
    </row>
    <row r="17" spans="1:36" x14ac:dyDescent="0.2">
      <c r="A17" t="s">
        <v>283</v>
      </c>
      <c r="B17" t="s">
        <v>99</v>
      </c>
      <c r="C17" s="8">
        <f>C11*'Assumptions &amp; Results'!D11</f>
        <v>0</v>
      </c>
      <c r="D17" s="8">
        <f>D11*'Assumptions &amp; Results'!E11</f>
        <v>0</v>
      </c>
      <c r="E17" s="8">
        <f>E11*'Assumptions &amp; Results'!F11</f>
        <v>0</v>
      </c>
      <c r="F17" s="8">
        <f>F11*'Assumptions &amp; Results'!G11</f>
        <v>0</v>
      </c>
      <c r="G17" s="8">
        <f>G11*'Assumptions &amp; Results'!H11</f>
        <v>0</v>
      </c>
      <c r="H17" s="8">
        <f>H11*'Assumptions &amp; Results'!I11</f>
        <v>0</v>
      </c>
      <c r="I17" s="8">
        <f>I11*'Assumptions &amp; Results'!J11</f>
        <v>0</v>
      </c>
      <c r="J17" s="8">
        <f>J11*'Assumptions &amp; Results'!K11</f>
        <v>0</v>
      </c>
      <c r="K17" s="8">
        <f>K11*'Assumptions &amp; Results'!L11</f>
        <v>0</v>
      </c>
      <c r="L17" s="8">
        <f>L11*'Assumptions &amp; Results'!M11</f>
        <v>0</v>
      </c>
      <c r="M17" s="8">
        <f>M11*'Assumptions &amp; Results'!N11</f>
        <v>0</v>
      </c>
      <c r="N17" s="8">
        <f>N11*'Assumptions &amp; Results'!O11</f>
        <v>0</v>
      </c>
      <c r="O17" s="8">
        <f>O11*'Assumptions &amp; Results'!P11</f>
        <v>0</v>
      </c>
      <c r="P17" s="8">
        <f>P11*'Assumptions &amp; Results'!Q11</f>
        <v>0</v>
      </c>
      <c r="Q17" s="8">
        <f>Q11*'Assumptions &amp; Results'!R11</f>
        <v>0</v>
      </c>
      <c r="R17" s="8">
        <f>R11*'Assumptions &amp; Results'!S11</f>
        <v>0</v>
      </c>
      <c r="S17" s="8">
        <f>S11*'Assumptions &amp; Results'!T11</f>
        <v>0</v>
      </c>
      <c r="T17" s="8">
        <f>T11*'Assumptions &amp; Results'!U11</f>
        <v>0</v>
      </c>
      <c r="U17" s="8">
        <f>U11*'Assumptions &amp; Results'!V11</f>
        <v>0</v>
      </c>
      <c r="V17" s="8">
        <f>V11*'Assumptions &amp; Results'!W11</f>
        <v>0</v>
      </c>
      <c r="W17" s="8">
        <f>W11*'Assumptions &amp; Results'!X11</f>
        <v>0</v>
      </c>
      <c r="X17" s="8">
        <f>X11*'Assumptions &amp; Results'!Y11</f>
        <v>0</v>
      </c>
      <c r="Y17" s="8">
        <f>Y11*'Assumptions &amp; Results'!Z11</f>
        <v>0</v>
      </c>
      <c r="Z17" s="8">
        <f>Z11*'Assumptions &amp; Results'!AA11</f>
        <v>0</v>
      </c>
      <c r="AA17" s="8">
        <f>AA11*'Assumptions &amp; Results'!AB11</f>
        <v>0</v>
      </c>
      <c r="AB17" s="8">
        <f>AB11*'Assumptions &amp; Results'!AC11</f>
        <v>0</v>
      </c>
      <c r="AC17" s="8">
        <f>AC11*'Assumptions &amp; Results'!AD11</f>
        <v>0</v>
      </c>
      <c r="AD17" s="8">
        <f>AD11*'Assumptions &amp; Results'!AE11</f>
        <v>0</v>
      </c>
      <c r="AE17" s="8">
        <f>AE11*'Assumptions &amp; Results'!AF11</f>
        <v>0</v>
      </c>
      <c r="AF17" s="8">
        <f>AF11*'Assumptions &amp; Results'!AG11</f>
        <v>0</v>
      </c>
      <c r="AG17" s="8">
        <f>AG11*'Assumptions &amp; Results'!AH11</f>
        <v>0</v>
      </c>
      <c r="AH17" s="8">
        <f>AH11*'Assumptions &amp; Results'!AI11</f>
        <v>0</v>
      </c>
      <c r="AI17" s="8">
        <f>AI11*'Assumptions &amp; Results'!AJ11</f>
        <v>0</v>
      </c>
      <c r="AJ17" s="125">
        <f>SUM(C17:AI17)</f>
        <v>0</v>
      </c>
    </row>
    <row r="18" spans="1:36" x14ac:dyDescent="0.2">
      <c r="A18" t="s">
        <v>284</v>
      </c>
      <c r="B18" t="s">
        <v>99</v>
      </c>
      <c r="C18" s="8">
        <f>IF('Assumptions &amp; Results'!$C$172=2,C15*C12,0)</f>
        <v>0</v>
      </c>
      <c r="D18" s="8">
        <f>IF('Assumptions &amp; Results'!$C$172=2,D15*D12,0)</f>
        <v>0</v>
      </c>
      <c r="E18" s="8">
        <f>IF('Assumptions &amp; Results'!$C$172=2,E15*E12,0)</f>
        <v>0</v>
      </c>
      <c r="F18" s="8">
        <f>IF('Assumptions &amp; Results'!$C$172=2,F15*F12,0)</f>
        <v>0</v>
      </c>
      <c r="G18" s="8">
        <f>IF('Assumptions &amp; Results'!$C$172=2,G15*G12,0)</f>
        <v>0</v>
      </c>
      <c r="H18" s="8">
        <f>IF('Assumptions &amp; Results'!$C$172=2,H15*H12,0)</f>
        <v>0</v>
      </c>
      <c r="I18" s="8">
        <f>IF('Assumptions &amp; Results'!$C$172=2,I15*I12,0)</f>
        <v>0</v>
      </c>
      <c r="J18" s="8">
        <f>IF('Assumptions &amp; Results'!$C$172=2,J15*J12,0)</f>
        <v>0</v>
      </c>
      <c r="K18" s="8">
        <f>IF('Assumptions &amp; Results'!$C$172=2,K15*K12,0)</f>
        <v>0</v>
      </c>
      <c r="L18" s="8">
        <f>IF('Assumptions &amp; Results'!$C$172=2,L15*L12,0)</f>
        <v>0</v>
      </c>
      <c r="M18" s="8">
        <f>IF('Assumptions &amp; Results'!$C$172=2,M15*M12,0)</f>
        <v>0</v>
      </c>
      <c r="N18" s="8">
        <f>IF('Assumptions &amp; Results'!$C$172=2,N15*N12,0)</f>
        <v>0</v>
      </c>
      <c r="O18" s="8">
        <f>IF('Assumptions &amp; Results'!$C$172=2,O15*O12,0)</f>
        <v>0</v>
      </c>
      <c r="P18" s="8">
        <f>IF('Assumptions &amp; Results'!$C$172=2,P15*P12,0)</f>
        <v>0</v>
      </c>
      <c r="Q18" s="8">
        <f>IF('Assumptions &amp; Results'!$C$172=2,Q15*Q12,0)</f>
        <v>0</v>
      </c>
      <c r="R18" s="8">
        <f>IF('Assumptions &amp; Results'!$C$172=2,R15*R12,0)</f>
        <v>0</v>
      </c>
      <c r="S18" s="8">
        <f>IF('Assumptions &amp; Results'!$C$172=2,S15*S12,0)</f>
        <v>0</v>
      </c>
      <c r="T18" s="8">
        <f>IF('Assumptions &amp; Results'!$C$172=2,T15*T12,0)</f>
        <v>0</v>
      </c>
      <c r="U18" s="8">
        <f>IF('Assumptions &amp; Results'!$C$172=2,U15*U12,0)</f>
        <v>0</v>
      </c>
      <c r="V18" s="8">
        <f>IF('Assumptions &amp; Results'!$C$172=2,V15*V12,0)</f>
        <v>0</v>
      </c>
      <c r="W18" s="8">
        <f>IF('Assumptions &amp; Results'!$C$172=2,W15*W12,0)</f>
        <v>0</v>
      </c>
      <c r="X18" s="8">
        <f>IF('Assumptions &amp; Results'!$C$172=2,X15*X12,0)</f>
        <v>0</v>
      </c>
      <c r="Y18" s="8">
        <f>IF('Assumptions &amp; Results'!$C$172=2,Y15*Y12,0)</f>
        <v>0</v>
      </c>
      <c r="Z18" s="8">
        <f>IF('Assumptions &amp; Results'!$C$172=2,Z15*Z12,0)</f>
        <v>0</v>
      </c>
      <c r="AA18" s="8">
        <f>IF('Assumptions &amp; Results'!$C$172=2,AA15*AA12,0)</f>
        <v>0</v>
      </c>
      <c r="AB18" s="8">
        <f>IF('Assumptions &amp; Results'!$C$172=2,AB15*AB12,0)</f>
        <v>0</v>
      </c>
      <c r="AC18" s="8">
        <f>IF('Assumptions &amp; Results'!$C$172=2,AC15*AC12,0)</f>
        <v>0</v>
      </c>
      <c r="AD18" s="8">
        <f>IF('Assumptions &amp; Results'!$C$172=2,AD15*AD12,0)</f>
        <v>0</v>
      </c>
      <c r="AE18" s="8">
        <f>IF('Assumptions &amp; Results'!$C$172=2,AE15*AE12,0)</f>
        <v>0</v>
      </c>
      <c r="AF18" s="8">
        <f>IF('Assumptions &amp; Results'!$C$172=2,AF15*AF12,0)</f>
        <v>0</v>
      </c>
      <c r="AG18" s="8">
        <f>IF('Assumptions &amp; Results'!$C$172=2,AG15*AG12,0)</f>
        <v>0</v>
      </c>
      <c r="AH18" s="8">
        <f>IF('Assumptions &amp; Results'!$C$172=2,AH15*AH12,0)</f>
        <v>0</v>
      </c>
      <c r="AI18" s="8">
        <f>IF('Assumptions &amp; Results'!$C$172=2,AI15*AI12,0)</f>
        <v>0</v>
      </c>
      <c r="AJ18" s="125"/>
    </row>
    <row r="19" spans="1:36" ht="18" x14ac:dyDescent="0.35">
      <c r="A19" t="s">
        <v>285</v>
      </c>
      <c r="B19" t="s">
        <v>99</v>
      </c>
      <c r="C19" s="27">
        <f>C13*C15</f>
        <v>0</v>
      </c>
      <c r="D19" s="27">
        <f t="shared" ref="D19:AI19" si="2">D13*D15</f>
        <v>0</v>
      </c>
      <c r="E19" s="27">
        <f t="shared" si="2"/>
        <v>0</v>
      </c>
      <c r="F19" s="27">
        <f t="shared" si="2"/>
        <v>0</v>
      </c>
      <c r="G19" s="27">
        <f t="shared" si="2"/>
        <v>0</v>
      </c>
      <c r="H19" s="27">
        <f t="shared" si="2"/>
        <v>0</v>
      </c>
      <c r="I19" s="27">
        <f t="shared" si="2"/>
        <v>0</v>
      </c>
      <c r="J19" s="27">
        <f t="shared" si="2"/>
        <v>0</v>
      </c>
      <c r="K19" s="27">
        <f t="shared" si="2"/>
        <v>0</v>
      </c>
      <c r="L19" s="27">
        <f t="shared" si="2"/>
        <v>0</v>
      </c>
      <c r="M19" s="27">
        <f t="shared" si="2"/>
        <v>0</v>
      </c>
      <c r="N19" s="27">
        <f t="shared" si="2"/>
        <v>0</v>
      </c>
      <c r="O19" s="27">
        <f t="shared" si="2"/>
        <v>0</v>
      </c>
      <c r="P19" s="27">
        <f t="shared" si="2"/>
        <v>0</v>
      </c>
      <c r="Q19" s="27">
        <f t="shared" si="2"/>
        <v>0</v>
      </c>
      <c r="R19" s="27">
        <f t="shared" si="2"/>
        <v>0</v>
      </c>
      <c r="S19" s="27">
        <f t="shared" si="2"/>
        <v>0</v>
      </c>
      <c r="T19" s="27">
        <f t="shared" si="2"/>
        <v>0</v>
      </c>
      <c r="U19" s="27">
        <f t="shared" si="2"/>
        <v>0</v>
      </c>
      <c r="V19" s="27">
        <f t="shared" si="2"/>
        <v>0</v>
      </c>
      <c r="W19" s="27">
        <f t="shared" si="2"/>
        <v>0</v>
      </c>
      <c r="X19" s="27">
        <f t="shared" si="2"/>
        <v>0</v>
      </c>
      <c r="Y19" s="27">
        <f t="shared" si="2"/>
        <v>0</v>
      </c>
      <c r="Z19" s="27">
        <f t="shared" si="2"/>
        <v>0</v>
      </c>
      <c r="AA19" s="27">
        <f t="shared" si="2"/>
        <v>0</v>
      </c>
      <c r="AB19" s="27">
        <f t="shared" si="2"/>
        <v>0</v>
      </c>
      <c r="AC19" s="27">
        <f t="shared" si="2"/>
        <v>0</v>
      </c>
      <c r="AD19" s="27">
        <f t="shared" si="2"/>
        <v>0</v>
      </c>
      <c r="AE19" s="27">
        <f t="shared" si="2"/>
        <v>0</v>
      </c>
      <c r="AF19" s="27">
        <f t="shared" si="2"/>
        <v>0</v>
      </c>
      <c r="AG19" s="27">
        <f t="shared" si="2"/>
        <v>0</v>
      </c>
      <c r="AH19" s="27">
        <f t="shared" si="2"/>
        <v>0</v>
      </c>
      <c r="AI19" s="27">
        <f t="shared" si="2"/>
        <v>0</v>
      </c>
      <c r="AJ19" s="126">
        <f>SUM(C19:AI19)</f>
        <v>0</v>
      </c>
    </row>
    <row r="20" spans="1:36" x14ac:dyDescent="0.2">
      <c r="A20" t="s">
        <v>286</v>
      </c>
      <c r="B20" t="s">
        <v>99</v>
      </c>
      <c r="C20" s="23">
        <f t="shared" ref="C20:AI20" si="3">SUM(C16:C19)</f>
        <v>0</v>
      </c>
      <c r="D20" s="23">
        <f t="shared" si="3"/>
        <v>0</v>
      </c>
      <c r="E20" s="23">
        <f t="shared" si="3"/>
        <v>0</v>
      </c>
      <c r="F20" s="23">
        <f t="shared" si="3"/>
        <v>0</v>
      </c>
      <c r="G20" s="23">
        <f t="shared" si="3"/>
        <v>0</v>
      </c>
      <c r="H20" s="23">
        <f t="shared" si="3"/>
        <v>0</v>
      </c>
      <c r="I20" s="23">
        <f t="shared" si="3"/>
        <v>0</v>
      </c>
      <c r="J20" s="23">
        <f t="shared" si="3"/>
        <v>0</v>
      </c>
      <c r="K20" s="23">
        <f t="shared" si="3"/>
        <v>0</v>
      </c>
      <c r="L20" s="23">
        <f t="shared" si="3"/>
        <v>0</v>
      </c>
      <c r="M20" s="23">
        <f t="shared" si="3"/>
        <v>0</v>
      </c>
      <c r="N20" s="23">
        <f t="shared" si="3"/>
        <v>0</v>
      </c>
      <c r="O20" s="23">
        <f t="shared" si="3"/>
        <v>0</v>
      </c>
      <c r="P20" s="23">
        <f t="shared" si="3"/>
        <v>0</v>
      </c>
      <c r="Q20" s="23">
        <f t="shared" si="3"/>
        <v>0</v>
      </c>
      <c r="R20" s="23">
        <f t="shared" si="3"/>
        <v>0</v>
      </c>
      <c r="S20" s="23">
        <f t="shared" si="3"/>
        <v>0</v>
      </c>
      <c r="T20" s="23">
        <f t="shared" si="3"/>
        <v>0</v>
      </c>
      <c r="U20" s="23">
        <f t="shared" si="3"/>
        <v>0</v>
      </c>
      <c r="V20" s="23">
        <f t="shared" si="3"/>
        <v>0</v>
      </c>
      <c r="W20" s="23">
        <f t="shared" si="3"/>
        <v>0</v>
      </c>
      <c r="X20" s="23">
        <f t="shared" si="3"/>
        <v>0</v>
      </c>
      <c r="Y20" s="23">
        <f t="shared" si="3"/>
        <v>0</v>
      </c>
      <c r="Z20" s="23">
        <f t="shared" si="3"/>
        <v>0</v>
      </c>
      <c r="AA20" s="23">
        <f t="shared" si="3"/>
        <v>0</v>
      </c>
      <c r="AB20" s="23">
        <f t="shared" si="3"/>
        <v>0</v>
      </c>
      <c r="AC20" s="23">
        <f t="shared" si="3"/>
        <v>0</v>
      </c>
      <c r="AD20" s="23">
        <f t="shared" si="3"/>
        <v>0</v>
      </c>
      <c r="AE20" s="23">
        <f t="shared" si="3"/>
        <v>0</v>
      </c>
      <c r="AF20" s="23">
        <f t="shared" si="3"/>
        <v>0</v>
      </c>
      <c r="AG20" s="23">
        <f t="shared" si="3"/>
        <v>0</v>
      </c>
      <c r="AH20" s="23">
        <f t="shared" si="3"/>
        <v>0</v>
      </c>
      <c r="AI20" s="23">
        <f t="shared" si="3"/>
        <v>0</v>
      </c>
      <c r="AJ20" s="125">
        <f>SUM(C20:AI20)</f>
        <v>0</v>
      </c>
    </row>
    <row r="21" spans="1:36" x14ac:dyDescent="0.2">
      <c r="AJ21" s="125"/>
    </row>
    <row r="22" spans="1:36" s="69" customFormat="1" x14ac:dyDescent="0.2">
      <c r="A22" s="74" t="s">
        <v>287</v>
      </c>
      <c r="AJ22" s="131"/>
    </row>
    <row r="23" spans="1:36" x14ac:dyDescent="0.2">
      <c r="A23" t="s">
        <v>288</v>
      </c>
      <c r="B23" t="s">
        <v>99</v>
      </c>
      <c r="C23" s="8">
        <f>C8*'Assumptions &amp; Results'!D100</f>
        <v>0</v>
      </c>
      <c r="D23" s="8">
        <f>D8*'Assumptions &amp; Results'!E100</f>
        <v>0</v>
      </c>
      <c r="E23" s="8">
        <f>E8*'Assumptions &amp; Results'!F100</f>
        <v>0</v>
      </c>
      <c r="F23" s="8">
        <f>F8*'Assumptions &amp; Results'!G100</f>
        <v>0</v>
      </c>
      <c r="G23" s="8">
        <f>G8*'Assumptions &amp; Results'!H100</f>
        <v>0</v>
      </c>
      <c r="H23" s="8">
        <f>H8*'Assumptions &amp; Results'!I100</f>
        <v>0</v>
      </c>
      <c r="I23" s="8">
        <f>I8*'Assumptions &amp; Results'!J100</f>
        <v>0</v>
      </c>
      <c r="J23" s="8">
        <f>J8*'Assumptions &amp; Results'!K100</f>
        <v>0</v>
      </c>
      <c r="K23" s="8">
        <f>K8*'Assumptions &amp; Results'!L100</f>
        <v>0</v>
      </c>
      <c r="L23" s="8">
        <f>L8*'Assumptions &amp; Results'!M100</f>
        <v>0</v>
      </c>
      <c r="M23" s="8">
        <f>M8*'Assumptions &amp; Results'!N100</f>
        <v>0</v>
      </c>
      <c r="N23" s="8">
        <f>N8*'Assumptions &amp; Results'!O100</f>
        <v>0</v>
      </c>
      <c r="O23" s="8">
        <f>O8*'Assumptions &amp; Results'!P100</f>
        <v>0</v>
      </c>
      <c r="P23" s="8">
        <f>P8*'Assumptions &amp; Results'!Q100</f>
        <v>0</v>
      </c>
      <c r="Q23" s="8">
        <f>Q8*'Assumptions &amp; Results'!R100</f>
        <v>0</v>
      </c>
      <c r="R23" s="8">
        <f>R8*'Assumptions &amp; Results'!S100</f>
        <v>0</v>
      </c>
      <c r="S23" s="8">
        <f>S8*'Assumptions &amp; Results'!T100</f>
        <v>0</v>
      </c>
      <c r="T23" s="8">
        <f>T8*'Assumptions &amp; Results'!U100</f>
        <v>0</v>
      </c>
      <c r="U23" s="8">
        <f>U8*'Assumptions &amp; Results'!V100</f>
        <v>0</v>
      </c>
      <c r="V23" s="8">
        <f>V8*'Assumptions &amp; Results'!W100</f>
        <v>0</v>
      </c>
      <c r="W23" s="8">
        <f>W8*'Assumptions &amp; Results'!X100</f>
        <v>0</v>
      </c>
      <c r="X23" s="8">
        <f>X8*'Assumptions &amp; Results'!Y100</f>
        <v>0</v>
      </c>
      <c r="Y23" s="8">
        <f>Y8*'Assumptions &amp; Results'!Z100</f>
        <v>0</v>
      </c>
      <c r="Z23" s="8">
        <f>Z8*'Assumptions &amp; Results'!AA100</f>
        <v>0</v>
      </c>
      <c r="AA23" s="8">
        <f>AA8*'Assumptions &amp; Results'!AB100</f>
        <v>0</v>
      </c>
      <c r="AB23" s="8">
        <f>AB8*'Assumptions &amp; Results'!AC100</f>
        <v>0</v>
      </c>
      <c r="AC23" s="8">
        <f>AC8*'Assumptions &amp; Results'!AD100</f>
        <v>0</v>
      </c>
      <c r="AD23" s="8">
        <f>AD8*'Assumptions &amp; Results'!AE100</f>
        <v>0</v>
      </c>
      <c r="AE23" s="8">
        <f>AE8*'Assumptions &amp; Results'!AF100</f>
        <v>0</v>
      </c>
      <c r="AF23" s="8">
        <f>AF8*'Assumptions &amp; Results'!AG100</f>
        <v>0</v>
      </c>
      <c r="AG23" s="8">
        <f>AG8*'Assumptions &amp; Results'!AH100</f>
        <v>0</v>
      </c>
      <c r="AH23" s="8">
        <f>AH8*'Assumptions &amp; Results'!AI100</f>
        <v>0</v>
      </c>
      <c r="AI23" s="8">
        <f>AI8*'Assumptions &amp; Results'!AJ100</f>
        <v>0</v>
      </c>
      <c r="AJ23" s="125">
        <f t="shared" ref="AJ23:AJ29" si="4">SUM(C23:AI23)</f>
        <v>0</v>
      </c>
    </row>
    <row r="24" spans="1:36" x14ac:dyDescent="0.2">
      <c r="A24" t="s">
        <v>289</v>
      </c>
      <c r="B24" t="s">
        <v>99</v>
      </c>
      <c r="C24" s="8">
        <f>'Assumptions &amp; Results'!D110</f>
        <v>0</v>
      </c>
      <c r="D24" s="8">
        <f>'Assumptions &amp; Results'!E110</f>
        <v>0</v>
      </c>
      <c r="E24" s="8">
        <f>'Assumptions &amp; Results'!F110</f>
        <v>0</v>
      </c>
      <c r="F24" s="8">
        <f>'Assumptions &amp; Results'!G110</f>
        <v>0</v>
      </c>
      <c r="G24" s="8">
        <f>'Assumptions &amp; Results'!H110</f>
        <v>0</v>
      </c>
      <c r="H24" s="8">
        <f>'Assumptions &amp; Results'!I110</f>
        <v>0</v>
      </c>
      <c r="I24" s="8">
        <f>'Assumptions &amp; Results'!J110</f>
        <v>0</v>
      </c>
      <c r="J24" s="8">
        <f>'Assumptions &amp; Results'!K110</f>
        <v>0</v>
      </c>
      <c r="K24" s="8">
        <f>'Assumptions &amp; Results'!L110</f>
        <v>0</v>
      </c>
      <c r="L24" s="8">
        <f>'Assumptions &amp; Results'!M110</f>
        <v>0</v>
      </c>
      <c r="M24" s="8">
        <f>'Assumptions &amp; Results'!N110</f>
        <v>0</v>
      </c>
      <c r="N24" s="8">
        <f>'Assumptions &amp; Results'!O110</f>
        <v>0</v>
      </c>
      <c r="O24" s="8">
        <f>'Assumptions &amp; Results'!P110</f>
        <v>0</v>
      </c>
      <c r="P24" s="8">
        <f>'Assumptions &amp; Results'!Q110</f>
        <v>0</v>
      </c>
      <c r="Q24" s="8">
        <f>'Assumptions &amp; Results'!R110</f>
        <v>0</v>
      </c>
      <c r="R24" s="8">
        <f>'Assumptions &amp; Results'!S110</f>
        <v>0</v>
      </c>
      <c r="S24" s="8">
        <f>'Assumptions &amp; Results'!T110</f>
        <v>0</v>
      </c>
      <c r="T24" s="8">
        <f>'Assumptions &amp; Results'!U110</f>
        <v>0</v>
      </c>
      <c r="U24" s="8">
        <f>'Assumptions &amp; Results'!V110</f>
        <v>0</v>
      </c>
      <c r="V24" s="8">
        <f>'Assumptions &amp; Results'!W110</f>
        <v>0</v>
      </c>
      <c r="W24" s="8">
        <f>'Assumptions &amp; Results'!X110</f>
        <v>0</v>
      </c>
      <c r="X24" s="8">
        <f>'Assumptions &amp; Results'!Y110</f>
        <v>0</v>
      </c>
      <c r="Y24" s="8">
        <f>'Assumptions &amp; Results'!Z110</f>
        <v>0</v>
      </c>
      <c r="Z24" s="8">
        <f>'Assumptions &amp; Results'!AA110</f>
        <v>0</v>
      </c>
      <c r="AA24" s="8">
        <f>'Assumptions &amp; Results'!AB110</f>
        <v>0</v>
      </c>
      <c r="AB24" s="8">
        <f>'Assumptions &amp; Results'!AC110</f>
        <v>0</v>
      </c>
      <c r="AC24" s="8">
        <f>'Assumptions &amp; Results'!AD110</f>
        <v>0</v>
      </c>
      <c r="AD24" s="8">
        <f>'Assumptions &amp; Results'!AE110</f>
        <v>0</v>
      </c>
      <c r="AE24" s="8">
        <f>'Assumptions &amp; Results'!AF110</f>
        <v>0</v>
      </c>
      <c r="AF24" s="8">
        <f>'Assumptions &amp; Results'!AG110</f>
        <v>0</v>
      </c>
      <c r="AG24" s="8">
        <f>'Assumptions &amp; Results'!AH110</f>
        <v>0</v>
      </c>
      <c r="AH24" s="8">
        <f>'Assumptions &amp; Results'!AI110</f>
        <v>0</v>
      </c>
      <c r="AI24" s="8">
        <f>'Assumptions &amp; Results'!AJ110</f>
        <v>0</v>
      </c>
      <c r="AJ24" s="125">
        <f t="shared" si="4"/>
        <v>0</v>
      </c>
    </row>
    <row r="25" spans="1:36" x14ac:dyDescent="0.2">
      <c r="A25" s="37" t="s">
        <v>290</v>
      </c>
      <c r="B25" t="s">
        <v>99</v>
      </c>
      <c r="C25" s="8">
        <f>IF('Assumptions &amp; Results'!$C$97=2,'Gas PL'!C25,0)</f>
        <v>0</v>
      </c>
      <c r="D25" s="8">
        <f>IF('Assumptions &amp; Results'!$C$97=2,'Gas PL'!D25,0)</f>
        <v>0</v>
      </c>
      <c r="E25" s="8">
        <f>IF('Assumptions &amp; Results'!$C$97=2,'Gas PL'!E25,0)</f>
        <v>0</v>
      </c>
      <c r="F25" s="8">
        <f>IF('Assumptions &amp; Results'!$C$97=2,'Gas PL'!F25,0)</f>
        <v>0</v>
      </c>
      <c r="G25" s="8">
        <f>IF('Assumptions &amp; Results'!$C$97=2,'Gas PL'!G25,0)</f>
        <v>0</v>
      </c>
      <c r="H25" s="8">
        <f>IF('Assumptions &amp; Results'!$C$97=2,'Gas PL'!H25,0)</f>
        <v>0</v>
      </c>
      <c r="I25" s="8">
        <f>IF('Assumptions &amp; Results'!$C$97=2,'Gas PL'!I25,0)</f>
        <v>0</v>
      </c>
      <c r="J25" s="8">
        <f>IF('Assumptions &amp; Results'!$C$97=2,'Gas PL'!J25,0)</f>
        <v>0</v>
      </c>
      <c r="K25" s="8">
        <f>IF('Assumptions &amp; Results'!$C$97=2,'Gas PL'!K25,0)</f>
        <v>0</v>
      </c>
      <c r="L25" s="8">
        <f>IF('Assumptions &amp; Results'!$C$97=2,'Gas PL'!L25,0)</f>
        <v>0</v>
      </c>
      <c r="M25" s="8">
        <f>IF('Assumptions &amp; Results'!$C$97=2,'Gas PL'!M25,0)</f>
        <v>0</v>
      </c>
      <c r="N25" s="8">
        <f>IF('Assumptions &amp; Results'!$C$97=2,'Gas PL'!N25,0)</f>
        <v>0</v>
      </c>
      <c r="O25" s="8">
        <f>IF('Assumptions &amp; Results'!$C$97=2,'Gas PL'!O25,0)</f>
        <v>0</v>
      </c>
      <c r="P25" s="8">
        <f>IF('Assumptions &amp; Results'!$C$97=2,'Gas PL'!P25,0)</f>
        <v>0</v>
      </c>
      <c r="Q25" s="8">
        <f>IF('Assumptions &amp; Results'!$C$97=2,'Gas PL'!Q25,0)</f>
        <v>0</v>
      </c>
      <c r="R25" s="8">
        <f>IF('Assumptions &amp; Results'!$C$97=2,'Gas PL'!R25,0)</f>
        <v>0</v>
      </c>
      <c r="S25" s="8">
        <f>IF('Assumptions &amp; Results'!$C$97=2,'Gas PL'!S25,0)</f>
        <v>0</v>
      </c>
      <c r="T25" s="8">
        <f>IF('Assumptions &amp; Results'!$C$97=2,'Gas PL'!T25,0)</f>
        <v>0</v>
      </c>
      <c r="U25" s="8">
        <f>IF('Assumptions &amp; Results'!$C$97=2,'Gas PL'!U25,0)</f>
        <v>0</v>
      </c>
      <c r="V25" s="8">
        <f>IF('Assumptions &amp; Results'!$C$97=2,'Gas PL'!V25,0)</f>
        <v>0</v>
      </c>
      <c r="W25" s="8">
        <f>IF('Assumptions &amp; Results'!$C$97=2,'Gas PL'!W25,0)</f>
        <v>0</v>
      </c>
      <c r="X25" s="8">
        <f>IF('Assumptions &amp; Results'!$C$97=2,'Gas PL'!X25,0)</f>
        <v>0</v>
      </c>
      <c r="Y25" s="8">
        <f>IF('Assumptions &amp; Results'!$C$97=2,'Gas PL'!Y25,0)</f>
        <v>0</v>
      </c>
      <c r="Z25" s="8">
        <f>IF('Assumptions &amp; Results'!$C$97=2,'Gas PL'!Z25,0)</f>
        <v>0</v>
      </c>
      <c r="AA25" s="8">
        <f>IF('Assumptions &amp; Results'!$C$97=2,'Gas PL'!AA25,0)</f>
        <v>0</v>
      </c>
      <c r="AB25" s="8">
        <f>IF('Assumptions &amp; Results'!$C$97=2,'Gas PL'!AB25,0)</f>
        <v>0</v>
      </c>
      <c r="AC25" s="8">
        <f>IF('Assumptions &amp; Results'!$C$97=2,'Gas PL'!AC25,0)</f>
        <v>0</v>
      </c>
      <c r="AD25" s="8">
        <f>IF('Assumptions &amp; Results'!$C$97=2,'Gas PL'!AD25,0)</f>
        <v>0</v>
      </c>
      <c r="AE25" s="8">
        <f>IF('Assumptions &amp; Results'!$C$97=2,'Gas PL'!AE25,0)</f>
        <v>0</v>
      </c>
      <c r="AF25" s="8">
        <f>IF('Assumptions &amp; Results'!$C$97=2,'Gas PL'!AF25,0)</f>
        <v>0</v>
      </c>
      <c r="AG25" s="8">
        <f>IF('Assumptions &amp; Results'!$C$97=2,'Gas PL'!AG25,0)</f>
        <v>0</v>
      </c>
      <c r="AH25" s="8">
        <f>IF('Assumptions &amp; Results'!$C$97=2,'Gas PL'!AH25,0)</f>
        <v>0</v>
      </c>
      <c r="AI25" s="8">
        <f>IF('Assumptions &amp; Results'!$C$97=2,'Gas PL'!AI25,0)</f>
        <v>0</v>
      </c>
      <c r="AJ25" s="125">
        <f t="shared" si="4"/>
        <v>0</v>
      </c>
    </row>
    <row r="26" spans="1:36" x14ac:dyDescent="0.2">
      <c r="A26" s="37" t="s">
        <v>291</v>
      </c>
      <c r="B26" t="s">
        <v>99</v>
      </c>
      <c r="C26" s="8">
        <f>'LNG Tolling'!C25</f>
        <v>0</v>
      </c>
      <c r="D26" s="8">
        <f>'LNG Tolling'!D25</f>
        <v>0</v>
      </c>
      <c r="E26" s="8">
        <f>'LNG Tolling'!E25</f>
        <v>0</v>
      </c>
      <c r="F26" s="8">
        <f>'LNG Tolling'!F25</f>
        <v>0</v>
      </c>
      <c r="G26" s="8">
        <f>'LNG Tolling'!G25</f>
        <v>0</v>
      </c>
      <c r="H26" s="8">
        <f>'LNG Tolling'!H25</f>
        <v>0</v>
      </c>
      <c r="I26" s="8">
        <f>'LNG Tolling'!I25</f>
        <v>0</v>
      </c>
      <c r="J26" s="8">
        <f>'LNG Tolling'!J25</f>
        <v>0</v>
      </c>
      <c r="K26" s="8">
        <f>'LNG Tolling'!K25</f>
        <v>0</v>
      </c>
      <c r="L26" s="8">
        <f>'LNG Tolling'!L25</f>
        <v>0</v>
      </c>
      <c r="M26" s="8">
        <f>'LNG Tolling'!M25</f>
        <v>0</v>
      </c>
      <c r="N26" s="8">
        <f>'LNG Tolling'!N25</f>
        <v>0</v>
      </c>
      <c r="O26" s="8">
        <f>'LNG Tolling'!O25</f>
        <v>0</v>
      </c>
      <c r="P26" s="8">
        <f>'LNG Tolling'!P25</f>
        <v>0</v>
      </c>
      <c r="Q26" s="8">
        <f>'LNG Tolling'!Q25</f>
        <v>0</v>
      </c>
      <c r="R26" s="8">
        <f>'LNG Tolling'!R25</f>
        <v>0</v>
      </c>
      <c r="S26" s="8">
        <f>'LNG Tolling'!S25</f>
        <v>0</v>
      </c>
      <c r="T26" s="8">
        <f>'LNG Tolling'!T25</f>
        <v>0</v>
      </c>
      <c r="U26" s="8">
        <f>'LNG Tolling'!U25</f>
        <v>0</v>
      </c>
      <c r="V26" s="8">
        <f>'LNG Tolling'!V25</f>
        <v>0</v>
      </c>
      <c r="W26" s="8">
        <f>'LNG Tolling'!W25</f>
        <v>0</v>
      </c>
      <c r="X26" s="8">
        <f>'LNG Tolling'!X25</f>
        <v>0</v>
      </c>
      <c r="Y26" s="8">
        <f>'LNG Tolling'!Y25</f>
        <v>0</v>
      </c>
      <c r="Z26" s="8">
        <f>'LNG Tolling'!Z25</f>
        <v>0</v>
      </c>
      <c r="AA26" s="8">
        <f>'LNG Tolling'!AA25</f>
        <v>0</v>
      </c>
      <c r="AB26" s="8">
        <f>'LNG Tolling'!AB25</f>
        <v>0</v>
      </c>
      <c r="AC26" s="8">
        <f>'LNG Tolling'!AC25</f>
        <v>0</v>
      </c>
      <c r="AD26" s="8">
        <f>'LNG Tolling'!AD25</f>
        <v>0</v>
      </c>
      <c r="AE26" s="8">
        <f>'LNG Tolling'!AE25</f>
        <v>0</v>
      </c>
      <c r="AF26" s="8">
        <f>'LNG Tolling'!AF25</f>
        <v>0</v>
      </c>
      <c r="AG26" s="8">
        <f>'LNG Tolling'!AG25</f>
        <v>0</v>
      </c>
      <c r="AH26" s="8">
        <f>'LNG Tolling'!AH25</f>
        <v>0</v>
      </c>
      <c r="AI26" s="8">
        <f>'LNG Tolling'!AI25</f>
        <v>0</v>
      </c>
      <c r="AJ26" s="125">
        <f t="shared" si="4"/>
        <v>0</v>
      </c>
    </row>
    <row r="27" spans="1:36" x14ac:dyDescent="0.2">
      <c r="A27" s="37" t="s">
        <v>292</v>
      </c>
      <c r="B27" t="s">
        <v>99</v>
      </c>
      <c r="C27" s="8">
        <f>IF('Assumptions &amp; Results'!$C$14=1,'Assumptions &amp; Results'!D102*C10,0)</f>
        <v>0</v>
      </c>
      <c r="D27" s="8">
        <f>IF('Assumptions &amp; Results'!$C$14=1,'Assumptions &amp; Results'!E102*D10,0)</f>
        <v>0</v>
      </c>
      <c r="E27" s="8">
        <f>IF('Assumptions &amp; Results'!$C$14=1,'Assumptions &amp; Results'!F102*E10,0)</f>
        <v>0</v>
      </c>
      <c r="F27" s="8">
        <f>IF('Assumptions &amp; Results'!$C$14=1,'Assumptions &amp; Results'!G102*F10,0)</f>
        <v>0</v>
      </c>
      <c r="G27" s="8">
        <f>IF('Assumptions &amp; Results'!$C$14=1,'Assumptions &amp; Results'!H102*G10,0)</f>
        <v>0</v>
      </c>
      <c r="H27" s="8">
        <f>IF('Assumptions &amp; Results'!$C$14=1,'Assumptions &amp; Results'!I102*H10,0)</f>
        <v>0</v>
      </c>
      <c r="I27" s="8">
        <f>IF('Assumptions &amp; Results'!$C$14=1,'Assumptions &amp; Results'!J102*I10,0)</f>
        <v>0</v>
      </c>
      <c r="J27" s="8">
        <f>IF('Assumptions &amp; Results'!$C$14=1,'Assumptions &amp; Results'!K102*J10,0)</f>
        <v>0</v>
      </c>
      <c r="K27" s="8">
        <f>IF('Assumptions &amp; Results'!$C$14=1,'Assumptions &amp; Results'!L102*K10,0)</f>
        <v>0</v>
      </c>
      <c r="L27" s="8">
        <f>IF('Assumptions &amp; Results'!$C$14=1,'Assumptions &amp; Results'!M102*L10,0)</f>
        <v>0</v>
      </c>
      <c r="M27" s="8">
        <f>IF('Assumptions &amp; Results'!$C$14=1,'Assumptions &amp; Results'!N102*M10,0)</f>
        <v>0</v>
      </c>
      <c r="N27" s="8">
        <f>IF('Assumptions &amp; Results'!$C$14=1,'Assumptions &amp; Results'!O102*N10,0)</f>
        <v>0</v>
      </c>
      <c r="O27" s="8">
        <f>IF('Assumptions &amp; Results'!$C$14=1,'Assumptions &amp; Results'!P102*O10,0)</f>
        <v>0</v>
      </c>
      <c r="P27" s="8">
        <f>IF('Assumptions &amp; Results'!$C$14=1,'Assumptions &amp; Results'!Q102*P10,0)</f>
        <v>0</v>
      </c>
      <c r="Q27" s="8">
        <f>IF('Assumptions &amp; Results'!$C$14=1,'Assumptions &amp; Results'!R102*Q10,0)</f>
        <v>0</v>
      </c>
      <c r="R27" s="8">
        <f>IF('Assumptions &amp; Results'!$C$14=1,'Assumptions &amp; Results'!S102*R10,0)</f>
        <v>0</v>
      </c>
      <c r="S27" s="8">
        <f>IF('Assumptions &amp; Results'!$C$14=1,'Assumptions &amp; Results'!T102*S10,0)</f>
        <v>0</v>
      </c>
      <c r="T27" s="8">
        <f>IF('Assumptions &amp; Results'!$C$14=1,'Assumptions &amp; Results'!U102*T10,0)</f>
        <v>0</v>
      </c>
      <c r="U27" s="8">
        <f>IF('Assumptions &amp; Results'!$C$14=1,'Assumptions &amp; Results'!V102*U10,0)</f>
        <v>0</v>
      </c>
      <c r="V27" s="8">
        <f>IF('Assumptions &amp; Results'!$C$14=1,'Assumptions &amp; Results'!W102*V10,0)</f>
        <v>0</v>
      </c>
      <c r="W27" s="8">
        <f>IF('Assumptions &amp; Results'!$C$14=1,'Assumptions &amp; Results'!X102*W10,0)</f>
        <v>0</v>
      </c>
      <c r="X27" s="8">
        <f>IF('Assumptions &amp; Results'!$C$14=1,'Assumptions &amp; Results'!Y102*X10,0)</f>
        <v>0</v>
      </c>
      <c r="Y27" s="8">
        <f>IF('Assumptions &amp; Results'!$C$14=1,'Assumptions &amp; Results'!Z102*Y10,0)</f>
        <v>0</v>
      </c>
      <c r="Z27" s="8">
        <f>IF('Assumptions &amp; Results'!$C$14=1,'Assumptions &amp; Results'!AA102*Z10,0)</f>
        <v>0</v>
      </c>
      <c r="AA27" s="8">
        <f>IF('Assumptions &amp; Results'!$C$14=1,'Assumptions &amp; Results'!AB102*AA10,0)</f>
        <v>0</v>
      </c>
      <c r="AB27" s="8">
        <f>IF('Assumptions &amp; Results'!$C$14=1,'Assumptions &amp; Results'!AC102*AB10,0)</f>
        <v>0</v>
      </c>
      <c r="AC27" s="8">
        <f>IF('Assumptions &amp; Results'!$C$14=1,'Assumptions &amp; Results'!AD102*AC10,0)</f>
        <v>0</v>
      </c>
      <c r="AD27" s="8">
        <f>IF('Assumptions &amp; Results'!$C$14=1,'Assumptions &amp; Results'!AE102*AD10,0)</f>
        <v>0</v>
      </c>
      <c r="AE27" s="8">
        <f>IF('Assumptions &amp; Results'!$C$14=1,'Assumptions &amp; Results'!AF102*AE10,0)</f>
        <v>0</v>
      </c>
      <c r="AF27" s="8">
        <f>IF('Assumptions &amp; Results'!$C$14=1,'Assumptions &amp; Results'!AG102*AF10,0)</f>
        <v>0</v>
      </c>
      <c r="AG27" s="8">
        <f>IF('Assumptions &amp; Results'!$C$14=1,'Assumptions &amp; Results'!AH102*AG10,0)</f>
        <v>0</v>
      </c>
      <c r="AH27" s="8">
        <f>IF('Assumptions &amp; Results'!$C$14=1,'Assumptions &amp; Results'!AI102*AH10,0)</f>
        <v>0</v>
      </c>
      <c r="AI27" s="8">
        <f>IF('Assumptions &amp; Results'!$C$14=1,'Assumptions &amp; Results'!AJ102*AI10,0)</f>
        <v>0</v>
      </c>
      <c r="AJ27" s="125">
        <f t="shared" si="4"/>
        <v>0</v>
      </c>
    </row>
    <row r="28" spans="1:36" ht="18" x14ac:dyDescent="0.35">
      <c r="A28" s="37" t="s">
        <v>293</v>
      </c>
      <c r="B28" t="s">
        <v>99</v>
      </c>
      <c r="C28" s="27">
        <f>C9*'Assumptions &amp; Results'!D101</f>
        <v>0</v>
      </c>
      <c r="D28" s="27">
        <f>D9*'Assumptions &amp; Results'!E101</f>
        <v>0</v>
      </c>
      <c r="E28" s="27">
        <f>E9*'Assumptions &amp; Results'!F101</f>
        <v>0</v>
      </c>
      <c r="F28" s="27">
        <f>F9*'Assumptions &amp; Results'!G101</f>
        <v>0</v>
      </c>
      <c r="G28" s="27">
        <f>G9*'Assumptions &amp; Results'!H101</f>
        <v>0</v>
      </c>
      <c r="H28" s="27">
        <f>H9*'Assumptions &amp; Results'!I101</f>
        <v>0</v>
      </c>
      <c r="I28" s="27">
        <f>I9*'Assumptions &amp; Results'!J101</f>
        <v>0</v>
      </c>
      <c r="J28" s="27">
        <f>J9*'Assumptions &amp; Results'!K101</f>
        <v>0</v>
      </c>
      <c r="K28" s="27">
        <f>K9*'Assumptions &amp; Results'!L101</f>
        <v>0</v>
      </c>
      <c r="L28" s="27">
        <f>L9*'Assumptions &amp; Results'!M101</f>
        <v>0</v>
      </c>
      <c r="M28" s="27">
        <f>M9*'Assumptions &amp; Results'!N101</f>
        <v>0</v>
      </c>
      <c r="N28" s="27">
        <f>N9*'Assumptions &amp; Results'!O101</f>
        <v>0</v>
      </c>
      <c r="O28" s="27">
        <f>O9*'Assumptions &amp; Results'!P101</f>
        <v>0</v>
      </c>
      <c r="P28" s="27">
        <f>P9*'Assumptions &amp; Results'!Q101</f>
        <v>0</v>
      </c>
      <c r="Q28" s="27">
        <f>Q9*'Assumptions &amp; Results'!R101</f>
        <v>0</v>
      </c>
      <c r="R28" s="27">
        <f>R9*'Assumptions &amp; Results'!S101</f>
        <v>0</v>
      </c>
      <c r="S28" s="27">
        <f>S9*'Assumptions &amp; Results'!T101</f>
        <v>0</v>
      </c>
      <c r="T28" s="27">
        <f>T9*'Assumptions &amp; Results'!U101</f>
        <v>0</v>
      </c>
      <c r="U28" s="27">
        <f>U9*'Assumptions &amp; Results'!V101</f>
        <v>0</v>
      </c>
      <c r="V28" s="27">
        <f>V9*'Assumptions &amp; Results'!W101</f>
        <v>0</v>
      </c>
      <c r="W28" s="27">
        <f>W9*'Assumptions &amp; Results'!X101</f>
        <v>0</v>
      </c>
      <c r="X28" s="27">
        <f>X9*'Assumptions &amp; Results'!Y101</f>
        <v>0</v>
      </c>
      <c r="Y28" s="27">
        <f>Y9*'Assumptions &amp; Results'!Z101</f>
        <v>0</v>
      </c>
      <c r="Z28" s="27">
        <f>Z9*'Assumptions &amp; Results'!AA101</f>
        <v>0</v>
      </c>
      <c r="AA28" s="27">
        <f>AA9*'Assumptions &amp; Results'!AB101</f>
        <v>0</v>
      </c>
      <c r="AB28" s="27">
        <f>AB9*'Assumptions &amp; Results'!AC101</f>
        <v>0</v>
      </c>
      <c r="AC28" s="27">
        <f>AC9*'Assumptions &amp; Results'!AD101</f>
        <v>0</v>
      </c>
      <c r="AD28" s="27">
        <f>AD9*'Assumptions &amp; Results'!AE101</f>
        <v>0</v>
      </c>
      <c r="AE28" s="27">
        <f>AE9*'Assumptions &amp; Results'!AF101</f>
        <v>0</v>
      </c>
      <c r="AF28" s="27">
        <f>AF9*'Assumptions &amp; Results'!AG101</f>
        <v>0</v>
      </c>
      <c r="AG28" s="27">
        <f>AG9*'Assumptions &amp; Results'!AH101</f>
        <v>0</v>
      </c>
      <c r="AH28" s="27">
        <f>AH9*'Assumptions &amp; Results'!AI101</f>
        <v>0</v>
      </c>
      <c r="AI28" s="27">
        <f>AI9*'Assumptions &amp; Results'!AJ101</f>
        <v>0</v>
      </c>
      <c r="AJ28" s="126">
        <f t="shared" si="4"/>
        <v>0</v>
      </c>
    </row>
    <row r="29" spans="1:36" x14ac:dyDescent="0.2">
      <c r="A29" s="4" t="s">
        <v>294</v>
      </c>
      <c r="B29" t="s">
        <v>99</v>
      </c>
      <c r="C29" s="8">
        <f>SUM(C23:C28)</f>
        <v>0</v>
      </c>
      <c r="D29" s="8">
        <f t="shared" ref="D29:AI29" si="5">SUM(D23:D28)</f>
        <v>0</v>
      </c>
      <c r="E29" s="8">
        <f t="shared" si="5"/>
        <v>0</v>
      </c>
      <c r="F29" s="8">
        <f t="shared" si="5"/>
        <v>0</v>
      </c>
      <c r="G29" s="8">
        <f t="shared" si="5"/>
        <v>0</v>
      </c>
      <c r="H29" s="8">
        <f t="shared" si="5"/>
        <v>0</v>
      </c>
      <c r="I29" s="8">
        <f t="shared" si="5"/>
        <v>0</v>
      </c>
      <c r="J29" s="8">
        <f t="shared" si="5"/>
        <v>0</v>
      </c>
      <c r="K29" s="8">
        <f t="shared" si="5"/>
        <v>0</v>
      </c>
      <c r="L29" s="8">
        <f t="shared" si="5"/>
        <v>0</v>
      </c>
      <c r="M29" s="8">
        <f t="shared" si="5"/>
        <v>0</v>
      </c>
      <c r="N29" s="8">
        <f t="shared" si="5"/>
        <v>0</v>
      </c>
      <c r="O29" s="8">
        <f t="shared" si="5"/>
        <v>0</v>
      </c>
      <c r="P29" s="8">
        <f t="shared" si="5"/>
        <v>0</v>
      </c>
      <c r="Q29" s="8">
        <f t="shared" si="5"/>
        <v>0</v>
      </c>
      <c r="R29" s="8">
        <f t="shared" si="5"/>
        <v>0</v>
      </c>
      <c r="S29" s="8">
        <f t="shared" si="5"/>
        <v>0</v>
      </c>
      <c r="T29" s="8">
        <f t="shared" si="5"/>
        <v>0</v>
      </c>
      <c r="U29" s="8">
        <f t="shared" si="5"/>
        <v>0</v>
      </c>
      <c r="V29" s="8">
        <f t="shared" si="5"/>
        <v>0</v>
      </c>
      <c r="W29" s="8">
        <f t="shared" si="5"/>
        <v>0</v>
      </c>
      <c r="X29" s="8">
        <f t="shared" si="5"/>
        <v>0</v>
      </c>
      <c r="Y29" s="8">
        <f t="shared" si="5"/>
        <v>0</v>
      </c>
      <c r="Z29" s="8">
        <f t="shared" si="5"/>
        <v>0</v>
      </c>
      <c r="AA29" s="8">
        <f t="shared" si="5"/>
        <v>0</v>
      </c>
      <c r="AB29" s="8">
        <f t="shared" si="5"/>
        <v>0</v>
      </c>
      <c r="AC29" s="8">
        <f t="shared" si="5"/>
        <v>0</v>
      </c>
      <c r="AD29" s="8">
        <f t="shared" si="5"/>
        <v>0</v>
      </c>
      <c r="AE29" s="8">
        <f t="shared" si="5"/>
        <v>0</v>
      </c>
      <c r="AF29" s="8">
        <f t="shared" si="5"/>
        <v>0</v>
      </c>
      <c r="AG29" s="8">
        <f t="shared" si="5"/>
        <v>0</v>
      </c>
      <c r="AH29" s="8">
        <f t="shared" si="5"/>
        <v>0</v>
      </c>
      <c r="AI29" s="8">
        <f t="shared" si="5"/>
        <v>0</v>
      </c>
      <c r="AJ29" s="125">
        <f t="shared" si="4"/>
        <v>0</v>
      </c>
    </row>
    <row r="30" spans="1:36" x14ac:dyDescent="0.2">
      <c r="A30" s="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125"/>
    </row>
    <row r="31" spans="1:36" s="69" customFormat="1" x14ac:dyDescent="0.2">
      <c r="A31" s="98" t="s">
        <v>295</v>
      </c>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131"/>
    </row>
    <row r="32" spans="1:36" x14ac:dyDescent="0.2">
      <c r="A32" s="2" t="s">
        <v>247</v>
      </c>
      <c r="B32" t="s">
        <v>99</v>
      </c>
      <c r="C32" s="8">
        <f>'Field 3 Fiscal'!C26</f>
        <v>0</v>
      </c>
      <c r="D32" s="8">
        <f>'Field 3 Fiscal'!D26</f>
        <v>0</v>
      </c>
      <c r="E32" s="8">
        <f>'Field 3 Fiscal'!E26</f>
        <v>0</v>
      </c>
      <c r="F32" s="8">
        <f>'Field 3 Fiscal'!F26</f>
        <v>0</v>
      </c>
      <c r="G32" s="8">
        <f>'Field 3 Fiscal'!G26</f>
        <v>0</v>
      </c>
      <c r="H32" s="8">
        <f>'Field 3 Fiscal'!H26</f>
        <v>0</v>
      </c>
      <c r="I32" s="8">
        <f>'Field 3 Fiscal'!I26</f>
        <v>0</v>
      </c>
      <c r="J32" s="8">
        <f>'Field 3 Fiscal'!J26</f>
        <v>0</v>
      </c>
      <c r="K32" s="8">
        <f>'Field 3 Fiscal'!K26</f>
        <v>0</v>
      </c>
      <c r="L32" s="8">
        <f>'Field 3 Fiscal'!L26</f>
        <v>0</v>
      </c>
      <c r="M32" s="8">
        <f>'Field 3 Fiscal'!M26</f>
        <v>0</v>
      </c>
      <c r="N32" s="8">
        <f>'Field 3 Fiscal'!N26</f>
        <v>0</v>
      </c>
      <c r="O32" s="8">
        <f>'Field 3 Fiscal'!O26</f>
        <v>0</v>
      </c>
      <c r="P32" s="8">
        <f>'Field 3 Fiscal'!P26</f>
        <v>0</v>
      </c>
      <c r="Q32" s="8">
        <f>'Field 3 Fiscal'!Q26</f>
        <v>0</v>
      </c>
      <c r="R32" s="8">
        <f>'Field 3 Fiscal'!R26</f>
        <v>0</v>
      </c>
      <c r="S32" s="8">
        <f>'Field 3 Fiscal'!S26</f>
        <v>0</v>
      </c>
      <c r="T32" s="8">
        <f>'Field 3 Fiscal'!T26</f>
        <v>0</v>
      </c>
      <c r="U32" s="8">
        <f>'Field 3 Fiscal'!U26</f>
        <v>0</v>
      </c>
      <c r="V32" s="8">
        <f>'Field 3 Fiscal'!V26</f>
        <v>0</v>
      </c>
      <c r="W32" s="8">
        <f>'Field 3 Fiscal'!W26</f>
        <v>0</v>
      </c>
      <c r="X32" s="8">
        <f>'Field 3 Fiscal'!X26</f>
        <v>0</v>
      </c>
      <c r="Y32" s="8">
        <f>'Field 3 Fiscal'!Y26</f>
        <v>0</v>
      </c>
      <c r="Z32" s="8">
        <f>'Field 3 Fiscal'!Z26</f>
        <v>0</v>
      </c>
      <c r="AA32" s="8">
        <f>'Field 3 Fiscal'!AA26</f>
        <v>0</v>
      </c>
      <c r="AB32" s="8">
        <f>'Field 3 Fiscal'!AB26</f>
        <v>0</v>
      </c>
      <c r="AC32" s="8">
        <f>'Field 3 Fiscal'!AC26</f>
        <v>0</v>
      </c>
      <c r="AD32" s="8">
        <f>'Field 3 Fiscal'!AD26</f>
        <v>0</v>
      </c>
      <c r="AE32" s="8">
        <f>'Field 3 Fiscal'!AE26</f>
        <v>0</v>
      </c>
      <c r="AF32" s="8">
        <f>'Field 3 Fiscal'!AF26</f>
        <v>0</v>
      </c>
      <c r="AG32" s="8">
        <f>'Field 3 Fiscal'!AG26</f>
        <v>0</v>
      </c>
      <c r="AH32" s="8">
        <f>'Field 3 Fiscal'!AH26</f>
        <v>0</v>
      </c>
      <c r="AI32" s="8">
        <f>'Field 3 Fiscal'!AI26</f>
        <v>0</v>
      </c>
      <c r="AJ32" s="125">
        <f>SUM(C32:AI32)</f>
        <v>0</v>
      </c>
    </row>
    <row r="33" spans="1:36" x14ac:dyDescent="0.2">
      <c r="A33" t="s">
        <v>263</v>
      </c>
      <c r="B33" t="s">
        <v>99</v>
      </c>
      <c r="C33" s="8">
        <f>'Field 3 Fiscal'!C45</f>
        <v>0</v>
      </c>
      <c r="D33" s="8">
        <f>'Field 3 Fiscal'!D45</f>
        <v>0</v>
      </c>
      <c r="E33" s="8">
        <f>'Field 3 Fiscal'!E45</f>
        <v>0</v>
      </c>
      <c r="F33" s="8">
        <f>'Field 3 Fiscal'!F45</f>
        <v>0</v>
      </c>
      <c r="G33" s="8">
        <f>'Field 3 Fiscal'!G45</f>
        <v>0</v>
      </c>
      <c r="H33" s="8">
        <f>'Field 3 Fiscal'!H45</f>
        <v>0</v>
      </c>
      <c r="I33" s="8">
        <f>'Field 3 Fiscal'!I45</f>
        <v>0</v>
      </c>
      <c r="J33" s="8">
        <f>'Field 3 Fiscal'!J45</f>
        <v>0</v>
      </c>
      <c r="K33" s="8">
        <f>'Field 3 Fiscal'!K45</f>
        <v>0</v>
      </c>
      <c r="L33" s="8">
        <f>'Field 3 Fiscal'!L45</f>
        <v>0</v>
      </c>
      <c r="M33" s="8">
        <f>'Field 3 Fiscal'!M45</f>
        <v>0</v>
      </c>
      <c r="N33" s="8">
        <f>'Field 3 Fiscal'!N45</f>
        <v>0</v>
      </c>
      <c r="O33" s="8">
        <f>'Field 3 Fiscal'!O45</f>
        <v>0</v>
      </c>
      <c r="P33" s="8">
        <f>'Field 3 Fiscal'!P45</f>
        <v>0</v>
      </c>
      <c r="Q33" s="8">
        <f>'Field 3 Fiscal'!Q45</f>
        <v>0</v>
      </c>
      <c r="R33" s="8">
        <f>'Field 3 Fiscal'!R45</f>
        <v>0</v>
      </c>
      <c r="S33" s="8">
        <f>'Field 3 Fiscal'!S45</f>
        <v>0</v>
      </c>
      <c r="T33" s="8">
        <f>'Field 3 Fiscal'!T45</f>
        <v>0</v>
      </c>
      <c r="U33" s="8">
        <f>'Field 3 Fiscal'!U45</f>
        <v>0</v>
      </c>
      <c r="V33" s="8">
        <f>'Field 3 Fiscal'!V45</f>
        <v>0</v>
      </c>
      <c r="W33" s="8">
        <f>'Field 3 Fiscal'!W45</f>
        <v>0</v>
      </c>
      <c r="X33" s="8">
        <f>'Field 3 Fiscal'!X45</f>
        <v>0</v>
      </c>
      <c r="Y33" s="8">
        <f>'Field 3 Fiscal'!Y45</f>
        <v>0</v>
      </c>
      <c r="Z33" s="8">
        <f>'Field 3 Fiscal'!Z45</f>
        <v>0</v>
      </c>
      <c r="AA33" s="8">
        <f>'Field 3 Fiscal'!AA45</f>
        <v>0</v>
      </c>
      <c r="AB33" s="8">
        <f>'Field 3 Fiscal'!AB45</f>
        <v>0</v>
      </c>
      <c r="AC33" s="8">
        <f>'Field 3 Fiscal'!AC45</f>
        <v>0</v>
      </c>
      <c r="AD33" s="8">
        <f>'Field 3 Fiscal'!AD45</f>
        <v>0</v>
      </c>
      <c r="AE33" s="8">
        <f>'Field 3 Fiscal'!AE45</f>
        <v>0</v>
      </c>
      <c r="AF33" s="8">
        <f>'Field 3 Fiscal'!AF45</f>
        <v>0</v>
      </c>
      <c r="AG33" s="8">
        <f>'Field 3 Fiscal'!AG45</f>
        <v>0</v>
      </c>
      <c r="AH33" s="8">
        <f>'Field 3 Fiscal'!AH45</f>
        <v>0</v>
      </c>
      <c r="AI33" s="8">
        <f>'Field 3 Fiscal'!AI45</f>
        <v>0</v>
      </c>
      <c r="AJ33" s="125">
        <f>SUM(C33:AI33)</f>
        <v>0</v>
      </c>
    </row>
    <row r="34" spans="1:36" ht="18" x14ac:dyDescent="0.35">
      <c r="A34" t="s">
        <v>268</v>
      </c>
      <c r="B34" t="s">
        <v>99</v>
      </c>
      <c r="C34" s="27">
        <f>'Field 3 Fiscal'!C51</f>
        <v>0</v>
      </c>
      <c r="D34" s="27">
        <f>'Field 3 Fiscal'!D51</f>
        <v>0</v>
      </c>
      <c r="E34" s="27">
        <f>'Field 3 Fiscal'!E51</f>
        <v>0</v>
      </c>
      <c r="F34" s="27">
        <f>'Field 3 Fiscal'!F51</f>
        <v>0</v>
      </c>
      <c r="G34" s="27">
        <f>'Field 3 Fiscal'!G51</f>
        <v>0</v>
      </c>
      <c r="H34" s="27">
        <f>'Field 3 Fiscal'!H51</f>
        <v>0</v>
      </c>
      <c r="I34" s="27">
        <f>'Field 3 Fiscal'!I51</f>
        <v>0</v>
      </c>
      <c r="J34" s="27">
        <f>'Field 3 Fiscal'!J51</f>
        <v>0</v>
      </c>
      <c r="K34" s="27">
        <f>'Field 3 Fiscal'!K51</f>
        <v>0</v>
      </c>
      <c r="L34" s="27">
        <f>'Field 3 Fiscal'!L51</f>
        <v>0</v>
      </c>
      <c r="M34" s="27">
        <f>'Field 3 Fiscal'!M51</f>
        <v>0</v>
      </c>
      <c r="N34" s="27">
        <f>'Field 3 Fiscal'!N51</f>
        <v>0</v>
      </c>
      <c r="O34" s="27">
        <f>'Field 3 Fiscal'!O51</f>
        <v>0</v>
      </c>
      <c r="P34" s="27">
        <f>'Field 3 Fiscal'!P51</f>
        <v>0</v>
      </c>
      <c r="Q34" s="27">
        <f>'Field 3 Fiscal'!Q51</f>
        <v>0</v>
      </c>
      <c r="R34" s="27">
        <f>'Field 3 Fiscal'!R51</f>
        <v>0</v>
      </c>
      <c r="S34" s="27">
        <f>'Field 3 Fiscal'!S51</f>
        <v>0</v>
      </c>
      <c r="T34" s="27">
        <f>'Field 3 Fiscal'!T51</f>
        <v>0</v>
      </c>
      <c r="U34" s="27">
        <f>'Field 3 Fiscal'!U51</f>
        <v>0</v>
      </c>
      <c r="V34" s="27">
        <f>'Field 3 Fiscal'!V51</f>
        <v>0</v>
      </c>
      <c r="W34" s="27">
        <f>'Field 3 Fiscal'!W51</f>
        <v>0</v>
      </c>
      <c r="X34" s="27">
        <f>'Field 3 Fiscal'!X51</f>
        <v>0</v>
      </c>
      <c r="Y34" s="27">
        <f>'Field 3 Fiscal'!Y51</f>
        <v>0</v>
      </c>
      <c r="Z34" s="27">
        <f>'Field 3 Fiscal'!Z51</f>
        <v>0</v>
      </c>
      <c r="AA34" s="27">
        <f>'Field 3 Fiscal'!AA51</f>
        <v>0</v>
      </c>
      <c r="AB34" s="27">
        <f>'Field 3 Fiscal'!AB51</f>
        <v>0</v>
      </c>
      <c r="AC34" s="27">
        <f>'Field 3 Fiscal'!AC51</f>
        <v>0</v>
      </c>
      <c r="AD34" s="27">
        <f>'Field 3 Fiscal'!AD51</f>
        <v>0</v>
      </c>
      <c r="AE34" s="27">
        <f>'Field 3 Fiscal'!AE51</f>
        <v>0</v>
      </c>
      <c r="AF34" s="27">
        <f>'Field 3 Fiscal'!AF51</f>
        <v>0</v>
      </c>
      <c r="AG34" s="27">
        <f>'Field 3 Fiscal'!AG51</f>
        <v>0</v>
      </c>
      <c r="AH34" s="27">
        <f>'Field 3 Fiscal'!AH51</f>
        <v>0</v>
      </c>
      <c r="AI34" s="27">
        <f>'Field 3 Fiscal'!AI51</f>
        <v>0</v>
      </c>
      <c r="AJ34" s="126">
        <f>SUM(C34:AI34)</f>
        <v>0</v>
      </c>
    </row>
    <row r="35" spans="1:36" x14ac:dyDescent="0.2">
      <c r="A35" s="4" t="s">
        <v>297</v>
      </c>
      <c r="B35" t="s">
        <v>99</v>
      </c>
      <c r="C35" s="8">
        <f>SUM(C32:C34)</f>
        <v>0</v>
      </c>
      <c r="D35" s="8">
        <f t="shared" ref="D35:AI35" si="6">SUM(D32:D34)</f>
        <v>0</v>
      </c>
      <c r="E35" s="8">
        <f t="shared" si="6"/>
        <v>0</v>
      </c>
      <c r="F35" s="8">
        <f t="shared" si="6"/>
        <v>0</v>
      </c>
      <c r="G35" s="8">
        <f t="shared" si="6"/>
        <v>0</v>
      </c>
      <c r="H35" s="8">
        <f t="shared" si="6"/>
        <v>0</v>
      </c>
      <c r="I35" s="8">
        <f t="shared" si="6"/>
        <v>0</v>
      </c>
      <c r="J35" s="8">
        <f t="shared" si="6"/>
        <v>0</v>
      </c>
      <c r="K35" s="8">
        <f t="shared" si="6"/>
        <v>0</v>
      </c>
      <c r="L35" s="8">
        <f t="shared" si="6"/>
        <v>0</v>
      </c>
      <c r="M35" s="8">
        <f t="shared" si="6"/>
        <v>0</v>
      </c>
      <c r="N35" s="8">
        <f t="shared" si="6"/>
        <v>0</v>
      </c>
      <c r="O35" s="8">
        <f t="shared" si="6"/>
        <v>0</v>
      </c>
      <c r="P35" s="8">
        <f t="shared" si="6"/>
        <v>0</v>
      </c>
      <c r="Q35" s="8">
        <f t="shared" si="6"/>
        <v>0</v>
      </c>
      <c r="R35" s="8">
        <f t="shared" si="6"/>
        <v>0</v>
      </c>
      <c r="S35" s="8">
        <f t="shared" si="6"/>
        <v>0</v>
      </c>
      <c r="T35" s="8">
        <f t="shared" si="6"/>
        <v>0</v>
      </c>
      <c r="U35" s="8">
        <f t="shared" si="6"/>
        <v>0</v>
      </c>
      <c r="V35" s="8">
        <f t="shared" si="6"/>
        <v>0</v>
      </c>
      <c r="W35" s="8">
        <f t="shared" si="6"/>
        <v>0</v>
      </c>
      <c r="X35" s="8">
        <f t="shared" si="6"/>
        <v>0</v>
      </c>
      <c r="Y35" s="8">
        <f t="shared" si="6"/>
        <v>0</v>
      </c>
      <c r="Z35" s="8">
        <f t="shared" si="6"/>
        <v>0</v>
      </c>
      <c r="AA35" s="8">
        <f t="shared" si="6"/>
        <v>0</v>
      </c>
      <c r="AB35" s="8">
        <f t="shared" si="6"/>
        <v>0</v>
      </c>
      <c r="AC35" s="8">
        <f t="shared" si="6"/>
        <v>0</v>
      </c>
      <c r="AD35" s="8">
        <f t="shared" si="6"/>
        <v>0</v>
      </c>
      <c r="AE35" s="8">
        <f t="shared" si="6"/>
        <v>0</v>
      </c>
      <c r="AF35" s="8">
        <f t="shared" si="6"/>
        <v>0</v>
      </c>
      <c r="AG35" s="8">
        <f t="shared" si="6"/>
        <v>0</v>
      </c>
      <c r="AH35" s="8">
        <f t="shared" si="6"/>
        <v>0</v>
      </c>
      <c r="AI35" s="8">
        <f t="shared" si="6"/>
        <v>0</v>
      </c>
      <c r="AJ35" s="125">
        <f>SUM(C35:AI35)</f>
        <v>0</v>
      </c>
    </row>
    <row r="36" spans="1:36" x14ac:dyDescent="0.2">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125"/>
    </row>
    <row r="37" spans="1:36" s="69" customFormat="1" x14ac:dyDescent="0.2">
      <c r="A37" s="74" t="s">
        <v>298</v>
      </c>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131"/>
    </row>
    <row r="38" spans="1:36" ht="15.95" thickBot="1" x14ac:dyDescent="0.25">
      <c r="A38" t="s">
        <v>299</v>
      </c>
      <c r="B38" t="s">
        <v>99</v>
      </c>
      <c r="C38" s="8">
        <f t="shared" ref="C38:AI38" si="7">C20-C4-C29-C35</f>
        <v>0</v>
      </c>
      <c r="D38" s="8">
        <f t="shared" si="7"/>
        <v>0</v>
      </c>
      <c r="E38" s="8">
        <f t="shared" si="7"/>
        <v>0</v>
      </c>
      <c r="F38" s="8">
        <f t="shared" si="7"/>
        <v>0</v>
      </c>
      <c r="G38" s="8">
        <f t="shared" si="7"/>
        <v>0</v>
      </c>
      <c r="H38" s="8">
        <f t="shared" si="7"/>
        <v>0</v>
      </c>
      <c r="I38" s="8">
        <f t="shared" si="7"/>
        <v>0</v>
      </c>
      <c r="J38" s="8">
        <f t="shared" si="7"/>
        <v>0</v>
      </c>
      <c r="K38" s="8">
        <f t="shared" si="7"/>
        <v>0</v>
      </c>
      <c r="L38" s="8">
        <f t="shared" si="7"/>
        <v>0</v>
      </c>
      <c r="M38" s="8">
        <f t="shared" si="7"/>
        <v>0</v>
      </c>
      <c r="N38" s="8">
        <f t="shared" si="7"/>
        <v>0</v>
      </c>
      <c r="O38" s="8">
        <f t="shared" si="7"/>
        <v>0</v>
      </c>
      <c r="P38" s="8">
        <f t="shared" si="7"/>
        <v>0</v>
      </c>
      <c r="Q38" s="8">
        <f t="shared" si="7"/>
        <v>0</v>
      </c>
      <c r="R38" s="8">
        <f t="shared" si="7"/>
        <v>0</v>
      </c>
      <c r="S38" s="8">
        <f t="shared" si="7"/>
        <v>0</v>
      </c>
      <c r="T38" s="8">
        <f t="shared" si="7"/>
        <v>0</v>
      </c>
      <c r="U38" s="8">
        <f t="shared" si="7"/>
        <v>0</v>
      </c>
      <c r="V38" s="8">
        <f t="shared" si="7"/>
        <v>0</v>
      </c>
      <c r="W38" s="8">
        <f t="shared" si="7"/>
        <v>0</v>
      </c>
      <c r="X38" s="8">
        <f t="shared" si="7"/>
        <v>0</v>
      </c>
      <c r="Y38" s="8">
        <f t="shared" si="7"/>
        <v>0</v>
      </c>
      <c r="Z38" s="8">
        <f t="shared" si="7"/>
        <v>0</v>
      </c>
      <c r="AA38" s="8">
        <f t="shared" si="7"/>
        <v>0</v>
      </c>
      <c r="AB38" s="8">
        <f t="shared" si="7"/>
        <v>0</v>
      </c>
      <c r="AC38" s="8">
        <f t="shared" si="7"/>
        <v>0</v>
      </c>
      <c r="AD38" s="8">
        <f t="shared" si="7"/>
        <v>0</v>
      </c>
      <c r="AE38" s="8">
        <f t="shared" si="7"/>
        <v>0</v>
      </c>
      <c r="AF38" s="8">
        <f t="shared" si="7"/>
        <v>0</v>
      </c>
      <c r="AG38" s="8">
        <f t="shared" si="7"/>
        <v>0</v>
      </c>
      <c r="AH38" s="8">
        <f t="shared" si="7"/>
        <v>0</v>
      </c>
      <c r="AI38" s="8">
        <f t="shared" si="7"/>
        <v>0</v>
      </c>
      <c r="AJ38" s="125">
        <f>SUM(C38:AI38)</f>
        <v>0</v>
      </c>
    </row>
    <row r="39" spans="1:36" ht="15.95" thickBot="1" x14ac:dyDescent="0.25">
      <c r="A39" t="s">
        <v>300</v>
      </c>
      <c r="B39" s="7">
        <f>'Assumptions &amp; Results'!C154</f>
        <v>0.1</v>
      </c>
      <c r="C39" s="367">
        <f>NPV(B39,C38:AI38)</f>
        <v>0</v>
      </c>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125"/>
    </row>
    <row r="40" spans="1:36" ht="15.95" thickBot="1" x14ac:dyDescent="0.25">
      <c r="A40" t="s">
        <v>301</v>
      </c>
      <c r="B40" s="7"/>
      <c r="C40" s="369" t="e">
        <f>IRR(C38:AI38)</f>
        <v>#NUM!</v>
      </c>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125"/>
    </row>
    <row r="41" spans="1:36" x14ac:dyDescent="0.2">
      <c r="B41" s="7"/>
      <c r="C41" s="17"/>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125"/>
    </row>
    <row r="42" spans="1:36" s="69" customFormat="1" x14ac:dyDescent="0.2">
      <c r="A42" s="74" t="s">
        <v>302</v>
      </c>
      <c r="AJ42" s="132"/>
    </row>
    <row r="43" spans="1:36" x14ac:dyDescent="0.2">
      <c r="A43" t="s">
        <v>303</v>
      </c>
      <c r="B43" t="s">
        <v>99</v>
      </c>
      <c r="C43" s="10">
        <f t="shared" ref="C43:AI43" si="8">C20-C4-C29</f>
        <v>0</v>
      </c>
      <c r="D43" s="10">
        <f t="shared" si="8"/>
        <v>0</v>
      </c>
      <c r="E43" s="10">
        <f t="shared" si="8"/>
        <v>0</v>
      </c>
      <c r="F43" s="10">
        <f t="shared" si="8"/>
        <v>0</v>
      </c>
      <c r="G43" s="10">
        <f t="shared" si="8"/>
        <v>0</v>
      </c>
      <c r="H43" s="10">
        <f t="shared" si="8"/>
        <v>0</v>
      </c>
      <c r="I43" s="10">
        <f t="shared" si="8"/>
        <v>0</v>
      </c>
      <c r="J43" s="10">
        <f t="shared" si="8"/>
        <v>0</v>
      </c>
      <c r="K43" s="10">
        <f t="shared" si="8"/>
        <v>0</v>
      </c>
      <c r="L43" s="10">
        <f t="shared" si="8"/>
        <v>0</v>
      </c>
      <c r="M43" s="10">
        <f t="shared" si="8"/>
        <v>0</v>
      </c>
      <c r="N43" s="10">
        <f t="shared" si="8"/>
        <v>0</v>
      </c>
      <c r="O43" s="10">
        <f t="shared" si="8"/>
        <v>0</v>
      </c>
      <c r="P43" s="10">
        <f t="shared" si="8"/>
        <v>0</v>
      </c>
      <c r="Q43" s="10">
        <f t="shared" si="8"/>
        <v>0</v>
      </c>
      <c r="R43" s="10">
        <f t="shared" si="8"/>
        <v>0</v>
      </c>
      <c r="S43" s="10">
        <f t="shared" si="8"/>
        <v>0</v>
      </c>
      <c r="T43" s="10">
        <f t="shared" si="8"/>
        <v>0</v>
      </c>
      <c r="U43" s="10">
        <f t="shared" si="8"/>
        <v>0</v>
      </c>
      <c r="V43" s="10">
        <f t="shared" si="8"/>
        <v>0</v>
      </c>
      <c r="W43" s="10">
        <f t="shared" si="8"/>
        <v>0</v>
      </c>
      <c r="X43" s="10">
        <f t="shared" si="8"/>
        <v>0</v>
      </c>
      <c r="Y43" s="10">
        <f t="shared" si="8"/>
        <v>0</v>
      </c>
      <c r="Z43" s="10">
        <f t="shared" si="8"/>
        <v>0</v>
      </c>
      <c r="AA43" s="10">
        <f t="shared" si="8"/>
        <v>0</v>
      </c>
      <c r="AB43" s="10">
        <f t="shared" si="8"/>
        <v>0</v>
      </c>
      <c r="AC43" s="10">
        <f t="shared" si="8"/>
        <v>0</v>
      </c>
      <c r="AD43" s="10">
        <f t="shared" si="8"/>
        <v>0</v>
      </c>
      <c r="AE43" s="10">
        <f t="shared" si="8"/>
        <v>0</v>
      </c>
      <c r="AF43" s="10">
        <f t="shared" si="8"/>
        <v>0</v>
      </c>
      <c r="AG43" s="10">
        <f t="shared" si="8"/>
        <v>0</v>
      </c>
      <c r="AH43" s="10">
        <f t="shared" si="8"/>
        <v>0</v>
      </c>
      <c r="AI43" s="10">
        <f t="shared" si="8"/>
        <v>0</v>
      </c>
      <c r="AJ43" s="125">
        <f>SUM(C43:AI43)</f>
        <v>0</v>
      </c>
    </row>
    <row r="44" spans="1:36" x14ac:dyDescent="0.2">
      <c r="A44" t="s">
        <v>304</v>
      </c>
      <c r="B44" t="s">
        <v>99</v>
      </c>
      <c r="C44" s="10">
        <f>C35</f>
        <v>0</v>
      </c>
      <c r="D44" s="10">
        <f t="shared" ref="D44:AI44" si="9">D35</f>
        <v>0</v>
      </c>
      <c r="E44" s="10">
        <f t="shared" si="9"/>
        <v>0</v>
      </c>
      <c r="F44" s="10">
        <f t="shared" si="9"/>
        <v>0</v>
      </c>
      <c r="G44" s="10">
        <f t="shared" si="9"/>
        <v>0</v>
      </c>
      <c r="H44" s="10">
        <f t="shared" si="9"/>
        <v>0</v>
      </c>
      <c r="I44" s="10">
        <f t="shared" si="9"/>
        <v>0</v>
      </c>
      <c r="J44" s="10">
        <f t="shared" si="9"/>
        <v>0</v>
      </c>
      <c r="K44" s="10">
        <f t="shared" si="9"/>
        <v>0</v>
      </c>
      <c r="L44" s="10">
        <f t="shared" si="9"/>
        <v>0</v>
      </c>
      <c r="M44" s="10">
        <f t="shared" si="9"/>
        <v>0</v>
      </c>
      <c r="N44" s="10">
        <f t="shared" si="9"/>
        <v>0</v>
      </c>
      <c r="O44" s="10">
        <f t="shared" si="9"/>
        <v>0</v>
      </c>
      <c r="P44" s="10">
        <f t="shared" si="9"/>
        <v>0</v>
      </c>
      <c r="Q44" s="10">
        <f t="shared" si="9"/>
        <v>0</v>
      </c>
      <c r="R44" s="10">
        <f t="shared" si="9"/>
        <v>0</v>
      </c>
      <c r="S44" s="10">
        <f t="shared" si="9"/>
        <v>0</v>
      </c>
      <c r="T44" s="10">
        <f t="shared" si="9"/>
        <v>0</v>
      </c>
      <c r="U44" s="10">
        <f t="shared" si="9"/>
        <v>0</v>
      </c>
      <c r="V44" s="10">
        <f t="shared" si="9"/>
        <v>0</v>
      </c>
      <c r="W44" s="10">
        <f t="shared" si="9"/>
        <v>0</v>
      </c>
      <c r="X44" s="10">
        <f t="shared" si="9"/>
        <v>0</v>
      </c>
      <c r="Y44" s="10">
        <f t="shared" si="9"/>
        <v>0</v>
      </c>
      <c r="Z44" s="10">
        <f t="shared" si="9"/>
        <v>0</v>
      </c>
      <c r="AA44" s="10">
        <f t="shared" si="9"/>
        <v>0</v>
      </c>
      <c r="AB44" s="10">
        <f t="shared" si="9"/>
        <v>0</v>
      </c>
      <c r="AC44" s="10">
        <f t="shared" si="9"/>
        <v>0</v>
      </c>
      <c r="AD44" s="10">
        <f t="shared" si="9"/>
        <v>0</v>
      </c>
      <c r="AE44" s="10">
        <f t="shared" si="9"/>
        <v>0</v>
      </c>
      <c r="AF44" s="10">
        <f t="shared" si="9"/>
        <v>0</v>
      </c>
      <c r="AG44" s="10">
        <f t="shared" si="9"/>
        <v>0</v>
      </c>
      <c r="AH44" s="10">
        <f t="shared" si="9"/>
        <v>0</v>
      </c>
      <c r="AI44" s="10">
        <f t="shared" si="9"/>
        <v>0</v>
      </c>
      <c r="AJ44" s="125">
        <f>SUM(C44:AI44)</f>
        <v>0</v>
      </c>
    </row>
    <row r="45" spans="1:36" ht="15.95" thickBot="1" x14ac:dyDescent="0.25">
      <c r="A45" t="s">
        <v>305</v>
      </c>
      <c r="B45" t="s">
        <v>69</v>
      </c>
      <c r="C45" s="7" t="e">
        <f>C44/C43</f>
        <v>#DIV/0!</v>
      </c>
      <c r="D45" s="7" t="e">
        <f t="shared" ref="D45:AJ45" si="10">D44/D43</f>
        <v>#DIV/0!</v>
      </c>
      <c r="E45" s="7" t="e">
        <f t="shared" si="10"/>
        <v>#DIV/0!</v>
      </c>
      <c r="F45" s="7" t="e">
        <f t="shared" si="10"/>
        <v>#DIV/0!</v>
      </c>
      <c r="G45" s="7" t="e">
        <f t="shared" si="10"/>
        <v>#DIV/0!</v>
      </c>
      <c r="H45" s="7" t="e">
        <f t="shared" si="10"/>
        <v>#DIV/0!</v>
      </c>
      <c r="I45" s="7" t="e">
        <f t="shared" si="10"/>
        <v>#DIV/0!</v>
      </c>
      <c r="J45" s="7" t="e">
        <f t="shared" si="10"/>
        <v>#DIV/0!</v>
      </c>
      <c r="K45" s="7" t="e">
        <f t="shared" si="10"/>
        <v>#DIV/0!</v>
      </c>
      <c r="L45" s="7" t="e">
        <f t="shared" si="10"/>
        <v>#DIV/0!</v>
      </c>
      <c r="M45" s="7" t="e">
        <f t="shared" si="10"/>
        <v>#DIV/0!</v>
      </c>
      <c r="N45" s="7" t="e">
        <f t="shared" si="10"/>
        <v>#DIV/0!</v>
      </c>
      <c r="O45" s="7" t="e">
        <f t="shared" si="10"/>
        <v>#DIV/0!</v>
      </c>
      <c r="P45" s="7" t="e">
        <f t="shared" si="10"/>
        <v>#DIV/0!</v>
      </c>
      <c r="Q45" s="7" t="e">
        <f t="shared" si="10"/>
        <v>#DIV/0!</v>
      </c>
      <c r="R45" s="7" t="e">
        <f t="shared" si="10"/>
        <v>#DIV/0!</v>
      </c>
      <c r="S45" s="7" t="e">
        <f t="shared" si="10"/>
        <v>#DIV/0!</v>
      </c>
      <c r="T45" s="7" t="e">
        <f t="shared" si="10"/>
        <v>#DIV/0!</v>
      </c>
      <c r="U45" s="7" t="e">
        <f t="shared" si="10"/>
        <v>#DIV/0!</v>
      </c>
      <c r="V45" s="7" t="e">
        <f t="shared" si="10"/>
        <v>#DIV/0!</v>
      </c>
      <c r="W45" s="7" t="e">
        <f t="shared" si="10"/>
        <v>#DIV/0!</v>
      </c>
      <c r="X45" s="7" t="e">
        <f t="shared" si="10"/>
        <v>#DIV/0!</v>
      </c>
      <c r="Y45" s="7" t="e">
        <f t="shared" si="10"/>
        <v>#DIV/0!</v>
      </c>
      <c r="Z45" s="7" t="e">
        <f t="shared" si="10"/>
        <v>#DIV/0!</v>
      </c>
      <c r="AA45" s="7" t="e">
        <f t="shared" si="10"/>
        <v>#DIV/0!</v>
      </c>
      <c r="AB45" s="7" t="e">
        <f t="shared" si="10"/>
        <v>#DIV/0!</v>
      </c>
      <c r="AC45" s="7" t="e">
        <f t="shared" si="10"/>
        <v>#DIV/0!</v>
      </c>
      <c r="AD45" s="7" t="e">
        <f t="shared" si="10"/>
        <v>#DIV/0!</v>
      </c>
      <c r="AE45" s="7" t="e">
        <f t="shared" si="10"/>
        <v>#DIV/0!</v>
      </c>
      <c r="AF45" s="7" t="e">
        <f t="shared" si="10"/>
        <v>#DIV/0!</v>
      </c>
      <c r="AG45" s="7" t="e">
        <f t="shared" si="10"/>
        <v>#DIV/0!</v>
      </c>
      <c r="AH45" s="7" t="e">
        <f t="shared" si="10"/>
        <v>#DIV/0!</v>
      </c>
      <c r="AI45" s="7" t="e">
        <f t="shared" si="10"/>
        <v>#DIV/0!</v>
      </c>
      <c r="AJ45" s="133" t="e">
        <f t="shared" si="10"/>
        <v>#DIV/0!</v>
      </c>
    </row>
    <row r="46" spans="1:36" ht="15.95" thickBot="1" x14ac:dyDescent="0.25">
      <c r="A46" t="s">
        <v>306</v>
      </c>
      <c r="C46" s="367">
        <f>AJ44</f>
        <v>0</v>
      </c>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133"/>
    </row>
    <row r="47" spans="1:36" ht="15.95" thickBot="1" x14ac:dyDescent="0.25">
      <c r="A47" t="s">
        <v>307</v>
      </c>
      <c r="B47" s="201">
        <f>'Assumptions &amp; Results'!C154</f>
        <v>0.1</v>
      </c>
      <c r="C47" s="367">
        <f>NPV(B47,C44:AI44)</f>
        <v>0</v>
      </c>
    </row>
    <row r="48" spans="1:36" ht="15.95" thickBot="1" x14ac:dyDescent="0.25">
      <c r="A48" t="s">
        <v>308</v>
      </c>
      <c r="C48" s="369" t="e">
        <f>AJ44/AJ43</f>
        <v>#DIV/0!</v>
      </c>
    </row>
    <row r="49" spans="1:36" ht="15.95" thickBot="1" x14ac:dyDescent="0.25">
      <c r="A49" t="s">
        <v>309</v>
      </c>
      <c r="C49" s="369">
        <f>(NPV('Assumptions &amp; Results'!C154,'Field 2 Investor'!C44:AI44))/(NPV('Assumptions &amp; Results'!C154,'Field 2 Investor'!C43:AI43))</f>
        <v>0.68686116431271416</v>
      </c>
    </row>
    <row r="50" spans="1:36" x14ac:dyDescent="0.2">
      <c r="B50" s="15"/>
    </row>
    <row r="51" spans="1:36" x14ac:dyDescent="0.2">
      <c r="A51" s="16" t="s">
        <v>310</v>
      </c>
    </row>
    <row r="52" spans="1:36" x14ac:dyDescent="0.2">
      <c r="A52" s="16" t="s">
        <v>311</v>
      </c>
    </row>
    <row r="53" spans="1:36" x14ac:dyDescent="0.2">
      <c r="A53" s="16" t="s">
        <v>312</v>
      </c>
    </row>
    <row r="54" spans="1:36" x14ac:dyDescent="0.2">
      <c r="A54" s="16" t="s">
        <v>313</v>
      </c>
    </row>
    <row r="55" spans="1:36" x14ac:dyDescent="0.2">
      <c r="A55" s="16" t="s">
        <v>314</v>
      </c>
    </row>
    <row r="56" spans="1:36" x14ac:dyDescent="0.2">
      <c r="A56" s="36"/>
    </row>
    <row r="57" spans="1:36" x14ac:dyDescent="0.2">
      <c r="A57" s="320" t="s">
        <v>519</v>
      </c>
      <c r="B57" s="321"/>
      <c r="C57" s="321"/>
      <c r="D57" s="321"/>
      <c r="E57" s="321"/>
      <c r="F57" s="321"/>
      <c r="G57" s="321"/>
      <c r="H57" s="321"/>
      <c r="I57" s="321"/>
      <c r="J57" s="321"/>
      <c r="K57" s="321"/>
      <c r="L57" s="321"/>
      <c r="M57" s="321"/>
      <c r="N57" s="321"/>
      <c r="O57" s="321"/>
      <c r="P57" s="321"/>
      <c r="Q57" s="321"/>
      <c r="R57" s="321"/>
      <c r="S57" s="321"/>
      <c r="T57" s="321"/>
      <c r="U57" s="321"/>
      <c r="V57" s="321"/>
      <c r="W57" s="321"/>
      <c r="X57" s="321"/>
      <c r="Y57" s="321"/>
      <c r="Z57" s="321"/>
      <c r="AA57" s="321"/>
      <c r="AB57" s="321"/>
      <c r="AC57" s="321"/>
      <c r="AD57" s="321"/>
      <c r="AE57" s="321"/>
      <c r="AF57" s="321"/>
      <c r="AG57" s="321"/>
      <c r="AH57" s="321"/>
      <c r="AI57" s="321"/>
      <c r="AJ57" s="322"/>
    </row>
    <row r="58" spans="1:36" x14ac:dyDescent="0.2">
      <c r="A58" t="s">
        <v>456</v>
      </c>
      <c r="B58" t="s">
        <v>99</v>
      </c>
      <c r="C58" s="8">
        <f>IF('Assumptions &amp; Results'!$C$167=1,'Assumptions &amp; Results'!$C$166*(C4),0)</f>
        <v>0</v>
      </c>
      <c r="D58" s="8">
        <f>IF('Assumptions &amp; Results'!$C$167=1,'Assumptions &amp; Results'!$C$166*(D4),0)</f>
        <v>0</v>
      </c>
      <c r="E58" s="8">
        <f>IF('Assumptions &amp; Results'!$C$167=1,'Assumptions &amp; Results'!$C$166*(E4),0)</f>
        <v>0</v>
      </c>
      <c r="F58" s="8">
        <f>IF('Assumptions &amp; Results'!$C$167=1,'Assumptions &amp; Results'!$C$166*(F4),0)</f>
        <v>0</v>
      </c>
      <c r="G58" s="8">
        <f>IF('Assumptions &amp; Results'!$C$167=1,'Assumptions &amp; Results'!$C$166*(G4),0)</f>
        <v>0</v>
      </c>
      <c r="H58" s="8">
        <f>IF('Assumptions &amp; Results'!$C$167=1,'Assumptions &amp; Results'!$C$166*(H4),0)</f>
        <v>0</v>
      </c>
      <c r="I58" s="8">
        <f>IF('Assumptions &amp; Results'!$C$167=1,'Assumptions &amp; Results'!$C$166*(I4),0)</f>
        <v>0</v>
      </c>
      <c r="J58" s="8">
        <f>IF('Assumptions &amp; Results'!$C$167=1,'Assumptions &amp; Results'!$C$166*(J4),0)</f>
        <v>0</v>
      </c>
      <c r="K58" s="8">
        <f>IF('Assumptions &amp; Results'!$C$167=1,'Assumptions &amp; Results'!$C$166*(K4),0)</f>
        <v>0</v>
      </c>
      <c r="L58" s="8">
        <f>IF('Assumptions &amp; Results'!$C$167=1,'Assumptions &amp; Results'!$C$166*(L4),0)</f>
        <v>0</v>
      </c>
      <c r="M58" s="8">
        <f>IF('Assumptions &amp; Results'!$C$167=1,'Assumptions &amp; Results'!$C$166*(M4),0)</f>
        <v>0</v>
      </c>
      <c r="N58" s="8">
        <f>IF('Assumptions &amp; Results'!$C$167=1,'Assumptions &amp; Results'!$C$166*(N4),0)</f>
        <v>0</v>
      </c>
      <c r="O58" s="8">
        <f>IF('Assumptions &amp; Results'!$C$167=1,'Assumptions &amp; Results'!$C$166*(O4),0)</f>
        <v>0</v>
      </c>
      <c r="P58" s="8">
        <f>IF('Assumptions &amp; Results'!$C$167=1,'Assumptions &amp; Results'!$C$166*(P4),0)</f>
        <v>0</v>
      </c>
      <c r="Q58" s="8">
        <f>IF('Assumptions &amp; Results'!$C$167=1,'Assumptions &amp; Results'!$C$166*(Q4),0)</f>
        <v>0</v>
      </c>
      <c r="R58" s="8">
        <f>IF('Assumptions &amp; Results'!$C$167=1,'Assumptions &amp; Results'!$C$166*(R4),0)</f>
        <v>0</v>
      </c>
      <c r="S58" s="8">
        <f>IF('Assumptions &amp; Results'!$C$167=1,'Assumptions &amp; Results'!$C$166*(S4),0)</f>
        <v>0</v>
      </c>
      <c r="T58" s="8">
        <f>IF('Assumptions &amp; Results'!$C$167=1,'Assumptions &amp; Results'!$C$166*(T4),0)</f>
        <v>0</v>
      </c>
      <c r="U58" s="8">
        <f>IF('Assumptions &amp; Results'!$C$167=1,'Assumptions &amp; Results'!$C$166*(U4),0)</f>
        <v>0</v>
      </c>
      <c r="V58" s="8">
        <f>IF('Assumptions &amp; Results'!$C$167=1,'Assumptions &amp; Results'!$C$166*(V4),0)</f>
        <v>0</v>
      </c>
      <c r="W58" s="8">
        <f>IF('Assumptions &amp; Results'!$C$167=1,'Assumptions &amp; Results'!$C$166*(W4),0)</f>
        <v>0</v>
      </c>
      <c r="X58" s="8">
        <f>IF('Assumptions &amp; Results'!$C$167=1,'Assumptions &amp; Results'!$C$166*(X4),0)</f>
        <v>0</v>
      </c>
      <c r="Y58" s="8">
        <f>IF('Assumptions &amp; Results'!$C$167=1,'Assumptions &amp; Results'!$C$166*(Y4),0)</f>
        <v>0</v>
      </c>
      <c r="Z58" s="8">
        <f>IF('Assumptions &amp; Results'!$C$167=1,'Assumptions &amp; Results'!$C$166*(Z4),0)</f>
        <v>0</v>
      </c>
      <c r="AA58" s="8">
        <f>IF('Assumptions &amp; Results'!$C$167=1,'Assumptions &amp; Results'!$C$166*(AA4),0)</f>
        <v>0</v>
      </c>
      <c r="AB58" s="8">
        <f>IF('Assumptions &amp; Results'!$C$167=1,'Assumptions &amp; Results'!$C$166*(AB4),0)</f>
        <v>0</v>
      </c>
      <c r="AC58" s="8">
        <f>IF('Assumptions &amp; Results'!$C$167=1,'Assumptions &amp; Results'!$C$166*(AC4),0)</f>
        <v>0</v>
      </c>
      <c r="AD58" s="8">
        <f>IF('Assumptions &amp; Results'!$C$167=1,'Assumptions &amp; Results'!$C$166*(AD4),0)</f>
        <v>0</v>
      </c>
      <c r="AE58" s="8">
        <f>IF('Assumptions &amp; Results'!$C$167=1,'Assumptions &amp; Results'!$C$166*(AE4),0)</f>
        <v>0</v>
      </c>
      <c r="AF58" s="8">
        <f>IF('Assumptions &amp; Results'!$C$167=1,'Assumptions &amp; Results'!$C$166*(AF4),0)</f>
        <v>0</v>
      </c>
      <c r="AG58" s="8">
        <f>IF('Assumptions &amp; Results'!$C$167=1,'Assumptions &amp; Results'!$C$166*(AG4),0)</f>
        <v>0</v>
      </c>
      <c r="AH58" s="8">
        <f>IF('Assumptions &amp; Results'!$C$167=1,'Assumptions &amp; Results'!$C$166*(AH4),0)</f>
        <v>0</v>
      </c>
      <c r="AI58" s="8">
        <f>IF('Assumptions &amp; Results'!$C$167=1,'Assumptions &amp; Results'!$C$166*(AI4),0)</f>
        <v>0</v>
      </c>
      <c r="AJ58" s="125">
        <f>SUM(C58:AI58)</f>
        <v>0</v>
      </c>
    </row>
    <row r="59" spans="1:36" x14ac:dyDescent="0.2">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125"/>
    </row>
    <row r="60" spans="1:36" x14ac:dyDescent="0.2">
      <c r="A60" t="s">
        <v>507</v>
      </c>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125"/>
    </row>
    <row r="61" spans="1:36" x14ac:dyDescent="0.2">
      <c r="A61" t="s">
        <v>508</v>
      </c>
      <c r="B61" t="s">
        <v>99</v>
      </c>
      <c r="C61" s="8">
        <f>'Field 3 Fiscal'!C22</f>
        <v>0</v>
      </c>
      <c r="D61" s="8">
        <f>'Field 3 Fiscal'!D22</f>
        <v>0</v>
      </c>
      <c r="E61" s="8">
        <f>'Field 3 Fiscal'!E22</f>
        <v>0</v>
      </c>
      <c r="F61" s="8">
        <f>'Field 3 Fiscal'!F22</f>
        <v>0</v>
      </c>
      <c r="G61" s="8">
        <f>'Field 3 Fiscal'!G22</f>
        <v>0</v>
      </c>
      <c r="H61" s="8">
        <f>'Field 3 Fiscal'!H22</f>
        <v>0</v>
      </c>
      <c r="I61" s="8">
        <f>'Field 3 Fiscal'!I22</f>
        <v>0</v>
      </c>
      <c r="J61" s="8">
        <f>'Field 3 Fiscal'!J22</f>
        <v>0</v>
      </c>
      <c r="K61" s="8">
        <f>'Field 3 Fiscal'!K22</f>
        <v>0</v>
      </c>
      <c r="L61" s="8">
        <f>'Field 3 Fiscal'!L22</f>
        <v>0</v>
      </c>
      <c r="M61" s="8">
        <f>'Field 3 Fiscal'!M22</f>
        <v>0</v>
      </c>
      <c r="N61" s="8">
        <f>'Field 3 Fiscal'!N22</f>
        <v>0</v>
      </c>
      <c r="O61" s="8">
        <f>'Field 3 Fiscal'!O22</f>
        <v>0</v>
      </c>
      <c r="P61" s="8">
        <f>'Field 3 Fiscal'!P22</f>
        <v>0</v>
      </c>
      <c r="Q61" s="8">
        <f>'Field 3 Fiscal'!Q22</f>
        <v>0</v>
      </c>
      <c r="R61" s="8">
        <f>'Field 3 Fiscal'!R22</f>
        <v>0</v>
      </c>
      <c r="S61" s="8">
        <f>'Field 3 Fiscal'!S22</f>
        <v>0</v>
      </c>
      <c r="T61" s="8">
        <f>'Field 3 Fiscal'!T22</f>
        <v>0</v>
      </c>
      <c r="U61" s="8">
        <f>'Field 3 Fiscal'!U22</f>
        <v>0</v>
      </c>
      <c r="V61" s="8">
        <f>'Field 3 Fiscal'!V22</f>
        <v>0</v>
      </c>
      <c r="W61" s="8">
        <f>'Field 3 Fiscal'!W22</f>
        <v>0</v>
      </c>
      <c r="X61" s="8">
        <f>'Field 3 Fiscal'!X22</f>
        <v>0</v>
      </c>
      <c r="Y61" s="8">
        <f>'Field 3 Fiscal'!Y22</f>
        <v>0</v>
      </c>
      <c r="Z61" s="8">
        <f>'Field 3 Fiscal'!Z22</f>
        <v>0</v>
      </c>
      <c r="AA61" s="8">
        <f>'Field 3 Fiscal'!AA22</f>
        <v>0</v>
      </c>
      <c r="AB61" s="8">
        <f>'Field 3 Fiscal'!AB22</f>
        <v>0</v>
      </c>
      <c r="AC61" s="8">
        <f>'Field 3 Fiscal'!AC22</f>
        <v>0</v>
      </c>
      <c r="AD61" s="8">
        <f>'Field 3 Fiscal'!AD22</f>
        <v>0</v>
      </c>
      <c r="AE61" s="8">
        <f>'Field 3 Fiscal'!AE22</f>
        <v>0</v>
      </c>
      <c r="AF61" s="8">
        <f>'Field 3 Fiscal'!AF22</f>
        <v>0</v>
      </c>
      <c r="AG61" s="8">
        <f>'Field 3 Fiscal'!AG22</f>
        <v>0</v>
      </c>
      <c r="AH61" s="8">
        <f>'Field 3 Fiscal'!AH22</f>
        <v>0</v>
      </c>
      <c r="AI61" s="8">
        <f>'Field 3 Fiscal'!AI22</f>
        <v>0</v>
      </c>
      <c r="AJ61" s="125">
        <f t="shared" ref="AJ61:AJ62" si="11">SUM(C61:AI61)</f>
        <v>0</v>
      </c>
    </row>
    <row r="62" spans="1:36" x14ac:dyDescent="0.2">
      <c r="A62" t="s">
        <v>512</v>
      </c>
      <c r="B62" t="s">
        <v>99</v>
      </c>
      <c r="C62" s="8">
        <f>C61*'Assumptions &amp; Results'!$C$166</f>
        <v>0</v>
      </c>
      <c r="D62" s="8">
        <f>D61*'Assumptions &amp; Results'!$C$166</f>
        <v>0</v>
      </c>
      <c r="E62" s="8">
        <f>E61*'Assumptions &amp; Results'!$C$166</f>
        <v>0</v>
      </c>
      <c r="F62" s="8">
        <f>F61*'Assumptions &amp; Results'!$C$166</f>
        <v>0</v>
      </c>
      <c r="G62" s="8">
        <f>G61*'Assumptions &amp; Results'!$C$166</f>
        <v>0</v>
      </c>
      <c r="H62" s="8">
        <f>H61*'Assumptions &amp; Results'!$C$166</f>
        <v>0</v>
      </c>
      <c r="I62" s="8">
        <f>I61*'Assumptions &amp; Results'!$C$166</f>
        <v>0</v>
      </c>
      <c r="J62" s="8">
        <f>J61*'Assumptions &amp; Results'!$C$166</f>
        <v>0</v>
      </c>
      <c r="K62" s="8">
        <f>K61*'Assumptions &amp; Results'!$C$166</f>
        <v>0</v>
      </c>
      <c r="L62" s="8">
        <f>L61*'Assumptions &amp; Results'!$C$166</f>
        <v>0</v>
      </c>
      <c r="M62" s="8">
        <f>M61*'Assumptions &amp; Results'!$C$166</f>
        <v>0</v>
      </c>
      <c r="N62" s="8">
        <f>N61*'Assumptions &amp; Results'!$C$166</f>
        <v>0</v>
      </c>
      <c r="O62" s="8">
        <f>O61*'Assumptions &amp; Results'!$C$166</f>
        <v>0</v>
      </c>
      <c r="P62" s="8">
        <f>P61*'Assumptions &amp; Results'!$C$166</f>
        <v>0</v>
      </c>
      <c r="Q62" s="8">
        <f>Q61*'Assumptions &amp; Results'!$C$166</f>
        <v>0</v>
      </c>
      <c r="R62" s="8">
        <f>R61*'Assumptions &amp; Results'!$C$166</f>
        <v>0</v>
      </c>
      <c r="S62" s="8">
        <f>S61*'Assumptions &amp; Results'!$C$166</f>
        <v>0</v>
      </c>
      <c r="T62" s="8">
        <f>T61*'Assumptions &amp; Results'!$C$166</f>
        <v>0</v>
      </c>
      <c r="U62" s="8">
        <f>U61*'Assumptions &amp; Results'!$C$166</f>
        <v>0</v>
      </c>
      <c r="V62" s="8">
        <f>V61*'Assumptions &amp; Results'!$C$166</f>
        <v>0</v>
      </c>
      <c r="W62" s="8">
        <f>W61*'Assumptions &amp; Results'!$C$166</f>
        <v>0</v>
      </c>
      <c r="X62" s="8">
        <f>X61*'Assumptions &amp; Results'!$C$166</f>
        <v>0</v>
      </c>
      <c r="Y62" s="8">
        <f>Y61*'Assumptions &amp; Results'!$C$166</f>
        <v>0</v>
      </c>
      <c r="Z62" s="8">
        <f>Z61*'Assumptions &amp; Results'!$C$166</f>
        <v>0</v>
      </c>
      <c r="AA62" s="8">
        <f>AA61*'Assumptions &amp; Results'!$C$166</f>
        <v>0</v>
      </c>
      <c r="AB62" s="8">
        <f>AB61*'Assumptions &amp; Results'!$C$166</f>
        <v>0</v>
      </c>
      <c r="AC62" s="8">
        <f>AC61*'Assumptions &amp; Results'!$C$166</f>
        <v>0</v>
      </c>
      <c r="AD62" s="8">
        <f>AD61*'Assumptions &amp; Results'!$C$166</f>
        <v>0</v>
      </c>
      <c r="AE62" s="8">
        <f>AE61*'Assumptions &amp; Results'!$C$166</f>
        <v>0</v>
      </c>
      <c r="AF62" s="8">
        <f>AF61*'Assumptions &amp; Results'!$C$166</f>
        <v>0</v>
      </c>
      <c r="AG62" s="8">
        <f>AG61*'Assumptions &amp; Results'!$C$166</f>
        <v>0</v>
      </c>
      <c r="AH62" s="8">
        <f>AH61*'Assumptions &amp; Results'!$C$166</f>
        <v>0</v>
      </c>
      <c r="AI62" s="8">
        <f>AI61*'Assumptions &amp; Results'!$C$166</f>
        <v>0</v>
      </c>
      <c r="AJ62" s="125">
        <f t="shared" si="11"/>
        <v>0</v>
      </c>
    </row>
    <row r="63" spans="1:36" x14ac:dyDescent="0.2">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125"/>
    </row>
    <row r="64" spans="1:36" x14ac:dyDescent="0.2">
      <c r="A64" t="s">
        <v>463</v>
      </c>
      <c r="B64" t="s">
        <v>99</v>
      </c>
      <c r="C64" s="8">
        <f>C58</f>
        <v>0</v>
      </c>
      <c r="D64" s="8">
        <f t="shared" ref="D64:AI64" si="12">D58</f>
        <v>0</v>
      </c>
      <c r="E64" s="8">
        <f t="shared" si="12"/>
        <v>0</v>
      </c>
      <c r="F64" s="8">
        <f t="shared" si="12"/>
        <v>0</v>
      </c>
      <c r="G64" s="8">
        <f t="shared" si="12"/>
        <v>0</v>
      </c>
      <c r="H64" s="8">
        <f t="shared" si="12"/>
        <v>0</v>
      </c>
      <c r="I64" s="8">
        <f t="shared" si="12"/>
        <v>0</v>
      </c>
      <c r="J64" s="8">
        <f t="shared" si="12"/>
        <v>0</v>
      </c>
      <c r="K64" s="8">
        <f t="shared" si="12"/>
        <v>0</v>
      </c>
      <c r="L64" s="8">
        <f t="shared" si="12"/>
        <v>0</v>
      </c>
      <c r="M64" s="8">
        <f t="shared" si="12"/>
        <v>0</v>
      </c>
      <c r="N64" s="8">
        <f t="shared" si="12"/>
        <v>0</v>
      </c>
      <c r="O64" s="8">
        <f t="shared" si="12"/>
        <v>0</v>
      </c>
      <c r="P64" s="8">
        <f t="shared" si="12"/>
        <v>0</v>
      </c>
      <c r="Q64" s="8">
        <f t="shared" si="12"/>
        <v>0</v>
      </c>
      <c r="R64" s="8">
        <f t="shared" si="12"/>
        <v>0</v>
      </c>
      <c r="S64" s="8">
        <f t="shared" si="12"/>
        <v>0</v>
      </c>
      <c r="T64" s="8">
        <f t="shared" si="12"/>
        <v>0</v>
      </c>
      <c r="U64" s="8">
        <f t="shared" si="12"/>
        <v>0</v>
      </c>
      <c r="V64" s="8">
        <f t="shared" si="12"/>
        <v>0</v>
      </c>
      <c r="W64" s="8">
        <f t="shared" si="12"/>
        <v>0</v>
      </c>
      <c r="X64" s="8">
        <f t="shared" si="12"/>
        <v>0</v>
      </c>
      <c r="Y64" s="8">
        <f t="shared" si="12"/>
        <v>0</v>
      </c>
      <c r="Z64" s="8">
        <f t="shared" si="12"/>
        <v>0</v>
      </c>
      <c r="AA64" s="8">
        <f t="shared" si="12"/>
        <v>0</v>
      </c>
      <c r="AB64" s="8">
        <f t="shared" si="12"/>
        <v>0</v>
      </c>
      <c r="AC64" s="8">
        <f t="shared" si="12"/>
        <v>0</v>
      </c>
      <c r="AD64" s="8">
        <f t="shared" si="12"/>
        <v>0</v>
      </c>
      <c r="AE64" s="8">
        <f t="shared" si="12"/>
        <v>0</v>
      </c>
      <c r="AF64" s="8">
        <f t="shared" si="12"/>
        <v>0</v>
      </c>
      <c r="AG64" s="8">
        <f t="shared" si="12"/>
        <v>0</v>
      </c>
      <c r="AH64" s="8">
        <f t="shared" si="12"/>
        <v>0</v>
      </c>
      <c r="AI64" s="8">
        <f t="shared" si="12"/>
        <v>0</v>
      </c>
      <c r="AJ64" s="125">
        <f>SUM(C64:AI64)</f>
        <v>0</v>
      </c>
    </row>
    <row r="65" spans="1:36" x14ac:dyDescent="0.2">
      <c r="A65" t="s">
        <v>473</v>
      </c>
      <c r="B65" t="s">
        <v>99</v>
      </c>
      <c r="C65" s="8">
        <f>'Assumptions &amp; Results'!$C$168*'Assumptions &amp; Results'!$C$92</f>
        <v>0</v>
      </c>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125"/>
    </row>
    <row r="66" spans="1:36" x14ac:dyDescent="0.2">
      <c r="A66" t="s">
        <v>464</v>
      </c>
      <c r="B66" t="s">
        <v>99</v>
      </c>
      <c r="C66" s="8">
        <f>C62</f>
        <v>0</v>
      </c>
      <c r="D66" s="8">
        <f t="shared" ref="D66:AI66" si="13">D62</f>
        <v>0</v>
      </c>
      <c r="E66" s="8">
        <f t="shared" si="13"/>
        <v>0</v>
      </c>
      <c r="F66" s="8">
        <f t="shared" si="13"/>
        <v>0</v>
      </c>
      <c r="G66" s="8">
        <f t="shared" si="13"/>
        <v>0</v>
      </c>
      <c r="H66" s="8">
        <f t="shared" si="13"/>
        <v>0</v>
      </c>
      <c r="I66" s="8">
        <f t="shared" si="13"/>
        <v>0</v>
      </c>
      <c r="J66" s="8">
        <f t="shared" si="13"/>
        <v>0</v>
      </c>
      <c r="K66" s="8">
        <f t="shared" si="13"/>
        <v>0</v>
      </c>
      <c r="L66" s="8">
        <f t="shared" si="13"/>
        <v>0</v>
      </c>
      <c r="M66" s="8">
        <f t="shared" si="13"/>
        <v>0</v>
      </c>
      <c r="N66" s="8">
        <f t="shared" si="13"/>
        <v>0</v>
      </c>
      <c r="O66" s="8">
        <f t="shared" si="13"/>
        <v>0</v>
      </c>
      <c r="P66" s="8">
        <f t="shared" si="13"/>
        <v>0</v>
      </c>
      <c r="Q66" s="8">
        <f t="shared" si="13"/>
        <v>0</v>
      </c>
      <c r="R66" s="8">
        <f t="shared" si="13"/>
        <v>0</v>
      </c>
      <c r="S66" s="8">
        <f t="shared" si="13"/>
        <v>0</v>
      </c>
      <c r="T66" s="8">
        <f t="shared" si="13"/>
        <v>0</v>
      </c>
      <c r="U66" s="8">
        <f t="shared" si="13"/>
        <v>0</v>
      </c>
      <c r="V66" s="8">
        <f t="shared" si="13"/>
        <v>0</v>
      </c>
      <c r="W66" s="8">
        <f t="shared" si="13"/>
        <v>0</v>
      </c>
      <c r="X66" s="8">
        <f t="shared" si="13"/>
        <v>0</v>
      </c>
      <c r="Y66" s="8">
        <f t="shared" si="13"/>
        <v>0</v>
      </c>
      <c r="Z66" s="8">
        <f t="shared" si="13"/>
        <v>0</v>
      </c>
      <c r="AA66" s="8">
        <f t="shared" si="13"/>
        <v>0</v>
      </c>
      <c r="AB66" s="8">
        <f t="shared" si="13"/>
        <v>0</v>
      </c>
      <c r="AC66" s="8">
        <f t="shared" si="13"/>
        <v>0</v>
      </c>
      <c r="AD66" s="8">
        <f t="shared" si="13"/>
        <v>0</v>
      </c>
      <c r="AE66" s="8">
        <f t="shared" si="13"/>
        <v>0</v>
      </c>
      <c r="AF66" s="8">
        <f t="shared" si="13"/>
        <v>0</v>
      </c>
      <c r="AG66" s="8">
        <f t="shared" si="13"/>
        <v>0</v>
      </c>
      <c r="AH66" s="8">
        <f t="shared" si="13"/>
        <v>0</v>
      </c>
      <c r="AI66" s="8">
        <f t="shared" si="13"/>
        <v>0</v>
      </c>
      <c r="AJ66" s="125">
        <f>SUM(C66:AI66)</f>
        <v>0</v>
      </c>
    </row>
    <row r="67" spans="1:36" x14ac:dyDescent="0.2">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125"/>
    </row>
    <row r="68" spans="1:36" x14ac:dyDescent="0.2">
      <c r="A68" t="s">
        <v>459</v>
      </c>
      <c r="B68" t="s">
        <v>99</v>
      </c>
      <c r="C68" s="8">
        <f>MIN(C64,C66)</f>
        <v>0</v>
      </c>
      <c r="D68" s="8">
        <f>MIN(D66,C74)</f>
        <v>0</v>
      </c>
      <c r="E68" s="8">
        <f t="shared" ref="E68:AI68" si="14">MIN(E66,D74)</f>
        <v>0</v>
      </c>
      <c r="F68" s="8">
        <f t="shared" si="14"/>
        <v>0</v>
      </c>
      <c r="G68" s="8">
        <f t="shared" si="14"/>
        <v>0</v>
      </c>
      <c r="H68" s="8">
        <f t="shared" si="14"/>
        <v>0</v>
      </c>
      <c r="I68" s="8">
        <f t="shared" si="14"/>
        <v>0</v>
      </c>
      <c r="J68" s="8">
        <f t="shared" si="14"/>
        <v>0</v>
      </c>
      <c r="K68" s="8">
        <f t="shared" si="14"/>
        <v>0</v>
      </c>
      <c r="L68" s="8">
        <f t="shared" si="14"/>
        <v>0</v>
      </c>
      <c r="M68" s="8">
        <f t="shared" si="14"/>
        <v>0</v>
      </c>
      <c r="N68" s="8">
        <f t="shared" si="14"/>
        <v>0</v>
      </c>
      <c r="O68" s="8">
        <f t="shared" si="14"/>
        <v>0</v>
      </c>
      <c r="P68" s="8">
        <f t="shared" si="14"/>
        <v>0</v>
      </c>
      <c r="Q68" s="8">
        <f t="shared" si="14"/>
        <v>0</v>
      </c>
      <c r="R68" s="8">
        <f t="shared" si="14"/>
        <v>0</v>
      </c>
      <c r="S68" s="8">
        <f t="shared" si="14"/>
        <v>0</v>
      </c>
      <c r="T68" s="8">
        <f t="shared" si="14"/>
        <v>0</v>
      </c>
      <c r="U68" s="8">
        <f t="shared" si="14"/>
        <v>0</v>
      </c>
      <c r="V68" s="8">
        <f t="shared" si="14"/>
        <v>0</v>
      </c>
      <c r="W68" s="8">
        <f t="shared" si="14"/>
        <v>0</v>
      </c>
      <c r="X68" s="8">
        <f t="shared" si="14"/>
        <v>0</v>
      </c>
      <c r="Y68" s="8">
        <f t="shared" si="14"/>
        <v>0</v>
      </c>
      <c r="Z68" s="8">
        <f t="shared" si="14"/>
        <v>0</v>
      </c>
      <c r="AA68" s="8">
        <f t="shared" si="14"/>
        <v>0</v>
      </c>
      <c r="AB68" s="8">
        <f t="shared" si="14"/>
        <v>0</v>
      </c>
      <c r="AC68" s="8">
        <f t="shared" si="14"/>
        <v>0</v>
      </c>
      <c r="AD68" s="8">
        <f t="shared" si="14"/>
        <v>0</v>
      </c>
      <c r="AE68" s="8">
        <f t="shared" si="14"/>
        <v>0</v>
      </c>
      <c r="AF68" s="8">
        <f t="shared" si="14"/>
        <v>0</v>
      </c>
      <c r="AG68" s="8">
        <f t="shared" si="14"/>
        <v>0</v>
      </c>
      <c r="AH68" s="8">
        <f t="shared" si="14"/>
        <v>0</v>
      </c>
      <c r="AI68" s="8">
        <f t="shared" si="14"/>
        <v>0</v>
      </c>
      <c r="AJ68" s="125">
        <f>SUM(C68:AI68)</f>
        <v>0</v>
      </c>
    </row>
    <row r="69" spans="1:36" x14ac:dyDescent="0.2">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125"/>
    </row>
    <row r="70" spans="1:36" x14ac:dyDescent="0.2">
      <c r="A70" t="s">
        <v>513</v>
      </c>
      <c r="B70" t="s">
        <v>99</v>
      </c>
      <c r="C70" s="8">
        <f>C64-C68+C65</f>
        <v>0</v>
      </c>
      <c r="D70" s="8">
        <f>C74+D64-D68</f>
        <v>0</v>
      </c>
      <c r="E70" s="8">
        <f t="shared" ref="E70:AI70" si="15">D74+E64-E68</f>
        <v>0</v>
      </c>
      <c r="F70" s="8">
        <f t="shared" si="15"/>
        <v>0</v>
      </c>
      <c r="G70" s="8">
        <f t="shared" si="15"/>
        <v>0</v>
      </c>
      <c r="H70" s="8">
        <f t="shared" si="15"/>
        <v>0</v>
      </c>
      <c r="I70" s="8">
        <f t="shared" si="15"/>
        <v>0</v>
      </c>
      <c r="J70" s="8">
        <f t="shared" si="15"/>
        <v>0</v>
      </c>
      <c r="K70" s="8">
        <f t="shared" si="15"/>
        <v>0</v>
      </c>
      <c r="L70" s="8">
        <f t="shared" si="15"/>
        <v>0</v>
      </c>
      <c r="M70" s="8">
        <f t="shared" si="15"/>
        <v>0</v>
      </c>
      <c r="N70" s="8">
        <f t="shared" si="15"/>
        <v>0</v>
      </c>
      <c r="O70" s="8">
        <f t="shared" si="15"/>
        <v>0</v>
      </c>
      <c r="P70" s="8">
        <f t="shared" si="15"/>
        <v>0</v>
      </c>
      <c r="Q70" s="8">
        <f t="shared" si="15"/>
        <v>0</v>
      </c>
      <c r="R70" s="8">
        <f t="shared" si="15"/>
        <v>0</v>
      </c>
      <c r="S70" s="8">
        <f t="shared" si="15"/>
        <v>0</v>
      </c>
      <c r="T70" s="8">
        <f t="shared" si="15"/>
        <v>0</v>
      </c>
      <c r="U70" s="8">
        <f t="shared" si="15"/>
        <v>0</v>
      </c>
      <c r="V70" s="8">
        <f t="shared" si="15"/>
        <v>0</v>
      </c>
      <c r="W70" s="8">
        <f t="shared" si="15"/>
        <v>0</v>
      </c>
      <c r="X70" s="8">
        <f t="shared" si="15"/>
        <v>0</v>
      </c>
      <c r="Y70" s="8">
        <f t="shared" si="15"/>
        <v>0</v>
      </c>
      <c r="Z70" s="8">
        <f t="shared" si="15"/>
        <v>0</v>
      </c>
      <c r="AA70" s="8">
        <f t="shared" si="15"/>
        <v>0</v>
      </c>
      <c r="AB70" s="8">
        <f t="shared" si="15"/>
        <v>0</v>
      </c>
      <c r="AC70" s="8">
        <f t="shared" si="15"/>
        <v>0</v>
      </c>
      <c r="AD70" s="8">
        <f t="shared" si="15"/>
        <v>0</v>
      </c>
      <c r="AE70" s="8">
        <f t="shared" si="15"/>
        <v>0</v>
      </c>
      <c r="AF70" s="8">
        <f t="shared" si="15"/>
        <v>0</v>
      </c>
      <c r="AG70" s="8">
        <f t="shared" si="15"/>
        <v>0</v>
      </c>
      <c r="AH70" s="8">
        <f t="shared" si="15"/>
        <v>0</v>
      </c>
      <c r="AI70" s="8">
        <f t="shared" si="15"/>
        <v>0</v>
      </c>
      <c r="AJ70" s="125">
        <f>SUM(C70:AI70)</f>
        <v>0</v>
      </c>
    </row>
    <row r="71" spans="1:36" x14ac:dyDescent="0.2">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125"/>
    </row>
    <row r="72" spans="1:36" x14ac:dyDescent="0.2">
      <c r="A72" t="s">
        <v>509</v>
      </c>
      <c r="B72" t="s">
        <v>99</v>
      </c>
      <c r="C72" s="8">
        <f>'Assumptions &amp; Results'!$C$169*'Assumptions &amp; Results'!$C$163*C70</f>
        <v>0</v>
      </c>
      <c r="D72" s="8">
        <f>'Assumptions &amp; Results'!$C$169*'Assumptions &amp; Results'!$C$163*D70</f>
        <v>0</v>
      </c>
      <c r="E72" s="8">
        <f>'Assumptions &amp; Results'!$C$169*'Assumptions &amp; Results'!$C$163*E70</f>
        <v>0</v>
      </c>
      <c r="F72" s="8">
        <f>'Assumptions &amp; Results'!$C$169*'Assumptions &amp; Results'!$C$163*F70</f>
        <v>0</v>
      </c>
      <c r="G72" s="8">
        <f>'Assumptions &amp; Results'!$C$169*'Assumptions &amp; Results'!$C$163*G70</f>
        <v>0</v>
      </c>
      <c r="H72" s="8">
        <f>'Assumptions &amp; Results'!$C$169*'Assumptions &amp; Results'!$C$163*H70</f>
        <v>0</v>
      </c>
      <c r="I72" s="8">
        <f>'Assumptions &amp; Results'!$C$169*'Assumptions &amp; Results'!$C$163*I70</f>
        <v>0</v>
      </c>
      <c r="J72" s="8">
        <f>'Assumptions &amp; Results'!$C$169*'Assumptions &amp; Results'!$C$163*J70</f>
        <v>0</v>
      </c>
      <c r="K72" s="8">
        <f>'Assumptions &amp; Results'!$C$169*'Assumptions &amp; Results'!$C$163*K70</f>
        <v>0</v>
      </c>
      <c r="L72" s="8">
        <f>'Assumptions &amp; Results'!$C$169*'Assumptions &amp; Results'!$C$163*L70</f>
        <v>0</v>
      </c>
      <c r="M72" s="8">
        <f>'Assumptions &amp; Results'!$C$169*'Assumptions &amp; Results'!$C$163*M70</f>
        <v>0</v>
      </c>
      <c r="N72" s="8">
        <f>'Assumptions &amp; Results'!$C$169*'Assumptions &amp; Results'!$C$163*N70</f>
        <v>0</v>
      </c>
      <c r="O72" s="8">
        <f>'Assumptions &amp; Results'!$C$169*'Assumptions &amp; Results'!$C$163*O70</f>
        <v>0</v>
      </c>
      <c r="P72" s="8">
        <f>'Assumptions &amp; Results'!$C$169*'Assumptions &amp; Results'!$C$163*P70</f>
        <v>0</v>
      </c>
      <c r="Q72" s="8">
        <f>'Assumptions &amp; Results'!$C$169*'Assumptions &amp; Results'!$C$163*Q70</f>
        <v>0</v>
      </c>
      <c r="R72" s="8">
        <f>'Assumptions &amp; Results'!$C$169*'Assumptions &amp; Results'!$C$163*R70</f>
        <v>0</v>
      </c>
      <c r="S72" s="8">
        <f>'Assumptions &amp; Results'!$C$169*'Assumptions &amp; Results'!$C$163*S70</f>
        <v>0</v>
      </c>
      <c r="T72" s="8">
        <f>'Assumptions &amp; Results'!$C$169*'Assumptions &amp; Results'!$C$163*T70</f>
        <v>0</v>
      </c>
      <c r="U72" s="8">
        <f>'Assumptions &amp; Results'!$C$169*'Assumptions &amp; Results'!$C$163*U70</f>
        <v>0</v>
      </c>
      <c r="V72" s="8">
        <f>'Assumptions &amp; Results'!$C$169*'Assumptions &amp; Results'!$C$163*V70</f>
        <v>0</v>
      </c>
      <c r="W72" s="8">
        <f>'Assumptions &amp; Results'!$C$169*'Assumptions &amp; Results'!$C$163*W70</f>
        <v>0</v>
      </c>
      <c r="X72" s="8">
        <f>'Assumptions &amp; Results'!$C$169*'Assumptions &amp; Results'!$C$163*X70</f>
        <v>0</v>
      </c>
      <c r="Y72" s="8">
        <f>'Assumptions &amp; Results'!$C$169*'Assumptions &amp; Results'!$C$163*Y70</f>
        <v>0</v>
      </c>
      <c r="Z72" s="8">
        <f>'Assumptions &amp; Results'!$C$169*'Assumptions &amp; Results'!$C$163*Z70</f>
        <v>0</v>
      </c>
      <c r="AA72" s="8">
        <f>'Assumptions &amp; Results'!$C$169*'Assumptions &amp; Results'!$C$163*AA70</f>
        <v>0</v>
      </c>
      <c r="AB72" s="8">
        <f>'Assumptions &amp; Results'!$C$169*'Assumptions &amp; Results'!$C$163*AB70</f>
        <v>0</v>
      </c>
      <c r="AC72" s="8">
        <f>'Assumptions &amp; Results'!$C$169*'Assumptions &amp; Results'!$C$163*AC70</f>
        <v>0</v>
      </c>
      <c r="AD72" s="8">
        <f>'Assumptions &amp; Results'!$C$169*'Assumptions &amp; Results'!$C$163*AD70</f>
        <v>0</v>
      </c>
      <c r="AE72" s="8">
        <f>'Assumptions &amp; Results'!$C$169*'Assumptions &amp; Results'!$C$163*AE70</f>
        <v>0</v>
      </c>
      <c r="AF72" s="8">
        <f>'Assumptions &amp; Results'!$C$169*'Assumptions &amp; Results'!$C$163*AF70</f>
        <v>0</v>
      </c>
      <c r="AG72" s="8">
        <f>'Assumptions &amp; Results'!$C$169*'Assumptions &amp; Results'!$C$163*AG70</f>
        <v>0</v>
      </c>
      <c r="AH72" s="8">
        <f>'Assumptions &amp; Results'!$C$169*'Assumptions &amp; Results'!$C$163*AH70</f>
        <v>0</v>
      </c>
      <c r="AI72" s="8">
        <f>'Assumptions &amp; Results'!$C$169*'Assumptions &amp; Results'!$C$163*AI70</f>
        <v>0</v>
      </c>
      <c r="AJ72" s="125">
        <f>SUM(C72:AI72)</f>
        <v>0</v>
      </c>
    </row>
    <row r="73" spans="1:36" x14ac:dyDescent="0.2">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125"/>
    </row>
    <row r="74" spans="1:36" x14ac:dyDescent="0.2">
      <c r="A74" t="s">
        <v>466</v>
      </c>
      <c r="B74" t="s">
        <v>99</v>
      </c>
      <c r="C74" s="8">
        <f>C70+C72</f>
        <v>0</v>
      </c>
      <c r="D74" s="8">
        <f>D70+D72</f>
        <v>0</v>
      </c>
      <c r="E74" s="8">
        <f t="shared" ref="E74:AI74" si="16">E70+E72</f>
        <v>0</v>
      </c>
      <c r="F74" s="8">
        <f t="shared" si="16"/>
        <v>0</v>
      </c>
      <c r="G74" s="8">
        <f t="shared" si="16"/>
        <v>0</v>
      </c>
      <c r="H74" s="8">
        <f t="shared" si="16"/>
        <v>0</v>
      </c>
      <c r="I74" s="8">
        <f t="shared" si="16"/>
        <v>0</v>
      </c>
      <c r="J74" s="8">
        <f t="shared" si="16"/>
        <v>0</v>
      </c>
      <c r="K74" s="8">
        <f t="shared" si="16"/>
        <v>0</v>
      </c>
      <c r="L74" s="8">
        <f t="shared" si="16"/>
        <v>0</v>
      </c>
      <c r="M74" s="8">
        <f t="shared" si="16"/>
        <v>0</v>
      </c>
      <c r="N74" s="8">
        <f t="shared" si="16"/>
        <v>0</v>
      </c>
      <c r="O74" s="8">
        <f t="shared" si="16"/>
        <v>0</v>
      </c>
      <c r="P74" s="8">
        <f t="shared" si="16"/>
        <v>0</v>
      </c>
      <c r="Q74" s="8">
        <f t="shared" si="16"/>
        <v>0</v>
      </c>
      <c r="R74" s="8">
        <f t="shared" si="16"/>
        <v>0</v>
      </c>
      <c r="S74" s="8">
        <f t="shared" si="16"/>
        <v>0</v>
      </c>
      <c r="T74" s="8">
        <f t="shared" si="16"/>
        <v>0</v>
      </c>
      <c r="U74" s="8">
        <f t="shared" si="16"/>
        <v>0</v>
      </c>
      <c r="V74" s="8">
        <f t="shared" si="16"/>
        <v>0</v>
      </c>
      <c r="W74" s="8">
        <f t="shared" si="16"/>
        <v>0</v>
      </c>
      <c r="X74" s="8">
        <f t="shared" si="16"/>
        <v>0</v>
      </c>
      <c r="Y74" s="8">
        <f t="shared" si="16"/>
        <v>0</v>
      </c>
      <c r="Z74" s="8">
        <f t="shared" si="16"/>
        <v>0</v>
      </c>
      <c r="AA74" s="8">
        <f t="shared" si="16"/>
        <v>0</v>
      </c>
      <c r="AB74" s="8">
        <f t="shared" si="16"/>
        <v>0</v>
      </c>
      <c r="AC74" s="8">
        <f t="shared" si="16"/>
        <v>0</v>
      </c>
      <c r="AD74" s="8">
        <f t="shared" si="16"/>
        <v>0</v>
      </c>
      <c r="AE74" s="8">
        <f t="shared" si="16"/>
        <v>0</v>
      </c>
      <c r="AF74" s="8">
        <f t="shared" si="16"/>
        <v>0</v>
      </c>
      <c r="AG74" s="8">
        <f t="shared" si="16"/>
        <v>0</v>
      </c>
      <c r="AH74" s="8">
        <f t="shared" si="16"/>
        <v>0</v>
      </c>
      <c r="AI74" s="8">
        <f t="shared" si="16"/>
        <v>0</v>
      </c>
      <c r="AJ74" s="125">
        <f>SUM(C74:AI74)</f>
        <v>0</v>
      </c>
    </row>
    <row r="75" spans="1:36" x14ac:dyDescent="0.2">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125"/>
    </row>
    <row r="76" spans="1:36" x14ac:dyDescent="0.2">
      <c r="A76" t="s">
        <v>510</v>
      </c>
      <c r="B76" t="s">
        <v>99</v>
      </c>
      <c r="C76" s="8">
        <f t="shared" ref="C76:AI76" si="17">C39</f>
        <v>0</v>
      </c>
      <c r="D76" s="8">
        <f t="shared" si="17"/>
        <v>0</v>
      </c>
      <c r="E76" s="8">
        <f t="shared" si="17"/>
        <v>0</v>
      </c>
      <c r="F76" s="8">
        <f t="shared" si="17"/>
        <v>0</v>
      </c>
      <c r="G76" s="8">
        <f t="shared" si="17"/>
        <v>0</v>
      </c>
      <c r="H76" s="8">
        <f t="shared" si="17"/>
        <v>0</v>
      </c>
      <c r="I76" s="8">
        <f t="shared" si="17"/>
        <v>0</v>
      </c>
      <c r="J76" s="8">
        <f t="shared" si="17"/>
        <v>0</v>
      </c>
      <c r="K76" s="8">
        <f t="shared" si="17"/>
        <v>0</v>
      </c>
      <c r="L76" s="8">
        <f t="shared" si="17"/>
        <v>0</v>
      </c>
      <c r="M76" s="8">
        <f t="shared" si="17"/>
        <v>0</v>
      </c>
      <c r="N76" s="8">
        <f t="shared" si="17"/>
        <v>0</v>
      </c>
      <c r="O76" s="8">
        <f t="shared" si="17"/>
        <v>0</v>
      </c>
      <c r="P76" s="8">
        <f t="shared" si="17"/>
        <v>0</v>
      </c>
      <c r="Q76" s="8">
        <f t="shared" si="17"/>
        <v>0</v>
      </c>
      <c r="R76" s="8">
        <f t="shared" si="17"/>
        <v>0</v>
      </c>
      <c r="S76" s="8">
        <f t="shared" si="17"/>
        <v>0</v>
      </c>
      <c r="T76" s="8">
        <f t="shared" si="17"/>
        <v>0</v>
      </c>
      <c r="U76" s="8">
        <f t="shared" si="17"/>
        <v>0</v>
      </c>
      <c r="V76" s="8">
        <f t="shared" si="17"/>
        <v>0</v>
      </c>
      <c r="W76" s="8">
        <f t="shared" si="17"/>
        <v>0</v>
      </c>
      <c r="X76" s="8">
        <f t="shared" si="17"/>
        <v>0</v>
      </c>
      <c r="Y76" s="8">
        <f t="shared" si="17"/>
        <v>0</v>
      </c>
      <c r="Z76" s="8">
        <f t="shared" si="17"/>
        <v>0</v>
      </c>
      <c r="AA76" s="8">
        <f t="shared" si="17"/>
        <v>0</v>
      </c>
      <c r="AB76" s="8">
        <f t="shared" si="17"/>
        <v>0</v>
      </c>
      <c r="AC76" s="8">
        <f t="shared" si="17"/>
        <v>0</v>
      </c>
      <c r="AD76" s="8">
        <f t="shared" si="17"/>
        <v>0</v>
      </c>
      <c r="AE76" s="8">
        <f t="shared" si="17"/>
        <v>0</v>
      </c>
      <c r="AF76" s="8">
        <f t="shared" si="17"/>
        <v>0</v>
      </c>
      <c r="AG76" s="8">
        <f t="shared" si="17"/>
        <v>0</v>
      </c>
      <c r="AH76" s="8">
        <f t="shared" si="17"/>
        <v>0</v>
      </c>
      <c r="AI76" s="8">
        <f t="shared" si="17"/>
        <v>0</v>
      </c>
      <c r="AJ76" s="125">
        <f>SUM(C76:AI76)</f>
        <v>0</v>
      </c>
    </row>
    <row r="77" spans="1:36" x14ac:dyDescent="0.2">
      <c r="A77" t="s">
        <v>517</v>
      </c>
      <c r="B77" t="s">
        <v>99</v>
      </c>
      <c r="C77" s="8">
        <f>C76*(1-'Assumptions &amp; Results'!$C$166)</f>
        <v>0</v>
      </c>
      <c r="D77" s="8">
        <f>D76*(1-'Assumptions &amp; Results'!$C$166)</f>
        <v>0</v>
      </c>
      <c r="E77" s="8">
        <f>E76*(1-'Assumptions &amp; Results'!$C$166)</f>
        <v>0</v>
      </c>
      <c r="F77" s="8">
        <f>F76*(1-'Assumptions &amp; Results'!$C$166)</f>
        <v>0</v>
      </c>
      <c r="G77" s="8">
        <f>G76*(1-'Assumptions &amp; Results'!$C$166)</f>
        <v>0</v>
      </c>
      <c r="H77" s="8">
        <f>H76*(1-'Assumptions &amp; Results'!$C$166)</f>
        <v>0</v>
      </c>
      <c r="I77" s="8">
        <f>I76*(1-'Assumptions &amp; Results'!$C$166)</f>
        <v>0</v>
      </c>
      <c r="J77" s="8">
        <f>J76*(1-'Assumptions &amp; Results'!$C$166)</f>
        <v>0</v>
      </c>
      <c r="K77" s="8">
        <f>K76*(1-'Assumptions &amp; Results'!$C$166)</f>
        <v>0</v>
      </c>
      <c r="L77" s="8">
        <f>L76*(1-'Assumptions &amp; Results'!$C$166)</f>
        <v>0</v>
      </c>
      <c r="M77" s="8">
        <f>M76*(1-'Assumptions &amp; Results'!$C$166)</f>
        <v>0</v>
      </c>
      <c r="N77" s="8">
        <f>N76*(1-'Assumptions &amp; Results'!$C$166)</f>
        <v>0</v>
      </c>
      <c r="O77" s="8">
        <f>O76*(1-'Assumptions &amp; Results'!$C$166)</f>
        <v>0</v>
      </c>
      <c r="P77" s="8">
        <f>P76*(1-'Assumptions &amp; Results'!$C$166)</f>
        <v>0</v>
      </c>
      <c r="Q77" s="8">
        <f>Q76*(1-'Assumptions &amp; Results'!$C$166)</f>
        <v>0</v>
      </c>
      <c r="R77" s="8">
        <f>R76*(1-'Assumptions &amp; Results'!$C$166)</f>
        <v>0</v>
      </c>
      <c r="S77" s="8">
        <f>S76*(1-'Assumptions &amp; Results'!$C$166)</f>
        <v>0</v>
      </c>
      <c r="T77" s="8">
        <f>T76*(1-'Assumptions &amp; Results'!$C$166)</f>
        <v>0</v>
      </c>
      <c r="U77" s="8">
        <f>U76*(1-'Assumptions &amp; Results'!$C$166)</f>
        <v>0</v>
      </c>
      <c r="V77" s="8">
        <f>V76*(1-'Assumptions &amp; Results'!$C$166)</f>
        <v>0</v>
      </c>
      <c r="W77" s="8">
        <f>W76*(1-'Assumptions &amp; Results'!$C$166)</f>
        <v>0</v>
      </c>
      <c r="X77" s="8">
        <f>X76*(1-'Assumptions &amp; Results'!$C$166)</f>
        <v>0</v>
      </c>
      <c r="Y77" s="8">
        <f>Y76*(1-'Assumptions &amp; Results'!$C$166)</f>
        <v>0</v>
      </c>
      <c r="Z77" s="8">
        <f>Z76*(1-'Assumptions &amp; Results'!$C$166)</f>
        <v>0</v>
      </c>
      <c r="AA77" s="8">
        <f>AA76*(1-'Assumptions &amp; Results'!$C$166)</f>
        <v>0</v>
      </c>
      <c r="AB77" s="8">
        <f>AB76*(1-'Assumptions &amp; Results'!$C$166)</f>
        <v>0</v>
      </c>
      <c r="AC77" s="8">
        <f>AC76*(1-'Assumptions &amp; Results'!$C$166)</f>
        <v>0</v>
      </c>
      <c r="AD77" s="8">
        <f>AD76*(1-'Assumptions &amp; Results'!$C$166)</f>
        <v>0</v>
      </c>
      <c r="AE77" s="8">
        <f>AE76*(1-'Assumptions &amp; Results'!$C$166)</f>
        <v>0</v>
      </c>
      <c r="AF77" s="8">
        <f>AF76*(1-'Assumptions &amp; Results'!$C$166)</f>
        <v>0</v>
      </c>
      <c r="AG77" s="8">
        <f>AG76*(1-'Assumptions &amp; Results'!$C$166)</f>
        <v>0</v>
      </c>
      <c r="AH77" s="8">
        <f>AH76*(1-'Assumptions &amp; Results'!$C$166)</f>
        <v>0</v>
      </c>
      <c r="AI77" s="8">
        <f>AI76*(1-'Assumptions &amp; Results'!$C$166)</f>
        <v>0</v>
      </c>
      <c r="AJ77" s="125">
        <f t="shared" ref="AJ77:AJ81" si="18">SUM(C77:AI77)</f>
        <v>0</v>
      </c>
    </row>
    <row r="78" spans="1:36" x14ac:dyDescent="0.2">
      <c r="A78" s="370" t="s">
        <v>300</v>
      </c>
      <c r="B78" s="374">
        <f>'Assumptions &amp; Results'!C154</f>
        <v>0.1</v>
      </c>
      <c r="C78" s="375">
        <f>NPV(B78,C77:AI77)</f>
        <v>0</v>
      </c>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125"/>
    </row>
    <row r="79" spans="1:36" x14ac:dyDescent="0.2">
      <c r="A79" s="370" t="s">
        <v>516</v>
      </c>
      <c r="B79" s="370"/>
      <c r="C79" s="376" t="e">
        <f>IRR(C77:AI77)</f>
        <v>#NUM!</v>
      </c>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125"/>
    </row>
    <row r="80" spans="1:36" x14ac:dyDescent="0.2">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125"/>
    </row>
    <row r="81" spans="1:36" x14ac:dyDescent="0.2">
      <c r="A81" t="s">
        <v>514</v>
      </c>
      <c r="B81" t="s">
        <v>99</v>
      </c>
      <c r="C81" s="8">
        <f t="shared" ref="C81:AI81" si="19">C77-C58+C68</f>
        <v>0</v>
      </c>
      <c r="D81" s="8">
        <f t="shared" si="19"/>
        <v>0</v>
      </c>
      <c r="E81" s="8">
        <f t="shared" si="19"/>
        <v>0</v>
      </c>
      <c r="F81" s="8">
        <f t="shared" si="19"/>
        <v>0</v>
      </c>
      <c r="G81" s="8">
        <f t="shared" si="19"/>
        <v>0</v>
      </c>
      <c r="H81" s="8">
        <f t="shared" si="19"/>
        <v>0</v>
      </c>
      <c r="I81" s="8">
        <f t="shared" si="19"/>
        <v>0</v>
      </c>
      <c r="J81" s="8">
        <f t="shared" si="19"/>
        <v>0</v>
      </c>
      <c r="K81" s="8">
        <f t="shared" si="19"/>
        <v>0</v>
      </c>
      <c r="L81" s="8">
        <f t="shared" si="19"/>
        <v>0</v>
      </c>
      <c r="M81" s="8">
        <f t="shared" si="19"/>
        <v>0</v>
      </c>
      <c r="N81" s="8">
        <f t="shared" si="19"/>
        <v>0</v>
      </c>
      <c r="O81" s="8">
        <f t="shared" si="19"/>
        <v>0</v>
      </c>
      <c r="P81" s="8">
        <f t="shared" si="19"/>
        <v>0</v>
      </c>
      <c r="Q81" s="8">
        <f t="shared" si="19"/>
        <v>0</v>
      </c>
      <c r="R81" s="8">
        <f t="shared" si="19"/>
        <v>0</v>
      </c>
      <c r="S81" s="8">
        <f t="shared" si="19"/>
        <v>0</v>
      </c>
      <c r="T81" s="8">
        <f t="shared" si="19"/>
        <v>0</v>
      </c>
      <c r="U81" s="8">
        <f t="shared" si="19"/>
        <v>0</v>
      </c>
      <c r="V81" s="8">
        <f t="shared" si="19"/>
        <v>0</v>
      </c>
      <c r="W81" s="8">
        <f t="shared" si="19"/>
        <v>0</v>
      </c>
      <c r="X81" s="8">
        <f t="shared" si="19"/>
        <v>0</v>
      </c>
      <c r="Y81" s="8">
        <f t="shared" si="19"/>
        <v>0</v>
      </c>
      <c r="Z81" s="8">
        <f t="shared" si="19"/>
        <v>0</v>
      </c>
      <c r="AA81" s="8">
        <f t="shared" si="19"/>
        <v>0</v>
      </c>
      <c r="AB81" s="8">
        <f t="shared" si="19"/>
        <v>0</v>
      </c>
      <c r="AC81" s="8">
        <f t="shared" si="19"/>
        <v>0</v>
      </c>
      <c r="AD81" s="8">
        <f t="shared" si="19"/>
        <v>0</v>
      </c>
      <c r="AE81" s="8">
        <f t="shared" si="19"/>
        <v>0</v>
      </c>
      <c r="AF81" s="8">
        <f t="shared" si="19"/>
        <v>0</v>
      </c>
      <c r="AG81" s="8">
        <f t="shared" si="19"/>
        <v>0</v>
      </c>
      <c r="AH81" s="8">
        <f t="shared" si="19"/>
        <v>0</v>
      </c>
      <c r="AI81" s="8">
        <f t="shared" si="19"/>
        <v>0</v>
      </c>
      <c r="AJ81" s="125">
        <f t="shared" si="18"/>
        <v>0</v>
      </c>
    </row>
    <row r="82" spans="1:36" x14ac:dyDescent="0.2">
      <c r="A82" s="370" t="s">
        <v>300</v>
      </c>
      <c r="B82" s="371">
        <f>'Assumptions &amp; Results'!C154</f>
        <v>0.1</v>
      </c>
      <c r="C82" s="375">
        <f>NPV(B82,C81:AI81)</f>
        <v>0</v>
      </c>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125"/>
    </row>
    <row r="83" spans="1:36" x14ac:dyDescent="0.2">
      <c r="A83" s="370" t="s">
        <v>511</v>
      </c>
      <c r="B83" s="370"/>
      <c r="C83" s="376" t="e">
        <f>IRR(C81:AI81)</f>
        <v>#NUM!</v>
      </c>
    </row>
  </sheetData>
  <pageMargins left="0.7" right="0.7" top="0.75" bottom="0.75" header="0.3" footer="0.3"/>
  <pageSetup orientation="portrait" horizontalDpi="4294967292" verticalDpi="429496729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rgb="FF008000"/>
  </sheetPr>
  <dimension ref="A1:AK113"/>
  <sheetViews>
    <sheetView topLeftCell="A7" workbookViewId="0">
      <pane xSplit="1" topLeftCell="B1" activePane="topRight" state="frozen"/>
      <selection activeCell="A16" sqref="A16"/>
      <selection pane="topRight" activeCell="G23" sqref="G23"/>
    </sheetView>
  </sheetViews>
  <sheetFormatPr defaultColWidth="8.85546875" defaultRowHeight="15" x14ac:dyDescent="0.25"/>
  <cols>
    <col min="1" max="1" width="48.42578125" customWidth="1"/>
    <col min="2" max="2" width="9" customWidth="1"/>
    <col min="3" max="3" width="11.42578125" customWidth="1"/>
    <col min="4" max="4" width="11.28515625" customWidth="1"/>
    <col min="5" max="6" width="8.85546875" bestFit="1" customWidth="1"/>
    <col min="7" max="11" width="9.7109375" bestFit="1" customWidth="1"/>
    <col min="12" max="35" width="8.85546875" bestFit="1" customWidth="1"/>
    <col min="36" max="36" width="10.140625" style="124" bestFit="1" customWidth="1"/>
  </cols>
  <sheetData>
    <row r="1" spans="1:36" s="69" customFormat="1" ht="21" x14ac:dyDescent="0.25">
      <c r="A1" s="197" t="s">
        <v>322</v>
      </c>
      <c r="AJ1" s="122"/>
    </row>
    <row r="2" spans="1:36" s="69" customFormat="1" ht="21" x14ac:dyDescent="0.25">
      <c r="A2" s="197"/>
      <c r="C2" s="117" t="str">
        <f>IF('Assumptions &amp; Results'!$C$172=3,"INVALID","VALID")</f>
        <v>VALID</v>
      </c>
      <c r="D2" s="235" t="s">
        <v>570</v>
      </c>
      <c r="AJ2" s="132"/>
    </row>
    <row r="4" spans="1:36" x14ac:dyDescent="0.2">
      <c r="A4" s="26"/>
      <c r="B4" t="s">
        <v>234</v>
      </c>
      <c r="C4" s="1">
        <f>'Assumptions &amp; Results'!D2</f>
        <v>2017</v>
      </c>
      <c r="D4" s="1">
        <f>'Assumptions &amp; Results'!E2</f>
        <v>2018</v>
      </c>
      <c r="E4" s="1">
        <f>'Assumptions &amp; Results'!F2</f>
        <v>2019</v>
      </c>
      <c r="F4" s="1">
        <f>'Assumptions &amp; Results'!G2</f>
        <v>2020</v>
      </c>
      <c r="G4" s="1">
        <f>'Assumptions &amp; Results'!H2</f>
        <v>2021</v>
      </c>
      <c r="H4" s="1">
        <f>'Assumptions &amp; Results'!I2</f>
        <v>2022</v>
      </c>
      <c r="I4" s="1">
        <f>'Assumptions &amp; Results'!J2</f>
        <v>2023</v>
      </c>
      <c r="J4" s="1">
        <f>'Assumptions &amp; Results'!K2</f>
        <v>2024</v>
      </c>
      <c r="K4" s="1">
        <f>'Assumptions &amp; Results'!L2</f>
        <v>2025</v>
      </c>
      <c r="L4" s="1">
        <f>'Assumptions &amp; Results'!M2</f>
        <v>2026</v>
      </c>
      <c r="M4" s="1">
        <f>'Assumptions &amp; Results'!N2</f>
        <v>2027</v>
      </c>
      <c r="N4" s="1">
        <f>'Assumptions &amp; Results'!O2</f>
        <v>2028</v>
      </c>
      <c r="O4" s="1">
        <f>'Assumptions &amp; Results'!P2</f>
        <v>2029</v>
      </c>
      <c r="P4" s="1">
        <f>'Assumptions &amp; Results'!Q2</f>
        <v>2030</v>
      </c>
      <c r="Q4" s="1">
        <f>'Assumptions &amp; Results'!R2</f>
        <v>2031</v>
      </c>
      <c r="R4" s="1">
        <f>'Assumptions &amp; Results'!S2</f>
        <v>2032</v>
      </c>
      <c r="S4" s="1">
        <f>'Assumptions &amp; Results'!T2</f>
        <v>2033</v>
      </c>
      <c r="T4" s="1">
        <f>'Assumptions &amp; Results'!U2</f>
        <v>2034</v>
      </c>
      <c r="U4" s="1">
        <f>'Assumptions &amp; Results'!V2</f>
        <v>2035</v>
      </c>
      <c r="V4" s="1">
        <f>'Assumptions &amp; Results'!W2</f>
        <v>2036</v>
      </c>
      <c r="W4" s="1">
        <f>'Assumptions &amp; Results'!X2</f>
        <v>2037</v>
      </c>
      <c r="X4" s="1">
        <f>'Assumptions &amp; Results'!Y2</f>
        <v>2038</v>
      </c>
      <c r="Y4" s="1">
        <f>'Assumptions &amp; Results'!Z2</f>
        <v>2039</v>
      </c>
      <c r="Z4" s="1">
        <f>'Assumptions &amp; Results'!AA2</f>
        <v>2040</v>
      </c>
      <c r="AA4" s="1">
        <f>'Assumptions &amp; Results'!AB2</f>
        <v>2041</v>
      </c>
      <c r="AB4" s="1">
        <f>'Assumptions &amp; Results'!AC2</f>
        <v>2042</v>
      </c>
      <c r="AC4" s="1">
        <f>'Assumptions &amp; Results'!AD2</f>
        <v>2043</v>
      </c>
      <c r="AD4" s="1">
        <f>'Assumptions &amp; Results'!AE2</f>
        <v>2044</v>
      </c>
      <c r="AE4" s="1">
        <f>'Assumptions &amp; Results'!AF2</f>
        <v>2045</v>
      </c>
      <c r="AF4" s="1">
        <f>'Assumptions &amp; Results'!AG2</f>
        <v>2046</v>
      </c>
      <c r="AG4" s="1">
        <f>'Assumptions &amp; Results'!AH2</f>
        <v>2047</v>
      </c>
      <c r="AH4" s="1">
        <f>'Assumptions &amp; Results'!AI2</f>
        <v>2048</v>
      </c>
      <c r="AI4" s="1">
        <f>'Assumptions &amp; Results'!AJ2</f>
        <v>2049</v>
      </c>
      <c r="AJ4" s="130" t="s">
        <v>63</v>
      </c>
    </row>
    <row r="6" spans="1:36" x14ac:dyDescent="0.2">
      <c r="A6" s="2" t="s">
        <v>323</v>
      </c>
      <c r="B6" s="2" t="s">
        <v>99</v>
      </c>
      <c r="C6" s="8">
        <f>'Assumptions &amp; Results'!D65</f>
        <v>0</v>
      </c>
      <c r="D6" s="8">
        <f>'Assumptions &amp; Results'!E65</f>
        <v>545</v>
      </c>
      <c r="E6" s="8">
        <f>'Assumptions &amp; Results'!F65</f>
        <v>645</v>
      </c>
      <c r="F6" s="8">
        <f>'Assumptions &amp; Results'!G65</f>
        <v>0</v>
      </c>
      <c r="G6" s="8">
        <f>'Assumptions &amp; Results'!H65</f>
        <v>0</v>
      </c>
      <c r="H6" s="8">
        <f>'Assumptions &amp; Results'!I65</f>
        <v>0</v>
      </c>
      <c r="I6" s="8">
        <f>'Assumptions &amp; Results'!J65</f>
        <v>0</v>
      </c>
      <c r="J6" s="8">
        <f>'Assumptions &amp; Results'!K65</f>
        <v>0</v>
      </c>
      <c r="K6" s="8">
        <f>'Assumptions &amp; Results'!L65</f>
        <v>0</v>
      </c>
      <c r="L6" s="8">
        <f>'Assumptions &amp; Results'!M65</f>
        <v>0</v>
      </c>
      <c r="M6" s="8">
        <f>'Assumptions &amp; Results'!N65</f>
        <v>0</v>
      </c>
      <c r="N6" s="8">
        <f>'Assumptions &amp; Results'!O65</f>
        <v>0</v>
      </c>
      <c r="O6" s="8">
        <f>'Assumptions &amp; Results'!P65</f>
        <v>0</v>
      </c>
      <c r="P6" s="8">
        <f>'Assumptions &amp; Results'!Q65</f>
        <v>0</v>
      </c>
      <c r="Q6" s="8">
        <f>'Assumptions &amp; Results'!R65</f>
        <v>0</v>
      </c>
      <c r="R6" s="8">
        <f>'Assumptions &amp; Results'!S65</f>
        <v>0</v>
      </c>
      <c r="S6" s="8">
        <f>'Assumptions &amp; Results'!T65</f>
        <v>0</v>
      </c>
      <c r="T6" s="8">
        <f>'Assumptions &amp; Results'!U65</f>
        <v>0</v>
      </c>
      <c r="U6" s="8">
        <f>'Assumptions &amp; Results'!V65</f>
        <v>0</v>
      </c>
      <c r="V6" s="8">
        <f>'Assumptions &amp; Results'!W65</f>
        <v>0</v>
      </c>
      <c r="W6" s="8">
        <f>'Assumptions &amp; Results'!X65</f>
        <v>0</v>
      </c>
      <c r="X6" s="8">
        <f>'Assumptions &amp; Results'!Y65</f>
        <v>0</v>
      </c>
      <c r="Y6" s="8">
        <f>'Assumptions &amp; Results'!Z65</f>
        <v>0</v>
      </c>
      <c r="Z6" s="8">
        <f>'Assumptions &amp; Results'!AA65</f>
        <v>0</v>
      </c>
      <c r="AA6" s="8">
        <f>'Assumptions &amp; Results'!AB65</f>
        <v>0</v>
      </c>
      <c r="AB6" s="8">
        <f>'Assumptions &amp; Results'!AC65</f>
        <v>0</v>
      </c>
      <c r="AC6" s="8">
        <f>'Assumptions &amp; Results'!AD65</f>
        <v>0</v>
      </c>
      <c r="AD6" s="8">
        <f>'Assumptions &amp; Results'!AE65</f>
        <v>0</v>
      </c>
      <c r="AE6" s="8">
        <f>'Assumptions &amp; Results'!AF65</f>
        <v>0</v>
      </c>
      <c r="AF6" s="8">
        <f>'Assumptions &amp; Results'!AG65</f>
        <v>0</v>
      </c>
      <c r="AG6" s="8">
        <f>'Assumptions &amp; Results'!AH65</f>
        <v>0</v>
      </c>
      <c r="AH6" s="8">
        <f>'Assumptions &amp; Results'!AI65</f>
        <v>0</v>
      </c>
      <c r="AI6" s="8">
        <f>'Assumptions &amp; Results'!AJ65</f>
        <v>0</v>
      </c>
      <c r="AJ6" s="125">
        <f>'Assumptions &amp; Results'!AK65</f>
        <v>1190</v>
      </c>
    </row>
    <row r="8" spans="1:36" ht="12.95" customHeight="1" x14ac:dyDescent="0.2">
      <c r="A8" s="4" t="s">
        <v>324</v>
      </c>
      <c r="B8" s="51" t="s">
        <v>99</v>
      </c>
      <c r="C8" s="8">
        <f>(IF('Assumptions &amp; Results'!$C$62=1,'Assumptions &amp; Results'!D62,0))+(IF('Assumptions &amp; Results'!$C$63=1,'Assumptions &amp; Results'!D63,0))+(IF('Assumptions &amp; Results'!$C$64=1,'Assumptions &amp; Results'!D64,0))</f>
        <v>0</v>
      </c>
      <c r="D8" s="8">
        <f>(IF('Assumptions &amp; Results'!$C$62=1,'Assumptions &amp; Results'!E62,0))+(IF('Assumptions &amp; Results'!$C$63=1,'Assumptions &amp; Results'!E63,0))+(IF('Assumptions &amp; Results'!$C$64=1,'Assumptions &amp; Results'!E64,0))</f>
        <v>0</v>
      </c>
      <c r="E8" s="8">
        <f>(IF('Assumptions &amp; Results'!$C$62=1,'Assumptions &amp; Results'!F62,0))+(IF('Assumptions &amp; Results'!$C$63=1,'Assumptions &amp; Results'!F63,0))+(IF('Assumptions &amp; Results'!$C$64=1,'Assumptions &amp; Results'!F64,0))</f>
        <v>0</v>
      </c>
      <c r="F8" s="8">
        <f>(IF('Assumptions &amp; Results'!$C$62=1,'Assumptions &amp; Results'!G62,0))+(IF('Assumptions &amp; Results'!$C$63=1,'Assumptions &amp; Results'!G63,0))+(IF('Assumptions &amp; Results'!$C$64=1,'Assumptions &amp; Results'!G64,0))</f>
        <v>0</v>
      </c>
      <c r="G8" s="8">
        <f>(IF('Assumptions &amp; Results'!$C$62=1,'Assumptions &amp; Results'!H62,0))+(IF('Assumptions &amp; Results'!$C$63=1,'Assumptions &amp; Results'!H63,0))+(IF('Assumptions &amp; Results'!$C$64=1,'Assumptions &amp; Results'!H64,0))</f>
        <v>0</v>
      </c>
      <c r="H8" s="8">
        <f>(IF('Assumptions &amp; Results'!$C$62=1,'Assumptions &amp; Results'!I62,0))+(IF('Assumptions &amp; Results'!$C$63=1,'Assumptions &amp; Results'!I63,0))+(IF('Assumptions &amp; Results'!$C$64=1,'Assumptions &amp; Results'!I64,0))</f>
        <v>0</v>
      </c>
      <c r="I8" s="8">
        <f>(IF('Assumptions &amp; Results'!$C$62=1,'Assumptions &amp; Results'!J62,0))+(IF('Assumptions &amp; Results'!$C$63=1,'Assumptions &amp; Results'!J63,0))+(IF('Assumptions &amp; Results'!$C$64=1,'Assumptions &amp; Results'!J64,0))</f>
        <v>0</v>
      </c>
      <c r="J8" s="8">
        <f>(IF('Assumptions &amp; Results'!$C$62=1,'Assumptions &amp; Results'!K62,0))+(IF('Assumptions &amp; Results'!$C$63=1,'Assumptions &amp; Results'!K63,0))+(IF('Assumptions &amp; Results'!$C$64=1,'Assumptions &amp; Results'!K64,0))</f>
        <v>0</v>
      </c>
      <c r="K8" s="8">
        <f>(IF('Assumptions &amp; Results'!$C$62=1,'Assumptions &amp; Results'!L62,0))+(IF('Assumptions &amp; Results'!$C$63=1,'Assumptions &amp; Results'!L63,0))+(IF('Assumptions &amp; Results'!$C$64=1,'Assumptions &amp; Results'!L64,0))</f>
        <v>0</v>
      </c>
      <c r="L8" s="8">
        <f>(IF('Assumptions &amp; Results'!$C$62=1,'Assumptions &amp; Results'!M62,0))+(IF('Assumptions &amp; Results'!$C$63=1,'Assumptions &amp; Results'!M63,0))+(IF('Assumptions &amp; Results'!$C$64=1,'Assumptions &amp; Results'!M64,0))</f>
        <v>0</v>
      </c>
      <c r="M8" s="8">
        <f>(IF('Assumptions &amp; Results'!$C$62=1,'Assumptions &amp; Results'!N62,0))+(IF('Assumptions &amp; Results'!$C$63=1,'Assumptions &amp; Results'!N63,0))+(IF('Assumptions &amp; Results'!$C$64=1,'Assumptions &amp; Results'!N64,0))</f>
        <v>0</v>
      </c>
      <c r="N8" s="8">
        <f>(IF('Assumptions &amp; Results'!$C$62=1,'Assumptions &amp; Results'!O62,0))+(IF('Assumptions &amp; Results'!$C$63=1,'Assumptions &amp; Results'!O63,0))+(IF('Assumptions &amp; Results'!$C$64=1,'Assumptions &amp; Results'!O64,0))</f>
        <v>0</v>
      </c>
      <c r="O8" s="8">
        <f>(IF('Assumptions &amp; Results'!$C$62=1,'Assumptions &amp; Results'!P62,0))+(IF('Assumptions &amp; Results'!$C$63=1,'Assumptions &amp; Results'!P63,0))+(IF('Assumptions &amp; Results'!$C$64=1,'Assumptions &amp; Results'!P64,0))</f>
        <v>0</v>
      </c>
      <c r="P8" s="8">
        <f>(IF('Assumptions &amp; Results'!$C$62=1,'Assumptions &amp; Results'!Q62,0))+(IF('Assumptions &amp; Results'!$C$63=1,'Assumptions &amp; Results'!Q63,0))+(IF('Assumptions &amp; Results'!$C$64=1,'Assumptions &amp; Results'!Q64,0))</f>
        <v>0</v>
      </c>
      <c r="Q8" s="8">
        <f>(IF('Assumptions &amp; Results'!$C$62=1,'Assumptions &amp; Results'!R62,0))+(IF('Assumptions &amp; Results'!$C$63=1,'Assumptions &amp; Results'!R63,0))+(IF('Assumptions &amp; Results'!$C$64=1,'Assumptions &amp; Results'!R64,0))</f>
        <v>0</v>
      </c>
      <c r="R8" s="8">
        <f>(IF('Assumptions &amp; Results'!$C$62=1,'Assumptions &amp; Results'!S62,0))+(IF('Assumptions &amp; Results'!$C$63=1,'Assumptions &amp; Results'!S63,0))+(IF('Assumptions &amp; Results'!$C$64=1,'Assumptions &amp; Results'!S64,0))</f>
        <v>0</v>
      </c>
      <c r="S8" s="8">
        <f>(IF('Assumptions &amp; Results'!$C$62=1,'Assumptions &amp; Results'!T62,0))+(IF('Assumptions &amp; Results'!$C$63=1,'Assumptions &amp; Results'!T63,0))+(IF('Assumptions &amp; Results'!$C$64=1,'Assumptions &amp; Results'!T64,0))</f>
        <v>0</v>
      </c>
      <c r="T8" s="8">
        <f>(IF('Assumptions &amp; Results'!$C$62=1,'Assumptions &amp; Results'!U62,0))+(IF('Assumptions &amp; Results'!$C$63=1,'Assumptions &amp; Results'!U63,0))+(IF('Assumptions &amp; Results'!$C$64=1,'Assumptions &amp; Results'!U64,0))</f>
        <v>0</v>
      </c>
      <c r="U8" s="8">
        <f>(IF('Assumptions &amp; Results'!$C$62=1,'Assumptions &amp; Results'!V62,0))+(IF('Assumptions &amp; Results'!$C$63=1,'Assumptions &amp; Results'!V63,0))+(IF('Assumptions &amp; Results'!$C$64=1,'Assumptions &amp; Results'!V64,0))</f>
        <v>0</v>
      </c>
      <c r="V8" s="8">
        <f>(IF('Assumptions &amp; Results'!$C$62=1,'Assumptions &amp; Results'!W62,0))+(IF('Assumptions &amp; Results'!$C$63=1,'Assumptions &amp; Results'!W63,0))+(IF('Assumptions &amp; Results'!$C$64=1,'Assumptions &amp; Results'!W64,0))</f>
        <v>0</v>
      </c>
      <c r="W8" s="8">
        <f>(IF('Assumptions &amp; Results'!$C$62=1,'Assumptions &amp; Results'!X62,0))+(IF('Assumptions &amp; Results'!$C$63=1,'Assumptions &amp; Results'!X63,0))+(IF('Assumptions &amp; Results'!$C$64=1,'Assumptions &amp; Results'!X64,0))</f>
        <v>0</v>
      </c>
      <c r="X8" s="8">
        <f>(IF('Assumptions &amp; Results'!$C$62=1,'Assumptions &amp; Results'!Y62,0))+(IF('Assumptions &amp; Results'!$C$63=1,'Assumptions &amp; Results'!Y63,0))+(IF('Assumptions &amp; Results'!$C$64=1,'Assumptions &amp; Results'!Y64,0))</f>
        <v>0</v>
      </c>
      <c r="Y8" s="8">
        <f>(IF('Assumptions &amp; Results'!$C$62=1,'Assumptions &amp; Results'!Z62,0))+(IF('Assumptions &amp; Results'!$C$63=1,'Assumptions &amp; Results'!Z63,0))+(IF('Assumptions &amp; Results'!$C$64=1,'Assumptions &amp; Results'!Z64,0))</f>
        <v>0</v>
      </c>
      <c r="Z8" s="8">
        <f>(IF('Assumptions &amp; Results'!$C$62=1,'Assumptions &amp; Results'!AA62,0))+(IF('Assumptions &amp; Results'!$C$63=1,'Assumptions &amp; Results'!AA63,0))+(IF('Assumptions &amp; Results'!$C$64=1,'Assumptions &amp; Results'!AA64,0))</f>
        <v>0</v>
      </c>
      <c r="AA8" s="8">
        <f>(IF('Assumptions &amp; Results'!$C$62=1,'Assumptions &amp; Results'!AB62,0))+(IF('Assumptions &amp; Results'!$C$63=1,'Assumptions &amp; Results'!AB63,0))+(IF('Assumptions &amp; Results'!$C$64=1,'Assumptions &amp; Results'!AB64,0))</f>
        <v>0</v>
      </c>
      <c r="AB8" s="8">
        <f>(IF('Assumptions &amp; Results'!$C$62=1,'Assumptions &amp; Results'!AC62,0))+(IF('Assumptions &amp; Results'!$C$63=1,'Assumptions &amp; Results'!AC63,0))+(IF('Assumptions &amp; Results'!$C$64=1,'Assumptions &amp; Results'!AC64,0))</f>
        <v>0</v>
      </c>
      <c r="AC8" s="8">
        <f>(IF('Assumptions &amp; Results'!$C$62=1,'Assumptions &amp; Results'!AD62,0))+(IF('Assumptions &amp; Results'!$C$63=1,'Assumptions &amp; Results'!AD63,0))+(IF('Assumptions &amp; Results'!$C$64=1,'Assumptions &amp; Results'!AD64,0))</f>
        <v>0</v>
      </c>
      <c r="AD8" s="8">
        <f>(IF('Assumptions &amp; Results'!$C$62=1,'Assumptions &amp; Results'!AE62,0))+(IF('Assumptions &amp; Results'!$C$63=1,'Assumptions &amp; Results'!AE63,0))+(IF('Assumptions &amp; Results'!$C$64=1,'Assumptions &amp; Results'!AE64,0))</f>
        <v>0</v>
      </c>
      <c r="AE8" s="8">
        <f>(IF('Assumptions &amp; Results'!$C$62=1,'Assumptions &amp; Results'!AF62,0))+(IF('Assumptions &amp; Results'!$C$63=1,'Assumptions &amp; Results'!AF63,0))+(IF('Assumptions &amp; Results'!$C$64=1,'Assumptions &amp; Results'!AF64,0))</f>
        <v>0</v>
      </c>
      <c r="AF8" s="8">
        <f>(IF('Assumptions &amp; Results'!$C$62=1,'Assumptions &amp; Results'!AG62,0))+(IF('Assumptions &amp; Results'!$C$63=1,'Assumptions &amp; Results'!AG63,0))+(IF('Assumptions &amp; Results'!$C$64=1,'Assumptions &amp; Results'!AG64,0))</f>
        <v>0</v>
      </c>
      <c r="AG8" s="8">
        <f>(IF('Assumptions &amp; Results'!$C$62=1,'Assumptions &amp; Results'!AH62,0))+(IF('Assumptions &amp; Results'!$C$63=1,'Assumptions &amp; Results'!AH63,0))+(IF('Assumptions &amp; Results'!$C$64=1,'Assumptions &amp; Results'!AH64,0))</f>
        <v>0</v>
      </c>
      <c r="AH8" s="8">
        <f>(IF('Assumptions &amp; Results'!$C$62=1,'Assumptions &amp; Results'!AI62,0))+(IF('Assumptions &amp; Results'!$C$63=1,'Assumptions &amp; Results'!AI63,0))+(IF('Assumptions &amp; Results'!$C$64=1,'Assumptions &amp; Results'!AI64,0))</f>
        <v>0</v>
      </c>
      <c r="AI8" s="8">
        <f>(IF('Assumptions &amp; Results'!$C$62=1,'Assumptions &amp; Results'!AJ62,0))+(IF('Assumptions &amp; Results'!$C$63=1,'Assumptions &amp; Results'!AJ63,0))+(IF('Assumptions &amp; Results'!$C$64=1,'Assumptions &amp; Results'!AJ64,0))</f>
        <v>0</v>
      </c>
      <c r="AJ8" s="125">
        <f>SUM(C8:AI8)</f>
        <v>0</v>
      </c>
    </row>
    <row r="9" spans="1:36" x14ac:dyDescent="0.2">
      <c r="A9" s="4"/>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125"/>
    </row>
    <row r="10" spans="1:36" x14ac:dyDescent="0.2">
      <c r="A10" s="4" t="s">
        <v>568</v>
      </c>
      <c r="B10" s="51" t="s">
        <v>99</v>
      </c>
      <c r="C10" s="8">
        <f>'Assumptions &amp; Results'!D65-C8</f>
        <v>0</v>
      </c>
      <c r="D10" s="8">
        <f>'Assumptions &amp; Results'!E65-D8</f>
        <v>545</v>
      </c>
      <c r="E10" s="8">
        <f>'Assumptions &amp; Results'!F65-E8</f>
        <v>645</v>
      </c>
      <c r="F10" s="8">
        <f>'Assumptions &amp; Results'!G65-F8</f>
        <v>0</v>
      </c>
      <c r="G10" s="8">
        <f>'Assumptions &amp; Results'!H65-G8</f>
        <v>0</v>
      </c>
      <c r="H10" s="8">
        <f>'Assumptions &amp; Results'!I65-H8</f>
        <v>0</v>
      </c>
      <c r="I10" s="8">
        <f>'Assumptions &amp; Results'!J65-I8</f>
        <v>0</v>
      </c>
      <c r="J10" s="8">
        <f>'Assumptions &amp; Results'!K65-J8</f>
        <v>0</v>
      </c>
      <c r="K10" s="8">
        <f>'Assumptions &amp; Results'!L65-K8</f>
        <v>0</v>
      </c>
      <c r="L10" s="8">
        <f>'Assumptions &amp; Results'!M65-L8</f>
        <v>0</v>
      </c>
      <c r="M10" s="8">
        <f>'Assumptions &amp; Results'!N65-M8</f>
        <v>0</v>
      </c>
      <c r="N10" s="8">
        <f>'Assumptions &amp; Results'!O65-N8</f>
        <v>0</v>
      </c>
      <c r="O10" s="8">
        <f>'Assumptions &amp; Results'!P65-O8</f>
        <v>0</v>
      </c>
      <c r="P10" s="8">
        <f>'Assumptions &amp; Results'!Q65-P8</f>
        <v>0</v>
      </c>
      <c r="Q10" s="8">
        <f>'Assumptions &amp; Results'!R65-Q8</f>
        <v>0</v>
      </c>
      <c r="R10" s="8">
        <f>'Assumptions &amp; Results'!S65-R8</f>
        <v>0</v>
      </c>
      <c r="S10" s="8">
        <f>'Assumptions &amp; Results'!T65-S8</f>
        <v>0</v>
      </c>
      <c r="T10" s="8">
        <f>'Assumptions &amp; Results'!U65-T8</f>
        <v>0</v>
      </c>
      <c r="U10" s="8">
        <f>'Assumptions &amp; Results'!V65-U8</f>
        <v>0</v>
      </c>
      <c r="V10" s="8">
        <f>'Assumptions &amp; Results'!W65-V8</f>
        <v>0</v>
      </c>
      <c r="W10" s="8">
        <f>'Assumptions &amp; Results'!X65-W8</f>
        <v>0</v>
      </c>
      <c r="X10" s="8">
        <f>'Assumptions &amp; Results'!Y65-X8</f>
        <v>0</v>
      </c>
      <c r="Y10" s="8">
        <f>'Assumptions &amp; Results'!Z65-Y8</f>
        <v>0</v>
      </c>
      <c r="Z10" s="8">
        <f>'Assumptions &amp; Results'!AA65-Z8</f>
        <v>0</v>
      </c>
      <c r="AA10" s="8">
        <f>'Assumptions &amp; Results'!AB65-AA8</f>
        <v>0</v>
      </c>
      <c r="AB10" s="8">
        <f>'Assumptions &amp; Results'!AC65-AB8</f>
        <v>0</v>
      </c>
      <c r="AC10" s="8">
        <f>'Assumptions &amp; Results'!AD65-AC8</f>
        <v>0</v>
      </c>
      <c r="AD10" s="8">
        <f>'Assumptions &amp; Results'!AE65-AD8</f>
        <v>0</v>
      </c>
      <c r="AE10" s="8">
        <f>'Assumptions &amp; Results'!AF65-AE8</f>
        <v>0</v>
      </c>
      <c r="AF10" s="8">
        <f>'Assumptions &amp; Results'!AG65-AF8</f>
        <v>0</v>
      </c>
      <c r="AG10" s="8">
        <f>'Assumptions &amp; Results'!AH65-AG8</f>
        <v>0</v>
      </c>
      <c r="AH10" s="8">
        <f>'Assumptions &amp; Results'!AI65-AH8</f>
        <v>0</v>
      </c>
      <c r="AI10" s="8">
        <f>'Assumptions &amp; Results'!AJ65-AI8</f>
        <v>0</v>
      </c>
      <c r="AJ10" s="125">
        <f>SUM(C10:AI10)</f>
        <v>1190</v>
      </c>
    </row>
    <row r="12" spans="1:36" x14ac:dyDescent="0.2">
      <c r="AJ12" s="125"/>
    </row>
    <row r="13" spans="1:36" s="69" customFormat="1" x14ac:dyDescent="0.2">
      <c r="A13" s="74" t="s">
        <v>325</v>
      </c>
      <c r="AJ13" s="131"/>
    </row>
    <row r="14" spans="1:36" x14ac:dyDescent="0.2">
      <c r="A14" t="s">
        <v>326</v>
      </c>
      <c r="B14" t="s">
        <v>99</v>
      </c>
      <c r="C14" s="8">
        <f>(C23+C24+C25)*'Assumptions &amp; Results'!D103</f>
        <v>0</v>
      </c>
      <c r="D14" s="8">
        <f>(D23+D24+D25)*'Assumptions &amp; Results'!E103</f>
        <v>0</v>
      </c>
      <c r="E14" s="8">
        <f>(E23+E24+E25)*'Assumptions &amp; Results'!F103</f>
        <v>0</v>
      </c>
      <c r="F14" s="8">
        <f>(F23+F24+F25)*'Assumptions &amp; Results'!G103</f>
        <v>0</v>
      </c>
      <c r="G14" s="8">
        <f>(G23+G24+G25)*'Assumptions &amp; Results'!H103</f>
        <v>36.134999999999998</v>
      </c>
      <c r="H14" s="8">
        <f>(H23+H24+H25)*'Assumptions &amp; Results'!I103</f>
        <v>72.27</v>
      </c>
      <c r="I14" s="8">
        <f>(I23+I24+I25)*'Assumptions &amp; Results'!J103</f>
        <v>72.27</v>
      </c>
      <c r="J14" s="8">
        <f>(J23+J24+J25)*'Assumptions &amp; Results'!K103</f>
        <v>68.656499999999994</v>
      </c>
      <c r="K14" s="8">
        <f>(K23+K24+K25)*'Assumptions &amp; Results'!L103</f>
        <v>72.27</v>
      </c>
      <c r="L14" s="8">
        <f>(L23+L24+L25)*'Assumptions &amp; Results'!M103</f>
        <v>72.27</v>
      </c>
      <c r="M14" s="8">
        <f>(M23+M24+M25)*'Assumptions &amp; Results'!N103</f>
        <v>72.27</v>
      </c>
      <c r="N14" s="8">
        <f>(N23+N24+N25)*'Assumptions &amp; Results'!O103</f>
        <v>72.27</v>
      </c>
      <c r="O14" s="8">
        <f>(O23+O24+O25)*'Assumptions &amp; Results'!P103</f>
        <v>68.656499999999994</v>
      </c>
      <c r="P14" s="8">
        <f>(P23+P24+P25)*'Assumptions &amp; Results'!Q103</f>
        <v>72.27</v>
      </c>
      <c r="Q14" s="8">
        <f>(Q23+Q24+Q25)*'Assumptions &amp; Results'!R103</f>
        <v>72.27</v>
      </c>
      <c r="R14" s="8">
        <f>(R23+R24+R25)*'Assumptions &amp; Results'!S103</f>
        <v>72.27</v>
      </c>
      <c r="S14" s="8">
        <f>(S23+S24+S25)*'Assumptions &amp; Results'!T103</f>
        <v>72.27</v>
      </c>
      <c r="T14" s="8">
        <f>(T23+T24+T25)*'Assumptions &amp; Results'!U103</f>
        <v>68.656499999999994</v>
      </c>
      <c r="U14" s="8">
        <f>(U23+U24+U25)*'Assumptions &amp; Results'!V103</f>
        <v>72.27</v>
      </c>
      <c r="V14" s="8">
        <f>(V23+V24+V25)*'Assumptions &amp; Results'!W103</f>
        <v>72.27</v>
      </c>
      <c r="W14" s="8">
        <f>(W23+W24+W25)*'Assumptions &amp; Results'!X103</f>
        <v>72.27</v>
      </c>
      <c r="X14" s="8">
        <f>(X23+X24+X25)*'Assumptions &amp; Results'!Y103</f>
        <v>72.27</v>
      </c>
      <c r="Y14" s="8">
        <f>(Y23+Y24+Y25)*'Assumptions &amp; Results'!Z103</f>
        <v>68.656499999999994</v>
      </c>
      <c r="Z14" s="8">
        <f>(Z23+Z24+Z25)*'Assumptions &amp; Results'!AA103</f>
        <v>72.27</v>
      </c>
      <c r="AA14" s="8">
        <f>(AA23+AA24+AA25)*'Assumptions &amp; Results'!AB103</f>
        <v>72.27</v>
      </c>
      <c r="AB14" s="8">
        <f>(AB23+AB24+AB25)*'Assumptions &amp; Results'!AC103</f>
        <v>72.27</v>
      </c>
      <c r="AC14" s="8">
        <f>(AC23+AC24+AC25)*'Assumptions &amp; Results'!AD103</f>
        <v>72.27</v>
      </c>
      <c r="AD14" s="8">
        <f>(AD23+AD24+AD25)*'Assumptions &amp; Results'!AE103</f>
        <v>68.656499999999994</v>
      </c>
      <c r="AE14" s="8">
        <f>(AE23+AE24+AE25)*'Assumptions &amp; Results'!AF103</f>
        <v>72.27</v>
      </c>
      <c r="AF14" s="8">
        <f>(AF23+AF24+AF25)*'Assumptions &amp; Results'!AG103</f>
        <v>72.27</v>
      </c>
      <c r="AG14" s="8">
        <f>(AG23+AG24+AG25)*'Assumptions &amp; Results'!AH103</f>
        <v>72.27</v>
      </c>
      <c r="AH14" s="8">
        <f>(AH23+AH24+AH25)*'Assumptions &amp; Results'!AI103</f>
        <v>72.27</v>
      </c>
      <c r="AI14" s="8">
        <f>(AI23+AI24+AI25)*'Assumptions &amp; Results'!AJ103</f>
        <v>72.27</v>
      </c>
      <c r="AJ14" s="125">
        <f>SUM(C14:AI14)</f>
        <v>2041.6274999999998</v>
      </c>
    </row>
    <row r="15" spans="1:36" x14ac:dyDescent="0.2">
      <c r="A15" t="s">
        <v>327</v>
      </c>
      <c r="B15" t="s">
        <v>99</v>
      </c>
      <c r="C15" s="8">
        <f>IF('Assumptions &amp; Results'!D25&lt;1,'Assumptions &amp; Results'!D106,0)</f>
        <v>0</v>
      </c>
      <c r="D15" s="8">
        <f>IF('Assumptions &amp; Results'!E25&lt;1,'Assumptions &amp; Results'!E106,0)</f>
        <v>0</v>
      </c>
      <c r="E15" s="8">
        <f>IF('Assumptions &amp; Results'!F25&lt;1,'Assumptions &amp; Results'!F106,0)</f>
        <v>0</v>
      </c>
      <c r="F15" s="8">
        <f>IF('Assumptions &amp; Results'!G25&lt;1,'Assumptions &amp; Results'!G106,0)</f>
        <v>0</v>
      </c>
      <c r="G15" s="8">
        <f>IF('Assumptions &amp; Results'!H25&lt;1,'Assumptions &amp; Results'!H106,0)</f>
        <v>0</v>
      </c>
      <c r="H15" s="8">
        <f>IF('Assumptions &amp; Results'!I25&lt;1,'Assumptions &amp; Results'!I106,0)</f>
        <v>0</v>
      </c>
      <c r="I15" s="8">
        <f>IF('Assumptions &amp; Results'!J25&lt;1,'Assumptions &amp; Results'!J106,0)</f>
        <v>0</v>
      </c>
      <c r="J15" s="8">
        <f>IF('Assumptions &amp; Results'!K25&lt;1,'Assumptions &amp; Results'!K106,0)</f>
        <v>15</v>
      </c>
      <c r="K15" s="8">
        <f>IF('Assumptions &amp; Results'!L25&lt;1,'Assumptions &amp; Results'!L106,0)</f>
        <v>0</v>
      </c>
      <c r="L15" s="8">
        <f>IF('Assumptions &amp; Results'!M25&lt;1,'Assumptions &amp; Results'!M106,0)</f>
        <v>0</v>
      </c>
      <c r="M15" s="8">
        <f>IF('Assumptions &amp; Results'!N25&lt;1,'Assumptions &amp; Results'!N106,0)</f>
        <v>0</v>
      </c>
      <c r="N15" s="8">
        <f>IF('Assumptions &amp; Results'!O25&lt;1,'Assumptions &amp; Results'!O106,0)</f>
        <v>0</v>
      </c>
      <c r="O15" s="8">
        <f>IF('Assumptions &amp; Results'!P25&lt;1,'Assumptions &amp; Results'!P106,0)</f>
        <v>15</v>
      </c>
      <c r="P15" s="8">
        <f>IF('Assumptions &amp; Results'!Q25&lt;1,'Assumptions &amp; Results'!Q106,0)</f>
        <v>0</v>
      </c>
      <c r="Q15" s="8">
        <f>IF('Assumptions &amp; Results'!R25&lt;1,'Assumptions &amp; Results'!R106,0)</f>
        <v>0</v>
      </c>
      <c r="R15" s="8">
        <f>IF('Assumptions &amp; Results'!S25&lt;1,'Assumptions &amp; Results'!S106,0)</f>
        <v>0</v>
      </c>
      <c r="S15" s="8">
        <f>IF('Assumptions &amp; Results'!T25&lt;1,'Assumptions &amp; Results'!T106,0)</f>
        <v>0</v>
      </c>
      <c r="T15" s="8">
        <f>IF('Assumptions &amp; Results'!U25&lt;1,'Assumptions &amp; Results'!U106,0)</f>
        <v>15</v>
      </c>
      <c r="U15" s="8">
        <f>IF('Assumptions &amp; Results'!V25&lt;1,'Assumptions &amp; Results'!V106,0)</f>
        <v>0</v>
      </c>
      <c r="V15" s="8">
        <f>IF('Assumptions &amp; Results'!W25&lt;1,'Assumptions &amp; Results'!W106,0)</f>
        <v>0</v>
      </c>
      <c r="W15" s="8">
        <f>IF('Assumptions &amp; Results'!X25&lt;1,'Assumptions &amp; Results'!X106,0)</f>
        <v>0</v>
      </c>
      <c r="X15" s="8">
        <f>IF('Assumptions &amp; Results'!Y25&lt;1,'Assumptions &amp; Results'!Y106,0)</f>
        <v>0</v>
      </c>
      <c r="Y15" s="8">
        <f>IF('Assumptions &amp; Results'!Z25&lt;1,'Assumptions &amp; Results'!Z106,0)</f>
        <v>15</v>
      </c>
      <c r="Z15" s="8">
        <f>IF('Assumptions &amp; Results'!AA25&lt;1,'Assumptions &amp; Results'!AA106,0)</f>
        <v>0</v>
      </c>
      <c r="AA15" s="8">
        <f>IF('Assumptions &amp; Results'!AB25&lt;1,'Assumptions &amp; Results'!AB106,0)</f>
        <v>0</v>
      </c>
      <c r="AB15" s="8">
        <f>IF('Assumptions &amp; Results'!AC25&lt;1,'Assumptions &amp; Results'!AC106,0)</f>
        <v>0</v>
      </c>
      <c r="AC15" s="8">
        <f>IF('Assumptions &amp; Results'!AD25&lt;1,'Assumptions &amp; Results'!AD106,0)</f>
        <v>0</v>
      </c>
      <c r="AD15" s="8">
        <f>IF('Assumptions &amp; Results'!AE25&lt;1,'Assumptions &amp; Results'!AE106,0)</f>
        <v>15</v>
      </c>
      <c r="AE15" s="8">
        <f>IF('Assumptions &amp; Results'!AF25&lt;1,'Assumptions &amp; Results'!AF106,0)</f>
        <v>0</v>
      </c>
      <c r="AF15" s="8">
        <f>IF('Assumptions &amp; Results'!AG25&lt;1,'Assumptions &amp; Results'!AG106,0)</f>
        <v>0</v>
      </c>
      <c r="AG15" s="8">
        <f>IF('Assumptions &amp; Results'!AH25&lt;1,'Assumptions &amp; Results'!AH106,0)</f>
        <v>0</v>
      </c>
      <c r="AH15" s="8">
        <f>IF('Assumptions &amp; Results'!AI25&lt;1,'Assumptions &amp; Results'!AI106,0)</f>
        <v>0</v>
      </c>
      <c r="AI15" s="8">
        <f>IF('Assumptions &amp; Results'!AJ25&lt;1,'Assumptions &amp; Results'!AJ106,0)</f>
        <v>0</v>
      </c>
      <c r="AJ15" s="125">
        <f>SUM(C15:AI15)</f>
        <v>75</v>
      </c>
    </row>
    <row r="16" spans="1:36" x14ac:dyDescent="0.2">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125"/>
    </row>
    <row r="17" spans="1:36" s="69" customFormat="1" x14ac:dyDescent="0.2">
      <c r="A17" s="74" t="s">
        <v>328</v>
      </c>
      <c r="AJ17" s="131"/>
    </row>
    <row r="18" spans="1:36" x14ac:dyDescent="0.2">
      <c r="A18" s="37" t="s">
        <v>329</v>
      </c>
      <c r="B18" t="s">
        <v>330</v>
      </c>
      <c r="C18" s="8">
        <f>'Field 1 Investor'!C8*'Assumptions &amp; Results'!D25</f>
        <v>0</v>
      </c>
      <c r="D18" s="8">
        <f>'Field 1 Investor'!D8*'Assumptions &amp; Results'!E25</f>
        <v>0</v>
      </c>
      <c r="E18" s="8">
        <f>'Field 1 Investor'!E8*'Assumptions &amp; Results'!F25</f>
        <v>0</v>
      </c>
      <c r="F18" s="8">
        <f>'Field 1 Investor'!F8*'Assumptions &amp; Results'!G25</f>
        <v>0</v>
      </c>
      <c r="G18" s="8">
        <f>'Field 1 Investor'!G8*'Assumptions &amp; Results'!H25</f>
        <v>301.125</v>
      </c>
      <c r="H18" s="8">
        <f>'Field 1 Investor'!H8*'Assumptions &amp; Results'!I25</f>
        <v>602.25</v>
      </c>
      <c r="I18" s="8">
        <f>'Field 1 Investor'!I8*'Assumptions &amp; Results'!J25</f>
        <v>602.25</v>
      </c>
      <c r="J18" s="8">
        <f>'Field 1 Investor'!J8*'Assumptions &amp; Results'!K25</f>
        <v>572.13749999999993</v>
      </c>
      <c r="K18" s="8">
        <f>'Field 1 Investor'!K8*'Assumptions &amp; Results'!L25</f>
        <v>602.25</v>
      </c>
      <c r="L18" s="8">
        <f>'Field 1 Investor'!L8*'Assumptions &amp; Results'!M25</f>
        <v>602.25</v>
      </c>
      <c r="M18" s="8">
        <f>'Field 1 Investor'!M8*'Assumptions &amp; Results'!N25</f>
        <v>602.25</v>
      </c>
      <c r="N18" s="8">
        <f>'Field 1 Investor'!N8*'Assumptions &amp; Results'!O25</f>
        <v>602.25</v>
      </c>
      <c r="O18" s="8">
        <f>'Field 1 Investor'!O8*'Assumptions &amp; Results'!P25</f>
        <v>572.13749999999993</v>
      </c>
      <c r="P18" s="8">
        <f>'Field 1 Investor'!P8*'Assumptions &amp; Results'!Q25</f>
        <v>602.25</v>
      </c>
      <c r="Q18" s="8">
        <f>'Field 1 Investor'!Q8*'Assumptions &amp; Results'!R25</f>
        <v>602.25</v>
      </c>
      <c r="R18" s="8">
        <f>'Field 1 Investor'!R8*'Assumptions &amp; Results'!S25</f>
        <v>602.25</v>
      </c>
      <c r="S18" s="8">
        <f>'Field 1 Investor'!S8*'Assumptions &amp; Results'!T25</f>
        <v>602.25</v>
      </c>
      <c r="T18" s="8">
        <f>'Field 1 Investor'!T8*'Assumptions &amp; Results'!U25</f>
        <v>572.13749999999993</v>
      </c>
      <c r="U18" s="8">
        <f>'Field 1 Investor'!U8*'Assumptions &amp; Results'!V25</f>
        <v>602.25</v>
      </c>
      <c r="V18" s="8">
        <f>'Field 1 Investor'!V8*'Assumptions &amp; Results'!W25</f>
        <v>602.25</v>
      </c>
      <c r="W18" s="8">
        <f>'Field 1 Investor'!W8*'Assumptions &amp; Results'!X25</f>
        <v>602.25</v>
      </c>
      <c r="X18" s="8">
        <f>'Field 1 Investor'!X8*'Assumptions &amp; Results'!Y25</f>
        <v>602.25</v>
      </c>
      <c r="Y18" s="8">
        <f>'Field 1 Investor'!Y8*'Assumptions &amp; Results'!Z25</f>
        <v>572.13749999999993</v>
      </c>
      <c r="Z18" s="8">
        <f>'Field 1 Investor'!Z8*'Assumptions &amp; Results'!AA25</f>
        <v>602.25</v>
      </c>
      <c r="AA18" s="8">
        <f>'Field 1 Investor'!AA8*'Assumptions &amp; Results'!AB25</f>
        <v>602.25</v>
      </c>
      <c r="AB18" s="8">
        <f>'Field 1 Investor'!AB8*'Assumptions &amp; Results'!AC25</f>
        <v>602.25</v>
      </c>
      <c r="AC18" s="8">
        <f>'Field 1 Investor'!AC8*'Assumptions &amp; Results'!AD25</f>
        <v>602.25</v>
      </c>
      <c r="AD18" s="8">
        <f>'Field 1 Investor'!AD8*'Assumptions &amp; Results'!AE25</f>
        <v>572.13749999999993</v>
      </c>
      <c r="AE18" s="8">
        <f>'Field 1 Investor'!AE8*'Assumptions &amp; Results'!AF25</f>
        <v>602.25</v>
      </c>
      <c r="AF18" s="8">
        <f>'Field 1 Investor'!AF8*'Assumptions &amp; Results'!AG25</f>
        <v>602.25</v>
      </c>
      <c r="AG18" s="8">
        <f>'Field 1 Investor'!AG8*'Assumptions &amp; Results'!AH25</f>
        <v>602.25</v>
      </c>
      <c r="AH18" s="8">
        <f>'Field 1 Investor'!AH8*'Assumptions &amp; Results'!AI25</f>
        <v>602.25</v>
      </c>
      <c r="AI18" s="8">
        <f>'Field 1 Investor'!AI8*'Assumptions &amp; Results'!AJ25</f>
        <v>602.25</v>
      </c>
      <c r="AJ18" s="125">
        <f t="shared" ref="AJ18:AJ26" si="0">SUM(C18:AI18)</f>
        <v>17013.5625</v>
      </c>
    </row>
    <row r="19" spans="1:36" x14ac:dyDescent="0.2">
      <c r="A19" s="37" t="s">
        <v>331</v>
      </c>
      <c r="B19" t="s">
        <v>330</v>
      </c>
      <c r="C19" s="8">
        <f>'Field 2 Investor'!C8*'Assumptions &amp; Results'!D25</f>
        <v>0</v>
      </c>
      <c r="D19" s="8">
        <f>'Field 2 Investor'!D8*'Assumptions &amp; Results'!E25</f>
        <v>0</v>
      </c>
      <c r="E19" s="8">
        <f>'Field 2 Investor'!E8*'Assumptions &amp; Results'!F25</f>
        <v>0</v>
      </c>
      <c r="F19" s="8">
        <f>'Field 2 Investor'!F8*'Assumptions &amp; Results'!G25</f>
        <v>0</v>
      </c>
      <c r="G19" s="8">
        <f>'Field 2 Investor'!G8*'Assumptions &amp; Results'!H25</f>
        <v>301.125</v>
      </c>
      <c r="H19" s="8">
        <f>'Field 2 Investor'!H8*'Assumptions &amp; Results'!I25</f>
        <v>602.25</v>
      </c>
      <c r="I19" s="8">
        <f>'Field 2 Investor'!I8*'Assumptions &amp; Results'!J25</f>
        <v>602.25</v>
      </c>
      <c r="J19" s="8">
        <f>'Field 2 Investor'!J8*'Assumptions &amp; Results'!K25</f>
        <v>572.13749999999993</v>
      </c>
      <c r="K19" s="8">
        <f>'Field 2 Investor'!K8*'Assumptions &amp; Results'!L25</f>
        <v>602.25</v>
      </c>
      <c r="L19" s="8">
        <f>'Field 2 Investor'!L8*'Assumptions &amp; Results'!M25</f>
        <v>602.25</v>
      </c>
      <c r="M19" s="8">
        <f>'Field 2 Investor'!M8*'Assumptions &amp; Results'!N25</f>
        <v>602.25</v>
      </c>
      <c r="N19" s="8">
        <f>'Field 2 Investor'!N8*'Assumptions &amp; Results'!O25</f>
        <v>602.25</v>
      </c>
      <c r="O19" s="8">
        <f>'Field 2 Investor'!O8*'Assumptions &amp; Results'!P25</f>
        <v>572.13749999999993</v>
      </c>
      <c r="P19" s="8">
        <f>'Field 2 Investor'!P8*'Assumptions &amp; Results'!Q25</f>
        <v>602.25</v>
      </c>
      <c r="Q19" s="8">
        <f>'Field 2 Investor'!Q8*'Assumptions &amp; Results'!R25</f>
        <v>602.25</v>
      </c>
      <c r="R19" s="8">
        <f>'Field 2 Investor'!R8*'Assumptions &amp; Results'!S25</f>
        <v>602.25</v>
      </c>
      <c r="S19" s="8">
        <f>'Field 2 Investor'!S8*'Assumptions &amp; Results'!T25</f>
        <v>602.25</v>
      </c>
      <c r="T19" s="8">
        <f>'Field 2 Investor'!T8*'Assumptions &amp; Results'!U25</f>
        <v>572.13749999999993</v>
      </c>
      <c r="U19" s="8">
        <f>'Field 2 Investor'!U8*'Assumptions &amp; Results'!V25</f>
        <v>602.25</v>
      </c>
      <c r="V19" s="8">
        <f>'Field 2 Investor'!V8*'Assumptions &amp; Results'!W25</f>
        <v>602.25</v>
      </c>
      <c r="W19" s="8">
        <f>'Field 2 Investor'!W8*'Assumptions &amp; Results'!X25</f>
        <v>602.25</v>
      </c>
      <c r="X19" s="8">
        <f>'Field 2 Investor'!X8*'Assumptions &amp; Results'!Y25</f>
        <v>602.25</v>
      </c>
      <c r="Y19" s="8">
        <f>'Field 2 Investor'!Y8*'Assumptions &amp; Results'!Z25</f>
        <v>572.13749999999993</v>
      </c>
      <c r="Z19" s="8">
        <f>'Field 2 Investor'!Z8*'Assumptions &amp; Results'!AA25</f>
        <v>602.25</v>
      </c>
      <c r="AA19" s="8">
        <f>'Field 2 Investor'!AA8*'Assumptions &amp; Results'!AB25</f>
        <v>602.25</v>
      </c>
      <c r="AB19" s="8">
        <f>'Field 2 Investor'!AB8*'Assumptions &amp; Results'!AC25</f>
        <v>602.25</v>
      </c>
      <c r="AC19" s="8">
        <f>'Field 2 Investor'!AC8*'Assumptions &amp; Results'!AD25</f>
        <v>602.25</v>
      </c>
      <c r="AD19" s="8">
        <f>'Field 2 Investor'!AD8*'Assumptions &amp; Results'!AE25</f>
        <v>572.13749999999993</v>
      </c>
      <c r="AE19" s="8">
        <f>'Field 2 Investor'!AE8*'Assumptions &amp; Results'!AF25</f>
        <v>602.25</v>
      </c>
      <c r="AF19" s="8">
        <f>'Field 2 Investor'!AF8*'Assumptions &amp; Results'!AG25</f>
        <v>602.25</v>
      </c>
      <c r="AG19" s="8">
        <f>'Field 2 Investor'!AG8*'Assumptions &amp; Results'!AH25</f>
        <v>602.25</v>
      </c>
      <c r="AH19" s="8">
        <f>'Field 2 Investor'!AH8*'Assumptions &amp; Results'!AI25</f>
        <v>602.25</v>
      </c>
      <c r="AI19" s="8">
        <f>'Field 2 Investor'!AI8*'Assumptions &amp; Results'!AJ25</f>
        <v>602.25</v>
      </c>
      <c r="AJ19" s="125">
        <f t="shared" si="0"/>
        <v>17013.5625</v>
      </c>
    </row>
    <row r="20" spans="1:36" ht="18" x14ac:dyDescent="0.35">
      <c r="A20" s="37" t="s">
        <v>332</v>
      </c>
      <c r="B20" t="s">
        <v>330</v>
      </c>
      <c r="C20" s="27">
        <f>'Field 3 Investor'!C8*'Assumptions &amp; Results'!D25</f>
        <v>0</v>
      </c>
      <c r="D20" s="27">
        <f>'Field 3 Investor'!D8*'Assumptions &amp; Results'!E25</f>
        <v>0</v>
      </c>
      <c r="E20" s="27">
        <f>'Field 3 Investor'!E8*'Assumptions &amp; Results'!F25</f>
        <v>0</v>
      </c>
      <c r="F20" s="27">
        <f>'Field 3 Investor'!F8*'Assumptions &amp; Results'!G25</f>
        <v>0</v>
      </c>
      <c r="G20" s="27">
        <f>'Field 3 Investor'!G8*'Assumptions &amp; Results'!H25</f>
        <v>0</v>
      </c>
      <c r="H20" s="27">
        <f>'Field 3 Investor'!H8*'Assumptions &amp; Results'!I25</f>
        <v>0</v>
      </c>
      <c r="I20" s="27">
        <f>'Field 3 Investor'!I8*'Assumptions &amp; Results'!J25</f>
        <v>0</v>
      </c>
      <c r="J20" s="27">
        <f>'Field 3 Investor'!J8*'Assumptions &amp; Results'!K25</f>
        <v>0</v>
      </c>
      <c r="K20" s="27">
        <f>'Field 3 Investor'!K8*'Assumptions &amp; Results'!L25</f>
        <v>0</v>
      </c>
      <c r="L20" s="27">
        <f>'Field 3 Investor'!L8*'Assumptions &amp; Results'!M25</f>
        <v>0</v>
      </c>
      <c r="M20" s="27">
        <f>'Field 3 Investor'!M8*'Assumptions &amp; Results'!N25</f>
        <v>0</v>
      </c>
      <c r="N20" s="27">
        <f>'Field 3 Investor'!N8*'Assumptions &amp; Results'!O25</f>
        <v>0</v>
      </c>
      <c r="O20" s="27">
        <f>'Field 3 Investor'!O8*'Assumptions &amp; Results'!P25</f>
        <v>0</v>
      </c>
      <c r="P20" s="27">
        <f>'Field 3 Investor'!P8*'Assumptions &amp; Results'!Q25</f>
        <v>0</v>
      </c>
      <c r="Q20" s="27">
        <f>'Field 3 Investor'!Q8*'Assumptions &amp; Results'!R25</f>
        <v>0</v>
      </c>
      <c r="R20" s="27">
        <f>'Field 3 Investor'!R8*'Assumptions &amp; Results'!S25</f>
        <v>0</v>
      </c>
      <c r="S20" s="27">
        <f>'Field 3 Investor'!S8*'Assumptions &amp; Results'!T25</f>
        <v>0</v>
      </c>
      <c r="T20" s="27">
        <f>'Field 3 Investor'!T8*'Assumptions &amp; Results'!U25</f>
        <v>0</v>
      </c>
      <c r="U20" s="27">
        <f>'Field 3 Investor'!U8*'Assumptions &amp; Results'!V25</f>
        <v>0</v>
      </c>
      <c r="V20" s="27">
        <f>'Field 3 Investor'!V8*'Assumptions &amp; Results'!W25</f>
        <v>0</v>
      </c>
      <c r="W20" s="27">
        <f>'Field 3 Investor'!W8*'Assumptions &amp; Results'!X25</f>
        <v>0</v>
      </c>
      <c r="X20" s="27">
        <f>'Field 3 Investor'!X8*'Assumptions &amp; Results'!Y25</f>
        <v>0</v>
      </c>
      <c r="Y20" s="27">
        <f>'Field 3 Investor'!Y8*'Assumptions &amp; Results'!Z25</f>
        <v>0</v>
      </c>
      <c r="Z20" s="27">
        <f>'Field 3 Investor'!Z8*'Assumptions &amp; Results'!AA25</f>
        <v>0</v>
      </c>
      <c r="AA20" s="27">
        <f>'Field 3 Investor'!AA8*'Assumptions &amp; Results'!AB25</f>
        <v>0</v>
      </c>
      <c r="AB20" s="27">
        <f>'Field 3 Investor'!AB8*'Assumptions &amp; Results'!AC25</f>
        <v>0</v>
      </c>
      <c r="AC20" s="27">
        <f>'Field 3 Investor'!AC8*'Assumptions &amp; Results'!AD25</f>
        <v>0</v>
      </c>
      <c r="AD20" s="27">
        <f>'Field 3 Investor'!AD8*'Assumptions &amp; Results'!AE25</f>
        <v>0</v>
      </c>
      <c r="AE20" s="27">
        <f>'Field 3 Investor'!AE8*'Assumptions &amp; Results'!AF25</f>
        <v>0</v>
      </c>
      <c r="AF20" s="27">
        <f>'Field 3 Investor'!AF8*'Assumptions &amp; Results'!AG25</f>
        <v>0</v>
      </c>
      <c r="AG20" s="27">
        <f>'Field 3 Investor'!AG8*'Assumptions &amp; Results'!AH25</f>
        <v>0</v>
      </c>
      <c r="AH20" s="27">
        <f>'Field 3 Investor'!AH8*'Assumptions &amp; Results'!AI25</f>
        <v>0</v>
      </c>
      <c r="AI20" s="27">
        <f>'Field 3 Investor'!AI8*'Assumptions &amp; Results'!AJ25</f>
        <v>0</v>
      </c>
      <c r="AJ20" s="126">
        <f t="shared" si="0"/>
        <v>0</v>
      </c>
    </row>
    <row r="21" spans="1:36" x14ac:dyDescent="0.2">
      <c r="A21" s="37" t="s">
        <v>333</v>
      </c>
      <c r="B21" t="s">
        <v>330</v>
      </c>
      <c r="C21" s="8">
        <f>SUM(C18:C20)</f>
        <v>0</v>
      </c>
      <c r="D21" s="8">
        <f t="shared" ref="D21:AI21" si="1">SUM(D18:D20)</f>
        <v>0</v>
      </c>
      <c r="E21" s="8">
        <f t="shared" si="1"/>
        <v>0</v>
      </c>
      <c r="F21" s="8">
        <f t="shared" si="1"/>
        <v>0</v>
      </c>
      <c r="G21" s="8">
        <f t="shared" si="1"/>
        <v>602.25</v>
      </c>
      <c r="H21" s="8">
        <f t="shared" si="1"/>
        <v>1204.5</v>
      </c>
      <c r="I21" s="8">
        <f t="shared" si="1"/>
        <v>1204.5</v>
      </c>
      <c r="J21" s="8">
        <f t="shared" si="1"/>
        <v>1144.2749999999999</v>
      </c>
      <c r="K21" s="8">
        <f t="shared" si="1"/>
        <v>1204.5</v>
      </c>
      <c r="L21" s="8">
        <f t="shared" si="1"/>
        <v>1204.5</v>
      </c>
      <c r="M21" s="8">
        <f t="shared" si="1"/>
        <v>1204.5</v>
      </c>
      <c r="N21" s="8">
        <f t="shared" si="1"/>
        <v>1204.5</v>
      </c>
      <c r="O21" s="8">
        <f t="shared" si="1"/>
        <v>1144.2749999999999</v>
      </c>
      <c r="P21" s="8">
        <f t="shared" si="1"/>
        <v>1204.5</v>
      </c>
      <c r="Q21" s="8">
        <f t="shared" si="1"/>
        <v>1204.5</v>
      </c>
      <c r="R21" s="8">
        <f t="shared" si="1"/>
        <v>1204.5</v>
      </c>
      <c r="S21" s="8">
        <f t="shared" si="1"/>
        <v>1204.5</v>
      </c>
      <c r="T21" s="8">
        <f t="shared" si="1"/>
        <v>1144.2749999999999</v>
      </c>
      <c r="U21" s="8">
        <f t="shared" si="1"/>
        <v>1204.5</v>
      </c>
      <c r="V21" s="8">
        <f t="shared" si="1"/>
        <v>1204.5</v>
      </c>
      <c r="W21" s="8">
        <f t="shared" si="1"/>
        <v>1204.5</v>
      </c>
      <c r="X21" s="8">
        <f t="shared" si="1"/>
        <v>1204.5</v>
      </c>
      <c r="Y21" s="8">
        <f t="shared" si="1"/>
        <v>1144.2749999999999</v>
      </c>
      <c r="Z21" s="8">
        <f t="shared" si="1"/>
        <v>1204.5</v>
      </c>
      <c r="AA21" s="8">
        <f t="shared" si="1"/>
        <v>1204.5</v>
      </c>
      <c r="AB21" s="8">
        <f t="shared" si="1"/>
        <v>1204.5</v>
      </c>
      <c r="AC21" s="8">
        <f t="shared" si="1"/>
        <v>1204.5</v>
      </c>
      <c r="AD21" s="8">
        <f t="shared" si="1"/>
        <v>1144.2749999999999</v>
      </c>
      <c r="AE21" s="8">
        <f t="shared" si="1"/>
        <v>1204.5</v>
      </c>
      <c r="AF21" s="8">
        <f t="shared" si="1"/>
        <v>1204.5</v>
      </c>
      <c r="AG21" s="8">
        <f t="shared" si="1"/>
        <v>1204.5</v>
      </c>
      <c r="AH21" s="8">
        <f t="shared" si="1"/>
        <v>1204.5</v>
      </c>
      <c r="AI21" s="8">
        <f t="shared" si="1"/>
        <v>1204.5</v>
      </c>
      <c r="AJ21" s="125">
        <f t="shared" si="0"/>
        <v>34027.125</v>
      </c>
    </row>
    <row r="22" spans="1:36" x14ac:dyDescent="0.2">
      <c r="A22" s="37"/>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125"/>
    </row>
    <row r="23" spans="1:36" x14ac:dyDescent="0.2">
      <c r="A23" s="37" t="s">
        <v>334</v>
      </c>
      <c r="B23" t="s">
        <v>99</v>
      </c>
      <c r="C23" s="8">
        <f>C18*'Assumptions &amp; Results'!D96</f>
        <v>0</v>
      </c>
      <c r="D23" s="8">
        <f>D18*'Assumptions &amp; Results'!E96</f>
        <v>0</v>
      </c>
      <c r="E23" s="8">
        <f>E18*'Assumptions &amp; Results'!F96</f>
        <v>0</v>
      </c>
      <c r="F23" s="8">
        <f>F18*'Assumptions &amp; Results'!G96</f>
        <v>0</v>
      </c>
      <c r="G23" s="8">
        <f>G18*'Assumptions &amp; Results'!H96</f>
        <v>60.225000000000001</v>
      </c>
      <c r="H23" s="8">
        <f>H18*'Assumptions &amp; Results'!I96</f>
        <v>120.45</v>
      </c>
      <c r="I23" s="8">
        <f>I18*'Assumptions &amp; Results'!J96</f>
        <v>120.45</v>
      </c>
      <c r="J23" s="8">
        <f>J18*'Assumptions &amp; Results'!K96</f>
        <v>114.42749999999999</v>
      </c>
      <c r="K23" s="8">
        <f>K18*'Assumptions &amp; Results'!L96</f>
        <v>120.45</v>
      </c>
      <c r="L23" s="8">
        <f>L18*'Assumptions &amp; Results'!M96</f>
        <v>120.45</v>
      </c>
      <c r="M23" s="8">
        <f>M18*'Assumptions &amp; Results'!N96</f>
        <v>120.45</v>
      </c>
      <c r="N23" s="8">
        <f>N18*'Assumptions &amp; Results'!O96</f>
        <v>120.45</v>
      </c>
      <c r="O23" s="8">
        <f>O18*'Assumptions &amp; Results'!P96</f>
        <v>114.42749999999999</v>
      </c>
      <c r="P23" s="8">
        <f>P18*'Assumptions &amp; Results'!Q96</f>
        <v>120.45</v>
      </c>
      <c r="Q23" s="8">
        <f>Q18*'Assumptions &amp; Results'!R96</f>
        <v>120.45</v>
      </c>
      <c r="R23" s="8">
        <f>R18*'Assumptions &amp; Results'!S96</f>
        <v>120.45</v>
      </c>
      <c r="S23" s="8">
        <f>S18*'Assumptions &amp; Results'!T96</f>
        <v>120.45</v>
      </c>
      <c r="T23" s="8">
        <f>T18*'Assumptions &amp; Results'!U96</f>
        <v>114.42749999999999</v>
      </c>
      <c r="U23" s="8">
        <f>U18*'Assumptions &amp; Results'!V96</f>
        <v>120.45</v>
      </c>
      <c r="V23" s="8">
        <f>V18*'Assumptions &amp; Results'!W96</f>
        <v>120.45</v>
      </c>
      <c r="W23" s="8">
        <f>W18*'Assumptions &amp; Results'!X96</f>
        <v>120.45</v>
      </c>
      <c r="X23" s="8">
        <f>X18*'Assumptions &amp; Results'!Y96</f>
        <v>120.45</v>
      </c>
      <c r="Y23" s="8">
        <f>Y18*'Assumptions &amp; Results'!Z96</f>
        <v>114.42749999999999</v>
      </c>
      <c r="Z23" s="8">
        <f>Z18*'Assumptions &amp; Results'!AA96</f>
        <v>120.45</v>
      </c>
      <c r="AA23" s="8">
        <f>AA18*'Assumptions &amp; Results'!AB96</f>
        <v>120.45</v>
      </c>
      <c r="AB23" s="8">
        <f>AB18*'Assumptions &amp; Results'!AC96</f>
        <v>120.45</v>
      </c>
      <c r="AC23" s="8">
        <f>AC18*'Assumptions &amp; Results'!AD96</f>
        <v>120.45</v>
      </c>
      <c r="AD23" s="8">
        <f>AD18*'Assumptions &amp; Results'!AE96</f>
        <v>114.42749999999999</v>
      </c>
      <c r="AE23" s="8">
        <f>AE18*'Assumptions &amp; Results'!AF96</f>
        <v>120.45</v>
      </c>
      <c r="AF23" s="8">
        <f>AF18*'Assumptions &amp; Results'!AG96</f>
        <v>120.45</v>
      </c>
      <c r="AG23" s="8">
        <f>AG18*'Assumptions &amp; Results'!AH96</f>
        <v>120.45</v>
      </c>
      <c r="AH23" s="8">
        <f>AH18*'Assumptions &amp; Results'!AI96</f>
        <v>120.45</v>
      </c>
      <c r="AI23" s="8">
        <f>AI18*'Assumptions &amp; Results'!AJ96</f>
        <v>120.45</v>
      </c>
      <c r="AJ23" s="125">
        <f t="shared" si="0"/>
        <v>3402.7124999999983</v>
      </c>
    </row>
    <row r="24" spans="1:36" x14ac:dyDescent="0.2">
      <c r="A24" s="37" t="s">
        <v>335</v>
      </c>
      <c r="B24" t="s">
        <v>99</v>
      </c>
      <c r="C24" s="8">
        <f>C19*'Assumptions &amp; Results'!D96</f>
        <v>0</v>
      </c>
      <c r="D24" s="8">
        <f>D19*'Assumptions &amp; Results'!E96</f>
        <v>0</v>
      </c>
      <c r="E24" s="8">
        <f>E19*'Assumptions &amp; Results'!F96</f>
        <v>0</v>
      </c>
      <c r="F24" s="8">
        <f>F19*'Assumptions &amp; Results'!G96</f>
        <v>0</v>
      </c>
      <c r="G24" s="8">
        <f>G19*'Assumptions &amp; Results'!H96</f>
        <v>60.225000000000001</v>
      </c>
      <c r="H24" s="8">
        <f>H19*'Assumptions &amp; Results'!I96</f>
        <v>120.45</v>
      </c>
      <c r="I24" s="8">
        <f>I19*'Assumptions &amp; Results'!J96</f>
        <v>120.45</v>
      </c>
      <c r="J24" s="8">
        <f>J19*'Assumptions &amp; Results'!K96</f>
        <v>114.42749999999999</v>
      </c>
      <c r="K24" s="8">
        <f>K19*'Assumptions &amp; Results'!L96</f>
        <v>120.45</v>
      </c>
      <c r="L24" s="8">
        <f>L19*'Assumptions &amp; Results'!M96</f>
        <v>120.45</v>
      </c>
      <c r="M24" s="8">
        <f>M19*'Assumptions &amp; Results'!N96</f>
        <v>120.45</v>
      </c>
      <c r="N24" s="8">
        <f>N19*'Assumptions &amp; Results'!O96</f>
        <v>120.45</v>
      </c>
      <c r="O24" s="8">
        <f>O19*'Assumptions &amp; Results'!P96</f>
        <v>114.42749999999999</v>
      </c>
      <c r="P24" s="8">
        <f>P19*'Assumptions &amp; Results'!Q96</f>
        <v>120.45</v>
      </c>
      <c r="Q24" s="8">
        <f>Q19*'Assumptions &amp; Results'!R96</f>
        <v>120.45</v>
      </c>
      <c r="R24" s="8">
        <f>R19*'Assumptions &amp; Results'!S96</f>
        <v>120.45</v>
      </c>
      <c r="S24" s="8">
        <f>S19*'Assumptions &amp; Results'!T96</f>
        <v>120.45</v>
      </c>
      <c r="T24" s="8">
        <f>T19*'Assumptions &amp; Results'!U96</f>
        <v>114.42749999999999</v>
      </c>
      <c r="U24" s="8">
        <f>U19*'Assumptions &amp; Results'!V96</f>
        <v>120.45</v>
      </c>
      <c r="V24" s="8">
        <f>V19*'Assumptions &amp; Results'!W96</f>
        <v>120.45</v>
      </c>
      <c r="W24" s="8">
        <f>W19*'Assumptions &amp; Results'!X96</f>
        <v>120.45</v>
      </c>
      <c r="X24" s="8">
        <f>X19*'Assumptions &amp; Results'!Y96</f>
        <v>120.45</v>
      </c>
      <c r="Y24" s="8">
        <f>Y19*'Assumptions &amp; Results'!Z96</f>
        <v>114.42749999999999</v>
      </c>
      <c r="Z24" s="8">
        <f>Z19*'Assumptions &amp; Results'!AA96</f>
        <v>120.45</v>
      </c>
      <c r="AA24" s="8">
        <f>AA19*'Assumptions &amp; Results'!AB96</f>
        <v>120.45</v>
      </c>
      <c r="AB24" s="8">
        <f>AB19*'Assumptions &amp; Results'!AC96</f>
        <v>120.45</v>
      </c>
      <c r="AC24" s="8">
        <f>AC19*'Assumptions &amp; Results'!AD96</f>
        <v>120.45</v>
      </c>
      <c r="AD24" s="8">
        <f>AD19*'Assumptions &amp; Results'!AE96</f>
        <v>114.42749999999999</v>
      </c>
      <c r="AE24" s="8">
        <f>AE19*'Assumptions &amp; Results'!AF96</f>
        <v>120.45</v>
      </c>
      <c r="AF24" s="8">
        <f>AF19*'Assumptions &amp; Results'!AG96</f>
        <v>120.45</v>
      </c>
      <c r="AG24" s="8">
        <f>AG19*'Assumptions &amp; Results'!AH96</f>
        <v>120.45</v>
      </c>
      <c r="AH24" s="8">
        <f>AH19*'Assumptions &amp; Results'!AI96</f>
        <v>120.45</v>
      </c>
      <c r="AI24" s="8">
        <f>AI19*'Assumptions &amp; Results'!AJ96</f>
        <v>120.45</v>
      </c>
      <c r="AJ24" s="125">
        <f t="shared" si="0"/>
        <v>3402.7124999999983</v>
      </c>
    </row>
    <row r="25" spans="1:36" ht="18" x14ac:dyDescent="0.35">
      <c r="A25" s="37" t="s">
        <v>336</v>
      </c>
      <c r="B25" t="s">
        <v>99</v>
      </c>
      <c r="C25" s="27">
        <f>C20*'Assumptions &amp; Results'!D96</f>
        <v>0</v>
      </c>
      <c r="D25" s="27">
        <f>D20*'Assumptions &amp; Results'!E96</f>
        <v>0</v>
      </c>
      <c r="E25" s="27">
        <f>E20*'Assumptions &amp; Results'!F96</f>
        <v>0</v>
      </c>
      <c r="F25" s="27">
        <f>F20*'Assumptions &amp; Results'!G96</f>
        <v>0</v>
      </c>
      <c r="G25" s="27">
        <f>G20*'Assumptions &amp; Results'!H96</f>
        <v>0</v>
      </c>
      <c r="H25" s="27">
        <f>H20*'Assumptions &amp; Results'!I96</f>
        <v>0</v>
      </c>
      <c r="I25" s="27">
        <f>I20*'Assumptions &amp; Results'!J96</f>
        <v>0</v>
      </c>
      <c r="J25" s="27">
        <f>J20*'Assumptions &amp; Results'!K96</f>
        <v>0</v>
      </c>
      <c r="K25" s="27">
        <f>K20*'Assumptions &amp; Results'!L96</f>
        <v>0</v>
      </c>
      <c r="L25" s="27">
        <f>L20*'Assumptions &amp; Results'!M96</f>
        <v>0</v>
      </c>
      <c r="M25" s="27">
        <f>M20*'Assumptions &amp; Results'!N96</f>
        <v>0</v>
      </c>
      <c r="N25" s="27">
        <f>N20*'Assumptions &amp; Results'!O96</f>
        <v>0</v>
      </c>
      <c r="O25" s="27">
        <f>O20*'Assumptions &amp; Results'!P96</f>
        <v>0</v>
      </c>
      <c r="P25" s="27">
        <f>P20*'Assumptions &amp; Results'!Q96</f>
        <v>0</v>
      </c>
      <c r="Q25" s="27">
        <f>Q20*'Assumptions &amp; Results'!R96</f>
        <v>0</v>
      </c>
      <c r="R25" s="27">
        <f>R20*'Assumptions &amp; Results'!S96</f>
        <v>0</v>
      </c>
      <c r="S25" s="27">
        <f>S20*'Assumptions &amp; Results'!T96</f>
        <v>0</v>
      </c>
      <c r="T25" s="27">
        <f>T20*'Assumptions &amp; Results'!U96</f>
        <v>0</v>
      </c>
      <c r="U25" s="27">
        <f>U20*'Assumptions &amp; Results'!V96</f>
        <v>0</v>
      </c>
      <c r="V25" s="27">
        <f>V20*'Assumptions &amp; Results'!W96</f>
        <v>0</v>
      </c>
      <c r="W25" s="27">
        <f>W20*'Assumptions &amp; Results'!X96</f>
        <v>0</v>
      </c>
      <c r="X25" s="27">
        <f>X20*'Assumptions &amp; Results'!Y96</f>
        <v>0</v>
      </c>
      <c r="Y25" s="27">
        <f>Y20*'Assumptions &amp; Results'!Z96</f>
        <v>0</v>
      </c>
      <c r="Z25" s="27">
        <f>Z20*'Assumptions &amp; Results'!AA96</f>
        <v>0</v>
      </c>
      <c r="AA25" s="27">
        <f>AA20*'Assumptions &amp; Results'!AB96</f>
        <v>0</v>
      </c>
      <c r="AB25" s="27">
        <f>AB20*'Assumptions &amp; Results'!AC96</f>
        <v>0</v>
      </c>
      <c r="AC25" s="27">
        <f>AC20*'Assumptions &amp; Results'!AD96</f>
        <v>0</v>
      </c>
      <c r="AD25" s="27">
        <f>AD20*'Assumptions &amp; Results'!AE96</f>
        <v>0</v>
      </c>
      <c r="AE25" s="27">
        <f>AE20*'Assumptions &amp; Results'!AF96</f>
        <v>0</v>
      </c>
      <c r="AF25" s="27">
        <f>AF20*'Assumptions &amp; Results'!AG96</f>
        <v>0</v>
      </c>
      <c r="AG25" s="27">
        <f>AG20*'Assumptions &amp; Results'!AH96</f>
        <v>0</v>
      </c>
      <c r="AH25" s="27">
        <f>AH20*'Assumptions &amp; Results'!AI96</f>
        <v>0</v>
      </c>
      <c r="AI25" s="27">
        <f>AI20*'Assumptions &amp; Results'!AJ96</f>
        <v>0</v>
      </c>
      <c r="AJ25" s="126">
        <f t="shared" si="0"/>
        <v>0</v>
      </c>
    </row>
    <row r="26" spans="1:36" x14ac:dyDescent="0.2">
      <c r="A26" s="37" t="s">
        <v>337</v>
      </c>
      <c r="B26" t="s">
        <v>99</v>
      </c>
      <c r="C26" s="8">
        <f>SUM(C23:C25)</f>
        <v>0</v>
      </c>
      <c r="D26" s="8">
        <f t="shared" ref="D26:AI26" si="2">SUM(D23:D25)</f>
        <v>0</v>
      </c>
      <c r="E26" s="8">
        <f t="shared" si="2"/>
        <v>0</v>
      </c>
      <c r="F26" s="8">
        <f t="shared" si="2"/>
        <v>0</v>
      </c>
      <c r="G26" s="8">
        <f t="shared" si="2"/>
        <v>120.45</v>
      </c>
      <c r="H26" s="8">
        <f t="shared" si="2"/>
        <v>240.9</v>
      </c>
      <c r="I26" s="8">
        <f t="shared" si="2"/>
        <v>240.9</v>
      </c>
      <c r="J26" s="8">
        <f t="shared" si="2"/>
        <v>228.85499999999999</v>
      </c>
      <c r="K26" s="8">
        <f t="shared" si="2"/>
        <v>240.9</v>
      </c>
      <c r="L26" s="8">
        <f t="shared" si="2"/>
        <v>240.9</v>
      </c>
      <c r="M26" s="8">
        <f t="shared" si="2"/>
        <v>240.9</v>
      </c>
      <c r="N26" s="8">
        <f t="shared" si="2"/>
        <v>240.9</v>
      </c>
      <c r="O26" s="8">
        <f t="shared" si="2"/>
        <v>228.85499999999999</v>
      </c>
      <c r="P26" s="8">
        <f t="shared" si="2"/>
        <v>240.9</v>
      </c>
      <c r="Q26" s="8">
        <f t="shared" si="2"/>
        <v>240.9</v>
      </c>
      <c r="R26" s="8">
        <f t="shared" si="2"/>
        <v>240.9</v>
      </c>
      <c r="S26" s="8">
        <f t="shared" si="2"/>
        <v>240.9</v>
      </c>
      <c r="T26" s="8">
        <f t="shared" si="2"/>
        <v>228.85499999999999</v>
      </c>
      <c r="U26" s="8">
        <f t="shared" si="2"/>
        <v>240.9</v>
      </c>
      <c r="V26" s="8">
        <f t="shared" si="2"/>
        <v>240.9</v>
      </c>
      <c r="W26" s="8">
        <f t="shared" si="2"/>
        <v>240.9</v>
      </c>
      <c r="X26" s="8">
        <f t="shared" si="2"/>
        <v>240.9</v>
      </c>
      <c r="Y26" s="8">
        <f t="shared" si="2"/>
        <v>228.85499999999999</v>
      </c>
      <c r="Z26" s="8">
        <f t="shared" si="2"/>
        <v>240.9</v>
      </c>
      <c r="AA26" s="8">
        <f t="shared" si="2"/>
        <v>240.9</v>
      </c>
      <c r="AB26" s="8">
        <f t="shared" si="2"/>
        <v>240.9</v>
      </c>
      <c r="AC26" s="8">
        <f t="shared" si="2"/>
        <v>240.9</v>
      </c>
      <c r="AD26" s="8">
        <f t="shared" si="2"/>
        <v>228.85499999999999</v>
      </c>
      <c r="AE26" s="8">
        <f t="shared" si="2"/>
        <v>240.9</v>
      </c>
      <c r="AF26" s="8">
        <f t="shared" si="2"/>
        <v>240.9</v>
      </c>
      <c r="AG26" s="8">
        <f t="shared" si="2"/>
        <v>240.9</v>
      </c>
      <c r="AH26" s="8">
        <f t="shared" si="2"/>
        <v>240.9</v>
      </c>
      <c r="AI26" s="8">
        <f t="shared" si="2"/>
        <v>240.9</v>
      </c>
      <c r="AJ26" s="125">
        <f t="shared" si="0"/>
        <v>6805.4249999999965</v>
      </c>
    </row>
    <row r="27" spans="1:36" x14ac:dyDescent="0.2">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125"/>
    </row>
    <row r="28" spans="1:36" s="69" customFormat="1" x14ac:dyDescent="0.2">
      <c r="A28" s="74" t="s">
        <v>338</v>
      </c>
      <c r="AJ28" s="131"/>
    </row>
    <row r="29" spans="1:36" x14ac:dyDescent="0.2">
      <c r="A29" t="s">
        <v>339</v>
      </c>
      <c r="B29" t="s">
        <v>99</v>
      </c>
      <c r="C29" s="8">
        <f>C112</f>
        <v>0</v>
      </c>
      <c r="D29" s="8">
        <f t="shared" ref="D29:AI29" si="3">D112</f>
        <v>54.5</v>
      </c>
      <c r="E29" s="8">
        <f t="shared" si="3"/>
        <v>119</v>
      </c>
      <c r="F29" s="8">
        <f t="shared" si="3"/>
        <v>119</v>
      </c>
      <c r="G29" s="8">
        <f t="shared" si="3"/>
        <v>119</v>
      </c>
      <c r="H29" s="8">
        <f t="shared" si="3"/>
        <v>119</v>
      </c>
      <c r="I29" s="8">
        <f t="shared" si="3"/>
        <v>119</v>
      </c>
      <c r="J29" s="8">
        <f t="shared" si="3"/>
        <v>119</v>
      </c>
      <c r="K29" s="8">
        <f t="shared" si="3"/>
        <v>119</v>
      </c>
      <c r="L29" s="8">
        <f t="shared" si="3"/>
        <v>119</v>
      </c>
      <c r="M29" s="8">
        <f t="shared" si="3"/>
        <v>119</v>
      </c>
      <c r="N29" s="8">
        <f t="shared" si="3"/>
        <v>64.5</v>
      </c>
      <c r="O29" s="8">
        <f t="shared" si="3"/>
        <v>0</v>
      </c>
      <c r="P29" s="8">
        <f t="shared" si="3"/>
        <v>0</v>
      </c>
      <c r="Q29" s="8">
        <f t="shared" si="3"/>
        <v>0</v>
      </c>
      <c r="R29" s="8">
        <f t="shared" si="3"/>
        <v>0</v>
      </c>
      <c r="S29" s="8">
        <f t="shared" si="3"/>
        <v>0</v>
      </c>
      <c r="T29" s="8">
        <f t="shared" si="3"/>
        <v>0</v>
      </c>
      <c r="U29" s="8">
        <f t="shared" si="3"/>
        <v>0</v>
      </c>
      <c r="V29" s="8">
        <f t="shared" si="3"/>
        <v>0</v>
      </c>
      <c r="W29" s="8">
        <f t="shared" si="3"/>
        <v>0</v>
      </c>
      <c r="X29" s="8">
        <f t="shared" si="3"/>
        <v>0</v>
      </c>
      <c r="Y29" s="8">
        <f t="shared" si="3"/>
        <v>0</v>
      </c>
      <c r="Z29" s="8">
        <f t="shared" si="3"/>
        <v>0</v>
      </c>
      <c r="AA29" s="8">
        <f t="shared" si="3"/>
        <v>0</v>
      </c>
      <c r="AB29" s="8">
        <f t="shared" si="3"/>
        <v>0</v>
      </c>
      <c r="AC29" s="8">
        <f t="shared" si="3"/>
        <v>0</v>
      </c>
      <c r="AD29" s="8">
        <f t="shared" si="3"/>
        <v>0</v>
      </c>
      <c r="AE29" s="8">
        <f t="shared" si="3"/>
        <v>0</v>
      </c>
      <c r="AF29" s="8">
        <f t="shared" si="3"/>
        <v>0</v>
      </c>
      <c r="AG29" s="8">
        <f t="shared" si="3"/>
        <v>0</v>
      </c>
      <c r="AH29" s="8">
        <f t="shared" si="3"/>
        <v>0</v>
      </c>
      <c r="AI29" s="8">
        <f t="shared" si="3"/>
        <v>0</v>
      </c>
      <c r="AJ29" s="125">
        <f>SUM(C29:AI29)</f>
        <v>1190</v>
      </c>
    </row>
    <row r="30" spans="1:36" x14ac:dyDescent="0.2">
      <c r="A30" s="31" t="s">
        <v>475</v>
      </c>
      <c r="B30" t="s">
        <v>99</v>
      </c>
      <c r="C30" s="33">
        <f>IF('Assumptions &amp; Results'!$C$127=1,'Financing for Fiscal Terms Only'!C12,0)</f>
        <v>0</v>
      </c>
      <c r="D30" s="33">
        <f>IF('Assumptions &amp; Results'!$C$127=1,'Financing for Fiscal Terms Only'!D12,0)</f>
        <v>0</v>
      </c>
      <c r="E30" s="33">
        <f>IF('Assumptions &amp; Results'!$C$127=1,'Financing for Fiscal Terms Only'!E12,0)</f>
        <v>0</v>
      </c>
      <c r="F30" s="33">
        <f>IF('Assumptions &amp; Results'!$C$127=1,'Financing for Fiscal Terms Only'!F12,0)</f>
        <v>0</v>
      </c>
      <c r="G30" s="33">
        <f>IF('Assumptions &amp; Results'!$C$127=1,'Financing for Fiscal Terms Only'!G12,0)</f>
        <v>0</v>
      </c>
      <c r="H30" s="33">
        <f>IF('Assumptions &amp; Results'!$C$127=1,'Financing for Fiscal Terms Only'!H12,0)</f>
        <v>0</v>
      </c>
      <c r="I30" s="33">
        <f>IF('Assumptions &amp; Results'!$C$127=1,'Financing for Fiscal Terms Only'!I12,0)</f>
        <v>0</v>
      </c>
      <c r="J30" s="33">
        <f>IF('Assumptions &amp; Results'!$C$127=1,'Financing for Fiscal Terms Only'!J12,0)</f>
        <v>0</v>
      </c>
      <c r="K30" s="33">
        <f>IF('Assumptions &amp; Results'!$C$127=1,'Financing for Fiscal Terms Only'!K12,0)</f>
        <v>0</v>
      </c>
      <c r="L30" s="33">
        <f>IF('Assumptions &amp; Results'!$C$127=1,'Financing for Fiscal Terms Only'!L12,0)</f>
        <v>0</v>
      </c>
      <c r="M30" s="33">
        <f>IF('Assumptions &amp; Results'!$C$127=1,'Financing for Fiscal Terms Only'!M12,0)</f>
        <v>0</v>
      </c>
      <c r="N30" s="33">
        <f>IF('Assumptions &amp; Results'!$C$127=1,'Financing for Fiscal Terms Only'!N12,0)</f>
        <v>0</v>
      </c>
      <c r="O30" s="33">
        <f>IF('Assumptions &amp; Results'!$C$127=1,'Financing for Fiscal Terms Only'!O12,0)</f>
        <v>0</v>
      </c>
      <c r="P30" s="33">
        <f>IF('Assumptions &amp; Results'!$C$127=1,'Financing for Fiscal Terms Only'!P12,0)</f>
        <v>0</v>
      </c>
      <c r="Q30" s="33">
        <f>IF('Assumptions &amp; Results'!$C$127=1,'Financing for Fiscal Terms Only'!Q12,0)</f>
        <v>0</v>
      </c>
      <c r="R30" s="33">
        <f>IF('Assumptions &amp; Results'!$C$127=1,'Financing for Fiscal Terms Only'!R12,0)</f>
        <v>0</v>
      </c>
      <c r="S30" s="33">
        <f>IF('Assumptions &amp; Results'!$C$127=1,'Financing for Fiscal Terms Only'!S12,0)</f>
        <v>0</v>
      </c>
      <c r="T30" s="33">
        <f>IF('Assumptions &amp; Results'!$C$127=1,'Financing for Fiscal Terms Only'!T12,0)</f>
        <v>0</v>
      </c>
      <c r="U30" s="33">
        <f>IF('Assumptions &amp; Results'!$C$127=1,'Financing for Fiscal Terms Only'!U12,0)</f>
        <v>0</v>
      </c>
      <c r="V30" s="33">
        <f>IF('Assumptions &amp; Results'!$C$127=1,'Financing for Fiscal Terms Only'!V12,0)</f>
        <v>0</v>
      </c>
      <c r="W30" s="33">
        <f>IF('Assumptions &amp; Results'!$C$127=1,'Financing for Fiscal Terms Only'!W12,0)</f>
        <v>0</v>
      </c>
      <c r="X30" s="33">
        <f>IF('Assumptions &amp; Results'!$C$127=1,'Financing for Fiscal Terms Only'!X12,0)</f>
        <v>0</v>
      </c>
      <c r="Y30" s="33">
        <f>IF('Assumptions &amp; Results'!$C$127=1,'Financing for Fiscal Terms Only'!Y12,0)</f>
        <v>0</v>
      </c>
      <c r="Z30" s="33">
        <f>IF('Assumptions &amp; Results'!$C$127=1,'Financing for Fiscal Terms Only'!Z12,0)</f>
        <v>0</v>
      </c>
      <c r="AA30" s="33">
        <f>IF('Assumptions &amp; Results'!$C$127=1,'Financing for Fiscal Terms Only'!AA12,0)</f>
        <v>0</v>
      </c>
      <c r="AB30" s="33">
        <f>IF('Assumptions &amp; Results'!$C$127=1,'Financing for Fiscal Terms Only'!AB12,0)</f>
        <v>0</v>
      </c>
      <c r="AC30" s="33">
        <f>IF('Assumptions &amp; Results'!$C$127=1,'Financing for Fiscal Terms Only'!AC12,0)</f>
        <v>0</v>
      </c>
      <c r="AD30" s="33">
        <f>IF('Assumptions &amp; Results'!$C$127=1,'Financing for Fiscal Terms Only'!AD12,0)</f>
        <v>0</v>
      </c>
      <c r="AE30" s="33">
        <f>IF('Assumptions &amp; Results'!$C$127=1,'Financing for Fiscal Terms Only'!AE12,0)</f>
        <v>0</v>
      </c>
      <c r="AF30" s="33">
        <f>IF('Assumptions &amp; Results'!$C$127=1,'Financing for Fiscal Terms Only'!AF12,0)</f>
        <v>0</v>
      </c>
      <c r="AG30" s="33">
        <f>IF('Assumptions &amp; Results'!$C$127=1,'Financing for Fiscal Terms Only'!AG12,0)</f>
        <v>0</v>
      </c>
      <c r="AH30" s="33">
        <f>IF('Assumptions &amp; Results'!$C$127=1,'Financing for Fiscal Terms Only'!AH12,0)</f>
        <v>0</v>
      </c>
      <c r="AI30" s="33">
        <f>IF('Assumptions &amp; Results'!$C$127=1,'Financing for Fiscal Terms Only'!AI12,0)</f>
        <v>0</v>
      </c>
      <c r="AJ30" s="125">
        <f>SUM(C30:AI30)</f>
        <v>0</v>
      </c>
    </row>
    <row r="31" spans="1:36" x14ac:dyDescent="0.2">
      <c r="AJ31" s="125"/>
    </row>
    <row r="32" spans="1:36" x14ac:dyDescent="0.2">
      <c r="A32" t="s">
        <v>265</v>
      </c>
      <c r="B32" t="s">
        <v>99</v>
      </c>
      <c r="C32" s="8">
        <f>C26-C14-C15-C29-C30</f>
        <v>0</v>
      </c>
      <c r="D32" s="8">
        <f t="shared" ref="D32:AI32" si="4">D26-D14-D15-D29-D30</f>
        <v>-54.5</v>
      </c>
      <c r="E32" s="8">
        <f t="shared" si="4"/>
        <v>-119</v>
      </c>
      <c r="F32" s="8">
        <f t="shared" si="4"/>
        <v>-119</v>
      </c>
      <c r="G32" s="8">
        <f t="shared" si="4"/>
        <v>-34.685000000000002</v>
      </c>
      <c r="H32" s="8">
        <f t="shared" si="4"/>
        <v>49.629999999999995</v>
      </c>
      <c r="I32" s="8">
        <f t="shared" si="4"/>
        <v>49.629999999999995</v>
      </c>
      <c r="J32" s="8">
        <f t="shared" si="4"/>
        <v>26.198499999999996</v>
      </c>
      <c r="K32" s="8">
        <f t="shared" si="4"/>
        <v>49.629999999999995</v>
      </c>
      <c r="L32" s="8">
        <f t="shared" si="4"/>
        <v>49.629999999999995</v>
      </c>
      <c r="M32" s="8">
        <f t="shared" si="4"/>
        <v>49.629999999999995</v>
      </c>
      <c r="N32" s="8">
        <f t="shared" si="4"/>
        <v>104.13</v>
      </c>
      <c r="O32" s="8">
        <f t="shared" si="4"/>
        <v>145.1985</v>
      </c>
      <c r="P32" s="8">
        <f t="shared" si="4"/>
        <v>168.63</v>
      </c>
      <c r="Q32" s="8">
        <f t="shared" si="4"/>
        <v>168.63</v>
      </c>
      <c r="R32" s="8">
        <f t="shared" si="4"/>
        <v>168.63</v>
      </c>
      <c r="S32" s="8">
        <f t="shared" si="4"/>
        <v>168.63</v>
      </c>
      <c r="T32" s="8">
        <f t="shared" si="4"/>
        <v>145.1985</v>
      </c>
      <c r="U32" s="8">
        <f t="shared" si="4"/>
        <v>168.63</v>
      </c>
      <c r="V32" s="8">
        <f t="shared" si="4"/>
        <v>168.63</v>
      </c>
      <c r="W32" s="8">
        <f t="shared" si="4"/>
        <v>168.63</v>
      </c>
      <c r="X32" s="8">
        <f t="shared" si="4"/>
        <v>168.63</v>
      </c>
      <c r="Y32" s="8">
        <f t="shared" si="4"/>
        <v>145.1985</v>
      </c>
      <c r="Z32" s="8">
        <f t="shared" si="4"/>
        <v>168.63</v>
      </c>
      <c r="AA32" s="8">
        <f t="shared" si="4"/>
        <v>168.63</v>
      </c>
      <c r="AB32" s="8">
        <f t="shared" si="4"/>
        <v>168.63</v>
      </c>
      <c r="AC32" s="8">
        <f t="shared" si="4"/>
        <v>168.63</v>
      </c>
      <c r="AD32" s="8">
        <f t="shared" si="4"/>
        <v>145.1985</v>
      </c>
      <c r="AE32" s="8">
        <f t="shared" si="4"/>
        <v>168.63</v>
      </c>
      <c r="AF32" s="8">
        <f t="shared" si="4"/>
        <v>168.63</v>
      </c>
      <c r="AG32" s="8">
        <f t="shared" si="4"/>
        <v>168.63</v>
      </c>
      <c r="AH32" s="8">
        <f t="shared" si="4"/>
        <v>168.63</v>
      </c>
      <c r="AI32" s="8">
        <f t="shared" si="4"/>
        <v>168.63</v>
      </c>
      <c r="AJ32" s="125">
        <f>SUM(C32:AI32)</f>
        <v>3498.797500000001</v>
      </c>
    </row>
    <row r="33" spans="1:36" x14ac:dyDescent="0.2">
      <c r="A33" t="s">
        <v>340</v>
      </c>
      <c r="B33" t="s">
        <v>99</v>
      </c>
      <c r="C33" s="8">
        <f>IF(C32&lt;0,C32,0)</f>
        <v>0</v>
      </c>
      <c r="D33" s="8">
        <f>IF((D32+C33)&lt;0,(D32+C33),0)</f>
        <v>-54.5</v>
      </c>
      <c r="E33" s="8">
        <f t="shared" ref="E33:AI33" si="5">IF((E32+D33)&lt;0,(E32+D33),0)</f>
        <v>-173.5</v>
      </c>
      <c r="F33" s="8">
        <f t="shared" si="5"/>
        <v>-292.5</v>
      </c>
      <c r="G33" s="8">
        <f t="shared" si="5"/>
        <v>-327.185</v>
      </c>
      <c r="H33" s="8">
        <f t="shared" si="5"/>
        <v>-277.55500000000001</v>
      </c>
      <c r="I33" s="8">
        <f t="shared" si="5"/>
        <v>-227.92500000000001</v>
      </c>
      <c r="J33" s="8">
        <f t="shared" si="5"/>
        <v>-201.72650000000002</v>
      </c>
      <c r="K33" s="8">
        <f t="shared" si="5"/>
        <v>-152.09650000000002</v>
      </c>
      <c r="L33" s="8">
        <f t="shared" si="5"/>
        <v>-102.46650000000002</v>
      </c>
      <c r="M33" s="8">
        <f t="shared" si="5"/>
        <v>-52.836500000000029</v>
      </c>
      <c r="N33" s="8">
        <f t="shared" si="5"/>
        <v>0</v>
      </c>
      <c r="O33" s="8">
        <f t="shared" si="5"/>
        <v>0</v>
      </c>
      <c r="P33" s="8">
        <f t="shared" si="5"/>
        <v>0</v>
      </c>
      <c r="Q33" s="8">
        <f t="shared" si="5"/>
        <v>0</v>
      </c>
      <c r="R33" s="8">
        <f t="shared" si="5"/>
        <v>0</v>
      </c>
      <c r="S33" s="8">
        <f t="shared" si="5"/>
        <v>0</v>
      </c>
      <c r="T33" s="8">
        <f t="shared" si="5"/>
        <v>0</v>
      </c>
      <c r="U33" s="8">
        <f t="shared" si="5"/>
        <v>0</v>
      </c>
      <c r="V33" s="8">
        <f t="shared" si="5"/>
        <v>0</v>
      </c>
      <c r="W33" s="8">
        <f t="shared" si="5"/>
        <v>0</v>
      </c>
      <c r="X33" s="8">
        <f t="shared" si="5"/>
        <v>0</v>
      </c>
      <c r="Y33" s="8">
        <f t="shared" si="5"/>
        <v>0</v>
      </c>
      <c r="Z33" s="8">
        <f t="shared" si="5"/>
        <v>0</v>
      </c>
      <c r="AA33" s="8">
        <f t="shared" si="5"/>
        <v>0</v>
      </c>
      <c r="AB33" s="8">
        <f t="shared" si="5"/>
        <v>0</v>
      </c>
      <c r="AC33" s="8">
        <f t="shared" si="5"/>
        <v>0</v>
      </c>
      <c r="AD33" s="8">
        <f t="shared" si="5"/>
        <v>0</v>
      </c>
      <c r="AE33" s="8">
        <f t="shared" si="5"/>
        <v>0</v>
      </c>
      <c r="AF33" s="8">
        <f t="shared" si="5"/>
        <v>0</v>
      </c>
      <c r="AG33" s="8">
        <f t="shared" si="5"/>
        <v>0</v>
      </c>
      <c r="AH33" s="8">
        <f t="shared" si="5"/>
        <v>0</v>
      </c>
      <c r="AI33" s="8">
        <f t="shared" si="5"/>
        <v>0</v>
      </c>
      <c r="AJ33" s="125"/>
    </row>
    <row r="34" spans="1:36" x14ac:dyDescent="0.2">
      <c r="A34" t="s">
        <v>267</v>
      </c>
      <c r="B34" t="s">
        <v>99</v>
      </c>
      <c r="C34" s="8"/>
      <c r="D34" s="8">
        <f t="shared" ref="D34:I34" si="6">IF((D32+C33)&gt;0,(D32+C33),0)</f>
        <v>0</v>
      </c>
      <c r="E34" s="8">
        <f t="shared" si="6"/>
        <v>0</v>
      </c>
      <c r="F34" s="8">
        <f t="shared" si="6"/>
        <v>0</v>
      </c>
      <c r="G34" s="8">
        <f t="shared" si="6"/>
        <v>0</v>
      </c>
      <c r="H34" s="8">
        <f t="shared" si="6"/>
        <v>0</v>
      </c>
      <c r="I34" s="8">
        <f t="shared" si="6"/>
        <v>0</v>
      </c>
      <c r="J34" s="8">
        <f>IF((J32+I33)&gt;0,(J32+I33),0)</f>
        <v>0</v>
      </c>
      <c r="K34" s="8">
        <f t="shared" ref="K34:AI34" si="7">IF((K32+J33)&gt;0,(K32+J33),0)</f>
        <v>0</v>
      </c>
      <c r="L34" s="8">
        <f t="shared" si="7"/>
        <v>0</v>
      </c>
      <c r="M34" s="8">
        <f t="shared" si="7"/>
        <v>0</v>
      </c>
      <c r="N34" s="8">
        <f t="shared" si="7"/>
        <v>51.293499999999966</v>
      </c>
      <c r="O34" s="8">
        <f t="shared" si="7"/>
        <v>145.1985</v>
      </c>
      <c r="P34" s="8">
        <f t="shared" si="7"/>
        <v>168.63</v>
      </c>
      <c r="Q34" s="8">
        <f t="shared" si="7"/>
        <v>168.63</v>
      </c>
      <c r="R34" s="8">
        <f t="shared" si="7"/>
        <v>168.63</v>
      </c>
      <c r="S34" s="8">
        <f t="shared" si="7"/>
        <v>168.63</v>
      </c>
      <c r="T34" s="8">
        <f t="shared" si="7"/>
        <v>145.1985</v>
      </c>
      <c r="U34" s="8">
        <f t="shared" si="7"/>
        <v>168.63</v>
      </c>
      <c r="V34" s="8">
        <f t="shared" si="7"/>
        <v>168.63</v>
      </c>
      <c r="W34" s="8">
        <f t="shared" si="7"/>
        <v>168.63</v>
      </c>
      <c r="X34" s="8">
        <f t="shared" si="7"/>
        <v>168.63</v>
      </c>
      <c r="Y34" s="8">
        <f t="shared" si="7"/>
        <v>145.1985</v>
      </c>
      <c r="Z34" s="8">
        <f t="shared" si="7"/>
        <v>168.63</v>
      </c>
      <c r="AA34" s="8">
        <f t="shared" si="7"/>
        <v>168.63</v>
      </c>
      <c r="AB34" s="8">
        <f t="shared" si="7"/>
        <v>168.63</v>
      </c>
      <c r="AC34" s="8">
        <f t="shared" si="7"/>
        <v>168.63</v>
      </c>
      <c r="AD34" s="8">
        <f t="shared" si="7"/>
        <v>145.1985</v>
      </c>
      <c r="AE34" s="8">
        <f t="shared" si="7"/>
        <v>168.63</v>
      </c>
      <c r="AF34" s="8">
        <f t="shared" si="7"/>
        <v>168.63</v>
      </c>
      <c r="AG34" s="8">
        <f t="shared" si="7"/>
        <v>168.63</v>
      </c>
      <c r="AH34" s="8">
        <f t="shared" si="7"/>
        <v>168.63</v>
      </c>
      <c r="AI34" s="8">
        <f t="shared" si="7"/>
        <v>168.63</v>
      </c>
      <c r="AJ34" s="125">
        <f>SUM(C34:AI34)</f>
        <v>3498.797500000001</v>
      </c>
    </row>
    <row r="35" spans="1:36" x14ac:dyDescent="0.2">
      <c r="A35" t="s">
        <v>268</v>
      </c>
      <c r="B35" t="s">
        <v>99</v>
      </c>
      <c r="C35" s="8">
        <f>C34*'Assumptions &amp; Results'!$C$123</f>
        <v>0</v>
      </c>
      <c r="D35" s="8">
        <f>D34*'Assumptions &amp; Results'!$C$123</f>
        <v>0</v>
      </c>
      <c r="E35" s="8">
        <f>E34*'Assumptions &amp; Results'!$C$123</f>
        <v>0</v>
      </c>
      <c r="F35" s="8">
        <f>F34*'Assumptions &amp; Results'!$C$123</f>
        <v>0</v>
      </c>
      <c r="G35" s="8">
        <f>G34*'Assumptions &amp; Results'!$C$123</f>
        <v>0</v>
      </c>
      <c r="H35" s="8">
        <f>H34*'Assumptions &amp; Results'!$C$123</f>
        <v>0</v>
      </c>
      <c r="I35" s="8">
        <f>I34*'Assumptions &amp; Results'!$C$123</f>
        <v>0</v>
      </c>
      <c r="J35" s="8">
        <f>J34*'Assumptions &amp; Results'!$C$123</f>
        <v>0</v>
      </c>
      <c r="K35" s="8">
        <f>K34*'Assumptions &amp; Results'!$C$123</f>
        <v>0</v>
      </c>
      <c r="L35" s="8">
        <f>L34*'Assumptions &amp; Results'!$C$123</f>
        <v>0</v>
      </c>
      <c r="M35" s="8">
        <f>M34*'Assumptions &amp; Results'!$C$123</f>
        <v>0</v>
      </c>
      <c r="N35" s="8">
        <f>N34*'Assumptions &amp; Results'!$C$123</f>
        <v>16.41391999999999</v>
      </c>
      <c r="O35" s="8">
        <f>O34*'Assumptions &amp; Results'!$C$123</f>
        <v>46.463520000000003</v>
      </c>
      <c r="P35" s="8">
        <f>P34*'Assumptions &amp; Results'!$C$123</f>
        <v>53.961599999999997</v>
      </c>
      <c r="Q35" s="8">
        <f>Q34*'Assumptions &amp; Results'!$C$123</f>
        <v>53.961599999999997</v>
      </c>
      <c r="R35" s="8">
        <f>R34*'Assumptions &amp; Results'!$C$123</f>
        <v>53.961599999999997</v>
      </c>
      <c r="S35" s="8">
        <f>S34*'Assumptions &amp; Results'!$C$123</f>
        <v>53.961599999999997</v>
      </c>
      <c r="T35" s="8">
        <f>T34*'Assumptions &amp; Results'!$C$123</f>
        <v>46.463520000000003</v>
      </c>
      <c r="U35" s="8">
        <f>U34*'Assumptions &amp; Results'!$C$123</f>
        <v>53.961599999999997</v>
      </c>
      <c r="V35" s="8">
        <f>V34*'Assumptions &amp; Results'!$C$123</f>
        <v>53.961599999999997</v>
      </c>
      <c r="W35" s="8">
        <f>W34*'Assumptions &amp; Results'!$C$123</f>
        <v>53.961599999999997</v>
      </c>
      <c r="X35" s="8">
        <f>X34*'Assumptions &amp; Results'!$C$123</f>
        <v>53.961599999999997</v>
      </c>
      <c r="Y35" s="8">
        <f>Y34*'Assumptions &amp; Results'!$C$123</f>
        <v>46.463520000000003</v>
      </c>
      <c r="Z35" s="8">
        <f>Z34*'Assumptions &amp; Results'!$C$123</f>
        <v>53.961599999999997</v>
      </c>
      <c r="AA35" s="8">
        <f>AA34*'Assumptions &amp; Results'!$C$123</f>
        <v>53.961599999999997</v>
      </c>
      <c r="AB35" s="8">
        <f>AB34*'Assumptions &amp; Results'!$C$123</f>
        <v>53.961599999999997</v>
      </c>
      <c r="AC35" s="8">
        <f>AC34*'Assumptions &amp; Results'!$C$123</f>
        <v>53.961599999999997</v>
      </c>
      <c r="AD35" s="8">
        <f>AD34*'Assumptions &amp; Results'!$C$123</f>
        <v>46.463520000000003</v>
      </c>
      <c r="AE35" s="8">
        <f>AE34*'Assumptions &amp; Results'!$C$123</f>
        <v>53.961599999999997</v>
      </c>
      <c r="AF35" s="8">
        <f>AF34*'Assumptions &amp; Results'!$C$123</f>
        <v>53.961599999999997</v>
      </c>
      <c r="AG35" s="8">
        <f>AG34*'Assumptions &amp; Results'!$C$123</f>
        <v>53.961599999999997</v>
      </c>
      <c r="AH35" s="8">
        <f>AH34*'Assumptions &amp; Results'!$C$123</f>
        <v>53.961599999999997</v>
      </c>
      <c r="AI35" s="8">
        <f>AI34*'Assumptions &amp; Results'!$C$123</f>
        <v>53.961599999999997</v>
      </c>
      <c r="AJ35" s="125">
        <f>SUM(C35:AI35)</f>
        <v>1119.6152</v>
      </c>
    </row>
    <row r="36" spans="1:36" x14ac:dyDescent="0.2">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125"/>
    </row>
    <row r="37" spans="1:36" s="69" customFormat="1" x14ac:dyDescent="0.2">
      <c r="A37" s="74" t="s">
        <v>298</v>
      </c>
      <c r="AJ37" s="131"/>
    </row>
    <row r="38" spans="1:36" ht="15.95" thickBot="1" x14ac:dyDescent="0.25">
      <c r="A38" t="s">
        <v>341</v>
      </c>
      <c r="B38" t="s">
        <v>99</v>
      </c>
      <c r="C38" s="12">
        <f>C26-'Assumptions &amp; Results'!D65-C14-C15-C35</f>
        <v>0</v>
      </c>
      <c r="D38" s="12">
        <f>D26-'Assumptions &amp; Results'!E65-D14-D15-D35</f>
        <v>-545</v>
      </c>
      <c r="E38" s="12">
        <f>E26-'Assumptions &amp; Results'!F65-E14-E15-E35</f>
        <v>-645</v>
      </c>
      <c r="F38" s="12">
        <f>F26-'Assumptions &amp; Results'!G65-F14-F15-F35</f>
        <v>0</v>
      </c>
      <c r="G38" s="12">
        <f>G26-'Assumptions &amp; Results'!H65-G14-G15-G35</f>
        <v>84.314999999999998</v>
      </c>
      <c r="H38" s="12">
        <f>H26-'Assumptions &amp; Results'!I65-H14-H15-H35</f>
        <v>168.63</v>
      </c>
      <c r="I38" s="12">
        <f>I26-'Assumptions &amp; Results'!J65-I14-I15-I35</f>
        <v>168.63</v>
      </c>
      <c r="J38" s="12">
        <f>J26-'Assumptions &amp; Results'!K65-J14-J15-J35</f>
        <v>145.1985</v>
      </c>
      <c r="K38" s="12">
        <f>K26-'Assumptions &amp; Results'!L65-K14-K15-K35</f>
        <v>168.63</v>
      </c>
      <c r="L38" s="12">
        <f>L26-'Assumptions &amp; Results'!M65-L14-L15-L35</f>
        <v>168.63</v>
      </c>
      <c r="M38" s="12">
        <f>M26-'Assumptions &amp; Results'!N65-M14-M15-M35</f>
        <v>168.63</v>
      </c>
      <c r="N38" s="12">
        <f>N26-'Assumptions &amp; Results'!O65-N14-N15-N35</f>
        <v>152.21608000000001</v>
      </c>
      <c r="O38" s="12">
        <f>O26-'Assumptions &amp; Results'!P65-O14-O15-O35</f>
        <v>98.734979999999993</v>
      </c>
      <c r="P38" s="12">
        <f>P26-'Assumptions &amp; Results'!Q65-P14-P15-P35</f>
        <v>114.66839999999999</v>
      </c>
      <c r="Q38" s="12">
        <f>Q26-'Assumptions &amp; Results'!R65-Q14-Q15-Q35</f>
        <v>114.66839999999999</v>
      </c>
      <c r="R38" s="12">
        <f>R26-'Assumptions &amp; Results'!S65-R14-R15-R35</f>
        <v>114.66839999999999</v>
      </c>
      <c r="S38" s="12">
        <f>S26-'Assumptions &amp; Results'!T65-S14-S15-S35</f>
        <v>114.66839999999999</v>
      </c>
      <c r="T38" s="12">
        <f>T26-'Assumptions &amp; Results'!U65-T14-T15-T35</f>
        <v>98.734979999999993</v>
      </c>
      <c r="U38" s="12">
        <f>U26-'Assumptions &amp; Results'!V65-U14-U15-U35</f>
        <v>114.66839999999999</v>
      </c>
      <c r="V38" s="12">
        <f>V26-'Assumptions &amp; Results'!W65-V14-V15-V35</f>
        <v>114.66839999999999</v>
      </c>
      <c r="W38" s="12">
        <f>W26-'Assumptions &amp; Results'!X65-W14-W15-W35</f>
        <v>114.66839999999999</v>
      </c>
      <c r="X38" s="12">
        <f>X26-'Assumptions &amp; Results'!Y65-X14-X15-X35</f>
        <v>114.66839999999999</v>
      </c>
      <c r="Y38" s="12">
        <f>Y26-'Assumptions &amp; Results'!Z65-Y14-Y15-Y35</f>
        <v>98.734979999999993</v>
      </c>
      <c r="Z38" s="12">
        <f>Z26-'Assumptions &amp; Results'!AA65-Z14-Z15-Z35</f>
        <v>114.66839999999999</v>
      </c>
      <c r="AA38" s="12">
        <f>AA26-'Assumptions &amp; Results'!AB65-AA14-AA15-AA35</f>
        <v>114.66839999999999</v>
      </c>
      <c r="AB38" s="12">
        <f>AB26-'Assumptions &amp; Results'!AC65-AB14-AB15-AB35</f>
        <v>114.66839999999999</v>
      </c>
      <c r="AC38" s="12">
        <f>AC26-'Assumptions &amp; Results'!AD65-AC14-AC15-AC35</f>
        <v>114.66839999999999</v>
      </c>
      <c r="AD38" s="12">
        <f>AD26-'Assumptions &amp; Results'!AE65-AD14-AD15-AD35</f>
        <v>98.734979999999993</v>
      </c>
      <c r="AE38" s="12">
        <f>AE26-'Assumptions &amp; Results'!AF65-AE14-AE15-AE35</f>
        <v>114.66839999999999</v>
      </c>
      <c r="AF38" s="12">
        <f>AF26-'Assumptions &amp; Results'!AG65-AF14-AF15-AF35</f>
        <v>114.66839999999999</v>
      </c>
      <c r="AG38" s="12">
        <f>AG26-'Assumptions &amp; Results'!AH65-AG14-AG15-AG35</f>
        <v>114.66839999999999</v>
      </c>
      <c r="AH38" s="12">
        <f>AH26-'Assumptions &amp; Results'!AI65-AH14-AH15-AH35</f>
        <v>114.66839999999999</v>
      </c>
      <c r="AI38" s="12">
        <f>AI26-'Assumptions &amp; Results'!AJ65-AI14-AI15-AI35</f>
        <v>114.66839999999999</v>
      </c>
      <c r="AJ38" s="125">
        <f>SUM(C38:AI38)</f>
        <v>2379.1822999999999</v>
      </c>
    </row>
    <row r="39" spans="1:36" ht="15.95" thickBot="1" x14ac:dyDescent="0.25">
      <c r="A39" t="s">
        <v>300</v>
      </c>
      <c r="B39" s="7">
        <f>'Assumptions &amp; Results'!C154</f>
        <v>0.1</v>
      </c>
      <c r="C39" s="377">
        <f>NPV(B39,C38:AI38)</f>
        <v>-83.435801350374476</v>
      </c>
    </row>
    <row r="40" spans="1:36" ht="15.95" thickBot="1" x14ac:dyDescent="0.25">
      <c r="A40" t="s">
        <v>301</v>
      </c>
      <c r="B40" s="7"/>
      <c r="C40" s="369">
        <f>IRR(C38:AI38)</f>
        <v>8.9852284476093613E-2</v>
      </c>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125"/>
    </row>
    <row r="42" spans="1:36" s="69" customFormat="1" x14ac:dyDescent="0.2">
      <c r="A42" s="74" t="s">
        <v>302</v>
      </c>
      <c r="AJ42" s="132"/>
    </row>
    <row r="43" spans="1:36" x14ac:dyDescent="0.2">
      <c r="A43" t="s">
        <v>342</v>
      </c>
      <c r="B43" t="s">
        <v>99</v>
      </c>
      <c r="C43" s="10">
        <f>C26-C6-C14-C15</f>
        <v>0</v>
      </c>
      <c r="D43" s="10">
        <f t="shared" ref="D43:AI43" si="8">D26-D6-D14-D15</f>
        <v>-545</v>
      </c>
      <c r="E43" s="10">
        <f t="shared" si="8"/>
        <v>-645</v>
      </c>
      <c r="F43" s="10">
        <f t="shared" si="8"/>
        <v>0</v>
      </c>
      <c r="G43" s="10">
        <f t="shared" si="8"/>
        <v>84.314999999999998</v>
      </c>
      <c r="H43" s="10">
        <f t="shared" si="8"/>
        <v>168.63</v>
      </c>
      <c r="I43" s="10">
        <f t="shared" si="8"/>
        <v>168.63</v>
      </c>
      <c r="J43" s="10">
        <f t="shared" si="8"/>
        <v>145.1985</v>
      </c>
      <c r="K43" s="10">
        <f t="shared" si="8"/>
        <v>168.63</v>
      </c>
      <c r="L43" s="10">
        <f t="shared" si="8"/>
        <v>168.63</v>
      </c>
      <c r="M43" s="10">
        <f t="shared" si="8"/>
        <v>168.63</v>
      </c>
      <c r="N43" s="10">
        <f t="shared" si="8"/>
        <v>168.63</v>
      </c>
      <c r="O43" s="10">
        <f t="shared" si="8"/>
        <v>145.1985</v>
      </c>
      <c r="P43" s="10">
        <f t="shared" si="8"/>
        <v>168.63</v>
      </c>
      <c r="Q43" s="10">
        <f t="shared" si="8"/>
        <v>168.63</v>
      </c>
      <c r="R43" s="10">
        <f t="shared" si="8"/>
        <v>168.63</v>
      </c>
      <c r="S43" s="10">
        <f t="shared" si="8"/>
        <v>168.63</v>
      </c>
      <c r="T43" s="10">
        <f t="shared" si="8"/>
        <v>145.1985</v>
      </c>
      <c r="U43" s="10">
        <f t="shared" si="8"/>
        <v>168.63</v>
      </c>
      <c r="V43" s="10">
        <f t="shared" si="8"/>
        <v>168.63</v>
      </c>
      <c r="W43" s="10">
        <f t="shared" si="8"/>
        <v>168.63</v>
      </c>
      <c r="X43" s="10">
        <f t="shared" si="8"/>
        <v>168.63</v>
      </c>
      <c r="Y43" s="10">
        <f t="shared" si="8"/>
        <v>145.1985</v>
      </c>
      <c r="Z43" s="10">
        <f t="shared" si="8"/>
        <v>168.63</v>
      </c>
      <c r="AA43" s="10">
        <f t="shared" si="8"/>
        <v>168.63</v>
      </c>
      <c r="AB43" s="10">
        <f t="shared" si="8"/>
        <v>168.63</v>
      </c>
      <c r="AC43" s="10">
        <f t="shared" si="8"/>
        <v>168.63</v>
      </c>
      <c r="AD43" s="10">
        <f t="shared" si="8"/>
        <v>145.1985</v>
      </c>
      <c r="AE43" s="10">
        <f t="shared" si="8"/>
        <v>168.63</v>
      </c>
      <c r="AF43" s="10">
        <f t="shared" si="8"/>
        <v>168.63</v>
      </c>
      <c r="AG43" s="10">
        <f t="shared" si="8"/>
        <v>168.63</v>
      </c>
      <c r="AH43" s="10">
        <f t="shared" si="8"/>
        <v>168.63</v>
      </c>
      <c r="AI43" s="10">
        <f t="shared" si="8"/>
        <v>168.63</v>
      </c>
      <c r="AJ43" s="135">
        <f>AJ26-'Assumptions &amp; Results'!AK65-AJ14-AJ15</f>
        <v>3498.7974999999969</v>
      </c>
    </row>
    <row r="44" spans="1:36" x14ac:dyDescent="0.2">
      <c r="A44" t="s">
        <v>304</v>
      </c>
      <c r="B44" t="s">
        <v>99</v>
      </c>
      <c r="C44" s="10">
        <f>C35</f>
        <v>0</v>
      </c>
      <c r="D44" s="10">
        <f t="shared" ref="D44:AJ44" si="9">D35</f>
        <v>0</v>
      </c>
      <c r="E44" s="10">
        <f t="shared" si="9"/>
        <v>0</v>
      </c>
      <c r="F44" s="10">
        <f t="shared" si="9"/>
        <v>0</v>
      </c>
      <c r="G44" s="10">
        <f t="shared" si="9"/>
        <v>0</v>
      </c>
      <c r="H44" s="10">
        <f t="shared" si="9"/>
        <v>0</v>
      </c>
      <c r="I44" s="10">
        <f t="shared" si="9"/>
        <v>0</v>
      </c>
      <c r="J44" s="10">
        <f t="shared" si="9"/>
        <v>0</v>
      </c>
      <c r="K44" s="10">
        <f t="shared" si="9"/>
        <v>0</v>
      </c>
      <c r="L44" s="10">
        <f t="shared" si="9"/>
        <v>0</v>
      </c>
      <c r="M44" s="10">
        <f t="shared" si="9"/>
        <v>0</v>
      </c>
      <c r="N44" s="10">
        <f t="shared" si="9"/>
        <v>16.41391999999999</v>
      </c>
      <c r="O44" s="10">
        <f t="shared" si="9"/>
        <v>46.463520000000003</v>
      </c>
      <c r="P44" s="10">
        <f t="shared" si="9"/>
        <v>53.961599999999997</v>
      </c>
      <c r="Q44" s="10">
        <f t="shared" si="9"/>
        <v>53.961599999999997</v>
      </c>
      <c r="R44" s="10">
        <f t="shared" si="9"/>
        <v>53.961599999999997</v>
      </c>
      <c r="S44" s="10">
        <f t="shared" si="9"/>
        <v>53.961599999999997</v>
      </c>
      <c r="T44" s="10">
        <f t="shared" si="9"/>
        <v>46.463520000000003</v>
      </c>
      <c r="U44" s="10">
        <f t="shared" si="9"/>
        <v>53.961599999999997</v>
      </c>
      <c r="V44" s="10">
        <f t="shared" si="9"/>
        <v>53.961599999999997</v>
      </c>
      <c r="W44" s="10">
        <f t="shared" si="9"/>
        <v>53.961599999999997</v>
      </c>
      <c r="X44" s="10">
        <f t="shared" si="9"/>
        <v>53.961599999999997</v>
      </c>
      <c r="Y44" s="10">
        <f t="shared" si="9"/>
        <v>46.463520000000003</v>
      </c>
      <c r="Z44" s="10">
        <f t="shared" si="9"/>
        <v>53.961599999999997</v>
      </c>
      <c r="AA44" s="10">
        <f t="shared" si="9"/>
        <v>53.961599999999997</v>
      </c>
      <c r="AB44" s="10">
        <f t="shared" si="9"/>
        <v>53.961599999999997</v>
      </c>
      <c r="AC44" s="10">
        <f t="shared" si="9"/>
        <v>53.961599999999997</v>
      </c>
      <c r="AD44" s="10">
        <f t="shared" si="9"/>
        <v>46.463520000000003</v>
      </c>
      <c r="AE44" s="10">
        <f t="shared" si="9"/>
        <v>53.961599999999997</v>
      </c>
      <c r="AF44" s="10">
        <f t="shared" si="9"/>
        <v>53.961599999999997</v>
      </c>
      <c r="AG44" s="10">
        <f t="shared" si="9"/>
        <v>53.961599999999997</v>
      </c>
      <c r="AH44" s="10">
        <f t="shared" si="9"/>
        <v>53.961599999999997</v>
      </c>
      <c r="AI44" s="10">
        <f t="shared" si="9"/>
        <v>53.961599999999997</v>
      </c>
      <c r="AJ44" s="135">
        <f t="shared" si="9"/>
        <v>1119.6152</v>
      </c>
    </row>
    <row r="45" spans="1:36" ht="15.95" thickBot="1" x14ac:dyDescent="0.25">
      <c r="A45" t="s">
        <v>305</v>
      </c>
      <c r="B45" t="s">
        <v>69</v>
      </c>
      <c r="C45" s="7" t="e">
        <f>C44/C43</f>
        <v>#DIV/0!</v>
      </c>
      <c r="D45" s="7">
        <f t="shared" ref="D45:AJ45" si="10">D44/D43</f>
        <v>0</v>
      </c>
      <c r="E45" s="7">
        <f t="shared" si="10"/>
        <v>0</v>
      </c>
      <c r="F45" s="7" t="e">
        <f t="shared" si="10"/>
        <v>#DIV/0!</v>
      </c>
      <c r="G45" s="7">
        <f t="shared" si="10"/>
        <v>0</v>
      </c>
      <c r="H45" s="7">
        <f t="shared" si="10"/>
        <v>0</v>
      </c>
      <c r="I45" s="7">
        <f t="shared" si="10"/>
        <v>0</v>
      </c>
      <c r="J45" s="7">
        <f t="shared" si="10"/>
        <v>0</v>
      </c>
      <c r="K45" s="7">
        <f t="shared" si="10"/>
        <v>0</v>
      </c>
      <c r="L45" s="7">
        <f t="shared" si="10"/>
        <v>0</v>
      </c>
      <c r="M45" s="7">
        <f t="shared" si="10"/>
        <v>0</v>
      </c>
      <c r="N45" s="7">
        <f t="shared" si="10"/>
        <v>9.7336891419083152E-2</v>
      </c>
      <c r="O45" s="7">
        <f t="shared" si="10"/>
        <v>0.32</v>
      </c>
      <c r="P45" s="7">
        <f t="shared" si="10"/>
        <v>0.32</v>
      </c>
      <c r="Q45" s="7">
        <f t="shared" si="10"/>
        <v>0.32</v>
      </c>
      <c r="R45" s="7">
        <f t="shared" si="10"/>
        <v>0.32</v>
      </c>
      <c r="S45" s="7">
        <f t="shared" si="10"/>
        <v>0.32</v>
      </c>
      <c r="T45" s="7">
        <f t="shared" si="10"/>
        <v>0.32</v>
      </c>
      <c r="U45" s="7">
        <f t="shared" si="10"/>
        <v>0.32</v>
      </c>
      <c r="V45" s="7">
        <f t="shared" si="10"/>
        <v>0.32</v>
      </c>
      <c r="W45" s="7">
        <f t="shared" si="10"/>
        <v>0.32</v>
      </c>
      <c r="X45" s="7">
        <f t="shared" si="10"/>
        <v>0.32</v>
      </c>
      <c r="Y45" s="7">
        <f t="shared" si="10"/>
        <v>0.32</v>
      </c>
      <c r="Z45" s="7">
        <f t="shared" si="10"/>
        <v>0.32</v>
      </c>
      <c r="AA45" s="7">
        <f t="shared" si="10"/>
        <v>0.32</v>
      </c>
      <c r="AB45" s="7">
        <f t="shared" si="10"/>
        <v>0.32</v>
      </c>
      <c r="AC45" s="7">
        <f t="shared" si="10"/>
        <v>0.32</v>
      </c>
      <c r="AD45" s="7">
        <f t="shared" si="10"/>
        <v>0.32</v>
      </c>
      <c r="AE45" s="7">
        <f t="shared" si="10"/>
        <v>0.32</v>
      </c>
      <c r="AF45" s="7">
        <f t="shared" si="10"/>
        <v>0.32</v>
      </c>
      <c r="AG45" s="7">
        <f t="shared" si="10"/>
        <v>0.32</v>
      </c>
      <c r="AH45" s="7">
        <f t="shared" si="10"/>
        <v>0.32</v>
      </c>
      <c r="AI45" s="7">
        <f t="shared" si="10"/>
        <v>0.32</v>
      </c>
      <c r="AJ45" s="133">
        <f t="shared" si="10"/>
        <v>0.32000000000000028</v>
      </c>
    </row>
    <row r="46" spans="1:36" ht="15.95" thickBot="1" x14ac:dyDescent="0.25">
      <c r="A46" t="s">
        <v>306</v>
      </c>
      <c r="C46" s="367">
        <f>AJ44</f>
        <v>1119.6152</v>
      </c>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133"/>
    </row>
    <row r="47" spans="1:36" ht="15.95" thickBot="1" x14ac:dyDescent="0.25">
      <c r="A47" t="s">
        <v>307</v>
      </c>
      <c r="B47" s="201">
        <f>'Assumptions &amp; Results'!C154</f>
        <v>0.1</v>
      </c>
      <c r="C47" s="367">
        <f>NPV(B47,C44:AI44)</f>
        <v>149.05631311804166</v>
      </c>
    </row>
    <row r="48" spans="1:36" ht="15.95" thickBot="1" x14ac:dyDescent="0.25">
      <c r="A48" t="s">
        <v>308</v>
      </c>
      <c r="C48" s="368">
        <f>AJ44/AJ43</f>
        <v>0.32000000000000028</v>
      </c>
    </row>
    <row r="49" spans="1:3" ht="15.95" thickBot="1" x14ac:dyDescent="0.25">
      <c r="A49" t="s">
        <v>309</v>
      </c>
      <c r="C49" s="369">
        <f>(NPV('Assumptions &amp; Results'!C154,'Gas PL'!C44:AI44))/(NPV('Assumptions &amp; Results'!C154,'Gas PL'!C43:AI43))</f>
        <v>2.2714896471058217</v>
      </c>
    </row>
    <row r="51" spans="1:3" x14ac:dyDescent="0.25">
      <c r="A51" s="18" t="s">
        <v>310</v>
      </c>
    </row>
    <row r="52" spans="1:3" x14ac:dyDescent="0.25">
      <c r="A52" s="18" t="s">
        <v>311</v>
      </c>
    </row>
    <row r="53" spans="1:3" x14ac:dyDescent="0.25">
      <c r="A53" s="18" t="s">
        <v>312</v>
      </c>
    </row>
    <row r="54" spans="1:3" x14ac:dyDescent="0.25">
      <c r="A54" s="18" t="s">
        <v>313</v>
      </c>
    </row>
    <row r="55" spans="1:3" x14ac:dyDescent="0.25">
      <c r="A55" s="18" t="s">
        <v>314</v>
      </c>
    </row>
    <row r="70" spans="1:37" x14ac:dyDescent="0.25">
      <c r="A70" s="402" t="s">
        <v>563</v>
      </c>
    </row>
    <row r="71" spans="1:37" ht="15.75" thickBot="1" x14ac:dyDescent="0.3">
      <c r="B71" s="1" t="s">
        <v>222</v>
      </c>
      <c r="C71" s="1">
        <f>C4</f>
        <v>2017</v>
      </c>
      <c r="D71" s="1">
        <f t="shared" ref="D71:AI71" si="11">D4</f>
        <v>2018</v>
      </c>
      <c r="E71" s="1">
        <f t="shared" si="11"/>
        <v>2019</v>
      </c>
      <c r="F71" s="1">
        <f t="shared" si="11"/>
        <v>2020</v>
      </c>
      <c r="G71" s="1">
        <f t="shared" si="11"/>
        <v>2021</v>
      </c>
      <c r="H71" s="1">
        <f t="shared" si="11"/>
        <v>2022</v>
      </c>
      <c r="I71" s="1">
        <f t="shared" si="11"/>
        <v>2023</v>
      </c>
      <c r="J71" s="1">
        <f t="shared" si="11"/>
        <v>2024</v>
      </c>
      <c r="K71" s="1">
        <f t="shared" si="11"/>
        <v>2025</v>
      </c>
      <c r="L71" s="1">
        <f t="shared" si="11"/>
        <v>2026</v>
      </c>
      <c r="M71" s="1">
        <f t="shared" si="11"/>
        <v>2027</v>
      </c>
      <c r="N71" s="1">
        <f t="shared" si="11"/>
        <v>2028</v>
      </c>
      <c r="O71" s="1">
        <f t="shared" si="11"/>
        <v>2029</v>
      </c>
      <c r="P71" s="1">
        <f t="shared" si="11"/>
        <v>2030</v>
      </c>
      <c r="Q71" s="1">
        <f t="shared" si="11"/>
        <v>2031</v>
      </c>
      <c r="R71" s="1">
        <f t="shared" si="11"/>
        <v>2032</v>
      </c>
      <c r="S71" s="1">
        <f t="shared" si="11"/>
        <v>2033</v>
      </c>
      <c r="T71" s="1">
        <f t="shared" si="11"/>
        <v>2034</v>
      </c>
      <c r="U71" s="1">
        <f t="shared" si="11"/>
        <v>2035</v>
      </c>
      <c r="V71" s="1">
        <f t="shared" si="11"/>
        <v>2036</v>
      </c>
      <c r="W71" s="1">
        <f t="shared" si="11"/>
        <v>2037</v>
      </c>
      <c r="X71" s="1">
        <f t="shared" si="11"/>
        <v>2038</v>
      </c>
      <c r="Y71" s="1">
        <f t="shared" si="11"/>
        <v>2039</v>
      </c>
      <c r="Z71" s="1">
        <f t="shared" si="11"/>
        <v>2040</v>
      </c>
      <c r="AA71" s="1">
        <f t="shared" si="11"/>
        <v>2041</v>
      </c>
      <c r="AB71" s="1">
        <f t="shared" si="11"/>
        <v>2042</v>
      </c>
      <c r="AC71" s="1">
        <f t="shared" si="11"/>
        <v>2043</v>
      </c>
      <c r="AD71" s="1">
        <f t="shared" si="11"/>
        <v>2044</v>
      </c>
      <c r="AE71" s="1">
        <f t="shared" si="11"/>
        <v>2045</v>
      </c>
      <c r="AF71" s="1">
        <f t="shared" si="11"/>
        <v>2046</v>
      </c>
      <c r="AG71" s="1">
        <f t="shared" si="11"/>
        <v>2047</v>
      </c>
      <c r="AH71" s="1">
        <f t="shared" si="11"/>
        <v>2048</v>
      </c>
      <c r="AI71" s="1">
        <f t="shared" si="11"/>
        <v>2049</v>
      </c>
      <c r="AJ71" s="123" t="s">
        <v>63</v>
      </c>
    </row>
    <row r="72" spans="1:37" ht="15.75" thickBot="1" x14ac:dyDescent="0.3">
      <c r="A72" t="str">
        <f>'Assumptions &amp; Results'!A121</f>
        <v>Depreciation Life for Gas PL Investments</v>
      </c>
      <c r="B72" t="str">
        <f>'Assumptions &amp; Results'!B121</f>
        <v>Straight Line</v>
      </c>
      <c r="C72" s="403">
        <f>'Assumptions &amp; Results'!$C$121</f>
        <v>10</v>
      </c>
    </row>
    <row r="73" spans="1:37" x14ac:dyDescent="0.25">
      <c r="C73" s="38"/>
    </row>
    <row r="74" spans="1:37" x14ac:dyDescent="0.25">
      <c r="A74" s="1" t="str">
        <f>A8</f>
        <v>Total Gas PL Capex from above permitted for Upstream Cost Recovery or Tax Deduction</v>
      </c>
      <c r="B74" s="79" t="s">
        <v>99</v>
      </c>
      <c r="C74" s="84">
        <f>C10</f>
        <v>0</v>
      </c>
      <c r="D74" s="84">
        <f t="shared" ref="D74:AI74" si="12">D10</f>
        <v>545</v>
      </c>
      <c r="E74" s="84">
        <f t="shared" si="12"/>
        <v>645</v>
      </c>
      <c r="F74" s="84">
        <f t="shared" si="12"/>
        <v>0</v>
      </c>
      <c r="G74" s="84">
        <f t="shared" si="12"/>
        <v>0</v>
      </c>
      <c r="H74" s="84">
        <f t="shared" si="12"/>
        <v>0</v>
      </c>
      <c r="I74" s="84">
        <f t="shared" si="12"/>
        <v>0</v>
      </c>
      <c r="J74" s="84">
        <f t="shared" si="12"/>
        <v>0</v>
      </c>
      <c r="K74" s="84">
        <f t="shared" si="12"/>
        <v>0</v>
      </c>
      <c r="L74" s="84">
        <f t="shared" si="12"/>
        <v>0</v>
      </c>
      <c r="M74" s="84">
        <f t="shared" si="12"/>
        <v>0</v>
      </c>
      <c r="N74" s="84">
        <f t="shared" si="12"/>
        <v>0</v>
      </c>
      <c r="O74" s="84">
        <f t="shared" si="12"/>
        <v>0</v>
      </c>
      <c r="P74" s="84">
        <f t="shared" si="12"/>
        <v>0</v>
      </c>
      <c r="Q74" s="84">
        <f t="shared" si="12"/>
        <v>0</v>
      </c>
      <c r="R74" s="84">
        <f t="shared" si="12"/>
        <v>0</v>
      </c>
      <c r="S74" s="84">
        <f t="shared" si="12"/>
        <v>0</v>
      </c>
      <c r="T74" s="84">
        <f t="shared" si="12"/>
        <v>0</v>
      </c>
      <c r="U74" s="84">
        <f t="shared" si="12"/>
        <v>0</v>
      </c>
      <c r="V74" s="84">
        <f t="shared" si="12"/>
        <v>0</v>
      </c>
      <c r="W74" s="84">
        <f t="shared" si="12"/>
        <v>0</v>
      </c>
      <c r="X74" s="84">
        <f t="shared" si="12"/>
        <v>0</v>
      </c>
      <c r="Y74" s="84">
        <f t="shared" si="12"/>
        <v>0</v>
      </c>
      <c r="Z74" s="84">
        <f t="shared" si="12"/>
        <v>0</v>
      </c>
      <c r="AA74" s="84">
        <f t="shared" si="12"/>
        <v>0</v>
      </c>
      <c r="AB74" s="84">
        <f t="shared" si="12"/>
        <v>0</v>
      </c>
      <c r="AC74" s="84">
        <f t="shared" si="12"/>
        <v>0</v>
      </c>
      <c r="AD74" s="84">
        <f t="shared" si="12"/>
        <v>0</v>
      </c>
      <c r="AE74" s="84">
        <f t="shared" si="12"/>
        <v>0</v>
      </c>
      <c r="AF74" s="84">
        <f t="shared" si="12"/>
        <v>0</v>
      </c>
      <c r="AG74" s="84">
        <f t="shared" si="12"/>
        <v>0</v>
      </c>
      <c r="AH74" s="84">
        <f t="shared" si="12"/>
        <v>0</v>
      </c>
      <c r="AI74" s="84">
        <f t="shared" si="12"/>
        <v>0</v>
      </c>
      <c r="AJ74" s="125">
        <f t="shared" ref="AJ74" si="13">SUM(C74:AI74)</f>
        <v>1190</v>
      </c>
      <c r="AK74" s="79"/>
    </row>
    <row r="75" spans="1:37" x14ac:dyDescent="0.25">
      <c r="A75" t="s">
        <v>228</v>
      </c>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125"/>
    </row>
    <row r="76" spans="1:37" x14ac:dyDescent="0.25">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125"/>
    </row>
    <row r="77" spans="1:37" x14ac:dyDescent="0.25">
      <c r="A77" s="4"/>
    </row>
    <row r="78" spans="1:37" x14ac:dyDescent="0.25">
      <c r="B78" s="1" t="s">
        <v>229</v>
      </c>
    </row>
    <row r="79" spans="1:37" x14ac:dyDescent="0.25">
      <c r="A79" t="s">
        <v>230</v>
      </c>
      <c r="B79">
        <f>C4</f>
        <v>2017</v>
      </c>
      <c r="C79" s="8">
        <f>IF(C$4-$B79-$C$72&lt;0,SLN($C74,0,$C$72),0)</f>
        <v>0</v>
      </c>
      <c r="D79" s="8">
        <f t="shared" ref="D79:AI79" si="14">IF(D$4-$B79-$C$71&lt;0,SLN($C74,0,$C$71),0)</f>
        <v>0</v>
      </c>
      <c r="E79" s="8">
        <f t="shared" si="14"/>
        <v>0</v>
      </c>
      <c r="F79" s="8">
        <f t="shared" si="14"/>
        <v>0</v>
      </c>
      <c r="G79" s="8">
        <f t="shared" si="14"/>
        <v>0</v>
      </c>
      <c r="H79" s="8">
        <f t="shared" si="14"/>
        <v>0</v>
      </c>
      <c r="I79" s="8">
        <f t="shared" si="14"/>
        <v>0</v>
      </c>
      <c r="J79" s="8">
        <f t="shared" si="14"/>
        <v>0</v>
      </c>
      <c r="K79" s="8">
        <f t="shared" si="14"/>
        <v>0</v>
      </c>
      <c r="L79" s="8">
        <f t="shared" si="14"/>
        <v>0</v>
      </c>
      <c r="M79" s="8">
        <f t="shared" si="14"/>
        <v>0</v>
      </c>
      <c r="N79" s="8">
        <f t="shared" si="14"/>
        <v>0</v>
      </c>
      <c r="O79" s="8">
        <f t="shared" si="14"/>
        <v>0</v>
      </c>
      <c r="P79" s="8">
        <f t="shared" si="14"/>
        <v>0</v>
      </c>
      <c r="Q79" s="8">
        <f t="shared" si="14"/>
        <v>0</v>
      </c>
      <c r="R79" s="8">
        <f t="shared" si="14"/>
        <v>0</v>
      </c>
      <c r="S79" s="8">
        <f t="shared" si="14"/>
        <v>0</v>
      </c>
      <c r="T79" s="8">
        <f t="shared" si="14"/>
        <v>0</v>
      </c>
      <c r="U79" s="8">
        <f t="shared" si="14"/>
        <v>0</v>
      </c>
      <c r="V79" s="8">
        <f t="shared" si="14"/>
        <v>0</v>
      </c>
      <c r="W79" s="8">
        <f t="shared" si="14"/>
        <v>0</v>
      </c>
      <c r="X79" s="8">
        <f t="shared" si="14"/>
        <v>0</v>
      </c>
      <c r="Y79" s="8">
        <f t="shared" si="14"/>
        <v>0</v>
      </c>
      <c r="Z79" s="8">
        <f t="shared" si="14"/>
        <v>0</v>
      </c>
      <c r="AA79" s="8">
        <f t="shared" si="14"/>
        <v>0</v>
      </c>
      <c r="AB79" s="8">
        <f t="shared" si="14"/>
        <v>0</v>
      </c>
      <c r="AC79" s="8">
        <f t="shared" si="14"/>
        <v>0</v>
      </c>
      <c r="AD79" s="8">
        <f t="shared" si="14"/>
        <v>0</v>
      </c>
      <c r="AE79" s="8">
        <f t="shared" si="14"/>
        <v>0</v>
      </c>
      <c r="AF79" s="8">
        <f t="shared" si="14"/>
        <v>0</v>
      </c>
      <c r="AG79" s="8">
        <f t="shared" si="14"/>
        <v>0</v>
      </c>
      <c r="AH79" s="8">
        <f t="shared" si="14"/>
        <v>0</v>
      </c>
      <c r="AI79" s="8">
        <f t="shared" si="14"/>
        <v>0</v>
      </c>
      <c r="AJ79" s="125">
        <f t="shared" ref="AJ79:AJ111" si="15">SUM(C79:AI79)</f>
        <v>0</v>
      </c>
    </row>
    <row r="80" spans="1:37" x14ac:dyDescent="0.25">
      <c r="B80">
        <f>D4</f>
        <v>2018</v>
      </c>
      <c r="C80" s="8"/>
      <c r="D80" s="8">
        <f>IF(D$4-$B80-$C$72&lt;0,SLN($D74,0,$C$72),0)</f>
        <v>54.5</v>
      </c>
      <c r="E80" s="8">
        <f t="shared" ref="E80:AI80" si="16">IF(E$4-$B80-$C$72&lt;0,SLN($D74,0,$C$72),0)</f>
        <v>54.5</v>
      </c>
      <c r="F80" s="8">
        <f t="shared" si="16"/>
        <v>54.5</v>
      </c>
      <c r="G80" s="8">
        <f t="shared" si="16"/>
        <v>54.5</v>
      </c>
      <c r="H80" s="8">
        <f t="shared" si="16"/>
        <v>54.5</v>
      </c>
      <c r="I80" s="8">
        <f t="shared" si="16"/>
        <v>54.5</v>
      </c>
      <c r="J80" s="8">
        <f t="shared" si="16"/>
        <v>54.5</v>
      </c>
      <c r="K80" s="8">
        <f t="shared" si="16"/>
        <v>54.5</v>
      </c>
      <c r="L80" s="8">
        <f t="shared" si="16"/>
        <v>54.5</v>
      </c>
      <c r="M80" s="8">
        <f t="shared" si="16"/>
        <v>54.5</v>
      </c>
      <c r="N80" s="8">
        <f t="shared" si="16"/>
        <v>0</v>
      </c>
      <c r="O80" s="8">
        <f t="shared" si="16"/>
        <v>0</v>
      </c>
      <c r="P80" s="8">
        <f t="shared" si="16"/>
        <v>0</v>
      </c>
      <c r="Q80" s="8">
        <f t="shared" si="16"/>
        <v>0</v>
      </c>
      <c r="R80" s="8">
        <f t="shared" si="16"/>
        <v>0</v>
      </c>
      <c r="S80" s="8">
        <f t="shared" si="16"/>
        <v>0</v>
      </c>
      <c r="T80" s="8">
        <f t="shared" si="16"/>
        <v>0</v>
      </c>
      <c r="U80" s="8">
        <f t="shared" si="16"/>
        <v>0</v>
      </c>
      <c r="V80" s="8">
        <f t="shared" si="16"/>
        <v>0</v>
      </c>
      <c r="W80" s="8">
        <f t="shared" si="16"/>
        <v>0</v>
      </c>
      <c r="X80" s="8">
        <f t="shared" si="16"/>
        <v>0</v>
      </c>
      <c r="Y80" s="8">
        <f t="shared" si="16"/>
        <v>0</v>
      </c>
      <c r="Z80" s="8">
        <f t="shared" si="16"/>
        <v>0</v>
      </c>
      <c r="AA80" s="8">
        <f t="shared" si="16"/>
        <v>0</v>
      </c>
      <c r="AB80" s="8">
        <f t="shared" si="16"/>
        <v>0</v>
      </c>
      <c r="AC80" s="8">
        <f t="shared" si="16"/>
        <v>0</v>
      </c>
      <c r="AD80" s="8">
        <f t="shared" si="16"/>
        <v>0</v>
      </c>
      <c r="AE80" s="8">
        <f t="shared" si="16"/>
        <v>0</v>
      </c>
      <c r="AF80" s="8">
        <f t="shared" si="16"/>
        <v>0</v>
      </c>
      <c r="AG80" s="8">
        <f t="shared" si="16"/>
        <v>0</v>
      </c>
      <c r="AH80" s="8">
        <f t="shared" si="16"/>
        <v>0</v>
      </c>
      <c r="AI80" s="8">
        <f t="shared" si="16"/>
        <v>0</v>
      </c>
      <c r="AJ80" s="125">
        <f t="shared" si="15"/>
        <v>545</v>
      </c>
    </row>
    <row r="81" spans="2:36" x14ac:dyDescent="0.25">
      <c r="B81">
        <f>E4</f>
        <v>2019</v>
      </c>
      <c r="C81" s="8"/>
      <c r="D81" s="8"/>
      <c r="E81" s="8">
        <f>IF(E$4-$B81-$C$72&lt;0,SLN($E74,0,$C$72),0)</f>
        <v>64.5</v>
      </c>
      <c r="F81" s="8">
        <f t="shared" ref="F81:AI81" si="17">IF(F$4-$B81-$C$72&lt;0,SLN($E74,0,$C$72),0)</f>
        <v>64.5</v>
      </c>
      <c r="G81" s="8">
        <f t="shared" si="17"/>
        <v>64.5</v>
      </c>
      <c r="H81" s="8">
        <f t="shared" si="17"/>
        <v>64.5</v>
      </c>
      <c r="I81" s="8">
        <f t="shared" si="17"/>
        <v>64.5</v>
      </c>
      <c r="J81" s="8">
        <f t="shared" si="17"/>
        <v>64.5</v>
      </c>
      <c r="K81" s="8">
        <f t="shared" si="17"/>
        <v>64.5</v>
      </c>
      <c r="L81" s="8">
        <f t="shared" si="17"/>
        <v>64.5</v>
      </c>
      <c r="M81" s="8">
        <f t="shared" si="17"/>
        <v>64.5</v>
      </c>
      <c r="N81" s="8">
        <f t="shared" si="17"/>
        <v>64.5</v>
      </c>
      <c r="O81" s="8">
        <f t="shared" si="17"/>
        <v>0</v>
      </c>
      <c r="P81" s="8">
        <f t="shared" si="17"/>
        <v>0</v>
      </c>
      <c r="Q81" s="8">
        <f t="shared" si="17"/>
        <v>0</v>
      </c>
      <c r="R81" s="8">
        <f t="shared" si="17"/>
        <v>0</v>
      </c>
      <c r="S81" s="8">
        <f t="shared" si="17"/>
        <v>0</v>
      </c>
      <c r="T81" s="8">
        <f t="shared" si="17"/>
        <v>0</v>
      </c>
      <c r="U81" s="8">
        <f t="shared" si="17"/>
        <v>0</v>
      </c>
      <c r="V81" s="8">
        <f t="shared" si="17"/>
        <v>0</v>
      </c>
      <c r="W81" s="8">
        <f t="shared" si="17"/>
        <v>0</v>
      </c>
      <c r="X81" s="8">
        <f t="shared" si="17"/>
        <v>0</v>
      </c>
      <c r="Y81" s="8">
        <f t="shared" si="17"/>
        <v>0</v>
      </c>
      <c r="Z81" s="8">
        <f t="shared" si="17"/>
        <v>0</v>
      </c>
      <c r="AA81" s="8">
        <f t="shared" si="17"/>
        <v>0</v>
      </c>
      <c r="AB81" s="8">
        <f t="shared" si="17"/>
        <v>0</v>
      </c>
      <c r="AC81" s="8">
        <f t="shared" si="17"/>
        <v>0</v>
      </c>
      <c r="AD81" s="8">
        <f t="shared" si="17"/>
        <v>0</v>
      </c>
      <c r="AE81" s="8">
        <f t="shared" si="17"/>
        <v>0</v>
      </c>
      <c r="AF81" s="8">
        <f t="shared" si="17"/>
        <v>0</v>
      </c>
      <c r="AG81" s="8">
        <f t="shared" si="17"/>
        <v>0</v>
      </c>
      <c r="AH81" s="8">
        <f t="shared" si="17"/>
        <v>0</v>
      </c>
      <c r="AI81" s="8">
        <f t="shared" si="17"/>
        <v>0</v>
      </c>
      <c r="AJ81" s="125">
        <f t="shared" si="15"/>
        <v>645</v>
      </c>
    </row>
    <row r="82" spans="2:36" x14ac:dyDescent="0.25">
      <c r="B82">
        <f>F4</f>
        <v>2020</v>
      </c>
      <c r="C82" s="8"/>
      <c r="D82" s="8"/>
      <c r="E82" s="8"/>
      <c r="F82" s="8">
        <f>IF(F$4-$B82-$C$72&lt;0,SLN($F74,0,$C$72),0)</f>
        <v>0</v>
      </c>
      <c r="G82" s="8">
        <f t="shared" ref="G82:AI82" si="18">IF(G$4-$B82-$C$72&lt;0,SLN($F74,0,$C$72),0)</f>
        <v>0</v>
      </c>
      <c r="H82" s="8">
        <f t="shared" si="18"/>
        <v>0</v>
      </c>
      <c r="I82" s="8">
        <f t="shared" si="18"/>
        <v>0</v>
      </c>
      <c r="J82" s="8">
        <f t="shared" si="18"/>
        <v>0</v>
      </c>
      <c r="K82" s="8">
        <f t="shared" si="18"/>
        <v>0</v>
      </c>
      <c r="L82" s="8">
        <f t="shared" si="18"/>
        <v>0</v>
      </c>
      <c r="M82" s="8">
        <f t="shared" si="18"/>
        <v>0</v>
      </c>
      <c r="N82" s="8">
        <f t="shared" si="18"/>
        <v>0</v>
      </c>
      <c r="O82" s="8">
        <f t="shared" si="18"/>
        <v>0</v>
      </c>
      <c r="P82" s="8">
        <f t="shared" si="18"/>
        <v>0</v>
      </c>
      <c r="Q82" s="8">
        <f t="shared" si="18"/>
        <v>0</v>
      </c>
      <c r="R82" s="8">
        <f t="shared" si="18"/>
        <v>0</v>
      </c>
      <c r="S82" s="8">
        <f t="shared" si="18"/>
        <v>0</v>
      </c>
      <c r="T82" s="8">
        <f t="shared" si="18"/>
        <v>0</v>
      </c>
      <c r="U82" s="8">
        <f t="shared" si="18"/>
        <v>0</v>
      </c>
      <c r="V82" s="8">
        <f t="shared" si="18"/>
        <v>0</v>
      </c>
      <c r="W82" s="8">
        <f t="shared" si="18"/>
        <v>0</v>
      </c>
      <c r="X82" s="8">
        <f t="shared" si="18"/>
        <v>0</v>
      </c>
      <c r="Y82" s="8">
        <f t="shared" si="18"/>
        <v>0</v>
      </c>
      <c r="Z82" s="8">
        <f t="shared" si="18"/>
        <v>0</v>
      </c>
      <c r="AA82" s="8">
        <f t="shared" si="18"/>
        <v>0</v>
      </c>
      <c r="AB82" s="8">
        <f t="shared" si="18"/>
        <v>0</v>
      </c>
      <c r="AC82" s="8">
        <f t="shared" si="18"/>
        <v>0</v>
      </c>
      <c r="AD82" s="8">
        <f t="shared" si="18"/>
        <v>0</v>
      </c>
      <c r="AE82" s="8">
        <f t="shared" si="18"/>
        <v>0</v>
      </c>
      <c r="AF82" s="8">
        <f t="shared" si="18"/>
        <v>0</v>
      </c>
      <c r="AG82" s="8">
        <f t="shared" si="18"/>
        <v>0</v>
      </c>
      <c r="AH82" s="8">
        <f t="shared" si="18"/>
        <v>0</v>
      </c>
      <c r="AI82" s="8">
        <f t="shared" si="18"/>
        <v>0</v>
      </c>
      <c r="AJ82" s="125">
        <f t="shared" si="15"/>
        <v>0</v>
      </c>
    </row>
    <row r="83" spans="2:36" x14ac:dyDescent="0.25">
      <c r="B83">
        <f>G4</f>
        <v>2021</v>
      </c>
      <c r="C83" s="8"/>
      <c r="D83" s="8"/>
      <c r="E83" s="8"/>
      <c r="F83" s="8"/>
      <c r="G83" s="8">
        <f>IF(G$4-$B83-$C$72&lt;0,SLN($F75,0,$C$72),0)</f>
        <v>0</v>
      </c>
      <c r="H83" s="8">
        <f t="shared" ref="H83:AI83" si="19">IF(H$4-$B83-$C$72&lt;0,SLN($F75,0,$C$72),0)</f>
        <v>0</v>
      </c>
      <c r="I83" s="8">
        <f t="shared" si="19"/>
        <v>0</v>
      </c>
      <c r="J83" s="8">
        <f t="shared" si="19"/>
        <v>0</v>
      </c>
      <c r="K83" s="8">
        <f t="shared" si="19"/>
        <v>0</v>
      </c>
      <c r="L83" s="8">
        <f t="shared" si="19"/>
        <v>0</v>
      </c>
      <c r="M83" s="8">
        <f t="shared" si="19"/>
        <v>0</v>
      </c>
      <c r="N83" s="8">
        <f t="shared" si="19"/>
        <v>0</v>
      </c>
      <c r="O83" s="8">
        <f t="shared" si="19"/>
        <v>0</v>
      </c>
      <c r="P83" s="8">
        <f t="shared" si="19"/>
        <v>0</v>
      </c>
      <c r="Q83" s="8">
        <f t="shared" si="19"/>
        <v>0</v>
      </c>
      <c r="R83" s="8">
        <f t="shared" si="19"/>
        <v>0</v>
      </c>
      <c r="S83" s="8">
        <f t="shared" si="19"/>
        <v>0</v>
      </c>
      <c r="T83" s="8">
        <f t="shared" si="19"/>
        <v>0</v>
      </c>
      <c r="U83" s="8">
        <f t="shared" si="19"/>
        <v>0</v>
      </c>
      <c r="V83" s="8">
        <f t="shared" si="19"/>
        <v>0</v>
      </c>
      <c r="W83" s="8">
        <f t="shared" si="19"/>
        <v>0</v>
      </c>
      <c r="X83" s="8">
        <f t="shared" si="19"/>
        <v>0</v>
      </c>
      <c r="Y83" s="8">
        <f t="shared" si="19"/>
        <v>0</v>
      </c>
      <c r="Z83" s="8">
        <f t="shared" si="19"/>
        <v>0</v>
      </c>
      <c r="AA83" s="8">
        <f t="shared" si="19"/>
        <v>0</v>
      </c>
      <c r="AB83" s="8">
        <f t="shared" si="19"/>
        <v>0</v>
      </c>
      <c r="AC83" s="8">
        <f t="shared" si="19"/>
        <v>0</v>
      </c>
      <c r="AD83" s="8">
        <f t="shared" si="19"/>
        <v>0</v>
      </c>
      <c r="AE83" s="8">
        <f t="shared" si="19"/>
        <v>0</v>
      </c>
      <c r="AF83" s="8">
        <f t="shared" si="19"/>
        <v>0</v>
      </c>
      <c r="AG83" s="8">
        <f t="shared" si="19"/>
        <v>0</v>
      </c>
      <c r="AH83" s="8">
        <f t="shared" si="19"/>
        <v>0</v>
      </c>
      <c r="AI83" s="8">
        <f t="shared" si="19"/>
        <v>0</v>
      </c>
      <c r="AJ83" s="125">
        <f t="shared" si="15"/>
        <v>0</v>
      </c>
    </row>
    <row r="84" spans="2:36" x14ac:dyDescent="0.25">
      <c r="B84">
        <f>H4</f>
        <v>2022</v>
      </c>
      <c r="C84" s="8"/>
      <c r="D84" s="8"/>
      <c r="E84" s="8"/>
      <c r="F84" s="8"/>
      <c r="G84" s="8"/>
      <c r="H84" s="8">
        <f>IF(H$4-$B84-$C$72&lt;0,SLN($H74,0,$C$72),0)</f>
        <v>0</v>
      </c>
      <c r="I84" s="8">
        <f t="shared" ref="I84:AI85" si="20">IF(I$4-$B84-$C$72&lt;0,SLN($H74,0,$C$72),0)</f>
        <v>0</v>
      </c>
      <c r="J84" s="8">
        <f t="shared" si="20"/>
        <v>0</v>
      </c>
      <c r="K84" s="8">
        <f t="shared" si="20"/>
        <v>0</v>
      </c>
      <c r="L84" s="8">
        <f t="shared" si="20"/>
        <v>0</v>
      </c>
      <c r="M84" s="8">
        <f t="shared" si="20"/>
        <v>0</v>
      </c>
      <c r="N84" s="8">
        <f t="shared" si="20"/>
        <v>0</v>
      </c>
      <c r="O84" s="8">
        <f t="shared" si="20"/>
        <v>0</v>
      </c>
      <c r="P84" s="8">
        <f t="shared" si="20"/>
        <v>0</v>
      </c>
      <c r="Q84" s="8">
        <f t="shared" si="20"/>
        <v>0</v>
      </c>
      <c r="R84" s="8">
        <f t="shared" si="20"/>
        <v>0</v>
      </c>
      <c r="S84" s="8">
        <f t="shared" si="20"/>
        <v>0</v>
      </c>
      <c r="T84" s="8">
        <f t="shared" si="20"/>
        <v>0</v>
      </c>
      <c r="U84" s="8">
        <f t="shared" si="20"/>
        <v>0</v>
      </c>
      <c r="V84" s="8">
        <f t="shared" si="20"/>
        <v>0</v>
      </c>
      <c r="W84" s="8">
        <f t="shared" si="20"/>
        <v>0</v>
      </c>
      <c r="X84" s="8">
        <f t="shared" si="20"/>
        <v>0</v>
      </c>
      <c r="Y84" s="8">
        <f t="shared" si="20"/>
        <v>0</v>
      </c>
      <c r="Z84" s="8">
        <f t="shared" si="20"/>
        <v>0</v>
      </c>
      <c r="AA84" s="8">
        <f t="shared" si="20"/>
        <v>0</v>
      </c>
      <c r="AB84" s="8">
        <f t="shared" si="20"/>
        <v>0</v>
      </c>
      <c r="AC84" s="8">
        <f t="shared" si="20"/>
        <v>0</v>
      </c>
      <c r="AD84" s="8">
        <f t="shared" si="20"/>
        <v>0</v>
      </c>
      <c r="AE84" s="8">
        <f t="shared" si="20"/>
        <v>0</v>
      </c>
      <c r="AF84" s="8">
        <f t="shared" si="20"/>
        <v>0</v>
      </c>
      <c r="AG84" s="8">
        <f t="shared" si="20"/>
        <v>0</v>
      </c>
      <c r="AH84" s="8">
        <f t="shared" si="20"/>
        <v>0</v>
      </c>
      <c r="AI84" s="8">
        <f t="shared" si="20"/>
        <v>0</v>
      </c>
      <c r="AJ84" s="125">
        <f t="shared" si="15"/>
        <v>0</v>
      </c>
    </row>
    <row r="85" spans="2:36" x14ac:dyDescent="0.25">
      <c r="B85">
        <f>I4</f>
        <v>2023</v>
      </c>
      <c r="C85" s="8"/>
      <c r="D85" s="8"/>
      <c r="E85" s="8"/>
      <c r="F85" s="8"/>
      <c r="G85" s="8"/>
      <c r="H85" s="8"/>
      <c r="I85" s="8">
        <f t="shared" si="20"/>
        <v>0</v>
      </c>
      <c r="J85" s="8">
        <f t="shared" si="20"/>
        <v>0</v>
      </c>
      <c r="K85" s="8">
        <f t="shared" si="20"/>
        <v>0</v>
      </c>
      <c r="L85" s="8">
        <f t="shared" si="20"/>
        <v>0</v>
      </c>
      <c r="M85" s="8">
        <f t="shared" si="20"/>
        <v>0</v>
      </c>
      <c r="N85" s="8">
        <f t="shared" si="20"/>
        <v>0</v>
      </c>
      <c r="O85" s="8">
        <f t="shared" si="20"/>
        <v>0</v>
      </c>
      <c r="P85" s="8">
        <f t="shared" si="20"/>
        <v>0</v>
      </c>
      <c r="Q85" s="8">
        <f t="shared" si="20"/>
        <v>0</v>
      </c>
      <c r="R85" s="8">
        <f t="shared" si="20"/>
        <v>0</v>
      </c>
      <c r="S85" s="8">
        <f t="shared" si="20"/>
        <v>0</v>
      </c>
      <c r="T85" s="8">
        <f t="shared" si="20"/>
        <v>0</v>
      </c>
      <c r="U85" s="8">
        <f t="shared" si="20"/>
        <v>0</v>
      </c>
      <c r="V85" s="8">
        <f t="shared" si="20"/>
        <v>0</v>
      </c>
      <c r="W85" s="8">
        <f t="shared" si="20"/>
        <v>0</v>
      </c>
      <c r="X85" s="8">
        <f t="shared" si="20"/>
        <v>0</v>
      </c>
      <c r="Y85" s="8">
        <f t="shared" si="20"/>
        <v>0</v>
      </c>
      <c r="Z85" s="8">
        <f t="shared" si="20"/>
        <v>0</v>
      </c>
      <c r="AA85" s="8">
        <f t="shared" si="20"/>
        <v>0</v>
      </c>
      <c r="AB85" s="8">
        <f t="shared" si="20"/>
        <v>0</v>
      </c>
      <c r="AC85" s="8">
        <f t="shared" si="20"/>
        <v>0</v>
      </c>
      <c r="AD85" s="8">
        <f t="shared" si="20"/>
        <v>0</v>
      </c>
      <c r="AE85" s="8">
        <f t="shared" si="20"/>
        <v>0</v>
      </c>
      <c r="AF85" s="8">
        <f t="shared" si="20"/>
        <v>0</v>
      </c>
      <c r="AG85" s="8">
        <f t="shared" si="20"/>
        <v>0</v>
      </c>
      <c r="AH85" s="8">
        <f t="shared" si="20"/>
        <v>0</v>
      </c>
      <c r="AI85" s="8">
        <f t="shared" si="20"/>
        <v>0</v>
      </c>
      <c r="AJ85" s="125">
        <f t="shared" si="15"/>
        <v>0</v>
      </c>
    </row>
    <row r="86" spans="2:36" x14ac:dyDescent="0.25">
      <c r="B86">
        <f>J4</f>
        <v>2024</v>
      </c>
      <c r="C86" s="8"/>
      <c r="D86" s="8"/>
      <c r="E86" s="8"/>
      <c r="F86" s="8"/>
      <c r="G86" s="8"/>
      <c r="H86" s="8"/>
      <c r="I86" s="8"/>
      <c r="J86" s="8">
        <f>IF(J$4-$B86-$C$72&lt;0,SLN($J74,0,$C$72),0)</f>
        <v>0</v>
      </c>
      <c r="K86" s="8">
        <f t="shared" ref="K86:AI86" si="21">IF(K$4-$B86-$C$72&lt;0,SLN($J74,0,$C$72),0)</f>
        <v>0</v>
      </c>
      <c r="L86" s="8">
        <f t="shared" si="21"/>
        <v>0</v>
      </c>
      <c r="M86" s="8">
        <f t="shared" si="21"/>
        <v>0</v>
      </c>
      <c r="N86" s="8">
        <f t="shared" si="21"/>
        <v>0</v>
      </c>
      <c r="O86" s="8">
        <f t="shared" si="21"/>
        <v>0</v>
      </c>
      <c r="P86" s="8">
        <f t="shared" si="21"/>
        <v>0</v>
      </c>
      <c r="Q86" s="8">
        <f t="shared" si="21"/>
        <v>0</v>
      </c>
      <c r="R86" s="8">
        <f t="shared" si="21"/>
        <v>0</v>
      </c>
      <c r="S86" s="8">
        <f t="shared" si="21"/>
        <v>0</v>
      </c>
      <c r="T86" s="8">
        <f t="shared" si="21"/>
        <v>0</v>
      </c>
      <c r="U86" s="8">
        <f t="shared" si="21"/>
        <v>0</v>
      </c>
      <c r="V86" s="8">
        <f t="shared" si="21"/>
        <v>0</v>
      </c>
      <c r="W86" s="8">
        <f t="shared" si="21"/>
        <v>0</v>
      </c>
      <c r="X86" s="8">
        <f t="shared" si="21"/>
        <v>0</v>
      </c>
      <c r="Y86" s="8">
        <f t="shared" si="21"/>
        <v>0</v>
      </c>
      <c r="Z86" s="8">
        <f t="shared" si="21"/>
        <v>0</v>
      </c>
      <c r="AA86" s="8">
        <f t="shared" si="21"/>
        <v>0</v>
      </c>
      <c r="AB86" s="8">
        <f t="shared" si="21"/>
        <v>0</v>
      </c>
      <c r="AC86" s="8">
        <f t="shared" si="21"/>
        <v>0</v>
      </c>
      <c r="AD86" s="8">
        <f t="shared" si="21"/>
        <v>0</v>
      </c>
      <c r="AE86" s="8">
        <f t="shared" si="21"/>
        <v>0</v>
      </c>
      <c r="AF86" s="8">
        <f t="shared" si="21"/>
        <v>0</v>
      </c>
      <c r="AG86" s="8">
        <f t="shared" si="21"/>
        <v>0</v>
      </c>
      <c r="AH86" s="8">
        <f t="shared" si="21"/>
        <v>0</v>
      </c>
      <c r="AI86" s="8">
        <f t="shared" si="21"/>
        <v>0</v>
      </c>
      <c r="AJ86" s="125">
        <f t="shared" si="15"/>
        <v>0</v>
      </c>
    </row>
    <row r="87" spans="2:36" x14ac:dyDescent="0.25">
      <c r="B87">
        <f>K4</f>
        <v>2025</v>
      </c>
      <c r="C87" s="8"/>
      <c r="D87" s="8"/>
      <c r="E87" s="8"/>
      <c r="F87" s="8"/>
      <c r="G87" s="8"/>
      <c r="H87" s="8"/>
      <c r="I87" s="8"/>
      <c r="J87" s="8"/>
      <c r="K87" s="8">
        <f>IF(K$4-$B87-$C$72&lt;0,SLN($K74,0,$C$72),0)</f>
        <v>0</v>
      </c>
      <c r="L87" s="8">
        <f t="shared" ref="L87:AI87" si="22">IF(L$4-$B87-$C$72&lt;0,SLN($K74,0,$C$72),0)</f>
        <v>0</v>
      </c>
      <c r="M87" s="8">
        <f t="shared" si="22"/>
        <v>0</v>
      </c>
      <c r="N87" s="8">
        <f t="shared" si="22"/>
        <v>0</v>
      </c>
      <c r="O87" s="8">
        <f t="shared" si="22"/>
        <v>0</v>
      </c>
      <c r="P87" s="8">
        <f t="shared" si="22"/>
        <v>0</v>
      </c>
      <c r="Q87" s="8">
        <f t="shared" si="22"/>
        <v>0</v>
      </c>
      <c r="R87" s="8">
        <f t="shared" si="22"/>
        <v>0</v>
      </c>
      <c r="S87" s="8">
        <f t="shared" si="22"/>
        <v>0</v>
      </c>
      <c r="T87" s="8">
        <f t="shared" si="22"/>
        <v>0</v>
      </c>
      <c r="U87" s="8">
        <f t="shared" si="22"/>
        <v>0</v>
      </c>
      <c r="V87" s="8">
        <f t="shared" si="22"/>
        <v>0</v>
      </c>
      <c r="W87" s="8">
        <f t="shared" si="22"/>
        <v>0</v>
      </c>
      <c r="X87" s="8">
        <f t="shared" si="22"/>
        <v>0</v>
      </c>
      <c r="Y87" s="8">
        <f t="shared" si="22"/>
        <v>0</v>
      </c>
      <c r="Z87" s="8">
        <f t="shared" si="22"/>
        <v>0</v>
      </c>
      <c r="AA87" s="8">
        <f t="shared" si="22"/>
        <v>0</v>
      </c>
      <c r="AB87" s="8">
        <f t="shared" si="22"/>
        <v>0</v>
      </c>
      <c r="AC87" s="8">
        <f t="shared" si="22"/>
        <v>0</v>
      </c>
      <c r="AD87" s="8">
        <f t="shared" si="22"/>
        <v>0</v>
      </c>
      <c r="AE87" s="8">
        <f t="shared" si="22"/>
        <v>0</v>
      </c>
      <c r="AF87" s="8">
        <f t="shared" si="22"/>
        <v>0</v>
      </c>
      <c r="AG87" s="8">
        <f t="shared" si="22"/>
        <v>0</v>
      </c>
      <c r="AH87" s="8">
        <f t="shared" si="22"/>
        <v>0</v>
      </c>
      <c r="AI87" s="8">
        <f t="shared" si="22"/>
        <v>0</v>
      </c>
      <c r="AJ87" s="125">
        <f t="shared" si="15"/>
        <v>0</v>
      </c>
    </row>
    <row r="88" spans="2:36" x14ac:dyDescent="0.25">
      <c r="B88">
        <f>L4</f>
        <v>2026</v>
      </c>
      <c r="C88" s="8"/>
      <c r="D88" s="8"/>
      <c r="E88" s="8"/>
      <c r="F88" s="8"/>
      <c r="G88" s="8"/>
      <c r="H88" s="8"/>
      <c r="I88" s="8"/>
      <c r="J88" s="8"/>
      <c r="K88" s="8"/>
      <c r="L88" s="8">
        <f>IF(L$4-$B88-$C$72&lt;0,SLN($L74,0,$C$72),0)</f>
        <v>0</v>
      </c>
      <c r="M88" s="8">
        <f t="shared" ref="M88:AI88" si="23">IF(M$4-$B88-$C$72&lt;0,SLN($L74,0,$C$72),0)</f>
        <v>0</v>
      </c>
      <c r="N88" s="8">
        <f t="shared" si="23"/>
        <v>0</v>
      </c>
      <c r="O88" s="8">
        <f t="shared" si="23"/>
        <v>0</v>
      </c>
      <c r="P88" s="8">
        <f t="shared" si="23"/>
        <v>0</v>
      </c>
      <c r="Q88" s="8">
        <f t="shared" si="23"/>
        <v>0</v>
      </c>
      <c r="R88" s="8">
        <f t="shared" si="23"/>
        <v>0</v>
      </c>
      <c r="S88" s="8">
        <f t="shared" si="23"/>
        <v>0</v>
      </c>
      <c r="T88" s="8">
        <f t="shared" si="23"/>
        <v>0</v>
      </c>
      <c r="U88" s="8">
        <f t="shared" si="23"/>
        <v>0</v>
      </c>
      <c r="V88" s="8">
        <f t="shared" si="23"/>
        <v>0</v>
      </c>
      <c r="W88" s="8">
        <f t="shared" si="23"/>
        <v>0</v>
      </c>
      <c r="X88" s="8">
        <f t="shared" si="23"/>
        <v>0</v>
      </c>
      <c r="Y88" s="8">
        <f t="shared" si="23"/>
        <v>0</v>
      </c>
      <c r="Z88" s="8">
        <f t="shared" si="23"/>
        <v>0</v>
      </c>
      <c r="AA88" s="8">
        <f t="shared" si="23"/>
        <v>0</v>
      </c>
      <c r="AB88" s="8">
        <f t="shared" si="23"/>
        <v>0</v>
      </c>
      <c r="AC88" s="8">
        <f t="shared" si="23"/>
        <v>0</v>
      </c>
      <c r="AD88" s="8">
        <f t="shared" si="23"/>
        <v>0</v>
      </c>
      <c r="AE88" s="8">
        <f t="shared" si="23"/>
        <v>0</v>
      </c>
      <c r="AF88" s="8">
        <f t="shared" si="23"/>
        <v>0</v>
      </c>
      <c r="AG88" s="8">
        <f t="shared" si="23"/>
        <v>0</v>
      </c>
      <c r="AH88" s="8">
        <f t="shared" si="23"/>
        <v>0</v>
      </c>
      <c r="AI88" s="8">
        <f t="shared" si="23"/>
        <v>0</v>
      </c>
      <c r="AJ88" s="125">
        <f t="shared" si="15"/>
        <v>0</v>
      </c>
    </row>
    <row r="89" spans="2:36" x14ac:dyDescent="0.25">
      <c r="B89">
        <f>M4</f>
        <v>2027</v>
      </c>
      <c r="C89" s="8"/>
      <c r="D89" s="8"/>
      <c r="E89" s="8"/>
      <c r="F89" s="8"/>
      <c r="G89" s="8"/>
      <c r="H89" s="8"/>
      <c r="I89" s="8"/>
      <c r="J89" s="8"/>
      <c r="K89" s="8"/>
      <c r="L89" s="8"/>
      <c r="M89" s="8">
        <f>IF(M$4-$B89-$C$72&lt;0,SLN($M74,0,$C$72),0)</f>
        <v>0</v>
      </c>
      <c r="N89" s="8">
        <f t="shared" ref="N89:AI89" si="24">IF(N$4-$B89-$C$72&lt;0,SLN($M74,0,$C$72),0)</f>
        <v>0</v>
      </c>
      <c r="O89" s="8">
        <f t="shared" si="24"/>
        <v>0</v>
      </c>
      <c r="P89" s="8">
        <f t="shared" si="24"/>
        <v>0</v>
      </c>
      <c r="Q89" s="8">
        <f t="shared" si="24"/>
        <v>0</v>
      </c>
      <c r="R89" s="8">
        <f t="shared" si="24"/>
        <v>0</v>
      </c>
      <c r="S89" s="8">
        <f t="shared" si="24"/>
        <v>0</v>
      </c>
      <c r="T89" s="8">
        <f t="shared" si="24"/>
        <v>0</v>
      </c>
      <c r="U89" s="8">
        <f t="shared" si="24"/>
        <v>0</v>
      </c>
      <c r="V89" s="8">
        <f t="shared" si="24"/>
        <v>0</v>
      </c>
      <c r="W89" s="8">
        <f t="shared" si="24"/>
        <v>0</v>
      </c>
      <c r="X89" s="8">
        <f t="shared" si="24"/>
        <v>0</v>
      </c>
      <c r="Y89" s="8">
        <f t="shared" si="24"/>
        <v>0</v>
      </c>
      <c r="Z89" s="8">
        <f t="shared" si="24"/>
        <v>0</v>
      </c>
      <c r="AA89" s="8">
        <f t="shared" si="24"/>
        <v>0</v>
      </c>
      <c r="AB89" s="8">
        <f t="shared" si="24"/>
        <v>0</v>
      </c>
      <c r="AC89" s="8">
        <f t="shared" si="24"/>
        <v>0</v>
      </c>
      <c r="AD89" s="8">
        <f t="shared" si="24"/>
        <v>0</v>
      </c>
      <c r="AE89" s="8">
        <f t="shared" si="24"/>
        <v>0</v>
      </c>
      <c r="AF89" s="8">
        <f t="shared" si="24"/>
        <v>0</v>
      </c>
      <c r="AG89" s="8">
        <f t="shared" si="24"/>
        <v>0</v>
      </c>
      <c r="AH89" s="8">
        <f t="shared" si="24"/>
        <v>0</v>
      </c>
      <c r="AI89" s="8">
        <f t="shared" si="24"/>
        <v>0</v>
      </c>
      <c r="AJ89" s="125">
        <f t="shared" si="15"/>
        <v>0</v>
      </c>
    </row>
    <row r="90" spans="2:36" x14ac:dyDescent="0.25">
      <c r="B90">
        <f>N4</f>
        <v>2028</v>
      </c>
      <c r="C90" s="8"/>
      <c r="D90" s="8"/>
      <c r="E90" s="8"/>
      <c r="F90" s="8"/>
      <c r="G90" s="8"/>
      <c r="H90" s="8"/>
      <c r="I90" s="8"/>
      <c r="J90" s="8"/>
      <c r="K90" s="8"/>
      <c r="L90" s="8"/>
      <c r="M90" s="8"/>
      <c r="N90" s="8">
        <f>IF(N$4-$B90-$C$72&lt;0,SLN($N74,0,$C$72),0)</f>
        <v>0</v>
      </c>
      <c r="O90" s="8">
        <f t="shared" ref="O90:AI90" si="25">IF(O$4-$B90-$C$72&lt;0,SLN($N74,0,$C$72),0)</f>
        <v>0</v>
      </c>
      <c r="P90" s="8">
        <f t="shared" si="25"/>
        <v>0</v>
      </c>
      <c r="Q90" s="8">
        <f t="shared" si="25"/>
        <v>0</v>
      </c>
      <c r="R90" s="8">
        <f t="shared" si="25"/>
        <v>0</v>
      </c>
      <c r="S90" s="8">
        <f t="shared" si="25"/>
        <v>0</v>
      </c>
      <c r="T90" s="8">
        <f t="shared" si="25"/>
        <v>0</v>
      </c>
      <c r="U90" s="8">
        <f t="shared" si="25"/>
        <v>0</v>
      </c>
      <c r="V90" s="8">
        <f t="shared" si="25"/>
        <v>0</v>
      </c>
      <c r="W90" s="8">
        <f t="shared" si="25"/>
        <v>0</v>
      </c>
      <c r="X90" s="8">
        <f t="shared" si="25"/>
        <v>0</v>
      </c>
      <c r="Y90" s="8">
        <f t="shared" si="25"/>
        <v>0</v>
      </c>
      <c r="Z90" s="8">
        <f t="shared" si="25"/>
        <v>0</v>
      </c>
      <c r="AA90" s="8">
        <f t="shared" si="25"/>
        <v>0</v>
      </c>
      <c r="AB90" s="8">
        <f t="shared" si="25"/>
        <v>0</v>
      </c>
      <c r="AC90" s="8">
        <f t="shared" si="25"/>
        <v>0</v>
      </c>
      <c r="AD90" s="8">
        <f t="shared" si="25"/>
        <v>0</v>
      </c>
      <c r="AE90" s="8">
        <f t="shared" si="25"/>
        <v>0</v>
      </c>
      <c r="AF90" s="8">
        <f t="shared" si="25"/>
        <v>0</v>
      </c>
      <c r="AG90" s="8">
        <f t="shared" si="25"/>
        <v>0</v>
      </c>
      <c r="AH90" s="8">
        <f t="shared" si="25"/>
        <v>0</v>
      </c>
      <c r="AI90" s="8">
        <f t="shared" si="25"/>
        <v>0</v>
      </c>
      <c r="AJ90" s="125">
        <f t="shared" si="15"/>
        <v>0</v>
      </c>
    </row>
    <row r="91" spans="2:36" x14ac:dyDescent="0.25">
      <c r="B91">
        <f>O4</f>
        <v>2029</v>
      </c>
      <c r="C91" s="8"/>
      <c r="D91" s="8"/>
      <c r="E91" s="8"/>
      <c r="F91" s="8"/>
      <c r="G91" s="8"/>
      <c r="H91" s="8"/>
      <c r="I91" s="8"/>
      <c r="J91" s="8"/>
      <c r="K91" s="8"/>
      <c r="L91" s="8"/>
      <c r="M91" s="8"/>
      <c r="N91" s="8"/>
      <c r="O91" s="8">
        <f>IF(O$4-$B91-$C$72&lt;0,SLN($O74,0,$C$72),0)</f>
        <v>0</v>
      </c>
      <c r="P91" s="8">
        <f t="shared" ref="P91:AI91" si="26">IF(P$4-$B91-$C$72&lt;0,SLN($O74,0,$C$72),0)</f>
        <v>0</v>
      </c>
      <c r="Q91" s="8">
        <f t="shared" si="26"/>
        <v>0</v>
      </c>
      <c r="R91" s="8">
        <f t="shared" si="26"/>
        <v>0</v>
      </c>
      <c r="S91" s="8">
        <f t="shared" si="26"/>
        <v>0</v>
      </c>
      <c r="T91" s="8">
        <f t="shared" si="26"/>
        <v>0</v>
      </c>
      <c r="U91" s="8">
        <f t="shared" si="26"/>
        <v>0</v>
      </c>
      <c r="V91" s="8">
        <f t="shared" si="26"/>
        <v>0</v>
      </c>
      <c r="W91" s="8">
        <f t="shared" si="26"/>
        <v>0</v>
      </c>
      <c r="X91" s="8">
        <f t="shared" si="26"/>
        <v>0</v>
      </c>
      <c r="Y91" s="8">
        <f t="shared" si="26"/>
        <v>0</v>
      </c>
      <c r="Z91" s="8">
        <f t="shared" si="26"/>
        <v>0</v>
      </c>
      <c r="AA91" s="8">
        <f t="shared" si="26"/>
        <v>0</v>
      </c>
      <c r="AB91" s="8">
        <f t="shared" si="26"/>
        <v>0</v>
      </c>
      <c r="AC91" s="8">
        <f t="shared" si="26"/>
        <v>0</v>
      </c>
      <c r="AD91" s="8">
        <f t="shared" si="26"/>
        <v>0</v>
      </c>
      <c r="AE91" s="8">
        <f t="shared" si="26"/>
        <v>0</v>
      </c>
      <c r="AF91" s="8">
        <f t="shared" si="26"/>
        <v>0</v>
      </c>
      <c r="AG91" s="8">
        <f t="shared" si="26"/>
        <v>0</v>
      </c>
      <c r="AH91" s="8">
        <f t="shared" si="26"/>
        <v>0</v>
      </c>
      <c r="AI91" s="8">
        <f t="shared" si="26"/>
        <v>0</v>
      </c>
      <c r="AJ91" s="125">
        <f t="shared" si="15"/>
        <v>0</v>
      </c>
    </row>
    <row r="92" spans="2:36" x14ac:dyDescent="0.25">
      <c r="B92">
        <f>P4</f>
        <v>2030</v>
      </c>
      <c r="C92" s="8"/>
      <c r="D92" s="8"/>
      <c r="E92" s="8"/>
      <c r="F92" s="8"/>
      <c r="G92" s="8"/>
      <c r="H92" s="8"/>
      <c r="I92" s="8"/>
      <c r="J92" s="8"/>
      <c r="K92" s="8"/>
      <c r="L92" s="8"/>
      <c r="M92" s="8"/>
      <c r="N92" s="8"/>
      <c r="O92" s="8"/>
      <c r="P92" s="8">
        <f>IF(P$4-$B92-$C$72&lt;0,SLN($P74,0,$C$72),0)</f>
        <v>0</v>
      </c>
      <c r="Q92" s="8">
        <f t="shared" ref="Q92:AI92" si="27">IF(Q$4-$B92-$C$72&lt;0,SLN($P74,0,$C$72),0)</f>
        <v>0</v>
      </c>
      <c r="R92" s="8">
        <f t="shared" si="27"/>
        <v>0</v>
      </c>
      <c r="S92" s="8">
        <f t="shared" si="27"/>
        <v>0</v>
      </c>
      <c r="T92" s="8">
        <f t="shared" si="27"/>
        <v>0</v>
      </c>
      <c r="U92" s="8">
        <f t="shared" si="27"/>
        <v>0</v>
      </c>
      <c r="V92" s="8">
        <f t="shared" si="27"/>
        <v>0</v>
      </c>
      <c r="W92" s="8">
        <f t="shared" si="27"/>
        <v>0</v>
      </c>
      <c r="X92" s="8">
        <f t="shared" si="27"/>
        <v>0</v>
      </c>
      <c r="Y92" s="8">
        <f t="shared" si="27"/>
        <v>0</v>
      </c>
      <c r="Z92" s="8">
        <f t="shared" si="27"/>
        <v>0</v>
      </c>
      <c r="AA92" s="8">
        <f t="shared" si="27"/>
        <v>0</v>
      </c>
      <c r="AB92" s="8">
        <f t="shared" si="27"/>
        <v>0</v>
      </c>
      <c r="AC92" s="8">
        <f t="shared" si="27"/>
        <v>0</v>
      </c>
      <c r="AD92" s="8">
        <f t="shared" si="27"/>
        <v>0</v>
      </c>
      <c r="AE92" s="8">
        <f t="shared" si="27"/>
        <v>0</v>
      </c>
      <c r="AF92" s="8">
        <f t="shared" si="27"/>
        <v>0</v>
      </c>
      <c r="AG92" s="8">
        <f t="shared" si="27"/>
        <v>0</v>
      </c>
      <c r="AH92" s="8">
        <f t="shared" si="27"/>
        <v>0</v>
      </c>
      <c r="AI92" s="8">
        <f t="shared" si="27"/>
        <v>0</v>
      </c>
      <c r="AJ92" s="125">
        <f t="shared" si="15"/>
        <v>0</v>
      </c>
    </row>
    <row r="93" spans="2:36" x14ac:dyDescent="0.25">
      <c r="B93">
        <f>Q4</f>
        <v>2031</v>
      </c>
      <c r="C93" s="8"/>
      <c r="D93" s="8"/>
      <c r="E93" s="8"/>
      <c r="F93" s="8"/>
      <c r="G93" s="8"/>
      <c r="H93" s="8"/>
      <c r="I93" s="8"/>
      <c r="J93" s="8"/>
      <c r="K93" s="8"/>
      <c r="L93" s="8"/>
      <c r="M93" s="8"/>
      <c r="N93" s="8"/>
      <c r="O93" s="8"/>
      <c r="P93" s="8"/>
      <c r="Q93" s="8">
        <f>IF(Q$4-$B93-$C$72&lt;0,SLN($Q74,0,$C$72),0)</f>
        <v>0</v>
      </c>
      <c r="R93" s="8">
        <f t="shared" ref="R93:AI93" si="28">IF(R$4-$B93-$C$72&lt;0,SLN($Q74,0,$C$72),0)</f>
        <v>0</v>
      </c>
      <c r="S93" s="8">
        <f t="shared" si="28"/>
        <v>0</v>
      </c>
      <c r="T93" s="8">
        <f t="shared" si="28"/>
        <v>0</v>
      </c>
      <c r="U93" s="8">
        <f t="shared" si="28"/>
        <v>0</v>
      </c>
      <c r="V93" s="8">
        <f t="shared" si="28"/>
        <v>0</v>
      </c>
      <c r="W93" s="8">
        <f t="shared" si="28"/>
        <v>0</v>
      </c>
      <c r="X93" s="8">
        <f t="shared" si="28"/>
        <v>0</v>
      </c>
      <c r="Y93" s="8">
        <f t="shared" si="28"/>
        <v>0</v>
      </c>
      <c r="Z93" s="8">
        <f t="shared" si="28"/>
        <v>0</v>
      </c>
      <c r="AA93" s="8">
        <f t="shared" si="28"/>
        <v>0</v>
      </c>
      <c r="AB93" s="8">
        <f t="shared" si="28"/>
        <v>0</v>
      </c>
      <c r="AC93" s="8">
        <f t="shared" si="28"/>
        <v>0</v>
      </c>
      <c r="AD93" s="8">
        <f t="shared" si="28"/>
        <v>0</v>
      </c>
      <c r="AE93" s="8">
        <f t="shared" si="28"/>
        <v>0</v>
      </c>
      <c r="AF93" s="8">
        <f t="shared" si="28"/>
        <v>0</v>
      </c>
      <c r="AG93" s="8">
        <f t="shared" si="28"/>
        <v>0</v>
      </c>
      <c r="AH93" s="8">
        <f t="shared" si="28"/>
        <v>0</v>
      </c>
      <c r="AI93" s="8">
        <f t="shared" si="28"/>
        <v>0</v>
      </c>
      <c r="AJ93" s="125">
        <f t="shared" si="15"/>
        <v>0</v>
      </c>
    </row>
    <row r="94" spans="2:36" x14ac:dyDescent="0.25">
      <c r="B94">
        <f>R4</f>
        <v>2032</v>
      </c>
      <c r="C94" s="8"/>
      <c r="D94" s="8"/>
      <c r="E94" s="8"/>
      <c r="F94" s="8"/>
      <c r="G94" s="8"/>
      <c r="H94" s="8"/>
      <c r="I94" s="8"/>
      <c r="J94" s="8"/>
      <c r="K94" s="8"/>
      <c r="L94" s="8"/>
      <c r="M94" s="8"/>
      <c r="N94" s="8"/>
      <c r="O94" s="8"/>
      <c r="P94" s="8"/>
      <c r="Q94" s="8"/>
      <c r="R94" s="8">
        <f>IF(R$4-$B94-$C$72&lt;0,SLN($R74,0,$C$72),0)</f>
        <v>0</v>
      </c>
      <c r="S94" s="8">
        <f t="shared" ref="S94:AI94" si="29">IF(S$4-$B94-$C$72&lt;0,SLN($R74,0,$C$72),0)</f>
        <v>0</v>
      </c>
      <c r="T94" s="8">
        <f t="shared" si="29"/>
        <v>0</v>
      </c>
      <c r="U94" s="8">
        <f t="shared" si="29"/>
        <v>0</v>
      </c>
      <c r="V94" s="8">
        <f t="shared" si="29"/>
        <v>0</v>
      </c>
      <c r="W94" s="8">
        <f t="shared" si="29"/>
        <v>0</v>
      </c>
      <c r="X94" s="8">
        <f t="shared" si="29"/>
        <v>0</v>
      </c>
      <c r="Y94" s="8">
        <f t="shared" si="29"/>
        <v>0</v>
      </c>
      <c r="Z94" s="8">
        <f t="shared" si="29"/>
        <v>0</v>
      </c>
      <c r="AA94" s="8">
        <f t="shared" si="29"/>
        <v>0</v>
      </c>
      <c r="AB94" s="8">
        <f t="shared" si="29"/>
        <v>0</v>
      </c>
      <c r="AC94" s="8">
        <f t="shared" si="29"/>
        <v>0</v>
      </c>
      <c r="AD94" s="8">
        <f t="shared" si="29"/>
        <v>0</v>
      </c>
      <c r="AE94" s="8">
        <f t="shared" si="29"/>
        <v>0</v>
      </c>
      <c r="AF94" s="8">
        <f t="shared" si="29"/>
        <v>0</v>
      </c>
      <c r="AG94" s="8">
        <f t="shared" si="29"/>
        <v>0</v>
      </c>
      <c r="AH94" s="8">
        <f t="shared" si="29"/>
        <v>0</v>
      </c>
      <c r="AI94" s="8">
        <f t="shared" si="29"/>
        <v>0</v>
      </c>
      <c r="AJ94" s="125">
        <f t="shared" si="15"/>
        <v>0</v>
      </c>
    </row>
    <row r="95" spans="2:36" x14ac:dyDescent="0.25">
      <c r="B95">
        <f>S4</f>
        <v>2033</v>
      </c>
      <c r="C95" s="8"/>
      <c r="D95" s="8"/>
      <c r="E95" s="8"/>
      <c r="F95" s="8"/>
      <c r="G95" s="8"/>
      <c r="H95" s="8"/>
      <c r="I95" s="8"/>
      <c r="J95" s="8"/>
      <c r="K95" s="8"/>
      <c r="L95" s="8"/>
      <c r="M95" s="8"/>
      <c r="N95" s="8"/>
      <c r="O95" s="8"/>
      <c r="P95" s="8"/>
      <c r="Q95" s="8"/>
      <c r="R95" s="8"/>
      <c r="S95" s="8">
        <f>IF(S$4-$B95-$C$72&lt;0,SLN($S74,0,$C$72),0)</f>
        <v>0</v>
      </c>
      <c r="T95" s="8">
        <f t="shared" ref="T95:AI95" si="30">IF(T$4-$B95-$C$72&lt;0,SLN($S74,0,$C$72),0)</f>
        <v>0</v>
      </c>
      <c r="U95" s="8">
        <f t="shared" si="30"/>
        <v>0</v>
      </c>
      <c r="V95" s="8">
        <f t="shared" si="30"/>
        <v>0</v>
      </c>
      <c r="W95" s="8">
        <f t="shared" si="30"/>
        <v>0</v>
      </c>
      <c r="X95" s="8">
        <f t="shared" si="30"/>
        <v>0</v>
      </c>
      <c r="Y95" s="8">
        <f t="shared" si="30"/>
        <v>0</v>
      </c>
      <c r="Z95" s="8">
        <f t="shared" si="30"/>
        <v>0</v>
      </c>
      <c r="AA95" s="8">
        <f t="shared" si="30"/>
        <v>0</v>
      </c>
      <c r="AB95" s="8">
        <f t="shared" si="30"/>
        <v>0</v>
      </c>
      <c r="AC95" s="8">
        <f t="shared" si="30"/>
        <v>0</v>
      </c>
      <c r="AD95" s="8">
        <f t="shared" si="30"/>
        <v>0</v>
      </c>
      <c r="AE95" s="8">
        <f t="shared" si="30"/>
        <v>0</v>
      </c>
      <c r="AF95" s="8">
        <f t="shared" si="30"/>
        <v>0</v>
      </c>
      <c r="AG95" s="8">
        <f t="shared" si="30"/>
        <v>0</v>
      </c>
      <c r="AH95" s="8">
        <f t="shared" si="30"/>
        <v>0</v>
      </c>
      <c r="AI95" s="8">
        <f t="shared" si="30"/>
        <v>0</v>
      </c>
      <c r="AJ95" s="125">
        <f t="shared" si="15"/>
        <v>0</v>
      </c>
    </row>
    <row r="96" spans="2:36" x14ac:dyDescent="0.25">
      <c r="B96">
        <f>T4</f>
        <v>2034</v>
      </c>
      <c r="C96" s="8"/>
      <c r="D96" s="8"/>
      <c r="E96" s="8"/>
      <c r="F96" s="8"/>
      <c r="G96" s="8"/>
      <c r="H96" s="8"/>
      <c r="I96" s="8"/>
      <c r="J96" s="8"/>
      <c r="K96" s="8"/>
      <c r="L96" s="8"/>
      <c r="M96" s="8"/>
      <c r="N96" s="8"/>
      <c r="O96" s="8"/>
      <c r="P96" s="8"/>
      <c r="Q96" s="8"/>
      <c r="R96" s="8"/>
      <c r="S96" s="8"/>
      <c r="T96" s="8">
        <f>IF(T$4-$B96-$C$72&lt;0,SLN($T74,0,$C$72),0)</f>
        <v>0</v>
      </c>
      <c r="U96" s="8">
        <f t="shared" ref="U96:AI96" si="31">IF(U$4-$B96-$C$72&lt;0,SLN($T74,0,$C$72),0)</f>
        <v>0</v>
      </c>
      <c r="V96" s="8">
        <f t="shared" si="31"/>
        <v>0</v>
      </c>
      <c r="W96" s="8">
        <f t="shared" si="31"/>
        <v>0</v>
      </c>
      <c r="X96" s="8">
        <f t="shared" si="31"/>
        <v>0</v>
      </c>
      <c r="Y96" s="8">
        <f t="shared" si="31"/>
        <v>0</v>
      </c>
      <c r="Z96" s="8">
        <f t="shared" si="31"/>
        <v>0</v>
      </c>
      <c r="AA96" s="8">
        <f t="shared" si="31"/>
        <v>0</v>
      </c>
      <c r="AB96" s="8">
        <f t="shared" si="31"/>
        <v>0</v>
      </c>
      <c r="AC96" s="8">
        <f t="shared" si="31"/>
        <v>0</v>
      </c>
      <c r="AD96" s="8">
        <f t="shared" si="31"/>
        <v>0</v>
      </c>
      <c r="AE96" s="8">
        <f t="shared" si="31"/>
        <v>0</v>
      </c>
      <c r="AF96" s="8">
        <f t="shared" si="31"/>
        <v>0</v>
      </c>
      <c r="AG96" s="8">
        <f t="shared" si="31"/>
        <v>0</v>
      </c>
      <c r="AH96" s="8">
        <f t="shared" si="31"/>
        <v>0</v>
      </c>
      <c r="AI96" s="8">
        <f t="shared" si="31"/>
        <v>0</v>
      </c>
      <c r="AJ96" s="125">
        <f t="shared" si="15"/>
        <v>0</v>
      </c>
    </row>
    <row r="97" spans="1:37" x14ac:dyDescent="0.25">
      <c r="B97">
        <f>U4</f>
        <v>2035</v>
      </c>
      <c r="C97" s="8"/>
      <c r="D97" s="8"/>
      <c r="E97" s="8"/>
      <c r="F97" s="8"/>
      <c r="G97" s="8"/>
      <c r="H97" s="8"/>
      <c r="I97" s="8"/>
      <c r="J97" s="8"/>
      <c r="K97" s="8"/>
      <c r="L97" s="8"/>
      <c r="M97" s="8"/>
      <c r="N97" s="8"/>
      <c r="O97" s="8"/>
      <c r="P97" s="8"/>
      <c r="Q97" s="8"/>
      <c r="R97" s="8"/>
      <c r="S97" s="8"/>
      <c r="T97" s="8"/>
      <c r="U97" s="8">
        <f>IF(U$4-$B97-$C$72&lt;0,SLN($U74,0,$C$72),0)</f>
        <v>0</v>
      </c>
      <c r="V97" s="8">
        <f t="shared" ref="V97:AI97" si="32">IF(V$4-$B97-$C$72&lt;0,SLN($U74,0,$C$72),0)</f>
        <v>0</v>
      </c>
      <c r="W97" s="8">
        <f t="shared" si="32"/>
        <v>0</v>
      </c>
      <c r="X97" s="8">
        <f t="shared" si="32"/>
        <v>0</v>
      </c>
      <c r="Y97" s="8">
        <f t="shared" si="32"/>
        <v>0</v>
      </c>
      <c r="Z97" s="8">
        <f t="shared" si="32"/>
        <v>0</v>
      </c>
      <c r="AA97" s="8">
        <f t="shared" si="32"/>
        <v>0</v>
      </c>
      <c r="AB97" s="8">
        <f t="shared" si="32"/>
        <v>0</v>
      </c>
      <c r="AC97" s="8">
        <f t="shared" si="32"/>
        <v>0</v>
      </c>
      <c r="AD97" s="8">
        <f t="shared" si="32"/>
        <v>0</v>
      </c>
      <c r="AE97" s="8">
        <f t="shared" si="32"/>
        <v>0</v>
      </c>
      <c r="AF97" s="8">
        <f t="shared" si="32"/>
        <v>0</v>
      </c>
      <c r="AG97" s="8">
        <f t="shared" si="32"/>
        <v>0</v>
      </c>
      <c r="AH97" s="8">
        <f t="shared" si="32"/>
        <v>0</v>
      </c>
      <c r="AI97" s="8">
        <f t="shared" si="32"/>
        <v>0</v>
      </c>
      <c r="AJ97" s="125">
        <f t="shared" si="15"/>
        <v>0</v>
      </c>
    </row>
    <row r="98" spans="1:37" x14ac:dyDescent="0.25">
      <c r="B98">
        <f>V4</f>
        <v>2036</v>
      </c>
      <c r="C98" s="8"/>
      <c r="D98" s="8"/>
      <c r="E98" s="8"/>
      <c r="F98" s="8"/>
      <c r="G98" s="8"/>
      <c r="H98" s="8"/>
      <c r="I98" s="8"/>
      <c r="J98" s="8"/>
      <c r="K98" s="8"/>
      <c r="L98" s="8"/>
      <c r="M98" s="8"/>
      <c r="N98" s="8"/>
      <c r="O98" s="8"/>
      <c r="P98" s="8"/>
      <c r="Q98" s="8"/>
      <c r="R98" s="8"/>
      <c r="S98" s="8"/>
      <c r="T98" s="8"/>
      <c r="U98" s="8"/>
      <c r="V98" s="8">
        <f>IF(V$4-$B98-$C$72&lt;0,SLN($V74,0,$C$72),0)</f>
        <v>0</v>
      </c>
      <c r="W98" s="8">
        <f t="shared" ref="W98:AI98" si="33">IF(W$4-$B98-$C$72&lt;0,SLN($V74,0,$C$72),0)</f>
        <v>0</v>
      </c>
      <c r="X98" s="8">
        <f t="shared" si="33"/>
        <v>0</v>
      </c>
      <c r="Y98" s="8">
        <f t="shared" si="33"/>
        <v>0</v>
      </c>
      <c r="Z98" s="8">
        <f t="shared" si="33"/>
        <v>0</v>
      </c>
      <c r="AA98" s="8">
        <f t="shared" si="33"/>
        <v>0</v>
      </c>
      <c r="AB98" s="8">
        <f t="shared" si="33"/>
        <v>0</v>
      </c>
      <c r="AC98" s="8">
        <f t="shared" si="33"/>
        <v>0</v>
      </c>
      <c r="AD98" s="8">
        <f t="shared" si="33"/>
        <v>0</v>
      </c>
      <c r="AE98" s="8">
        <f t="shared" si="33"/>
        <v>0</v>
      </c>
      <c r="AF98" s="8">
        <f t="shared" si="33"/>
        <v>0</v>
      </c>
      <c r="AG98" s="8">
        <f t="shared" si="33"/>
        <v>0</v>
      </c>
      <c r="AH98" s="8">
        <f t="shared" si="33"/>
        <v>0</v>
      </c>
      <c r="AI98" s="8">
        <f t="shared" si="33"/>
        <v>0</v>
      </c>
      <c r="AJ98" s="125">
        <f t="shared" si="15"/>
        <v>0</v>
      </c>
    </row>
    <row r="99" spans="1:37" x14ac:dyDescent="0.25">
      <c r="B99">
        <f>W4</f>
        <v>2037</v>
      </c>
      <c r="C99" s="8"/>
      <c r="D99" s="8"/>
      <c r="E99" s="8"/>
      <c r="F99" s="8"/>
      <c r="G99" s="8"/>
      <c r="H99" s="8"/>
      <c r="I99" s="8"/>
      <c r="J99" s="8"/>
      <c r="K99" s="8"/>
      <c r="L99" s="8"/>
      <c r="M99" s="8"/>
      <c r="N99" s="8"/>
      <c r="O99" s="8"/>
      <c r="P99" s="8"/>
      <c r="Q99" s="8"/>
      <c r="R99" s="8"/>
      <c r="S99" s="8"/>
      <c r="T99" s="8"/>
      <c r="U99" s="8"/>
      <c r="V99" s="8"/>
      <c r="W99" s="8">
        <f>IF(W$4-$B99-$C$72&lt;0,SLN($W74,0,$C$72),0)</f>
        <v>0</v>
      </c>
      <c r="X99" s="8">
        <f t="shared" ref="X99:AI99" si="34">IF(X$4-$B99-$C$72&lt;0,SLN($W74,0,$C$72),0)</f>
        <v>0</v>
      </c>
      <c r="Y99" s="8">
        <f t="shared" si="34"/>
        <v>0</v>
      </c>
      <c r="Z99" s="8">
        <f t="shared" si="34"/>
        <v>0</v>
      </c>
      <c r="AA99" s="8">
        <f t="shared" si="34"/>
        <v>0</v>
      </c>
      <c r="AB99" s="8">
        <f t="shared" si="34"/>
        <v>0</v>
      </c>
      <c r="AC99" s="8">
        <f t="shared" si="34"/>
        <v>0</v>
      </c>
      <c r="AD99" s="8">
        <f t="shared" si="34"/>
        <v>0</v>
      </c>
      <c r="AE99" s="8">
        <f t="shared" si="34"/>
        <v>0</v>
      </c>
      <c r="AF99" s="8">
        <f t="shared" si="34"/>
        <v>0</v>
      </c>
      <c r="AG99" s="8">
        <f t="shared" si="34"/>
        <v>0</v>
      </c>
      <c r="AH99" s="8">
        <f t="shared" si="34"/>
        <v>0</v>
      </c>
      <c r="AI99" s="8">
        <f t="shared" si="34"/>
        <v>0</v>
      </c>
      <c r="AJ99" s="125">
        <f t="shared" si="15"/>
        <v>0</v>
      </c>
    </row>
    <row r="100" spans="1:37" x14ac:dyDescent="0.25">
      <c r="B100">
        <f>X4</f>
        <v>2038</v>
      </c>
      <c r="C100" s="8"/>
      <c r="D100" s="8"/>
      <c r="E100" s="8"/>
      <c r="F100" s="8"/>
      <c r="G100" s="8"/>
      <c r="H100" s="8"/>
      <c r="I100" s="8"/>
      <c r="J100" s="8"/>
      <c r="K100" s="8"/>
      <c r="L100" s="8"/>
      <c r="M100" s="8"/>
      <c r="N100" s="8"/>
      <c r="O100" s="8"/>
      <c r="P100" s="8"/>
      <c r="Q100" s="8"/>
      <c r="R100" s="8"/>
      <c r="S100" s="8"/>
      <c r="T100" s="8"/>
      <c r="U100" s="8"/>
      <c r="V100" s="8"/>
      <c r="W100" s="8"/>
      <c r="X100" s="8">
        <f>IF(X$4-$B100-$C$72&lt;0,SLN($X74,0,$C$72),0)</f>
        <v>0</v>
      </c>
      <c r="Y100" s="8">
        <f t="shared" ref="Y100:AI100" si="35">IF(Y$4-$B100-$C$72&lt;0,SLN($X74,0,$C$72),0)</f>
        <v>0</v>
      </c>
      <c r="Z100" s="8">
        <f t="shared" si="35"/>
        <v>0</v>
      </c>
      <c r="AA100" s="8">
        <f t="shared" si="35"/>
        <v>0</v>
      </c>
      <c r="AB100" s="8">
        <f t="shared" si="35"/>
        <v>0</v>
      </c>
      <c r="AC100" s="8">
        <f t="shared" si="35"/>
        <v>0</v>
      </c>
      <c r="AD100" s="8">
        <f t="shared" si="35"/>
        <v>0</v>
      </c>
      <c r="AE100" s="8">
        <f t="shared" si="35"/>
        <v>0</v>
      </c>
      <c r="AF100" s="8">
        <f t="shared" si="35"/>
        <v>0</v>
      </c>
      <c r="AG100" s="8">
        <f t="shared" si="35"/>
        <v>0</v>
      </c>
      <c r="AH100" s="8">
        <f t="shared" si="35"/>
        <v>0</v>
      </c>
      <c r="AI100" s="8">
        <f t="shared" si="35"/>
        <v>0</v>
      </c>
      <c r="AJ100" s="125">
        <f t="shared" si="15"/>
        <v>0</v>
      </c>
    </row>
    <row r="101" spans="1:37" x14ac:dyDescent="0.25">
      <c r="B101">
        <f>Y4</f>
        <v>2039</v>
      </c>
      <c r="C101" s="8"/>
      <c r="D101" s="8"/>
      <c r="E101" s="8"/>
      <c r="F101" s="8"/>
      <c r="G101" s="8"/>
      <c r="H101" s="8"/>
      <c r="I101" s="8"/>
      <c r="J101" s="8"/>
      <c r="K101" s="8"/>
      <c r="L101" s="8"/>
      <c r="M101" s="8"/>
      <c r="N101" s="8"/>
      <c r="O101" s="8"/>
      <c r="P101" s="8"/>
      <c r="Q101" s="8"/>
      <c r="R101" s="8"/>
      <c r="S101" s="8"/>
      <c r="T101" s="8"/>
      <c r="U101" s="8"/>
      <c r="V101" s="8"/>
      <c r="W101" s="8"/>
      <c r="X101" s="8"/>
      <c r="Y101" s="8">
        <f>IF(Y$4-$B101-$C$72&lt;0,SLN($Y74,0,$C$72),0)</f>
        <v>0</v>
      </c>
      <c r="Z101" s="8">
        <f t="shared" ref="Z101:AI101" si="36">IF(Z$4-$B101-$C$72&lt;0,SLN($Y74,0,$C$72),0)</f>
        <v>0</v>
      </c>
      <c r="AA101" s="8">
        <f t="shared" si="36"/>
        <v>0</v>
      </c>
      <c r="AB101" s="8">
        <f t="shared" si="36"/>
        <v>0</v>
      </c>
      <c r="AC101" s="8">
        <f t="shared" si="36"/>
        <v>0</v>
      </c>
      <c r="AD101" s="8">
        <f t="shared" si="36"/>
        <v>0</v>
      </c>
      <c r="AE101" s="8">
        <f t="shared" si="36"/>
        <v>0</v>
      </c>
      <c r="AF101" s="8">
        <f t="shared" si="36"/>
        <v>0</v>
      </c>
      <c r="AG101" s="8">
        <f t="shared" si="36"/>
        <v>0</v>
      </c>
      <c r="AH101" s="8">
        <f t="shared" si="36"/>
        <v>0</v>
      </c>
      <c r="AI101" s="8">
        <f t="shared" si="36"/>
        <v>0</v>
      </c>
      <c r="AJ101" s="125">
        <f t="shared" si="15"/>
        <v>0</v>
      </c>
    </row>
    <row r="102" spans="1:37" x14ac:dyDescent="0.25">
      <c r="B102">
        <f>Z4</f>
        <v>2040</v>
      </c>
      <c r="C102" s="8"/>
      <c r="D102" s="8"/>
      <c r="E102" s="8"/>
      <c r="F102" s="8"/>
      <c r="G102" s="8"/>
      <c r="H102" s="8"/>
      <c r="I102" s="8"/>
      <c r="J102" s="8"/>
      <c r="K102" s="8"/>
      <c r="L102" s="8"/>
      <c r="M102" s="8"/>
      <c r="N102" s="8"/>
      <c r="O102" s="8"/>
      <c r="P102" s="8"/>
      <c r="Q102" s="8"/>
      <c r="R102" s="8"/>
      <c r="S102" s="8"/>
      <c r="T102" s="8"/>
      <c r="U102" s="8"/>
      <c r="V102" s="8"/>
      <c r="W102" s="8"/>
      <c r="X102" s="8"/>
      <c r="Y102" s="8"/>
      <c r="Z102" s="8">
        <f>IF(Z$4-$B102-$C$72&lt;0,SLN($Z74,0,$C$72),0)</f>
        <v>0</v>
      </c>
      <c r="AA102" s="8">
        <f t="shared" ref="AA102:AI102" si="37">IF(AA$4-$B102-$C$72&lt;0,SLN($Z74,0,$C$72),0)</f>
        <v>0</v>
      </c>
      <c r="AB102" s="8">
        <f t="shared" si="37"/>
        <v>0</v>
      </c>
      <c r="AC102" s="8">
        <f t="shared" si="37"/>
        <v>0</v>
      </c>
      <c r="AD102" s="8">
        <f t="shared" si="37"/>
        <v>0</v>
      </c>
      <c r="AE102" s="8">
        <f t="shared" si="37"/>
        <v>0</v>
      </c>
      <c r="AF102" s="8">
        <f t="shared" si="37"/>
        <v>0</v>
      </c>
      <c r="AG102" s="8">
        <f t="shared" si="37"/>
        <v>0</v>
      </c>
      <c r="AH102" s="8">
        <f t="shared" si="37"/>
        <v>0</v>
      </c>
      <c r="AI102" s="8">
        <f t="shared" si="37"/>
        <v>0</v>
      </c>
      <c r="AJ102" s="125">
        <f t="shared" si="15"/>
        <v>0</v>
      </c>
    </row>
    <row r="103" spans="1:37" x14ac:dyDescent="0.25">
      <c r="B103">
        <f>AA4</f>
        <v>2041</v>
      </c>
      <c r="C103" s="8"/>
      <c r="D103" s="8"/>
      <c r="E103" s="8"/>
      <c r="F103" s="8"/>
      <c r="G103" s="8"/>
      <c r="H103" s="8"/>
      <c r="I103" s="8"/>
      <c r="J103" s="8"/>
      <c r="K103" s="8"/>
      <c r="L103" s="8"/>
      <c r="M103" s="8"/>
      <c r="N103" s="8"/>
      <c r="O103" s="8"/>
      <c r="P103" s="8"/>
      <c r="Q103" s="8"/>
      <c r="R103" s="8"/>
      <c r="S103" s="8"/>
      <c r="T103" s="8"/>
      <c r="U103" s="8"/>
      <c r="V103" s="8"/>
      <c r="W103" s="8"/>
      <c r="X103" s="8"/>
      <c r="Y103" s="8"/>
      <c r="Z103" s="8"/>
      <c r="AA103" s="8">
        <f>IF(AA$4-$B103-$C$72&lt;0,SLN($AA74,0,$C$72),0)</f>
        <v>0</v>
      </c>
      <c r="AB103" s="8">
        <f t="shared" ref="AB103:AI103" si="38">IF(AB$4-$B103-$C$72&lt;0,SLN($AA74,0,$C$72),0)</f>
        <v>0</v>
      </c>
      <c r="AC103" s="8">
        <f t="shared" si="38"/>
        <v>0</v>
      </c>
      <c r="AD103" s="8">
        <f t="shared" si="38"/>
        <v>0</v>
      </c>
      <c r="AE103" s="8">
        <f t="shared" si="38"/>
        <v>0</v>
      </c>
      <c r="AF103" s="8">
        <f t="shared" si="38"/>
        <v>0</v>
      </c>
      <c r="AG103" s="8">
        <f t="shared" si="38"/>
        <v>0</v>
      </c>
      <c r="AH103" s="8">
        <f t="shared" si="38"/>
        <v>0</v>
      </c>
      <c r="AI103" s="8">
        <f t="shared" si="38"/>
        <v>0</v>
      </c>
      <c r="AJ103" s="125">
        <f t="shared" si="15"/>
        <v>0</v>
      </c>
    </row>
    <row r="104" spans="1:37" x14ac:dyDescent="0.25">
      <c r="B104">
        <f>AB4</f>
        <v>2042</v>
      </c>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f>IF(AB$4-$B104-$C$72&lt;0,SLN($AB74,0,$C$72),0)</f>
        <v>0</v>
      </c>
      <c r="AC104" s="8">
        <f t="shared" ref="AC104:AI104" si="39">IF(AC$4-$B104-$C$72&lt;0,SLN($AB74,0,$C$72),0)</f>
        <v>0</v>
      </c>
      <c r="AD104" s="8">
        <f t="shared" si="39"/>
        <v>0</v>
      </c>
      <c r="AE104" s="8">
        <f t="shared" si="39"/>
        <v>0</v>
      </c>
      <c r="AF104" s="8">
        <f t="shared" si="39"/>
        <v>0</v>
      </c>
      <c r="AG104" s="8">
        <f t="shared" si="39"/>
        <v>0</v>
      </c>
      <c r="AH104" s="8">
        <f t="shared" si="39"/>
        <v>0</v>
      </c>
      <c r="AI104" s="8">
        <f t="shared" si="39"/>
        <v>0</v>
      </c>
      <c r="AJ104" s="125">
        <f t="shared" si="15"/>
        <v>0</v>
      </c>
    </row>
    <row r="105" spans="1:37" x14ac:dyDescent="0.25">
      <c r="B105">
        <f>AC4</f>
        <v>2043</v>
      </c>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f>IF(AC$4-$B105-$C$72&lt;0,SLN($AC74,0,$C$72),0)</f>
        <v>0</v>
      </c>
      <c r="AD105" s="8">
        <f t="shared" ref="AD105:AI105" si="40">IF(AD$4-$B105-$C$72&lt;0,SLN($AC74,0,$C$72),0)</f>
        <v>0</v>
      </c>
      <c r="AE105" s="8">
        <f t="shared" si="40"/>
        <v>0</v>
      </c>
      <c r="AF105" s="8">
        <f t="shared" si="40"/>
        <v>0</v>
      </c>
      <c r="AG105" s="8">
        <f t="shared" si="40"/>
        <v>0</v>
      </c>
      <c r="AH105" s="8">
        <f t="shared" si="40"/>
        <v>0</v>
      </c>
      <c r="AI105" s="8">
        <f t="shared" si="40"/>
        <v>0</v>
      </c>
      <c r="AJ105" s="125">
        <f t="shared" si="15"/>
        <v>0</v>
      </c>
    </row>
    <row r="106" spans="1:37" x14ac:dyDescent="0.25">
      <c r="B106">
        <f>AD4</f>
        <v>2044</v>
      </c>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f>IF(AD$4-$B106-$C$72&lt;0,SLN($AD74,0,$C$72),0)</f>
        <v>0</v>
      </c>
      <c r="AE106" s="8">
        <f t="shared" ref="AE106:AI106" si="41">IF(AE$4-$B106-$C$72&lt;0,SLN($AD74,0,$C$72),0)</f>
        <v>0</v>
      </c>
      <c r="AF106" s="8">
        <f t="shared" si="41"/>
        <v>0</v>
      </c>
      <c r="AG106" s="8">
        <f t="shared" si="41"/>
        <v>0</v>
      </c>
      <c r="AH106" s="8">
        <f t="shared" si="41"/>
        <v>0</v>
      </c>
      <c r="AI106" s="8">
        <f t="shared" si="41"/>
        <v>0</v>
      </c>
      <c r="AJ106" s="125">
        <f t="shared" si="15"/>
        <v>0</v>
      </c>
    </row>
    <row r="107" spans="1:37" x14ac:dyDescent="0.25">
      <c r="B107">
        <f>AE4</f>
        <v>2045</v>
      </c>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f>IF(AE$4-$B107-$C$72&lt;0,SLN($AE74,0,$C$72),0)</f>
        <v>0</v>
      </c>
      <c r="AF107" s="8">
        <f t="shared" ref="AF107:AI107" si="42">IF(AF$4-$B107-$C$72&lt;0,SLN($AE74,0,$C$72),0)</f>
        <v>0</v>
      </c>
      <c r="AG107" s="8">
        <f t="shared" si="42"/>
        <v>0</v>
      </c>
      <c r="AH107" s="8">
        <f t="shared" si="42"/>
        <v>0</v>
      </c>
      <c r="AI107" s="8">
        <f t="shared" si="42"/>
        <v>0</v>
      </c>
      <c r="AJ107" s="125">
        <f t="shared" si="15"/>
        <v>0</v>
      </c>
    </row>
    <row r="108" spans="1:37" x14ac:dyDescent="0.25">
      <c r="B108">
        <f>AF4</f>
        <v>2046</v>
      </c>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f>IF(AF$4-$B108-$C$72&lt;0,SLN($AF74,0,$C$72),0)</f>
        <v>0</v>
      </c>
      <c r="AG108" s="8">
        <f t="shared" ref="AG108:AI108" si="43">IF(AG$4-$B108-$C$72&lt;0,SLN($AF74,0,$C$72),0)</f>
        <v>0</v>
      </c>
      <c r="AH108" s="8">
        <f t="shared" si="43"/>
        <v>0</v>
      </c>
      <c r="AI108" s="8">
        <f t="shared" si="43"/>
        <v>0</v>
      </c>
      <c r="AJ108" s="125">
        <f t="shared" si="15"/>
        <v>0</v>
      </c>
    </row>
    <row r="109" spans="1:37" x14ac:dyDescent="0.25">
      <c r="B109">
        <f>AG4</f>
        <v>2047</v>
      </c>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f>IF(AG$4-$B109-$C$72&lt;0,SLN($AG74,0,$C$72),0)</f>
        <v>0</v>
      </c>
      <c r="AH109" s="8">
        <f t="shared" ref="AH109:AI109" si="44">IF(AH$4-$B109-$C$72&lt;0,SLN($AG74,0,$C$72),0)</f>
        <v>0</v>
      </c>
      <c r="AI109" s="8">
        <f t="shared" si="44"/>
        <v>0</v>
      </c>
      <c r="AJ109" s="125">
        <f t="shared" si="15"/>
        <v>0</v>
      </c>
    </row>
    <row r="110" spans="1:37" x14ac:dyDescent="0.25">
      <c r="B110">
        <f>AH4</f>
        <v>2048</v>
      </c>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f>IF(AH$4-$B110-$C$72&lt;0,SLN($AH74,0,$C$72),0)</f>
        <v>0</v>
      </c>
      <c r="AI110" s="8">
        <f>IF(AI$4-$B110-$C$72&lt;0,SLN($AH74,0,$C$72),0)</f>
        <v>0</v>
      </c>
      <c r="AJ110" s="125">
        <f t="shared" si="15"/>
        <v>0</v>
      </c>
    </row>
    <row r="111" spans="1:37" ht="15.75" thickBot="1" x14ac:dyDescent="0.3">
      <c r="B111">
        <f>AI4</f>
        <v>2049</v>
      </c>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8">
        <f>IF(AI$4-$B111-$C$72&lt;0,SLN($AI74,0,$C$72),0)</f>
        <v>0</v>
      </c>
      <c r="AJ111" s="128">
        <f t="shared" si="15"/>
        <v>0</v>
      </c>
    </row>
    <row r="112" spans="1:37" ht="15.75" thickBot="1" x14ac:dyDescent="0.3">
      <c r="A112" s="105" t="s">
        <v>231</v>
      </c>
      <c r="B112" s="79" t="s">
        <v>99</v>
      </c>
      <c r="C112" s="106">
        <f>SUM(C79:C111)</f>
        <v>0</v>
      </c>
      <c r="D112" s="107">
        <f t="shared" ref="D112:AJ112" si="45">SUM(D79:D111)</f>
        <v>54.5</v>
      </c>
      <c r="E112" s="107">
        <f t="shared" si="45"/>
        <v>119</v>
      </c>
      <c r="F112" s="107">
        <f t="shared" si="45"/>
        <v>119</v>
      </c>
      <c r="G112" s="107">
        <f t="shared" si="45"/>
        <v>119</v>
      </c>
      <c r="H112" s="107">
        <f t="shared" si="45"/>
        <v>119</v>
      </c>
      <c r="I112" s="107">
        <f t="shared" si="45"/>
        <v>119</v>
      </c>
      <c r="J112" s="107">
        <f t="shared" si="45"/>
        <v>119</v>
      </c>
      <c r="K112" s="107">
        <f t="shared" si="45"/>
        <v>119</v>
      </c>
      <c r="L112" s="107">
        <f t="shared" si="45"/>
        <v>119</v>
      </c>
      <c r="M112" s="107">
        <f t="shared" si="45"/>
        <v>119</v>
      </c>
      <c r="N112" s="107">
        <f t="shared" si="45"/>
        <v>64.5</v>
      </c>
      <c r="O112" s="107">
        <f t="shared" si="45"/>
        <v>0</v>
      </c>
      <c r="P112" s="107">
        <f t="shared" si="45"/>
        <v>0</v>
      </c>
      <c r="Q112" s="107">
        <f t="shared" si="45"/>
        <v>0</v>
      </c>
      <c r="R112" s="107">
        <f t="shared" si="45"/>
        <v>0</v>
      </c>
      <c r="S112" s="107">
        <f t="shared" si="45"/>
        <v>0</v>
      </c>
      <c r="T112" s="107">
        <f t="shared" si="45"/>
        <v>0</v>
      </c>
      <c r="U112" s="107">
        <f t="shared" si="45"/>
        <v>0</v>
      </c>
      <c r="V112" s="107">
        <f t="shared" si="45"/>
        <v>0</v>
      </c>
      <c r="W112" s="107">
        <f t="shared" si="45"/>
        <v>0</v>
      </c>
      <c r="X112" s="107">
        <f t="shared" si="45"/>
        <v>0</v>
      </c>
      <c r="Y112" s="107">
        <f t="shared" si="45"/>
        <v>0</v>
      </c>
      <c r="Z112" s="107">
        <f t="shared" si="45"/>
        <v>0</v>
      </c>
      <c r="AA112" s="107">
        <f t="shared" si="45"/>
        <v>0</v>
      </c>
      <c r="AB112" s="107">
        <f t="shared" si="45"/>
        <v>0</v>
      </c>
      <c r="AC112" s="107">
        <f t="shared" si="45"/>
        <v>0</v>
      </c>
      <c r="AD112" s="107">
        <f t="shared" si="45"/>
        <v>0</v>
      </c>
      <c r="AE112" s="107">
        <f t="shared" si="45"/>
        <v>0</v>
      </c>
      <c r="AF112" s="107">
        <f t="shared" si="45"/>
        <v>0</v>
      </c>
      <c r="AG112" s="107">
        <f t="shared" si="45"/>
        <v>0</v>
      </c>
      <c r="AH112" s="107">
        <f t="shared" si="45"/>
        <v>0</v>
      </c>
      <c r="AI112" s="107">
        <f t="shared" si="45"/>
        <v>0</v>
      </c>
      <c r="AJ112" s="129">
        <f t="shared" si="45"/>
        <v>1190</v>
      </c>
      <c r="AK112" s="108">
        <f>AJ112-AJ74</f>
        <v>0</v>
      </c>
    </row>
    <row r="113" spans="36:37" x14ac:dyDescent="0.25">
      <c r="AJ113" s="124" t="s">
        <v>232</v>
      </c>
      <c r="AK113" s="95" t="str">
        <f>IF(AK112=0,"VALID","ERROR")</f>
        <v>VALID</v>
      </c>
    </row>
  </sheetData>
  <pageMargins left="0.7" right="0.7" top="0.75" bottom="0.75" header="0.3" footer="0.3"/>
  <pageSetup orientation="portrait" horizontalDpi="4294967292" verticalDpi="429496729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FF6600"/>
  </sheetPr>
  <dimension ref="A1:AK111"/>
  <sheetViews>
    <sheetView topLeftCell="A2" workbookViewId="0">
      <pane xSplit="1" topLeftCell="B1" activePane="topRight" state="frozen"/>
      <selection activeCell="A22" sqref="A22"/>
      <selection pane="topRight" activeCell="C30" sqref="C30"/>
    </sheetView>
  </sheetViews>
  <sheetFormatPr defaultColWidth="8.85546875" defaultRowHeight="15" x14ac:dyDescent="0.25"/>
  <cols>
    <col min="1" max="1" width="68.7109375" customWidth="1"/>
    <col min="2" max="2" width="12.140625" customWidth="1"/>
    <col min="3" max="3" width="12.7109375" customWidth="1"/>
    <col min="4" max="6" width="9.140625" bestFit="1" customWidth="1"/>
    <col min="7" max="7" width="9.42578125" customWidth="1"/>
    <col min="8" max="8" width="10.140625" customWidth="1"/>
    <col min="9" max="9" width="9.7109375" customWidth="1"/>
    <col min="10" max="10" width="10.42578125" customWidth="1"/>
    <col min="11" max="11" width="10.7109375" customWidth="1"/>
    <col min="12" max="12" width="10.42578125" customWidth="1"/>
    <col min="13" max="35" width="9.140625" bestFit="1" customWidth="1"/>
    <col min="36" max="36" width="10.140625" style="124" bestFit="1" customWidth="1"/>
  </cols>
  <sheetData>
    <row r="1" spans="1:36" s="69" customFormat="1" ht="36" customHeight="1" x14ac:dyDescent="0.25">
      <c r="A1" s="197" t="s">
        <v>343</v>
      </c>
      <c r="AJ1" s="132"/>
    </row>
    <row r="2" spans="1:36" ht="21" x14ac:dyDescent="0.25">
      <c r="A2" s="117" t="str">
        <f>IF('Assumptions &amp; Results'!$C$172=2,"VALID","INVALID")</f>
        <v>INVALID</v>
      </c>
      <c r="C2" s="19" t="s">
        <v>571</v>
      </c>
    </row>
    <row r="3" spans="1:36" x14ac:dyDescent="0.2">
      <c r="B3" t="s">
        <v>234</v>
      </c>
      <c r="C3" s="1">
        <f>'Assumptions &amp; Results'!D2</f>
        <v>2017</v>
      </c>
      <c r="D3" s="1">
        <f>'Assumptions &amp; Results'!E2</f>
        <v>2018</v>
      </c>
      <c r="E3" s="1">
        <f>'Assumptions &amp; Results'!F2</f>
        <v>2019</v>
      </c>
      <c r="F3" s="1">
        <f>'Assumptions &amp; Results'!G2</f>
        <v>2020</v>
      </c>
      <c r="G3" s="1">
        <f>'Assumptions &amp; Results'!H2</f>
        <v>2021</v>
      </c>
      <c r="H3" s="1">
        <f>'Assumptions &amp; Results'!I2</f>
        <v>2022</v>
      </c>
      <c r="I3" s="1">
        <f>'Assumptions &amp; Results'!J2</f>
        <v>2023</v>
      </c>
      <c r="J3" s="1">
        <f>'Assumptions &amp; Results'!K2</f>
        <v>2024</v>
      </c>
      <c r="K3" s="1">
        <f>'Assumptions &amp; Results'!L2</f>
        <v>2025</v>
      </c>
      <c r="L3" s="1">
        <f>'Assumptions &amp; Results'!M2</f>
        <v>2026</v>
      </c>
      <c r="M3" s="1">
        <f>'Assumptions &amp; Results'!N2</f>
        <v>2027</v>
      </c>
      <c r="N3" s="1">
        <f>'Assumptions &amp; Results'!O2</f>
        <v>2028</v>
      </c>
      <c r="O3" s="1">
        <f>'Assumptions &amp; Results'!P2</f>
        <v>2029</v>
      </c>
      <c r="P3" s="1">
        <f>'Assumptions &amp; Results'!Q2</f>
        <v>2030</v>
      </c>
      <c r="Q3" s="1">
        <f>'Assumptions &amp; Results'!R2</f>
        <v>2031</v>
      </c>
      <c r="R3" s="1">
        <f>'Assumptions &amp; Results'!S2</f>
        <v>2032</v>
      </c>
      <c r="S3" s="1">
        <f>'Assumptions &amp; Results'!T2</f>
        <v>2033</v>
      </c>
      <c r="T3" s="1">
        <f>'Assumptions &amp; Results'!U2</f>
        <v>2034</v>
      </c>
      <c r="U3" s="1">
        <f>'Assumptions &amp; Results'!V2</f>
        <v>2035</v>
      </c>
      <c r="V3" s="1">
        <f>'Assumptions &amp; Results'!W2</f>
        <v>2036</v>
      </c>
      <c r="W3" s="1">
        <f>'Assumptions &amp; Results'!X2</f>
        <v>2037</v>
      </c>
      <c r="X3" s="1">
        <f>'Assumptions &amp; Results'!Y2</f>
        <v>2038</v>
      </c>
      <c r="Y3" s="1">
        <f>'Assumptions &amp; Results'!Z2</f>
        <v>2039</v>
      </c>
      <c r="Z3" s="1">
        <f>'Assumptions &amp; Results'!AA2</f>
        <v>2040</v>
      </c>
      <c r="AA3" s="1">
        <f>'Assumptions &amp; Results'!AB2</f>
        <v>2041</v>
      </c>
      <c r="AB3" s="1">
        <f>'Assumptions &amp; Results'!AC2</f>
        <v>2042</v>
      </c>
      <c r="AC3" s="1">
        <f>'Assumptions &amp; Results'!AD2</f>
        <v>2043</v>
      </c>
      <c r="AD3" s="1">
        <f>'Assumptions &amp; Results'!AE2</f>
        <v>2044</v>
      </c>
      <c r="AE3" s="1">
        <f>'Assumptions &amp; Results'!AF2</f>
        <v>2045</v>
      </c>
      <c r="AF3" s="1">
        <f>'Assumptions &amp; Results'!AG2</f>
        <v>2046</v>
      </c>
      <c r="AG3" s="1">
        <f>'Assumptions &amp; Results'!AH2</f>
        <v>2047</v>
      </c>
      <c r="AH3" s="1">
        <f>'Assumptions &amp; Results'!AI2</f>
        <v>2048</v>
      </c>
      <c r="AI3" s="1">
        <f>'Assumptions &amp; Results'!AJ2</f>
        <v>2049</v>
      </c>
      <c r="AJ3" s="123" t="s">
        <v>63</v>
      </c>
    </row>
    <row r="4" spans="1:36" s="69" customFormat="1" x14ac:dyDescent="0.2">
      <c r="A4" s="74" t="s">
        <v>344</v>
      </c>
      <c r="AJ4" s="132"/>
    </row>
    <row r="5" spans="1:36" x14ac:dyDescent="0.2">
      <c r="A5" t="s">
        <v>345</v>
      </c>
      <c r="B5" t="s">
        <v>99</v>
      </c>
      <c r="C5" s="8">
        <f>IF('Assumptions &amp; Results'!$C$85=1,(+'Assumptions &amp; Results'!D83-'Assumptions &amp; Results'!D79+'LNG Equity '!C9),'Assumptions &amp; Results'!D83)</f>
        <v>17</v>
      </c>
      <c r="D5" s="8">
        <f>IF('Assumptions &amp; Results'!$C$85=1,(+'Assumptions &amp; Results'!E83-'Assumptions &amp; Results'!E79+'LNG Equity '!D9),'Assumptions &amp; Results'!E83)</f>
        <v>3858</v>
      </c>
      <c r="E5" s="8">
        <f>IF('Assumptions &amp; Results'!$C$85=1,(+'Assumptions &amp; Results'!F83-'Assumptions &amp; Results'!F79+'LNG Equity '!E9),'Assumptions &amp; Results'!F83)</f>
        <v>5862</v>
      </c>
      <c r="F5" s="8">
        <f>IF('Assumptions &amp; Results'!$C$85=1,(+'Assumptions &amp; Results'!G83-'Assumptions &amp; Results'!G79+'LNG Equity '!F9),'Assumptions &amp; Results'!G83)</f>
        <v>7031</v>
      </c>
      <c r="G5" s="8">
        <f>IF('Assumptions &amp; Results'!$C$85=1,(+'Assumptions &amp; Results'!H83-'Assumptions &amp; Results'!H79+'LNG Equity '!G9),'Assumptions &amp; Results'!H83)</f>
        <v>0</v>
      </c>
      <c r="H5" s="8">
        <f>IF('Assumptions &amp; Results'!$C$85=1,('Assumptions &amp; Results'!I83-'Assumptions &amp; Results'!I79+H9),'Assumptions &amp; Results'!I83)</f>
        <v>0</v>
      </c>
      <c r="I5" s="8">
        <f>IF('Assumptions &amp; Results'!$C$85=1,('Assumptions &amp; Results'!J83-'Assumptions &amp; Results'!J79+I9),'Assumptions &amp; Results'!J83)</f>
        <v>0</v>
      </c>
      <c r="J5" s="8">
        <f>IF('Assumptions &amp; Results'!$C$85=1,('Assumptions &amp; Results'!K83-'Assumptions &amp; Results'!K79+J9),'Assumptions &amp; Results'!K83)</f>
        <v>0</v>
      </c>
      <c r="K5" s="8">
        <f>IF('Assumptions &amp; Results'!$C$85=1,('Assumptions &amp; Results'!L83-'Assumptions &amp; Results'!L79+K9),'Assumptions &amp; Results'!L83)</f>
        <v>0</v>
      </c>
      <c r="L5" s="8">
        <f>IF('Assumptions &amp; Results'!$C$85=1,('Assumptions &amp; Results'!M83-'Assumptions &amp; Results'!M79+L9),'Assumptions &amp; Results'!M83)</f>
        <v>0</v>
      </c>
      <c r="M5" s="8">
        <f>IF('Assumptions &amp; Results'!$C$85=1,('Assumptions &amp; Results'!N83-'Assumptions &amp; Results'!N79+M9),'Assumptions &amp; Results'!N83)</f>
        <v>0</v>
      </c>
      <c r="N5" s="8">
        <f>IF('Assumptions &amp; Results'!$C$85=1,('Assumptions &amp; Results'!O83-'Assumptions &amp; Results'!O79+N9),'Assumptions &amp; Results'!O83)</f>
        <v>0</v>
      </c>
      <c r="O5" s="8">
        <f>IF('Assumptions &amp; Results'!$C$85=1,('Assumptions &amp; Results'!P83-'Assumptions &amp; Results'!P79+O9),'Assumptions &amp; Results'!P83)</f>
        <v>0</v>
      </c>
      <c r="P5" s="8">
        <f>IF('Assumptions &amp; Results'!$C$85=1,('Assumptions &amp; Results'!Q83-'Assumptions &amp; Results'!Q79+P9),'Assumptions &amp; Results'!Q83)</f>
        <v>0</v>
      </c>
      <c r="Q5" s="8">
        <f>IF('Assumptions &amp; Results'!$C$85=1,('Assumptions &amp; Results'!R83-'Assumptions &amp; Results'!R79+Q9),'Assumptions &amp; Results'!R83)</f>
        <v>0</v>
      </c>
      <c r="R5" s="8">
        <f>IF('Assumptions &amp; Results'!$C$85=1,('Assumptions &amp; Results'!S83-'Assumptions &amp; Results'!S79+R9),'Assumptions &amp; Results'!S83)</f>
        <v>0</v>
      </c>
      <c r="S5" s="8">
        <f>IF('Assumptions &amp; Results'!$C$85=1,('Assumptions &amp; Results'!T83-'Assumptions &amp; Results'!T79+S9),'Assumptions &amp; Results'!T83)</f>
        <v>0</v>
      </c>
      <c r="T5" s="8">
        <f>IF('Assumptions &amp; Results'!$C$85=1,('Assumptions &amp; Results'!U83-'Assumptions &amp; Results'!U79+T9),'Assumptions &amp; Results'!U83)</f>
        <v>0</v>
      </c>
      <c r="U5" s="8">
        <f>IF('Assumptions &amp; Results'!$C$85=1,('Assumptions &amp; Results'!V83-'Assumptions &amp; Results'!V79+U9),'Assumptions &amp; Results'!V83)</f>
        <v>0</v>
      </c>
      <c r="V5" s="8">
        <f>IF('Assumptions &amp; Results'!$C$85=1,('Assumptions &amp; Results'!W83-'Assumptions &amp; Results'!W79+V9),'Assumptions &amp; Results'!W83)</f>
        <v>0</v>
      </c>
      <c r="W5" s="8">
        <f>IF('Assumptions &amp; Results'!$C$85=1,('Assumptions &amp; Results'!X83-'Assumptions &amp; Results'!X79+W9),'Assumptions &amp; Results'!X83)</f>
        <v>0</v>
      </c>
      <c r="X5" s="8">
        <f>IF('Assumptions &amp; Results'!$C$85=1,('Assumptions &amp; Results'!Y83-'Assumptions &amp; Results'!Y79+X9),'Assumptions &amp; Results'!Y83)</f>
        <v>0</v>
      </c>
      <c r="Y5" s="8">
        <f>IF('Assumptions &amp; Results'!$C$85=1,('Assumptions &amp; Results'!Z83-'Assumptions &amp; Results'!Z79+Y9),'Assumptions &amp; Results'!Z83)</f>
        <v>0</v>
      </c>
      <c r="Z5" s="8">
        <f>IF('Assumptions &amp; Results'!$C$85=1,('Assumptions &amp; Results'!AA83-'Assumptions &amp; Results'!AA79+Z9),'Assumptions &amp; Results'!AA83)</f>
        <v>0</v>
      </c>
      <c r="AA5" s="8">
        <f>IF('Assumptions &amp; Results'!$C$85=1,('Assumptions &amp; Results'!AB83-'Assumptions &amp; Results'!AB79+AA9),'Assumptions &amp; Results'!AB83)</f>
        <v>0</v>
      </c>
      <c r="AB5" s="8">
        <f>IF('Assumptions &amp; Results'!$C$85=1,('Assumptions &amp; Results'!AC83-'Assumptions &amp; Results'!AC79+AB9),'Assumptions &amp; Results'!AC83)</f>
        <v>0</v>
      </c>
      <c r="AC5" s="8">
        <f>IF('Assumptions &amp; Results'!$C$85=1,('Assumptions &amp; Results'!AD83-'Assumptions &amp; Results'!AD79+AC9),'Assumptions &amp; Results'!AD83)</f>
        <v>0</v>
      </c>
      <c r="AD5" s="8">
        <f>IF('Assumptions &amp; Results'!$C$85=1,('Assumptions &amp; Results'!AE83-'Assumptions &amp; Results'!AE79+AD9),'Assumptions &amp; Results'!AE83)</f>
        <v>0</v>
      </c>
      <c r="AE5" s="8">
        <f>IF('Assumptions &amp; Results'!$C$85=1,('Assumptions &amp; Results'!AF83-'Assumptions &amp; Results'!AF79+AE9),'Assumptions &amp; Results'!AF83)</f>
        <v>0</v>
      </c>
      <c r="AF5" s="8">
        <f>IF('Assumptions &amp; Results'!$C$85=1,('Assumptions &amp; Results'!AG83-'Assumptions &amp; Results'!AG79+AF9),'Assumptions &amp; Results'!AG83)</f>
        <v>0</v>
      </c>
      <c r="AG5" s="8">
        <f>IF('Assumptions &amp; Results'!$C$85=1,('Assumptions &amp; Results'!AH83-'Assumptions &amp; Results'!AH79+AG9),'Assumptions &amp; Results'!AH83)</f>
        <v>0</v>
      </c>
      <c r="AH5" s="8">
        <f>IF('Assumptions &amp; Results'!$C$85=1,('Assumptions &amp; Results'!AI83-'Assumptions &amp; Results'!AI79+AH9),'Assumptions &amp; Results'!AI83)</f>
        <v>0</v>
      </c>
      <c r="AI5" s="8">
        <f>IF('Assumptions &amp; Results'!$C$85=1,('Assumptions &amp; Results'!AJ83-'Assumptions &amp; Results'!AJ79+AI9),'Assumptions &amp; Results'!AJ83)</f>
        <v>0</v>
      </c>
      <c r="AJ5" s="125">
        <f>SUM(C5:AI5)</f>
        <v>16768</v>
      </c>
    </row>
    <row r="6" spans="1:36" x14ac:dyDescent="0.2">
      <c r="A6" s="4" t="s">
        <v>558</v>
      </c>
      <c r="B6" t="s">
        <v>99</v>
      </c>
      <c r="C6" s="8">
        <f>(IF('Assumptions &amp; Results'!$C76=1,'Assumptions &amp; Results'!D76,0))+(IF('Assumptions &amp; Results'!$C77=1,'Assumptions &amp; Results'!D77,0))+(IF('Assumptions &amp; Results'!$C78=1,'Assumptions &amp; Results'!D78,0))+(IF('Assumptions &amp; Results'!$C79=1,'Assumptions &amp; Results'!D79))+(IF('Assumptions &amp; Results'!$C80=1,'Assumptions &amp; Results'!D80,0))+(IF('Assumptions &amp; Results'!$C81=1,'Assumptions &amp; Results'!D81,0))+(IF('Assumptions &amp; Results'!$C82=1,'Assumptions &amp; Results'!D82,0))</f>
        <v>0</v>
      </c>
      <c r="D6" s="8">
        <f>(IF('Assumptions &amp; Results'!$C76=1,'Assumptions &amp; Results'!E76,0))+(IF('Assumptions &amp; Results'!$C77=1,'Assumptions &amp; Results'!E77,0))+(IF('Assumptions &amp; Results'!$C78=1,'Assumptions &amp; Results'!E78,0))+(IF('Assumptions &amp; Results'!$C79=1,'Assumptions &amp; Results'!E79))+(IF('Assumptions &amp; Results'!$C80=1,'Assumptions &amp; Results'!E80,0))+(IF('Assumptions &amp; Results'!$C81=1,'Assumptions &amp; Results'!E81,0))+(IF('Assumptions &amp; Results'!$C82=1,'Assumptions &amp; Results'!E82,0))</f>
        <v>0</v>
      </c>
      <c r="E6" s="8">
        <f>(IF('Assumptions &amp; Results'!$C76=1,'Assumptions &amp; Results'!F76,0))+(IF('Assumptions &amp; Results'!$C77=1,'Assumptions &amp; Results'!F77,0))+(IF('Assumptions &amp; Results'!$C78=1,'Assumptions &amp; Results'!F78,0))+(IF('Assumptions &amp; Results'!$C79=1,'Assumptions &amp; Results'!F79))+(IF('Assumptions &amp; Results'!$C80=1,'Assumptions &amp; Results'!F80,0))+(IF('Assumptions &amp; Results'!$C81=1,'Assumptions &amp; Results'!F81,0))+(IF('Assumptions &amp; Results'!$C82=1,'Assumptions &amp; Results'!F82,0))</f>
        <v>0</v>
      </c>
      <c r="F6" s="8">
        <f>(IF('Assumptions &amp; Results'!$C76=1,'Assumptions &amp; Results'!G76,0))+(IF('Assumptions &amp; Results'!$C77=1,'Assumptions &amp; Results'!G77,0))+(IF('Assumptions &amp; Results'!$C78=1,'Assumptions &amp; Results'!G78,0))+(IF('Assumptions &amp; Results'!$C79=1,'Assumptions &amp; Results'!G79))+(IF('Assumptions &amp; Results'!$C80=1,'Assumptions &amp; Results'!G80,0))+(IF('Assumptions &amp; Results'!$C81=1,'Assumptions &amp; Results'!G81,0))+(IF('Assumptions &amp; Results'!$C82=1,'Assumptions &amp; Results'!G82,0))</f>
        <v>0</v>
      </c>
      <c r="G6" s="8">
        <f>(IF('Assumptions &amp; Results'!$C76=1,'Assumptions &amp; Results'!H76,0))+(IF('Assumptions &amp; Results'!$C77=1,'Assumptions &amp; Results'!H77,0))+(IF('Assumptions &amp; Results'!$C78=1,'Assumptions &amp; Results'!H78,0))+(IF('Assumptions &amp; Results'!$C79=1,'Assumptions &amp; Results'!H79))+(IF('Assumptions &amp; Results'!$C80=1,'Assumptions &amp; Results'!H80,0))+(IF('Assumptions &amp; Results'!$C81=1,'Assumptions &amp; Results'!H81,0))+(IF('Assumptions &amp; Results'!$C82=1,'Assumptions &amp; Results'!H82,0))</f>
        <v>0</v>
      </c>
      <c r="H6" s="8">
        <f>(IF('Assumptions &amp; Results'!$C76=1,'Assumptions &amp; Results'!I76,0))+(IF('Assumptions &amp; Results'!$C77=1,'Assumptions &amp; Results'!I77,0))+(IF('Assumptions &amp; Results'!$C78=1,'Assumptions &amp; Results'!I78,0))+(IF('Assumptions &amp; Results'!$C79=1,'Assumptions &amp; Results'!I79))+(IF('Assumptions &amp; Results'!$C80=1,'Assumptions &amp; Results'!I80,0))+(IF('Assumptions &amp; Results'!$C81=1,'Assumptions &amp; Results'!I81,0))+(IF('Assumptions &amp; Results'!$C82=1,'Assumptions &amp; Results'!I82,0))</f>
        <v>0</v>
      </c>
      <c r="I6" s="8">
        <f>(IF('Assumptions &amp; Results'!$C76=1,'Assumptions &amp; Results'!J76,0))+(IF('Assumptions &amp; Results'!$C77=1,'Assumptions &amp; Results'!J77,0))+(IF('Assumptions &amp; Results'!$C78=1,'Assumptions &amp; Results'!J78,0))+(IF('Assumptions &amp; Results'!$C79=1,'Assumptions &amp; Results'!J79))+(IF('Assumptions &amp; Results'!$C80=1,'Assumptions &amp; Results'!J80,0))+(IF('Assumptions &amp; Results'!$C81=1,'Assumptions &amp; Results'!J81,0))+(IF('Assumptions &amp; Results'!$C82=1,'Assumptions &amp; Results'!J82,0))</f>
        <v>0</v>
      </c>
      <c r="J6" s="8">
        <f>(IF('Assumptions &amp; Results'!$C76=1,'Assumptions &amp; Results'!K76,0))+(IF('Assumptions &amp; Results'!$C77=1,'Assumptions &amp; Results'!K77,0))+(IF('Assumptions &amp; Results'!$C78=1,'Assumptions &amp; Results'!K78,0))+(IF('Assumptions &amp; Results'!$C79=1,'Assumptions &amp; Results'!K79))+(IF('Assumptions &amp; Results'!$C80=1,'Assumptions &amp; Results'!K80,0))+(IF('Assumptions &amp; Results'!$C81=1,'Assumptions &amp; Results'!K81,0))+(IF('Assumptions &amp; Results'!$C82=1,'Assumptions &amp; Results'!K82,0))</f>
        <v>0</v>
      </c>
      <c r="K6" s="8">
        <f>(IF('Assumptions &amp; Results'!$C76=1,'Assumptions &amp; Results'!L76,0))+(IF('Assumptions &amp; Results'!$C77=1,'Assumptions &amp; Results'!L77,0))+(IF('Assumptions &amp; Results'!$C78=1,'Assumptions &amp; Results'!L78,0))+(IF('Assumptions &amp; Results'!$C79=1,'Assumptions &amp; Results'!L79))+(IF('Assumptions &amp; Results'!$C80=1,'Assumptions &amp; Results'!L80,0))+(IF('Assumptions &amp; Results'!$C81=1,'Assumptions &amp; Results'!L81,0))+(IF('Assumptions &amp; Results'!$C82=1,'Assumptions &amp; Results'!L82,0))</f>
        <v>0</v>
      </c>
      <c r="L6" s="8">
        <f>(IF('Assumptions &amp; Results'!$C76=1,'Assumptions &amp; Results'!M76,0))+(IF('Assumptions &amp; Results'!$C77=1,'Assumptions &amp; Results'!M77,0))+(IF('Assumptions &amp; Results'!$C78=1,'Assumptions &amp; Results'!M78,0))+(IF('Assumptions &amp; Results'!$C79=1,'Assumptions &amp; Results'!M79))+(IF('Assumptions &amp; Results'!$C80=1,'Assumptions &amp; Results'!M80,0))+(IF('Assumptions &amp; Results'!$C81=1,'Assumptions &amp; Results'!M81,0))+(IF('Assumptions &amp; Results'!$C82=1,'Assumptions &amp; Results'!M82,0))</f>
        <v>0</v>
      </c>
      <c r="M6" s="8">
        <f>(IF('Assumptions &amp; Results'!$C76=1,'Assumptions &amp; Results'!N76,0))+(IF('Assumptions &amp; Results'!$C77=1,'Assumptions &amp; Results'!N77,0))+(IF('Assumptions &amp; Results'!$C78=1,'Assumptions &amp; Results'!N78,0))+(IF('Assumptions &amp; Results'!$C79=1,'Assumptions &amp; Results'!N79))+(IF('Assumptions &amp; Results'!$C80=1,'Assumptions &amp; Results'!N80,0))+(IF('Assumptions &amp; Results'!$C81=1,'Assumptions &amp; Results'!N81,0))+(IF('Assumptions &amp; Results'!$C82=1,'Assumptions &amp; Results'!N82,0))</f>
        <v>0</v>
      </c>
      <c r="N6" s="8">
        <f>(IF('Assumptions &amp; Results'!$C76=1,'Assumptions &amp; Results'!O76,0))+(IF('Assumptions &amp; Results'!$C77=1,'Assumptions &amp; Results'!O77,0))+(IF('Assumptions &amp; Results'!$C78=1,'Assumptions &amp; Results'!O78,0))+(IF('Assumptions &amp; Results'!$C79=1,'Assumptions &amp; Results'!O79))+(IF('Assumptions &amp; Results'!$C80=1,'Assumptions &amp; Results'!O80,0))+(IF('Assumptions &amp; Results'!$C81=1,'Assumptions &amp; Results'!O81,0))+(IF('Assumptions &amp; Results'!$C82=1,'Assumptions &amp; Results'!O82,0))</f>
        <v>0</v>
      </c>
      <c r="O6" s="8">
        <f>(IF('Assumptions &amp; Results'!$C76=1,'Assumptions &amp; Results'!P76,0))+(IF('Assumptions &amp; Results'!$C77=1,'Assumptions &amp; Results'!P77,0))+(IF('Assumptions &amp; Results'!$C78=1,'Assumptions &amp; Results'!P78,0))+(IF('Assumptions &amp; Results'!$C79=1,'Assumptions &amp; Results'!P79))+(IF('Assumptions &amp; Results'!$C80=1,'Assumptions &amp; Results'!P80,0))+(IF('Assumptions &amp; Results'!$C81=1,'Assumptions &amp; Results'!P81,0))+(IF('Assumptions &amp; Results'!$C82=1,'Assumptions &amp; Results'!P82,0))</f>
        <v>0</v>
      </c>
      <c r="P6" s="8">
        <f>(IF('Assumptions &amp; Results'!$C76=1,'Assumptions &amp; Results'!Q76,0))+(IF('Assumptions &amp; Results'!$C77=1,'Assumptions &amp; Results'!Q77,0))+(IF('Assumptions &amp; Results'!$C78=1,'Assumptions &amp; Results'!Q78,0))+(IF('Assumptions &amp; Results'!$C79=1,'Assumptions &amp; Results'!Q79))+(IF('Assumptions &amp; Results'!$C80=1,'Assumptions &amp; Results'!Q80,0))+(IF('Assumptions &amp; Results'!$C81=1,'Assumptions &amp; Results'!Q81,0))+(IF('Assumptions &amp; Results'!$C82=1,'Assumptions &amp; Results'!Q82,0))</f>
        <v>0</v>
      </c>
      <c r="Q6" s="8">
        <f>(IF('Assumptions &amp; Results'!$C76=1,'Assumptions &amp; Results'!R76,0))+(IF('Assumptions &amp; Results'!$C77=1,'Assumptions &amp; Results'!R77,0))+(IF('Assumptions &amp; Results'!$C78=1,'Assumptions &amp; Results'!R78,0))+(IF('Assumptions &amp; Results'!$C79=1,'Assumptions &amp; Results'!R79))+(IF('Assumptions &amp; Results'!$C80=1,'Assumptions &amp; Results'!R80,0))+(IF('Assumptions &amp; Results'!$C81=1,'Assumptions &amp; Results'!R81,0))+(IF('Assumptions &amp; Results'!$C82=1,'Assumptions &amp; Results'!R82,0))</f>
        <v>0</v>
      </c>
      <c r="R6" s="8">
        <f>(IF('Assumptions &amp; Results'!$C76=1,'Assumptions &amp; Results'!S76,0))+(IF('Assumptions &amp; Results'!$C77=1,'Assumptions &amp; Results'!S77,0))+(IF('Assumptions &amp; Results'!$C78=1,'Assumptions &amp; Results'!S78,0))+(IF('Assumptions &amp; Results'!$C79=1,'Assumptions &amp; Results'!S79))+(IF('Assumptions &amp; Results'!$C80=1,'Assumptions &amp; Results'!S80,0))+(IF('Assumptions &amp; Results'!$C81=1,'Assumptions &amp; Results'!S81,0))+(IF('Assumptions &amp; Results'!$C82=1,'Assumptions &amp; Results'!S82,0))</f>
        <v>0</v>
      </c>
      <c r="S6" s="8">
        <f>(IF('Assumptions &amp; Results'!$C76=1,'Assumptions &amp; Results'!T76,0))+(IF('Assumptions &amp; Results'!$C77=1,'Assumptions &amp; Results'!T77,0))+(IF('Assumptions &amp; Results'!$C78=1,'Assumptions &amp; Results'!T78,0))+(IF('Assumptions &amp; Results'!$C79=1,'Assumptions &amp; Results'!T79))+(IF('Assumptions &amp; Results'!$C80=1,'Assumptions &amp; Results'!T80,0))+(IF('Assumptions &amp; Results'!$C81=1,'Assumptions &amp; Results'!T81,0))+(IF('Assumptions &amp; Results'!$C82=1,'Assumptions &amp; Results'!T82,0))</f>
        <v>0</v>
      </c>
      <c r="T6" s="8">
        <f>(IF('Assumptions &amp; Results'!$C76=1,'Assumptions &amp; Results'!U76,0))+(IF('Assumptions &amp; Results'!$C77=1,'Assumptions &amp; Results'!U77,0))+(IF('Assumptions &amp; Results'!$C78=1,'Assumptions &amp; Results'!U78,0))+(IF('Assumptions &amp; Results'!$C79=1,'Assumptions &amp; Results'!U79))+(IF('Assumptions &amp; Results'!$C80=1,'Assumptions &amp; Results'!U80,0))+(IF('Assumptions &amp; Results'!$C81=1,'Assumptions &amp; Results'!U81,0))+(IF('Assumptions &amp; Results'!$C82=1,'Assumptions &amp; Results'!U82,0))</f>
        <v>0</v>
      </c>
      <c r="U6" s="8">
        <f>(IF('Assumptions &amp; Results'!$C76=1,'Assumptions &amp; Results'!V76,0))+(IF('Assumptions &amp; Results'!$C77=1,'Assumptions &amp; Results'!V77,0))+(IF('Assumptions &amp; Results'!$C78=1,'Assumptions &amp; Results'!V78,0))+(IF('Assumptions &amp; Results'!$C79=1,'Assumptions &amp; Results'!V79))+(IF('Assumptions &amp; Results'!$C80=1,'Assumptions &amp; Results'!V80,0))+(IF('Assumptions &amp; Results'!$C81=1,'Assumptions &amp; Results'!V81,0))+(IF('Assumptions &amp; Results'!$C82=1,'Assumptions &amp; Results'!V82,0))</f>
        <v>0</v>
      </c>
      <c r="V6" s="8">
        <f>(IF('Assumptions &amp; Results'!$C76=1,'Assumptions &amp; Results'!W76,0))+(IF('Assumptions &amp; Results'!$C77=1,'Assumptions &amp; Results'!W77,0))+(IF('Assumptions &amp; Results'!$C78=1,'Assumptions &amp; Results'!W78,0))+(IF('Assumptions &amp; Results'!$C79=1,'Assumptions &amp; Results'!W79))+(IF('Assumptions &amp; Results'!$C80=1,'Assumptions &amp; Results'!W80,0))+(IF('Assumptions &amp; Results'!$C81=1,'Assumptions &amp; Results'!W81,0))+(IF('Assumptions &amp; Results'!$C82=1,'Assumptions &amp; Results'!W82,0))</f>
        <v>0</v>
      </c>
      <c r="W6" s="8">
        <f>(IF('Assumptions &amp; Results'!$C76=1,'Assumptions &amp; Results'!X76,0))+(IF('Assumptions &amp; Results'!$C77=1,'Assumptions &amp; Results'!X77,0))+(IF('Assumptions &amp; Results'!$C78=1,'Assumptions &amp; Results'!X78,0))+(IF('Assumptions &amp; Results'!$C79=1,'Assumptions &amp; Results'!X79))+(IF('Assumptions &amp; Results'!$C80=1,'Assumptions &amp; Results'!X80,0))+(IF('Assumptions &amp; Results'!$C81=1,'Assumptions &amp; Results'!X81,0))+(IF('Assumptions &amp; Results'!$C82=1,'Assumptions &amp; Results'!X82,0))</f>
        <v>0</v>
      </c>
      <c r="X6" s="8">
        <f>(IF('Assumptions &amp; Results'!$C76=1,'Assumptions &amp; Results'!Y76,0))+(IF('Assumptions &amp; Results'!$C77=1,'Assumptions &amp; Results'!Y77,0))+(IF('Assumptions &amp; Results'!$C78=1,'Assumptions &amp; Results'!Y78,0))+(IF('Assumptions &amp; Results'!$C79=1,'Assumptions &amp; Results'!Y79))+(IF('Assumptions &amp; Results'!$C80=1,'Assumptions &amp; Results'!Y80,0))+(IF('Assumptions &amp; Results'!$C81=1,'Assumptions &amp; Results'!Y81,0))+(IF('Assumptions &amp; Results'!$C82=1,'Assumptions &amp; Results'!Y82,0))</f>
        <v>0</v>
      </c>
      <c r="Y6" s="8">
        <f>(IF('Assumptions &amp; Results'!$C76=1,'Assumptions &amp; Results'!Z76,0))+(IF('Assumptions &amp; Results'!$C77=1,'Assumptions &amp; Results'!Z77,0))+(IF('Assumptions &amp; Results'!$C78=1,'Assumptions &amp; Results'!Z78,0))+(IF('Assumptions &amp; Results'!$C79=1,'Assumptions &amp; Results'!Z79))+(IF('Assumptions &amp; Results'!$C80=1,'Assumptions &amp; Results'!Z80,0))+(IF('Assumptions &amp; Results'!$C81=1,'Assumptions &amp; Results'!Z81,0))+(IF('Assumptions &amp; Results'!$C82=1,'Assumptions &amp; Results'!Z82,0))</f>
        <v>0</v>
      </c>
      <c r="Z6" s="8">
        <f>(IF('Assumptions &amp; Results'!$C76=1,'Assumptions &amp; Results'!AA76,0))+(IF('Assumptions &amp; Results'!$C77=1,'Assumptions &amp; Results'!AA77,0))+(IF('Assumptions &amp; Results'!$C78=1,'Assumptions &amp; Results'!AA78,0))+(IF('Assumptions &amp; Results'!$C79=1,'Assumptions &amp; Results'!AA79))+(IF('Assumptions &amp; Results'!$C80=1,'Assumptions &amp; Results'!AA80,0))+(IF('Assumptions &amp; Results'!$C81=1,'Assumptions &amp; Results'!AA81,0))+(IF('Assumptions &amp; Results'!$C82=1,'Assumptions &amp; Results'!AA82,0))</f>
        <v>0</v>
      </c>
      <c r="AA6" s="8">
        <f>(IF('Assumptions &amp; Results'!$C76=1,'Assumptions &amp; Results'!AB76,0))+(IF('Assumptions &amp; Results'!$C77=1,'Assumptions &amp; Results'!AB77,0))+(IF('Assumptions &amp; Results'!$C78=1,'Assumptions &amp; Results'!AB78,0))+(IF('Assumptions &amp; Results'!$C79=1,'Assumptions &amp; Results'!AB79))+(IF('Assumptions &amp; Results'!$C80=1,'Assumptions &amp; Results'!AB80,0))+(IF('Assumptions &amp; Results'!$C81=1,'Assumptions &amp; Results'!AB81,0))+(IF('Assumptions &amp; Results'!$C82=1,'Assumptions &amp; Results'!AB82,0))</f>
        <v>0</v>
      </c>
      <c r="AB6" s="8">
        <f>(IF('Assumptions &amp; Results'!$C76=1,'Assumptions &amp; Results'!AC76,0))+(IF('Assumptions &amp; Results'!$C77=1,'Assumptions &amp; Results'!AC77,0))+(IF('Assumptions &amp; Results'!$C78=1,'Assumptions &amp; Results'!AC78,0))+(IF('Assumptions &amp; Results'!$C79=1,'Assumptions &amp; Results'!AC79))+(IF('Assumptions &amp; Results'!$C80=1,'Assumptions &amp; Results'!AC80,0))+(IF('Assumptions &amp; Results'!$C81=1,'Assumptions &amp; Results'!AC81,0))+(IF('Assumptions &amp; Results'!$C82=1,'Assumptions &amp; Results'!AC82,0))</f>
        <v>0</v>
      </c>
      <c r="AC6" s="8">
        <f>(IF('Assumptions &amp; Results'!$C76=1,'Assumptions &amp; Results'!AD76,0))+(IF('Assumptions &amp; Results'!$C77=1,'Assumptions &amp; Results'!AD77,0))+(IF('Assumptions &amp; Results'!$C78=1,'Assumptions &amp; Results'!AD78,0))+(IF('Assumptions &amp; Results'!$C79=1,'Assumptions &amp; Results'!AD79))+(IF('Assumptions &amp; Results'!$C80=1,'Assumptions &amp; Results'!AD80,0))+(IF('Assumptions &amp; Results'!$C81=1,'Assumptions &amp; Results'!AD81,0))+(IF('Assumptions &amp; Results'!$C82=1,'Assumptions &amp; Results'!AD82,0))</f>
        <v>0</v>
      </c>
      <c r="AD6" s="8">
        <f>(IF('Assumptions &amp; Results'!$C76=1,'Assumptions &amp; Results'!AE76,0))+(IF('Assumptions &amp; Results'!$C77=1,'Assumptions &amp; Results'!AE77,0))+(IF('Assumptions &amp; Results'!$C78=1,'Assumptions &amp; Results'!AE78,0))+(IF('Assumptions &amp; Results'!$C79=1,'Assumptions &amp; Results'!AE79))+(IF('Assumptions &amp; Results'!$C80=1,'Assumptions &amp; Results'!AE80,0))+(IF('Assumptions &amp; Results'!$C81=1,'Assumptions &amp; Results'!AE81,0))+(IF('Assumptions &amp; Results'!$C82=1,'Assumptions &amp; Results'!AE82,0))</f>
        <v>0</v>
      </c>
      <c r="AE6" s="8">
        <f>(IF('Assumptions &amp; Results'!$C76=1,'Assumptions &amp; Results'!AF76,0))+(IF('Assumptions &amp; Results'!$C77=1,'Assumptions &amp; Results'!AF77,0))+(IF('Assumptions &amp; Results'!$C78=1,'Assumptions &amp; Results'!AF78,0))+(IF('Assumptions &amp; Results'!$C79=1,'Assumptions &amp; Results'!AF79))+(IF('Assumptions &amp; Results'!$C80=1,'Assumptions &amp; Results'!AF80,0))+(IF('Assumptions &amp; Results'!$C81=1,'Assumptions &amp; Results'!AF81,0))+(IF('Assumptions &amp; Results'!$C82=1,'Assumptions &amp; Results'!AF82,0))</f>
        <v>0</v>
      </c>
      <c r="AF6" s="8">
        <f>(IF('Assumptions &amp; Results'!$C76=1,'Assumptions &amp; Results'!AG76,0))+(IF('Assumptions &amp; Results'!$C77=1,'Assumptions &amp; Results'!AG77,0))+(IF('Assumptions &amp; Results'!$C78=1,'Assumptions &amp; Results'!AG78,0))+(IF('Assumptions &amp; Results'!$C79=1,'Assumptions &amp; Results'!AG79))+(IF('Assumptions &amp; Results'!$C80=1,'Assumptions &amp; Results'!AG80,0))+(IF('Assumptions &amp; Results'!$C81=1,'Assumptions &amp; Results'!AG81,0))+(IF('Assumptions &amp; Results'!$C82=1,'Assumptions &amp; Results'!AG82,0))</f>
        <v>0</v>
      </c>
      <c r="AG6" s="8">
        <f>(IF('Assumptions &amp; Results'!$C76=1,'Assumptions &amp; Results'!AH76,0))+(IF('Assumptions &amp; Results'!$C77=1,'Assumptions &amp; Results'!AH77,0))+(IF('Assumptions &amp; Results'!$C78=1,'Assumptions &amp; Results'!AH78,0))+(IF('Assumptions &amp; Results'!$C79=1,'Assumptions &amp; Results'!AH79))+(IF('Assumptions &amp; Results'!$C80=1,'Assumptions &amp; Results'!AH80,0))+(IF('Assumptions &amp; Results'!$C81=1,'Assumptions &amp; Results'!AH81,0))+(IF('Assumptions &amp; Results'!$C82=1,'Assumptions &amp; Results'!AH82,0))</f>
        <v>0</v>
      </c>
      <c r="AH6" s="8">
        <f>(IF('Assumptions &amp; Results'!$C76=1,'Assumptions &amp; Results'!AI76,0))+(IF('Assumptions &amp; Results'!$C77=1,'Assumptions &amp; Results'!AI77,0))+(IF('Assumptions &amp; Results'!$C78=1,'Assumptions &amp; Results'!AI78,0))+(IF('Assumptions &amp; Results'!$C79=1,'Assumptions &amp; Results'!AI79))+(IF('Assumptions &amp; Results'!$C80=1,'Assumptions &amp; Results'!AI80,0))+(IF('Assumptions &amp; Results'!$C81=1,'Assumptions &amp; Results'!AI81,0))+(IF('Assumptions &amp; Results'!$C82=1,'Assumptions &amp; Results'!AI82,0))</f>
        <v>0</v>
      </c>
      <c r="AI6" s="8">
        <f>(IF('Assumptions &amp; Results'!$C76=1,'Assumptions &amp; Results'!AJ76,0))+(IF('Assumptions &amp; Results'!$C77=1,'Assumptions &amp; Results'!AJ77,0))+(IF('Assumptions &amp; Results'!$C78=1,'Assumptions &amp; Results'!AJ78,0))+(IF('Assumptions &amp; Results'!$C79=1,'Assumptions &amp; Results'!AJ79))+(IF('Assumptions &amp; Results'!$C80=1,'Assumptions &amp; Results'!AJ80,0))+(IF('Assumptions &amp; Results'!$C81=1,'Assumptions &amp; Results'!AJ81,0))+(IF('Assumptions &amp; Results'!$C82=1,'Assumptions &amp; Results'!AJ82,0))</f>
        <v>0</v>
      </c>
      <c r="AJ6" s="125">
        <f>SUM(C6:AI6)</f>
        <v>0</v>
      </c>
    </row>
    <row r="7" spans="1:36" x14ac:dyDescent="0.2">
      <c r="A7" s="4" t="s">
        <v>569</v>
      </c>
      <c r="B7" t="s">
        <v>99</v>
      </c>
      <c r="C7" s="39">
        <f>IF(AND('Assumptions &amp; Results'!$C$85=1,'Assumptions &amp; Results'!$C$87=1),(+'Assumptions &amp; Results'!D83-'Assumptions &amp; Results'!D79),IF(AND('Assumptions &amp; Results'!$C$85=1,'Assumptions &amp; Results'!$C$87=0),(+'Assumptions &amp; Results'!D83-'Assumptions &amp; Results'!D79+C9),+'Assumptions &amp; Results'!D83))</f>
        <v>17</v>
      </c>
      <c r="D7" s="39">
        <f>IF(AND('Assumptions &amp; Results'!$C$85=1,'Assumptions &amp; Results'!$C$87=1),(+'Assumptions &amp; Results'!E83-'Assumptions &amp; Results'!E79),IF(AND('Assumptions &amp; Results'!$C$85=1,'Assumptions &amp; Results'!$C$87=0),(+'Assumptions &amp; Results'!E83-'Assumptions &amp; Results'!E79+D9),+'Assumptions &amp; Results'!E83))</f>
        <v>3858</v>
      </c>
      <c r="E7" s="39">
        <f>IF(AND('Assumptions &amp; Results'!$C$85=1,'Assumptions &amp; Results'!$C$87=1),(+'Assumptions &amp; Results'!F83-'Assumptions &amp; Results'!F79),IF(AND('Assumptions &amp; Results'!$C$85=1,'Assumptions &amp; Results'!$C$87=0),(+'Assumptions &amp; Results'!F83-'Assumptions &amp; Results'!F79+E9),+'Assumptions &amp; Results'!F83))</f>
        <v>5862</v>
      </c>
      <c r="F7" s="39">
        <f>IF(AND('Assumptions &amp; Results'!$C$85=1,'Assumptions &amp; Results'!$C$87=1),(+'Assumptions &amp; Results'!G83-'Assumptions &amp; Results'!G79),IF(AND('Assumptions &amp; Results'!$C$85=1,'Assumptions &amp; Results'!$C$87=0),(+'Assumptions &amp; Results'!G83-'Assumptions &amp; Results'!G79+F9),+'Assumptions &amp; Results'!G83))</f>
        <v>7031</v>
      </c>
      <c r="G7" s="39">
        <f>IF(AND('Assumptions &amp; Results'!$C$85=1,'Assumptions &amp; Results'!$C$87=1),(+'Assumptions &amp; Results'!H83-'Assumptions &amp; Results'!H79),IF(AND('Assumptions &amp; Results'!$C$85=1,'Assumptions &amp; Results'!$C$87=0),(+'Assumptions &amp; Results'!H83-'Assumptions &amp; Results'!H79+G9),+'Assumptions &amp; Results'!H83))</f>
        <v>0</v>
      </c>
      <c r="H7" s="39">
        <f>IF(AND('Assumptions &amp; Results'!$C$85=1,'Assumptions &amp; Results'!$C$87=1),(+'Assumptions &amp; Results'!I83-'Assumptions &amp; Results'!I79),IF(AND('Assumptions &amp; Results'!$C$85=1,'Assumptions &amp; Results'!$C$87=0),(+'Assumptions &amp; Results'!I83-'Assumptions &amp; Results'!I79+H9),+'Assumptions &amp; Results'!I83))</f>
        <v>0</v>
      </c>
      <c r="I7" s="39">
        <f>IF(AND('Assumptions &amp; Results'!$C$85=1,'Assumptions &amp; Results'!$C$87=1),(+'Assumptions &amp; Results'!J83-'Assumptions &amp; Results'!J79),IF(AND('Assumptions &amp; Results'!$C$85=1,'Assumptions &amp; Results'!$C$87=0),(+'Assumptions &amp; Results'!J83-'Assumptions &amp; Results'!J79+I9),+'Assumptions &amp; Results'!J83))</f>
        <v>0</v>
      </c>
      <c r="J7" s="39">
        <f>IF(AND('Assumptions &amp; Results'!$C$85=1,'Assumptions &amp; Results'!$C$87=1),(+'Assumptions &amp; Results'!K83-'Assumptions &amp; Results'!K79),IF(AND('Assumptions &amp; Results'!$C$85=1,'Assumptions &amp; Results'!$C$87=0),(+'Assumptions &amp; Results'!K83-'Assumptions &amp; Results'!K79+J9),+'Assumptions &amp; Results'!K83))</f>
        <v>0</v>
      </c>
      <c r="K7" s="39">
        <f>IF(AND('Assumptions &amp; Results'!$C$85=1,'Assumptions &amp; Results'!$C$87=1),(+'Assumptions &amp; Results'!L83-'Assumptions &amp; Results'!L79),IF(AND('Assumptions &amp; Results'!$C$85=1,'Assumptions &amp; Results'!$C$87=0),(+'Assumptions &amp; Results'!L83-'Assumptions &amp; Results'!L79+K9),+'Assumptions &amp; Results'!L83))</f>
        <v>0</v>
      </c>
      <c r="L7" s="39">
        <f>IF(AND('Assumptions &amp; Results'!$C$85=1,'Assumptions &amp; Results'!$C$87=1),(+'Assumptions &amp; Results'!M83-'Assumptions &amp; Results'!M79),IF(AND('Assumptions &amp; Results'!$C$85=1,'Assumptions &amp; Results'!$C$87=0),(+'Assumptions &amp; Results'!M83-'Assumptions &amp; Results'!M79+L9),+'Assumptions &amp; Results'!M83))</f>
        <v>0</v>
      </c>
      <c r="M7" s="39">
        <f>IF(AND('Assumptions &amp; Results'!$C$85=1,'Assumptions &amp; Results'!$C$87=1),(+'Assumptions &amp; Results'!N83-'Assumptions &amp; Results'!N79),IF(AND('Assumptions &amp; Results'!$C$85=1,'Assumptions &amp; Results'!$C$87=0),(+'Assumptions &amp; Results'!N83-'Assumptions &amp; Results'!N79+M9),+'Assumptions &amp; Results'!N83))</f>
        <v>0</v>
      </c>
      <c r="N7" s="39">
        <f>IF(AND('Assumptions &amp; Results'!$C$85=1,'Assumptions &amp; Results'!$C$87=1),(+'Assumptions &amp; Results'!O83-'Assumptions &amp; Results'!O79),IF(AND('Assumptions &amp; Results'!$C$85=1,'Assumptions &amp; Results'!$C$87=0),(+'Assumptions &amp; Results'!O83-'Assumptions &amp; Results'!O79+N9),+'Assumptions &amp; Results'!O83))</f>
        <v>0</v>
      </c>
      <c r="O7" s="39">
        <f>IF(AND('Assumptions &amp; Results'!$C$85=1,'Assumptions &amp; Results'!$C$87=1),(+'Assumptions &amp; Results'!P83-'Assumptions &amp; Results'!P79),IF(AND('Assumptions &amp; Results'!$C$85=1,'Assumptions &amp; Results'!$C$87=0),(+'Assumptions &amp; Results'!P83-'Assumptions &amp; Results'!P79+O9),+'Assumptions &amp; Results'!P83))</f>
        <v>0</v>
      </c>
      <c r="P7" s="39">
        <f>IF(AND('Assumptions &amp; Results'!$C$85=1,'Assumptions &amp; Results'!$C$87=1),(+'Assumptions &amp; Results'!Q83-'Assumptions &amp; Results'!Q79),IF(AND('Assumptions &amp; Results'!$C$85=1,'Assumptions &amp; Results'!$C$87=0),(+'Assumptions &amp; Results'!Q83-'Assumptions &amp; Results'!Q79+P9),+'Assumptions &amp; Results'!Q83))</f>
        <v>0</v>
      </c>
      <c r="Q7" s="39">
        <f>IF(AND('Assumptions &amp; Results'!$C$85=1,'Assumptions &amp; Results'!$C$87=1),(+'Assumptions &amp; Results'!R83-'Assumptions &amp; Results'!R79),IF(AND('Assumptions &amp; Results'!$C$85=1,'Assumptions &amp; Results'!$C$87=0),(+'Assumptions &amp; Results'!R83-'Assumptions &amp; Results'!R79+Q9),+'Assumptions &amp; Results'!R83))</f>
        <v>0</v>
      </c>
      <c r="R7" s="39">
        <f>IF(AND('Assumptions &amp; Results'!$C$85=1,'Assumptions &amp; Results'!$C$87=1),(+'Assumptions &amp; Results'!S83-'Assumptions &amp; Results'!S79),IF(AND('Assumptions &amp; Results'!$C$85=1,'Assumptions &amp; Results'!$C$87=0),(+'Assumptions &amp; Results'!S83-'Assumptions &amp; Results'!S79+R9),+'Assumptions &amp; Results'!S83))</f>
        <v>0</v>
      </c>
      <c r="S7" s="39">
        <f>IF(AND('Assumptions &amp; Results'!$C$85=1,'Assumptions &amp; Results'!$C$87=1),(+'Assumptions &amp; Results'!T83-'Assumptions &amp; Results'!T79),IF(AND('Assumptions &amp; Results'!$C$85=1,'Assumptions &amp; Results'!$C$87=0),(+'Assumptions &amp; Results'!T83-'Assumptions &amp; Results'!T79+S9),+'Assumptions &amp; Results'!T83))</f>
        <v>0</v>
      </c>
      <c r="T7" s="39">
        <f>IF(AND('Assumptions &amp; Results'!$C$85=1,'Assumptions &amp; Results'!$C$87=1),(+'Assumptions &amp; Results'!U83-'Assumptions &amp; Results'!U79),IF(AND('Assumptions &amp; Results'!$C$85=1,'Assumptions &amp; Results'!$C$87=0),(+'Assumptions &amp; Results'!U83-'Assumptions &amp; Results'!U79+T9),+'Assumptions &amp; Results'!U83))</f>
        <v>0</v>
      </c>
      <c r="U7" s="39">
        <f>IF(AND('Assumptions &amp; Results'!$C$85=1,'Assumptions &amp; Results'!$C$87=1),(+'Assumptions &amp; Results'!V83-'Assumptions &amp; Results'!V79),IF(AND('Assumptions &amp; Results'!$C$85=1,'Assumptions &amp; Results'!$C$87=0),(+'Assumptions &amp; Results'!V83-'Assumptions &amp; Results'!V79+U9),+'Assumptions &amp; Results'!V83))</f>
        <v>0</v>
      </c>
      <c r="V7" s="39">
        <f>IF(AND('Assumptions &amp; Results'!$C$85=1,'Assumptions &amp; Results'!$C$87=1),(+'Assumptions &amp; Results'!W83-'Assumptions &amp; Results'!W79),IF(AND('Assumptions &amp; Results'!$C$85=1,'Assumptions &amp; Results'!$C$87=0),(+'Assumptions &amp; Results'!W83-'Assumptions &amp; Results'!W79+V9),+'Assumptions &amp; Results'!W83))</f>
        <v>0</v>
      </c>
      <c r="W7" s="39">
        <f>IF(AND('Assumptions &amp; Results'!$C$85=1,'Assumptions &amp; Results'!$C$87=1),(+'Assumptions &amp; Results'!X83-'Assumptions &amp; Results'!X79),IF(AND('Assumptions &amp; Results'!$C$85=1,'Assumptions &amp; Results'!$C$87=0),(+'Assumptions &amp; Results'!X83-'Assumptions &amp; Results'!X79+W9),+'Assumptions &amp; Results'!X83))</f>
        <v>0</v>
      </c>
      <c r="X7" s="39">
        <f>IF(AND('Assumptions &amp; Results'!$C$85=1,'Assumptions &amp; Results'!$C$87=1),(+'Assumptions &amp; Results'!Y83-'Assumptions &amp; Results'!Y79),IF(AND('Assumptions &amp; Results'!$C$85=1,'Assumptions &amp; Results'!$C$87=0),(+'Assumptions &amp; Results'!Y83-'Assumptions &amp; Results'!Y79+X9),+'Assumptions &amp; Results'!Y83))</f>
        <v>0</v>
      </c>
      <c r="Y7" s="39">
        <f>IF(AND('Assumptions &amp; Results'!$C$85=1,'Assumptions &amp; Results'!$C$87=1),(+'Assumptions &amp; Results'!Z83-'Assumptions &amp; Results'!Z79),IF(AND('Assumptions &amp; Results'!$C$85=1,'Assumptions &amp; Results'!$C$87=0),(+'Assumptions &amp; Results'!Z83-'Assumptions &amp; Results'!Z79+Y9),+'Assumptions &amp; Results'!Z83))</f>
        <v>0</v>
      </c>
      <c r="Z7" s="39">
        <f>IF(AND('Assumptions &amp; Results'!$C$85=1,'Assumptions &amp; Results'!$C$87=1),(+'Assumptions &amp; Results'!AA83-'Assumptions &amp; Results'!AA79),IF(AND('Assumptions &amp; Results'!$C$85=1,'Assumptions &amp; Results'!$C$87=0),(+'Assumptions &amp; Results'!AA83-'Assumptions &amp; Results'!AA79+Z9),+'Assumptions &amp; Results'!AA83))</f>
        <v>0</v>
      </c>
      <c r="AA7" s="39">
        <f>IF(AND('Assumptions &amp; Results'!$C$85=1,'Assumptions &amp; Results'!$C$87=1),(+'Assumptions &amp; Results'!AB83-'Assumptions &amp; Results'!AB79),IF(AND('Assumptions &amp; Results'!$C$85=1,'Assumptions &amp; Results'!$C$87=0),(+'Assumptions &amp; Results'!AB83-'Assumptions &amp; Results'!AB79+AA9),+'Assumptions &amp; Results'!AB83))</f>
        <v>0</v>
      </c>
      <c r="AB7" s="39">
        <f>IF(AND('Assumptions &amp; Results'!$C$85=1,'Assumptions &amp; Results'!$C$87=1),(+'Assumptions &amp; Results'!AC83-'Assumptions &amp; Results'!AC79),IF(AND('Assumptions &amp; Results'!$C$85=1,'Assumptions &amp; Results'!$C$87=0),(+'Assumptions &amp; Results'!AC83-'Assumptions &amp; Results'!AC79+AB9),+'Assumptions &amp; Results'!AC83))</f>
        <v>0</v>
      </c>
      <c r="AC7" s="39">
        <f>IF(AND('Assumptions &amp; Results'!$C$85=1,'Assumptions &amp; Results'!$C$87=1),(+'Assumptions &amp; Results'!AD83-'Assumptions &amp; Results'!AD79),IF(AND('Assumptions &amp; Results'!$C$85=1,'Assumptions &amp; Results'!$C$87=0),(+'Assumptions &amp; Results'!AD83-'Assumptions &amp; Results'!AD79+AC9),+'Assumptions &amp; Results'!AD83))</f>
        <v>0</v>
      </c>
      <c r="AD7" s="39">
        <f>IF(AND('Assumptions &amp; Results'!$C$85=1,'Assumptions &amp; Results'!$C$87=1),(+'Assumptions &amp; Results'!AE83-'Assumptions &amp; Results'!AE79),IF(AND('Assumptions &amp; Results'!$C$85=1,'Assumptions &amp; Results'!$C$87=0),(+'Assumptions &amp; Results'!AE83-'Assumptions &amp; Results'!AE79+AD9),+'Assumptions &amp; Results'!AE83))</f>
        <v>0</v>
      </c>
      <c r="AE7" s="39">
        <f>IF(AND('Assumptions &amp; Results'!$C$85=1,'Assumptions &amp; Results'!$C$87=1),(+'Assumptions &amp; Results'!AF83-'Assumptions &amp; Results'!AF79),IF(AND('Assumptions &amp; Results'!$C$85=1,'Assumptions &amp; Results'!$C$87=0),(+'Assumptions &amp; Results'!AF83-'Assumptions &amp; Results'!AF79+AE9),+'Assumptions &amp; Results'!AF83))</f>
        <v>0</v>
      </c>
      <c r="AF7" s="39">
        <f>IF(AND('Assumptions &amp; Results'!$C$85=1,'Assumptions &amp; Results'!$C$87=1),(+'Assumptions &amp; Results'!AG83-'Assumptions &amp; Results'!AG79),IF(AND('Assumptions &amp; Results'!$C$85=1,'Assumptions &amp; Results'!$C$87=0),(+'Assumptions &amp; Results'!AG83-'Assumptions &amp; Results'!AG79+AF9),+'Assumptions &amp; Results'!AG83))</f>
        <v>0</v>
      </c>
      <c r="AG7" s="39">
        <f>IF(AND('Assumptions &amp; Results'!$C$85=1,'Assumptions &amp; Results'!$C$87=1),(+'Assumptions &amp; Results'!AH83-'Assumptions &amp; Results'!AH79),IF(AND('Assumptions &amp; Results'!$C$85=1,'Assumptions &amp; Results'!$C$87=0),(+'Assumptions &amp; Results'!AH83-'Assumptions &amp; Results'!AH79+AG9),+'Assumptions &amp; Results'!AH83))</f>
        <v>0</v>
      </c>
      <c r="AH7" s="39">
        <f>IF(AND('Assumptions &amp; Results'!$C$85=1,'Assumptions &amp; Results'!$C$87=1),(+'Assumptions &amp; Results'!AI83-'Assumptions &amp; Results'!AI79),IF(AND('Assumptions &amp; Results'!$C$85=1,'Assumptions &amp; Results'!$C$87=0),(+'Assumptions &amp; Results'!AI83-'Assumptions &amp; Results'!AI79+AH9),+'Assumptions &amp; Results'!AI83))</f>
        <v>0</v>
      </c>
      <c r="AI7" s="39">
        <f>IF(AND('Assumptions &amp; Results'!$C$85=1,'Assumptions &amp; Results'!$C$87=1),(+'Assumptions &amp; Results'!AJ83-'Assumptions &amp; Results'!AJ79),IF(AND('Assumptions &amp; Results'!$C$85=1,'Assumptions &amp; Results'!$C$87=0),(+'Assumptions &amp; Results'!AJ83-'Assumptions &amp; Results'!AJ79+AI9),+'Assumptions &amp; Results'!AJ83))</f>
        <v>0</v>
      </c>
      <c r="AJ7" s="125">
        <f>SUM(C7:AI7)</f>
        <v>16768</v>
      </c>
    </row>
    <row r="8" spans="1:36" x14ac:dyDescent="0.2">
      <c r="A8" s="4"/>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125"/>
    </row>
    <row r="9" spans="1:36" x14ac:dyDescent="0.2">
      <c r="A9" s="4" t="s">
        <v>559</v>
      </c>
      <c r="B9" t="s">
        <v>99</v>
      </c>
      <c r="C9" s="8">
        <f>IF(AND('Assumptions &amp; Results'!$C$85=1,C3='Assumptions &amp; Results'!$C$16),NPV(8%,'Assumptions &amp; Results'!D86:'Assumptions &amp; Results'!$AJ86),0)</f>
        <v>0</v>
      </c>
      <c r="D9" s="8">
        <f>IF(AND('Assumptions &amp; Results'!$C$85=1,D3='Assumptions &amp; Results'!$C$16),NPV(8%,'Assumptions &amp; Results'!E86:'Assumptions &amp; Results'!$AJ86),0)</f>
        <v>0</v>
      </c>
      <c r="E9" s="8">
        <f>IF(AND('Assumptions &amp; Results'!$C$85=1,E3='Assumptions &amp; Results'!$C$16),NPV(8%,'Assumptions &amp; Results'!F86:'Assumptions &amp; Results'!$AJ86),0)</f>
        <v>0</v>
      </c>
      <c r="F9" s="8">
        <f>IF(AND('Assumptions &amp; Results'!$C$85=1,F3='Assumptions &amp; Results'!$C$16),NPV(8%,'Assumptions &amp; Results'!G86:'Assumptions &amp; Results'!$AJ86),0)</f>
        <v>0</v>
      </c>
      <c r="G9" s="8">
        <f>IF(AND('Assumptions &amp; Results'!$C$85=1,G3='Assumptions &amp; Results'!$C$16),NPV(8%,'Assumptions &amp; Results'!H86:'Assumptions &amp; Results'!$AJ86),0)</f>
        <v>0</v>
      </c>
      <c r="H9" s="8">
        <f>IF(AND('Assumptions &amp; Results'!$C$85=1,H3='Assumptions &amp; Results'!$C$16),NPV(8%,'Assumptions &amp; Results'!I86:'Assumptions &amp; Results'!$AJ86),0)</f>
        <v>0</v>
      </c>
      <c r="I9" s="8">
        <f>IF(AND('Assumptions &amp; Results'!$C$85=1,I3='Assumptions &amp; Results'!$C$16),NPV(8%,'Assumptions &amp; Results'!J86:'Assumptions &amp; Results'!$AJ86),0)</f>
        <v>0</v>
      </c>
      <c r="J9" s="8">
        <f>IF(AND('Assumptions &amp; Results'!$C$85=1,J3='Assumptions &amp; Results'!$C$16),NPV(8%,'Assumptions &amp; Results'!K86:'Assumptions &amp; Results'!$AJ86),0)</f>
        <v>0</v>
      </c>
      <c r="K9" s="8">
        <f>IF(AND('Assumptions &amp; Results'!$C$85=1,K3='Assumptions &amp; Results'!$C$16),NPV(8%,'Assumptions &amp; Results'!L86:'Assumptions &amp; Results'!$AJ86),0)</f>
        <v>0</v>
      </c>
      <c r="L9" s="8">
        <f>IF(AND('Assumptions &amp; Results'!$C$85=1,L3='Assumptions &amp; Results'!$C$16),NPV(8%,'Assumptions &amp; Results'!M86:'Assumptions &amp; Results'!$AJ86),0)</f>
        <v>0</v>
      </c>
      <c r="M9" s="8">
        <f>IF(AND('Assumptions &amp; Results'!$C$85=1,M3='Assumptions &amp; Results'!$C$16),NPV(8%,'Assumptions &amp; Results'!N86:'Assumptions &amp; Results'!$AJ86),0)</f>
        <v>0</v>
      </c>
      <c r="N9" s="8">
        <f>IF(AND('Assumptions &amp; Results'!$C$85=1,N3='Assumptions &amp; Results'!$C$16),NPV(8%,'Assumptions &amp; Results'!O86:'Assumptions &amp; Results'!$AJ86),0)</f>
        <v>0</v>
      </c>
      <c r="O9" s="8">
        <f>IF(AND('Assumptions &amp; Results'!$C$85=1,O3='Assumptions &amp; Results'!$C$16),NPV(8%,'Assumptions &amp; Results'!P86:'Assumptions &amp; Results'!$AJ86),0)</f>
        <v>0</v>
      </c>
      <c r="P9" s="8">
        <f>IF(AND('Assumptions &amp; Results'!$C$85=1,P3='Assumptions &amp; Results'!$C$16),NPV(8%,'Assumptions &amp; Results'!Q86:'Assumptions &amp; Results'!$AJ86),0)</f>
        <v>0</v>
      </c>
      <c r="Q9" s="8">
        <f>IF(AND('Assumptions &amp; Results'!$C$85=1,Q3='Assumptions &amp; Results'!$C$16),NPV(8%,'Assumptions &amp; Results'!R86:'Assumptions &amp; Results'!$AJ86),0)</f>
        <v>0</v>
      </c>
      <c r="R9" s="8">
        <f>IF(AND('Assumptions &amp; Results'!$C$85=1,R3='Assumptions &amp; Results'!$C$16),NPV(8%,'Assumptions &amp; Results'!S86:'Assumptions &amp; Results'!$AJ86),0)</f>
        <v>0</v>
      </c>
      <c r="S9" s="8">
        <f>IF(AND('Assumptions &amp; Results'!$C$85=1,S3='Assumptions &amp; Results'!$C$16),NPV(8%,'Assumptions &amp; Results'!T86:'Assumptions &amp; Results'!$AJ86),0)</f>
        <v>0</v>
      </c>
      <c r="T9" s="8">
        <f>IF(AND('Assumptions &amp; Results'!$C$85=1,T3='Assumptions &amp; Results'!$C$16),NPV(8%,'Assumptions &amp; Results'!U86:'Assumptions &amp; Results'!$AJ86),0)</f>
        <v>0</v>
      </c>
      <c r="U9" s="8">
        <f>IF(AND('Assumptions &amp; Results'!$C$85=1,U3='Assumptions &amp; Results'!$C$16),NPV(8%,'Assumptions &amp; Results'!V86:'Assumptions &amp; Results'!$AJ86),0)</f>
        <v>0</v>
      </c>
      <c r="V9" s="8">
        <f>IF(AND('Assumptions &amp; Results'!$C$85=1,V3='Assumptions &amp; Results'!$C$16),NPV(8%,'Assumptions &amp; Results'!W86:'Assumptions &amp; Results'!$AJ86),0)</f>
        <v>0</v>
      </c>
      <c r="W9" s="8">
        <f>IF(AND('Assumptions &amp; Results'!$C$85=1,W3='Assumptions &amp; Results'!$C$16),NPV(8%,'Assumptions &amp; Results'!X86:'Assumptions &amp; Results'!$AJ86),0)</f>
        <v>0</v>
      </c>
      <c r="X9" s="8">
        <f>IF(AND('Assumptions &amp; Results'!$C$85=1,X3='Assumptions &amp; Results'!$C$16),NPV(8%,'Assumptions &amp; Results'!Y86:'Assumptions &amp; Results'!$AJ86),0)</f>
        <v>0</v>
      </c>
      <c r="Y9" s="8">
        <f>IF(AND('Assumptions &amp; Results'!$C$85=1,Y3='Assumptions &amp; Results'!$C$16),NPV(8%,'Assumptions &amp; Results'!Z86:'Assumptions &amp; Results'!$AJ86),0)</f>
        <v>0</v>
      </c>
      <c r="Z9" s="8">
        <f>IF(AND('Assumptions &amp; Results'!$C$85=1,Z3='Assumptions &amp; Results'!$C$16),NPV(8%,'Assumptions &amp; Results'!AA86:'Assumptions &amp; Results'!$AJ86),0)</f>
        <v>0</v>
      </c>
      <c r="AA9" s="8">
        <f>IF(AND('Assumptions &amp; Results'!$C$85=1,AA3='Assumptions &amp; Results'!$C$16),NPV(8%,'Assumptions &amp; Results'!AB86:'Assumptions &amp; Results'!$AJ86),0)</f>
        <v>0</v>
      </c>
      <c r="AB9" s="8">
        <f>IF(AND('Assumptions &amp; Results'!$C$85=1,AB3='Assumptions &amp; Results'!$C$16),NPV(8%,'Assumptions &amp; Results'!AC86:'Assumptions &amp; Results'!$AJ86),0)</f>
        <v>0</v>
      </c>
      <c r="AC9" s="8">
        <f>IF(AND('Assumptions &amp; Results'!$C$85=1,AC3='Assumptions &amp; Results'!$C$16),NPV(8%,'Assumptions &amp; Results'!AD86:'Assumptions &amp; Results'!$AJ86),0)</f>
        <v>0</v>
      </c>
      <c r="AD9" s="8">
        <f>IF(AND('Assumptions &amp; Results'!$C$85=1,AD3='Assumptions &amp; Results'!$C$16),NPV(8%,'Assumptions &amp; Results'!AE86:'Assumptions &amp; Results'!$AJ86),0)</f>
        <v>0</v>
      </c>
      <c r="AE9" s="8">
        <f>IF(AND('Assumptions &amp; Results'!$C$85=1,AE3='Assumptions &amp; Results'!$C$16),NPV(8%,'Assumptions &amp; Results'!AF86:'Assumptions &amp; Results'!$AJ86),0)</f>
        <v>0</v>
      </c>
      <c r="AF9" s="8">
        <f>IF(AND('Assumptions &amp; Results'!$C$85=1,AF3='Assumptions &amp; Results'!$C$16),NPV(8%,'Assumptions &amp; Results'!AG86:'Assumptions &amp; Results'!$AJ86),0)</f>
        <v>0</v>
      </c>
      <c r="AG9" s="8">
        <f>IF(AND('Assumptions &amp; Results'!$C$85=1,AG3='Assumptions &amp; Results'!$C$16),NPV(8%,'Assumptions &amp; Results'!AH86:'Assumptions &amp; Results'!$AJ86),0)</f>
        <v>0</v>
      </c>
      <c r="AH9" s="8">
        <f>IF(AND('Assumptions &amp; Results'!$C$85=1,AH3='Assumptions &amp; Results'!$C$16),NPV(8%,'Assumptions &amp; Results'!AI86:'Assumptions &amp; Results'!$AJ86),0)</f>
        <v>0</v>
      </c>
      <c r="AI9" s="8">
        <f>IF(AND('Assumptions &amp; Results'!$C$85=1,AI3='Assumptions &amp; Results'!$C$16),NPV(8%,'Assumptions &amp; Results'!AJ86:'Assumptions &amp; Results'!$AJ86),0)</f>
        <v>0</v>
      </c>
      <c r="AJ9" s="125">
        <f>SUM(C9:AI9)</f>
        <v>0</v>
      </c>
    </row>
    <row r="10" spans="1:36" x14ac:dyDescent="0.2">
      <c r="A10" s="4"/>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125"/>
    </row>
    <row r="11" spans="1:36" x14ac:dyDescent="0.2">
      <c r="A11" s="4"/>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125"/>
    </row>
    <row r="12" spans="1:36" s="69" customFormat="1" x14ac:dyDescent="0.2">
      <c r="A12" s="74" t="s">
        <v>346</v>
      </c>
      <c r="AJ12" s="132"/>
    </row>
    <row r="13" spans="1:36" x14ac:dyDescent="0.2">
      <c r="A13" s="38" t="s">
        <v>347</v>
      </c>
      <c r="B13" s="38" t="str">
        <f>'Assumptions &amp; Results'!B105</f>
        <v>$MM</v>
      </c>
      <c r="C13" s="38">
        <f>'Assumptions &amp; Results'!D105</f>
        <v>0</v>
      </c>
      <c r="D13" s="38">
        <f>'Assumptions &amp; Results'!E105</f>
        <v>0</v>
      </c>
      <c r="E13" s="38">
        <f>'Assumptions &amp; Results'!F105</f>
        <v>0</v>
      </c>
      <c r="F13" s="38">
        <f>'Assumptions &amp; Results'!G105</f>
        <v>0</v>
      </c>
      <c r="G13" s="38">
        <f>'Assumptions &amp; Results'!H105</f>
        <v>500</v>
      </c>
      <c r="H13" s="38">
        <f>'Assumptions &amp; Results'!I105</f>
        <v>1000</v>
      </c>
      <c r="I13" s="38">
        <f>'Assumptions &amp; Results'!J105</f>
        <v>1000</v>
      </c>
      <c r="J13" s="38">
        <f>'Assumptions &amp; Results'!K105</f>
        <v>1000</v>
      </c>
      <c r="K13" s="38">
        <f>'Assumptions &amp; Results'!L105</f>
        <v>1000</v>
      </c>
      <c r="L13" s="38">
        <f>'Assumptions &amp; Results'!M105</f>
        <v>1000</v>
      </c>
      <c r="M13" s="38">
        <f>'Assumptions &amp; Results'!N105</f>
        <v>1000</v>
      </c>
      <c r="N13" s="38">
        <f>'Assumptions &amp; Results'!O105</f>
        <v>1000</v>
      </c>
      <c r="O13" s="38">
        <f>'Assumptions &amp; Results'!P105</f>
        <v>1000</v>
      </c>
      <c r="P13" s="38">
        <f>'Assumptions &amp; Results'!Q105</f>
        <v>1000</v>
      </c>
      <c r="Q13" s="38">
        <f>'Assumptions &amp; Results'!R105</f>
        <v>1000</v>
      </c>
      <c r="R13" s="38">
        <f>'Assumptions &amp; Results'!S105</f>
        <v>1000</v>
      </c>
      <c r="S13" s="38">
        <f>'Assumptions &amp; Results'!T105</f>
        <v>1000</v>
      </c>
      <c r="T13" s="38">
        <f>'Assumptions &amp; Results'!U105</f>
        <v>1000</v>
      </c>
      <c r="U13" s="38">
        <f>'Assumptions &amp; Results'!V105</f>
        <v>1000</v>
      </c>
      <c r="V13" s="38">
        <f>'Assumptions &amp; Results'!W105</f>
        <v>1000</v>
      </c>
      <c r="W13" s="38">
        <f>'Assumptions &amp; Results'!X105</f>
        <v>1000</v>
      </c>
      <c r="X13" s="38">
        <f>'Assumptions &amp; Results'!Y105</f>
        <v>1000</v>
      </c>
      <c r="Y13" s="38">
        <f>'Assumptions &amp; Results'!Z105</f>
        <v>1000</v>
      </c>
      <c r="Z13" s="38">
        <f>'Assumptions &amp; Results'!AA105</f>
        <v>1000</v>
      </c>
      <c r="AA13" s="38">
        <f>'Assumptions &amp; Results'!AB105</f>
        <v>1000</v>
      </c>
      <c r="AB13" s="38">
        <f>'Assumptions &amp; Results'!AC105</f>
        <v>1000</v>
      </c>
      <c r="AC13" s="38">
        <f>'Assumptions &amp; Results'!AD105</f>
        <v>1000</v>
      </c>
      <c r="AD13" s="38">
        <f>'Assumptions &amp; Results'!AE105</f>
        <v>1000</v>
      </c>
      <c r="AE13" s="38">
        <f>'Assumptions &amp; Results'!AF105</f>
        <v>1000</v>
      </c>
      <c r="AF13" s="38">
        <f>'Assumptions &amp; Results'!AG105</f>
        <v>1000</v>
      </c>
      <c r="AG13" s="38">
        <f>'Assumptions &amp; Results'!AH105</f>
        <v>1000</v>
      </c>
      <c r="AH13" s="38">
        <f>'Assumptions &amp; Results'!AI105</f>
        <v>1000</v>
      </c>
      <c r="AI13" s="38">
        <f>'Assumptions &amp; Results'!AJ105</f>
        <v>1000</v>
      </c>
      <c r="AJ13" s="125">
        <f>SUM(C13:AI13)</f>
        <v>28500</v>
      </c>
    </row>
    <row r="14" spans="1:36" x14ac:dyDescent="0.2">
      <c r="A14" t="s">
        <v>348</v>
      </c>
      <c r="B14" t="s">
        <v>99</v>
      </c>
      <c r="C14" s="8">
        <f>IF('Assumptions &amp; Results'!D25&lt;1,'Assumptions &amp; Results'!$D$107,0)</f>
        <v>0</v>
      </c>
      <c r="D14" s="8">
        <f>IF('Assumptions &amp; Results'!E25&lt;1,'Assumptions &amp; Results'!$D$107,0)</f>
        <v>0</v>
      </c>
      <c r="E14" s="8">
        <f>IF('Assumptions &amp; Results'!F25&lt;1,'Assumptions &amp; Results'!$D$107,0)</f>
        <v>0</v>
      </c>
      <c r="F14" s="8">
        <f>IF('Assumptions &amp; Results'!G25&lt;1,'Assumptions &amp; Results'!$D$107,0)</f>
        <v>0</v>
      </c>
      <c r="G14" s="8">
        <f>IF('Assumptions &amp; Results'!H25&lt;1,'Assumptions &amp; Results'!$D$107,0)</f>
        <v>0</v>
      </c>
      <c r="H14" s="8">
        <f>IF('Assumptions &amp; Results'!I25&lt;1,'Assumptions &amp; Results'!$D$107,0)</f>
        <v>0</v>
      </c>
      <c r="I14" s="8">
        <f>IF('Assumptions &amp; Results'!J25&lt;1,'Assumptions &amp; Results'!$D$107,0)</f>
        <v>0</v>
      </c>
      <c r="J14" s="8">
        <f>IF('Assumptions &amp; Results'!K25&lt;1,'Assumptions &amp; Results'!$D$107,0)</f>
        <v>100</v>
      </c>
      <c r="K14" s="8">
        <f>IF('Assumptions &amp; Results'!L25&lt;1,'Assumptions &amp; Results'!$D$107,0)</f>
        <v>0</v>
      </c>
      <c r="L14" s="8">
        <f>IF('Assumptions &amp; Results'!M25&lt;1,'Assumptions &amp; Results'!$D$107,0)</f>
        <v>0</v>
      </c>
      <c r="M14" s="8">
        <f>IF('Assumptions &amp; Results'!N25&lt;1,'Assumptions &amp; Results'!$D$107,0)</f>
        <v>0</v>
      </c>
      <c r="N14" s="8">
        <f>IF('Assumptions &amp; Results'!O25&lt;1,'Assumptions &amp; Results'!$D$107,0)</f>
        <v>0</v>
      </c>
      <c r="O14" s="8">
        <f>IF('Assumptions &amp; Results'!P25&lt;1,'Assumptions &amp; Results'!$D$107,0)</f>
        <v>100</v>
      </c>
      <c r="P14" s="8">
        <f>IF('Assumptions &amp; Results'!Q25&lt;1,'Assumptions &amp; Results'!$D$107,0)</f>
        <v>0</v>
      </c>
      <c r="Q14" s="8">
        <f>IF('Assumptions &amp; Results'!R25&lt;1,'Assumptions &amp; Results'!$D$107,0)</f>
        <v>0</v>
      </c>
      <c r="R14" s="8">
        <f>IF('Assumptions &amp; Results'!S25&lt;1,'Assumptions &amp; Results'!$D$107,0)</f>
        <v>0</v>
      </c>
      <c r="S14" s="8">
        <f>IF('Assumptions &amp; Results'!T25&lt;1,'Assumptions &amp; Results'!$D$107,0)</f>
        <v>0</v>
      </c>
      <c r="T14" s="8">
        <f>IF('Assumptions &amp; Results'!U25&lt;1,'Assumptions &amp; Results'!$D$107,0)</f>
        <v>100</v>
      </c>
      <c r="U14" s="8">
        <f>IF('Assumptions &amp; Results'!V25&lt;1,'Assumptions &amp; Results'!$D$107,0)</f>
        <v>0</v>
      </c>
      <c r="V14" s="8">
        <f>IF('Assumptions &amp; Results'!W25&lt;1,'Assumptions &amp; Results'!$D$107,0)</f>
        <v>0</v>
      </c>
      <c r="W14" s="8">
        <f>IF('Assumptions &amp; Results'!X25&lt;1,'Assumptions &amp; Results'!$D$107,0)</f>
        <v>0</v>
      </c>
      <c r="X14" s="8">
        <f>IF('Assumptions &amp; Results'!Y25&lt;1,'Assumptions &amp; Results'!$D$107,0)</f>
        <v>0</v>
      </c>
      <c r="Y14" s="8">
        <f>IF('Assumptions &amp; Results'!Z25&lt;1,'Assumptions &amp; Results'!$D$107,0)</f>
        <v>100</v>
      </c>
      <c r="Z14" s="8">
        <f>IF('Assumptions &amp; Results'!AA25&lt;1,'Assumptions &amp; Results'!$D$107,0)</f>
        <v>0</v>
      </c>
      <c r="AA14" s="8">
        <f>IF('Assumptions &amp; Results'!AB25&lt;1,'Assumptions &amp; Results'!$D$107,0)</f>
        <v>0</v>
      </c>
      <c r="AB14" s="8">
        <f>IF('Assumptions &amp; Results'!AC25&lt;1,'Assumptions &amp; Results'!$D$107,0)</f>
        <v>0</v>
      </c>
      <c r="AC14" s="8">
        <f>IF('Assumptions &amp; Results'!AD25&lt;1,'Assumptions &amp; Results'!$D$107,0)</f>
        <v>0</v>
      </c>
      <c r="AD14" s="8">
        <f>IF('Assumptions &amp; Results'!AE25&lt;1,'Assumptions &amp; Results'!$D$107,0)</f>
        <v>100</v>
      </c>
      <c r="AE14" s="8">
        <f>IF('Assumptions &amp; Results'!AF25&lt;1,'Assumptions &amp; Results'!$D$107,0)</f>
        <v>0</v>
      </c>
      <c r="AF14" s="8">
        <f>IF('Assumptions &amp; Results'!AG25&lt;1,'Assumptions &amp; Results'!$D$107,0)</f>
        <v>0</v>
      </c>
      <c r="AG14" s="8">
        <f>IF('Assumptions &amp; Results'!AH25&lt;1,'Assumptions &amp; Results'!$D$107,0)</f>
        <v>0</v>
      </c>
      <c r="AH14" s="8">
        <f>IF('Assumptions &amp; Results'!AI25&lt;1,'Assumptions &amp; Results'!$D$107,0)</f>
        <v>0</v>
      </c>
      <c r="AI14" s="8">
        <f>IF('Assumptions &amp; Results'!AJ25&lt;1,'Assumptions &amp; Results'!$D$107,0)</f>
        <v>0</v>
      </c>
      <c r="AJ14" s="125">
        <f>SUM(C14:AI14)</f>
        <v>500</v>
      </c>
    </row>
    <row r="15" spans="1:36" x14ac:dyDescent="0.2">
      <c r="A15" t="s">
        <v>349</v>
      </c>
      <c r="B15" t="s">
        <v>99</v>
      </c>
      <c r="C15" s="8">
        <f>IF('Assumptions &amp; Results'!$C$14=2,'Assumptions &amp; Results'!E102*C29,0)</f>
        <v>0</v>
      </c>
      <c r="D15" s="8">
        <f>IF('Assumptions &amp; Results'!$C$14=2,'Assumptions &amp; Results'!F102*D29,0)</f>
        <v>0</v>
      </c>
      <c r="E15" s="8">
        <f>IF('Assumptions &amp; Results'!$C$14=2,'Assumptions &amp; Results'!G102*E29,0)</f>
        <v>0</v>
      </c>
      <c r="F15" s="8">
        <f>IF('Assumptions &amp; Results'!$C$14=2,'Assumptions &amp; Results'!H102*F29,0)</f>
        <v>0</v>
      </c>
      <c r="G15" s="8">
        <f>IF('Assumptions &amp; Results'!$C$14=2,'Assumptions &amp; Results'!I102*G29,0)</f>
        <v>0</v>
      </c>
      <c r="H15" s="8">
        <f>IF('Assumptions &amp; Results'!$C$14=2,'Assumptions &amp; Results'!J102*H29,0)</f>
        <v>0</v>
      </c>
      <c r="I15" s="8">
        <f>IF('Assumptions &amp; Results'!$C$14=2,'Assumptions &amp; Results'!K102*I29,0)</f>
        <v>0</v>
      </c>
      <c r="J15" s="8">
        <f>IF('Assumptions &amp; Results'!$C$14=2,'Assumptions &amp; Results'!L102*J29,0)</f>
        <v>0</v>
      </c>
      <c r="K15" s="8">
        <f>IF('Assumptions &amp; Results'!$C$14=2,'Assumptions &amp; Results'!M102*K29,0)</f>
        <v>0</v>
      </c>
      <c r="L15" s="8">
        <f>IF('Assumptions &amp; Results'!$C$14=2,'Assumptions &amp; Results'!N102*L29,0)</f>
        <v>0</v>
      </c>
      <c r="M15" s="8">
        <f>IF('Assumptions &amp; Results'!$C$14=2,'Assumptions &amp; Results'!O102*M29,0)</f>
        <v>0</v>
      </c>
      <c r="N15" s="8">
        <f>IF('Assumptions &amp; Results'!$C$14=2,'Assumptions &amp; Results'!P102*N29,0)</f>
        <v>0</v>
      </c>
      <c r="O15" s="8">
        <f>IF('Assumptions &amp; Results'!$C$14=2,'Assumptions &amp; Results'!Q102*O29,0)</f>
        <v>0</v>
      </c>
      <c r="P15" s="8">
        <f>IF('Assumptions &amp; Results'!$C$14=2,'Assumptions &amp; Results'!R102*P29,0)</f>
        <v>0</v>
      </c>
      <c r="Q15" s="8">
        <f>IF('Assumptions &amp; Results'!$C$14=2,'Assumptions &amp; Results'!S102*Q29,0)</f>
        <v>0</v>
      </c>
      <c r="R15" s="8">
        <f>IF('Assumptions &amp; Results'!$C$14=2,'Assumptions &amp; Results'!T102*R29,0)</f>
        <v>0</v>
      </c>
      <c r="S15" s="8">
        <f>IF('Assumptions &amp; Results'!$C$14=2,'Assumptions &amp; Results'!U102*S29,0)</f>
        <v>0</v>
      </c>
      <c r="T15" s="8">
        <f>IF('Assumptions &amp; Results'!$C$14=2,'Assumptions &amp; Results'!V102*T29,0)</f>
        <v>0</v>
      </c>
      <c r="U15" s="8">
        <f>IF('Assumptions &amp; Results'!$C$14=2,'Assumptions &amp; Results'!W102*U29,0)</f>
        <v>0</v>
      </c>
      <c r="V15" s="8">
        <f>IF('Assumptions &amp; Results'!$C$14=2,'Assumptions &amp; Results'!X102*V29,0)</f>
        <v>0</v>
      </c>
      <c r="W15" s="8">
        <f>IF('Assumptions &amp; Results'!$C$14=2,'Assumptions &amp; Results'!Y102*W29,0)</f>
        <v>0</v>
      </c>
      <c r="X15" s="8">
        <f>IF('Assumptions &amp; Results'!$C$14=2,'Assumptions &amp; Results'!Z102*X29,0)</f>
        <v>0</v>
      </c>
      <c r="Y15" s="8">
        <f>IF('Assumptions &amp; Results'!$C$14=2,'Assumptions &amp; Results'!AA102*Y29,0)</f>
        <v>0</v>
      </c>
      <c r="Z15" s="8">
        <f>IF('Assumptions &amp; Results'!$C$14=2,'Assumptions &amp; Results'!AB102*Z29,0)</f>
        <v>0</v>
      </c>
      <c r="AA15" s="8">
        <f>IF('Assumptions &amp; Results'!$C$14=2,'Assumptions &amp; Results'!AC102*AA29,0)</f>
        <v>0</v>
      </c>
      <c r="AB15" s="8">
        <f>IF('Assumptions &amp; Results'!$C$14=2,'Assumptions &amp; Results'!AD102*AB29,0)</f>
        <v>0</v>
      </c>
      <c r="AC15" s="8">
        <f>IF('Assumptions &amp; Results'!$C$14=2,'Assumptions &amp; Results'!AE102*AC29,0)</f>
        <v>0</v>
      </c>
      <c r="AD15" s="8">
        <f>IF('Assumptions &amp; Results'!$C$14=2,'Assumptions &amp; Results'!AF102*AD29,0)</f>
        <v>0</v>
      </c>
      <c r="AE15" s="8">
        <f>IF('Assumptions &amp; Results'!$C$14=2,'Assumptions &amp; Results'!AG102*AE29,0)</f>
        <v>0</v>
      </c>
      <c r="AF15" s="8">
        <f>IF('Assumptions &amp; Results'!$C$14=2,'Assumptions &amp; Results'!AH102*AF29,0)</f>
        <v>0</v>
      </c>
      <c r="AG15" s="8">
        <f>IF('Assumptions &amp; Results'!$C$14=2,'Assumptions &amp; Results'!AI102*AG29,0)</f>
        <v>0</v>
      </c>
      <c r="AH15" s="8">
        <f>IF('Assumptions &amp; Results'!$C$14=2,'Assumptions &amp; Results'!AJ102*AH29,0)</f>
        <v>0</v>
      </c>
      <c r="AI15" s="8">
        <f>IF('Assumptions &amp; Results'!$C$14=2,'Assumptions &amp; Results'!AK102*AI29,0)</f>
        <v>0</v>
      </c>
      <c r="AJ15" s="125">
        <f>SUM(C15:AI15)</f>
        <v>0</v>
      </c>
    </row>
    <row r="16" spans="1:36" x14ac:dyDescent="0.2">
      <c r="A16" t="s">
        <v>350</v>
      </c>
      <c r="B16" t="s">
        <v>99</v>
      </c>
      <c r="C16" s="8">
        <f>IF('Assumptions &amp; Results'!$C$97=1,+'Gas PL'!C26,0)</f>
        <v>0</v>
      </c>
      <c r="D16" s="8">
        <f>IF('Assumptions &amp; Results'!$C$97=1,+'Gas PL'!D26,0)</f>
        <v>0</v>
      </c>
      <c r="E16" s="8">
        <f>IF('Assumptions &amp; Results'!$C$97=1,+'Gas PL'!E26,0)</f>
        <v>0</v>
      </c>
      <c r="F16" s="8">
        <f>IF('Assumptions &amp; Results'!$C$97=1,+'Gas PL'!F26,0)</f>
        <v>0</v>
      </c>
      <c r="G16" s="8">
        <f>IF('Assumptions &amp; Results'!$C$97=1,+'Gas PL'!G26,0)</f>
        <v>120.45</v>
      </c>
      <c r="H16" s="8">
        <f>IF('Assumptions &amp; Results'!$C$97=1,+'Gas PL'!H26,0)</f>
        <v>240.9</v>
      </c>
      <c r="I16" s="8">
        <f>IF('Assumptions &amp; Results'!$C$97=1,+'Gas PL'!I26,0)</f>
        <v>240.9</v>
      </c>
      <c r="J16" s="8">
        <f>IF('Assumptions &amp; Results'!$C$97=1,+'Gas PL'!J26,0)</f>
        <v>228.85499999999999</v>
      </c>
      <c r="K16" s="8">
        <f>IF('Assumptions &amp; Results'!$C$97=1,+'Gas PL'!K26,0)</f>
        <v>240.9</v>
      </c>
      <c r="L16" s="8">
        <f>IF('Assumptions &amp; Results'!$C$97=1,+'Gas PL'!L26,0)</f>
        <v>240.9</v>
      </c>
      <c r="M16" s="8">
        <f>IF('Assumptions &amp; Results'!$C$97=1,+'Gas PL'!M26,0)</f>
        <v>240.9</v>
      </c>
      <c r="N16" s="8">
        <f>IF('Assumptions &amp; Results'!$C$97=1,+'Gas PL'!N26,0)</f>
        <v>240.9</v>
      </c>
      <c r="O16" s="8">
        <f>IF('Assumptions &amp; Results'!$C$97=1,+'Gas PL'!O26,0)</f>
        <v>228.85499999999999</v>
      </c>
      <c r="P16" s="8">
        <f>IF('Assumptions &amp; Results'!$C$97=1,+'Gas PL'!P26,0)</f>
        <v>240.9</v>
      </c>
      <c r="Q16" s="8">
        <f>IF('Assumptions &amp; Results'!$C$97=1,+'Gas PL'!Q26,0)</f>
        <v>240.9</v>
      </c>
      <c r="R16" s="8">
        <f>IF('Assumptions &amp; Results'!$C$97=1,+'Gas PL'!R26,0)</f>
        <v>240.9</v>
      </c>
      <c r="S16" s="8">
        <f>IF('Assumptions &amp; Results'!$C$97=1,+'Gas PL'!S26,0)</f>
        <v>240.9</v>
      </c>
      <c r="T16" s="8">
        <f>IF('Assumptions &amp; Results'!$C$97=1,+'Gas PL'!T26,0)</f>
        <v>228.85499999999999</v>
      </c>
      <c r="U16" s="8">
        <f>IF('Assumptions &amp; Results'!$C$97=1,+'Gas PL'!U26,0)</f>
        <v>240.9</v>
      </c>
      <c r="V16" s="8">
        <f>IF('Assumptions &amp; Results'!$C$97=1,+'Gas PL'!V26,0)</f>
        <v>240.9</v>
      </c>
      <c r="W16" s="8">
        <f>IF('Assumptions &amp; Results'!$C$97=1,+'Gas PL'!W26,0)</f>
        <v>240.9</v>
      </c>
      <c r="X16" s="8">
        <f>IF('Assumptions &amp; Results'!$C$97=1,+'Gas PL'!X26,0)</f>
        <v>240.9</v>
      </c>
      <c r="Y16" s="8">
        <f>IF('Assumptions &amp; Results'!$C$97=1,+'Gas PL'!Y26,0)</f>
        <v>228.85499999999999</v>
      </c>
      <c r="Z16" s="8">
        <f>IF('Assumptions &amp; Results'!$C$97=1,+'Gas PL'!Z26,0)</f>
        <v>240.9</v>
      </c>
      <c r="AA16" s="8">
        <f>IF('Assumptions &amp; Results'!$C$97=1,+'Gas PL'!AA26,0)</f>
        <v>240.9</v>
      </c>
      <c r="AB16" s="8">
        <f>IF('Assumptions &amp; Results'!$C$97=1,+'Gas PL'!AB26,0)</f>
        <v>240.9</v>
      </c>
      <c r="AC16" s="8">
        <f>IF('Assumptions &amp; Results'!$C$97=1,+'Gas PL'!AC26,0)</f>
        <v>240.9</v>
      </c>
      <c r="AD16" s="8">
        <f>IF('Assumptions &amp; Results'!$C$97=1,+'Gas PL'!AD26,0)</f>
        <v>228.85499999999999</v>
      </c>
      <c r="AE16" s="8">
        <f>IF('Assumptions &amp; Results'!$C$97=1,+'Gas PL'!AE26,0)</f>
        <v>240.9</v>
      </c>
      <c r="AF16" s="8">
        <f>IF('Assumptions &amp; Results'!$C$97=1,+'Gas PL'!AF26,0)</f>
        <v>240.9</v>
      </c>
      <c r="AG16" s="8">
        <f>IF('Assumptions &amp; Results'!$C$97=1,+'Gas PL'!AG26,0)</f>
        <v>240.9</v>
      </c>
      <c r="AH16" s="8">
        <f>IF('Assumptions &amp; Results'!$C$97=1,+'Gas PL'!AH26,0)</f>
        <v>240.9</v>
      </c>
      <c r="AI16" s="8">
        <f>IF('Assumptions &amp; Results'!$C$97=1,+'Gas PL'!AI26,0)</f>
        <v>240.9</v>
      </c>
      <c r="AJ16" s="125">
        <f>SUM(C16:AI16)</f>
        <v>6805.4249999999965</v>
      </c>
    </row>
    <row r="17" spans="1:36" x14ac:dyDescent="0.2">
      <c r="A17" s="4" t="s">
        <v>351</v>
      </c>
      <c r="B17" t="s">
        <v>99</v>
      </c>
      <c r="C17" s="8">
        <f>'Assumptions &amp; Results'!$D$104*'Assumptions &amp; Results'!D8*365/1000</f>
        <v>0</v>
      </c>
      <c r="D17" s="8">
        <f>'Assumptions &amp; Results'!$D$104*'Assumptions &amp; Results'!E8*365/1000</f>
        <v>0</v>
      </c>
      <c r="E17" s="8">
        <f>'Assumptions &amp; Results'!$D$104*'Assumptions &amp; Results'!F8*365/1000</f>
        <v>0</v>
      </c>
      <c r="F17" s="8">
        <f>'Assumptions &amp; Results'!$D$104*'Assumptions &amp; Results'!G8*365/1000</f>
        <v>0</v>
      </c>
      <c r="G17" s="8">
        <f>'Assumptions &amp; Results'!$D$104*'Assumptions &amp; Results'!H8*365/1000</f>
        <v>0</v>
      </c>
      <c r="H17" s="8">
        <f>'Assumptions &amp; Results'!$D$104*'Assumptions &amp; Results'!I8*365/1000</f>
        <v>0</v>
      </c>
      <c r="I17" s="8">
        <f>'Assumptions &amp; Results'!$D$104*'Assumptions &amp; Results'!J8*365/1000</f>
        <v>0</v>
      </c>
      <c r="J17" s="8">
        <f>'Assumptions &amp; Results'!$D$104*'Assumptions &amp; Results'!K8*365/1000</f>
        <v>0</v>
      </c>
      <c r="K17" s="8">
        <f>'Assumptions &amp; Results'!$D$104*'Assumptions &amp; Results'!L8*365/1000</f>
        <v>0</v>
      </c>
      <c r="L17" s="8">
        <f>'Assumptions &amp; Results'!$D$104*'Assumptions &amp; Results'!M8*365/1000</f>
        <v>0</v>
      </c>
      <c r="M17" s="8">
        <f>'Assumptions &amp; Results'!$D$104*'Assumptions &amp; Results'!N8*365/1000</f>
        <v>0</v>
      </c>
      <c r="N17" s="8">
        <f>'Assumptions &amp; Results'!$D$104*'Assumptions &amp; Results'!O8*365/1000</f>
        <v>0</v>
      </c>
      <c r="O17" s="8">
        <f>'Assumptions &amp; Results'!$D$104*'Assumptions &amp; Results'!P8*365/1000</f>
        <v>0</v>
      </c>
      <c r="P17" s="8">
        <f>'Assumptions &amp; Results'!$D$104*'Assumptions &amp; Results'!Q8*365/1000</f>
        <v>0</v>
      </c>
      <c r="Q17" s="8">
        <f>'Assumptions &amp; Results'!$D$104*'Assumptions &amp; Results'!R8*365/1000</f>
        <v>0</v>
      </c>
      <c r="R17" s="8">
        <f>'Assumptions &amp; Results'!$D$104*'Assumptions &amp; Results'!S8*365/1000</f>
        <v>0</v>
      </c>
      <c r="S17" s="8">
        <f>'Assumptions &amp; Results'!$D$104*'Assumptions &amp; Results'!T8*365/1000</f>
        <v>0</v>
      </c>
      <c r="T17" s="8">
        <f>'Assumptions &amp; Results'!$D$104*'Assumptions &amp; Results'!U8*365/1000</f>
        <v>0</v>
      </c>
      <c r="U17" s="8">
        <f>'Assumptions &amp; Results'!$D$104*'Assumptions &amp; Results'!V8*365/1000</f>
        <v>0</v>
      </c>
      <c r="V17" s="8">
        <f>'Assumptions &amp; Results'!$D$104*'Assumptions &amp; Results'!W8*365/1000</f>
        <v>0</v>
      </c>
      <c r="W17" s="8">
        <f>'Assumptions &amp; Results'!$D$104*'Assumptions &amp; Results'!X8*365/1000</f>
        <v>0</v>
      </c>
      <c r="X17" s="8">
        <f>'Assumptions &amp; Results'!$D$104*'Assumptions &amp; Results'!Y8*365/1000</f>
        <v>0</v>
      </c>
      <c r="Y17" s="8">
        <f>'Assumptions &amp; Results'!$D$104*'Assumptions &amp; Results'!Z8*365/1000</f>
        <v>0</v>
      </c>
      <c r="Z17" s="8">
        <f>'Assumptions &amp; Results'!$D$104*'Assumptions &amp; Results'!AA8*365/1000</f>
        <v>0</v>
      </c>
      <c r="AA17" s="8">
        <f>'Assumptions &amp; Results'!$D$104*'Assumptions &amp; Results'!AB8*365/1000</f>
        <v>0</v>
      </c>
      <c r="AB17" s="8">
        <f>'Assumptions &amp; Results'!$D$104*'Assumptions &amp; Results'!AC8*365/1000</f>
        <v>0</v>
      </c>
      <c r="AC17" s="8">
        <f>'Assumptions &amp; Results'!$D$104*'Assumptions &amp; Results'!AD8*365/1000</f>
        <v>0</v>
      </c>
      <c r="AD17" s="8">
        <f>'Assumptions &amp; Results'!$D$104*'Assumptions &amp; Results'!AE8*365/1000</f>
        <v>0</v>
      </c>
      <c r="AE17" s="8">
        <f>'Assumptions &amp; Results'!$D$104*'Assumptions &amp; Results'!AF8*365/1000</f>
        <v>0</v>
      </c>
      <c r="AF17" s="8">
        <f>'Assumptions &amp; Results'!$D$104*'Assumptions &amp; Results'!AG8*365/1000</f>
        <v>0</v>
      </c>
      <c r="AG17" s="8">
        <f>'Assumptions &amp; Results'!$D$104*'Assumptions &amp; Results'!AH8*365/1000</f>
        <v>0</v>
      </c>
      <c r="AH17" s="8">
        <f>'Assumptions &amp; Results'!$D$104*'Assumptions &amp; Results'!AI8*365/1000</f>
        <v>0</v>
      </c>
      <c r="AI17" s="8">
        <f>'Assumptions &amp; Results'!$D$104*'Assumptions &amp; Results'!AJ8*365/1000</f>
        <v>0</v>
      </c>
      <c r="AJ17" s="125">
        <f>'Assumptions &amp; Results'!$D$104*'Assumptions &amp; Results'!AK8*365/1000</f>
        <v>0</v>
      </c>
    </row>
    <row r="18" spans="1:36" x14ac:dyDescent="0.2">
      <c r="A18" s="14" t="s">
        <v>352</v>
      </c>
      <c r="B18" t="s">
        <v>99</v>
      </c>
      <c r="C18" s="8">
        <f t="shared" ref="C18:AI18" si="0">C13+C14+C15+C16+C17</f>
        <v>0</v>
      </c>
      <c r="D18" s="8">
        <f t="shared" si="0"/>
        <v>0</v>
      </c>
      <c r="E18" s="8">
        <f t="shared" si="0"/>
        <v>0</v>
      </c>
      <c r="F18" s="8">
        <f t="shared" si="0"/>
        <v>0</v>
      </c>
      <c r="G18" s="8">
        <f t="shared" si="0"/>
        <v>620.45000000000005</v>
      </c>
      <c r="H18" s="8">
        <f t="shared" si="0"/>
        <v>1240.9000000000001</v>
      </c>
      <c r="I18" s="8">
        <f t="shared" si="0"/>
        <v>1240.9000000000001</v>
      </c>
      <c r="J18" s="8">
        <f t="shared" si="0"/>
        <v>1328.855</v>
      </c>
      <c r="K18" s="8">
        <f t="shared" si="0"/>
        <v>1240.9000000000001</v>
      </c>
      <c r="L18" s="8">
        <f t="shared" si="0"/>
        <v>1240.9000000000001</v>
      </c>
      <c r="M18" s="8">
        <f t="shared" si="0"/>
        <v>1240.9000000000001</v>
      </c>
      <c r="N18" s="8">
        <f t="shared" si="0"/>
        <v>1240.9000000000001</v>
      </c>
      <c r="O18" s="8">
        <f t="shared" si="0"/>
        <v>1328.855</v>
      </c>
      <c r="P18" s="8">
        <f t="shared" si="0"/>
        <v>1240.9000000000001</v>
      </c>
      <c r="Q18" s="8">
        <f t="shared" si="0"/>
        <v>1240.9000000000001</v>
      </c>
      <c r="R18" s="8">
        <f t="shared" si="0"/>
        <v>1240.9000000000001</v>
      </c>
      <c r="S18" s="8">
        <f t="shared" si="0"/>
        <v>1240.9000000000001</v>
      </c>
      <c r="T18" s="8">
        <f t="shared" si="0"/>
        <v>1328.855</v>
      </c>
      <c r="U18" s="8">
        <f t="shared" si="0"/>
        <v>1240.9000000000001</v>
      </c>
      <c r="V18" s="8">
        <f t="shared" si="0"/>
        <v>1240.9000000000001</v>
      </c>
      <c r="W18" s="8">
        <f t="shared" si="0"/>
        <v>1240.9000000000001</v>
      </c>
      <c r="X18" s="8">
        <f t="shared" si="0"/>
        <v>1240.9000000000001</v>
      </c>
      <c r="Y18" s="8">
        <f t="shared" si="0"/>
        <v>1328.855</v>
      </c>
      <c r="Z18" s="8">
        <f t="shared" si="0"/>
        <v>1240.9000000000001</v>
      </c>
      <c r="AA18" s="8">
        <f t="shared" si="0"/>
        <v>1240.9000000000001</v>
      </c>
      <c r="AB18" s="8">
        <f t="shared" si="0"/>
        <v>1240.9000000000001</v>
      </c>
      <c r="AC18" s="8">
        <f t="shared" si="0"/>
        <v>1240.9000000000001</v>
      </c>
      <c r="AD18" s="8">
        <f t="shared" si="0"/>
        <v>1328.855</v>
      </c>
      <c r="AE18" s="8">
        <f t="shared" si="0"/>
        <v>1240.9000000000001</v>
      </c>
      <c r="AF18" s="8">
        <f t="shared" si="0"/>
        <v>1240.9000000000001</v>
      </c>
      <c r="AG18" s="8">
        <f t="shared" si="0"/>
        <v>1240.9000000000001</v>
      </c>
      <c r="AH18" s="8">
        <f t="shared" si="0"/>
        <v>1240.9000000000001</v>
      </c>
      <c r="AI18" s="8">
        <f t="shared" si="0"/>
        <v>1240.9000000000001</v>
      </c>
      <c r="AJ18" s="125">
        <f>SUM(C18:AI18)</f>
        <v>35805.42500000001</v>
      </c>
    </row>
    <row r="19" spans="1:36" x14ac:dyDescent="0.2">
      <c r="A19" s="4"/>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125"/>
    </row>
    <row r="20" spans="1:36" x14ac:dyDescent="0.2">
      <c r="A20" s="41" t="s">
        <v>353</v>
      </c>
      <c r="B20" t="s">
        <v>99</v>
      </c>
      <c r="C20" s="8">
        <f>'Field 1 Investor'!C18</f>
        <v>0</v>
      </c>
      <c r="D20" s="8">
        <f>'Field 1 Investor'!D18</f>
        <v>0</v>
      </c>
      <c r="E20" s="8">
        <f>'Field 1 Investor'!E18</f>
        <v>0</v>
      </c>
      <c r="F20" s="8">
        <f>'Field 1 Investor'!F18</f>
        <v>0</v>
      </c>
      <c r="G20" s="8">
        <f>'Field 1 Investor'!G18</f>
        <v>0</v>
      </c>
      <c r="H20" s="8">
        <f>'Field 1 Investor'!H18</f>
        <v>0</v>
      </c>
      <c r="I20" s="8">
        <f>'Field 1 Investor'!I18</f>
        <v>0</v>
      </c>
      <c r="J20" s="8">
        <f>'Field 1 Investor'!J18</f>
        <v>0</v>
      </c>
      <c r="K20" s="8">
        <f>'Field 1 Investor'!K18</f>
        <v>0</v>
      </c>
      <c r="L20" s="8">
        <f>'Field 1 Investor'!L18</f>
        <v>0</v>
      </c>
      <c r="M20" s="8">
        <f>'Field 1 Investor'!M18</f>
        <v>0</v>
      </c>
      <c r="N20" s="8">
        <f>'Field 1 Investor'!N18</f>
        <v>0</v>
      </c>
      <c r="O20" s="8">
        <f>'Field 1 Investor'!O18</f>
        <v>0</v>
      </c>
      <c r="P20" s="8">
        <f>'Field 1 Investor'!P18</f>
        <v>0</v>
      </c>
      <c r="Q20" s="8">
        <f>'Field 1 Investor'!Q18</f>
        <v>0</v>
      </c>
      <c r="R20" s="8">
        <f>'Field 1 Investor'!R18</f>
        <v>0</v>
      </c>
      <c r="S20" s="8">
        <f>'Field 1 Investor'!S18</f>
        <v>0</v>
      </c>
      <c r="T20" s="8">
        <f>'Field 1 Investor'!T18</f>
        <v>0</v>
      </c>
      <c r="U20" s="8">
        <f>'Field 1 Investor'!U18</f>
        <v>0</v>
      </c>
      <c r="V20" s="8">
        <f>'Field 1 Investor'!V18</f>
        <v>0</v>
      </c>
      <c r="W20" s="8">
        <f>'Field 1 Investor'!W18</f>
        <v>0</v>
      </c>
      <c r="X20" s="8">
        <f>'Field 1 Investor'!X18</f>
        <v>0</v>
      </c>
      <c r="Y20" s="8">
        <f>'Field 1 Investor'!Y18</f>
        <v>0</v>
      </c>
      <c r="Z20" s="8">
        <f>'Field 1 Investor'!Z18</f>
        <v>0</v>
      </c>
      <c r="AA20" s="8">
        <f>'Field 1 Investor'!AA18</f>
        <v>0</v>
      </c>
      <c r="AB20" s="8">
        <f>'Field 1 Investor'!AB18</f>
        <v>0</v>
      </c>
      <c r="AC20" s="8">
        <f>'Field 1 Investor'!AC18</f>
        <v>0</v>
      </c>
      <c r="AD20" s="8">
        <f>'Field 1 Investor'!AD18</f>
        <v>0</v>
      </c>
      <c r="AE20" s="8">
        <f>'Field 1 Investor'!AE18</f>
        <v>0</v>
      </c>
      <c r="AF20" s="8">
        <f>'Field 1 Investor'!AF18</f>
        <v>0</v>
      </c>
      <c r="AG20" s="8">
        <f>'Field 1 Investor'!AG18</f>
        <v>0</v>
      </c>
      <c r="AH20" s="8">
        <f>'Field 1 Investor'!AH18</f>
        <v>0</v>
      </c>
      <c r="AI20" s="8">
        <f>'Field 1 Investor'!AI18</f>
        <v>0</v>
      </c>
      <c r="AJ20" s="125">
        <f>SUM(C20:AI20)</f>
        <v>0</v>
      </c>
    </row>
    <row r="21" spans="1:36" x14ac:dyDescent="0.2">
      <c r="A21" s="41" t="s">
        <v>354</v>
      </c>
      <c r="B21" t="s">
        <v>99</v>
      </c>
      <c r="C21" s="8">
        <f>'Field 2 Investor'!C18</f>
        <v>0</v>
      </c>
      <c r="D21" s="8">
        <f>'Field 2 Investor'!D18</f>
        <v>0</v>
      </c>
      <c r="E21" s="8">
        <f>'Field 2 Investor'!E18</f>
        <v>0</v>
      </c>
      <c r="F21" s="8">
        <f>'Field 2 Investor'!F18</f>
        <v>0</v>
      </c>
      <c r="G21" s="8">
        <f>'Field 2 Investor'!G18</f>
        <v>0</v>
      </c>
      <c r="H21" s="8">
        <f>'Field 2 Investor'!H18</f>
        <v>0</v>
      </c>
      <c r="I21" s="8">
        <f>'Field 2 Investor'!I18</f>
        <v>0</v>
      </c>
      <c r="J21" s="8">
        <f>'Field 2 Investor'!J18</f>
        <v>0</v>
      </c>
      <c r="K21" s="8">
        <f>'Field 2 Investor'!K18</f>
        <v>0</v>
      </c>
      <c r="L21" s="8">
        <f>'Field 2 Investor'!L18</f>
        <v>0</v>
      </c>
      <c r="M21" s="8">
        <f>'Field 2 Investor'!M18</f>
        <v>0</v>
      </c>
      <c r="N21" s="8">
        <f>'Field 2 Investor'!N18</f>
        <v>0</v>
      </c>
      <c r="O21" s="8">
        <f>'Field 2 Investor'!O18</f>
        <v>0</v>
      </c>
      <c r="P21" s="8">
        <f>'Field 2 Investor'!P18</f>
        <v>0</v>
      </c>
      <c r="Q21" s="8">
        <f>'Field 2 Investor'!Q18</f>
        <v>0</v>
      </c>
      <c r="R21" s="8">
        <f>'Field 2 Investor'!R18</f>
        <v>0</v>
      </c>
      <c r="S21" s="8">
        <f>'Field 2 Investor'!S18</f>
        <v>0</v>
      </c>
      <c r="T21" s="8">
        <f>'Field 2 Investor'!T18</f>
        <v>0</v>
      </c>
      <c r="U21" s="8">
        <f>'Field 2 Investor'!U18</f>
        <v>0</v>
      </c>
      <c r="V21" s="8">
        <f>'Field 2 Investor'!V18</f>
        <v>0</v>
      </c>
      <c r="W21" s="8">
        <f>'Field 2 Investor'!W18</f>
        <v>0</v>
      </c>
      <c r="X21" s="8">
        <f>'Field 2 Investor'!X18</f>
        <v>0</v>
      </c>
      <c r="Y21" s="8">
        <f>'Field 2 Investor'!Y18</f>
        <v>0</v>
      </c>
      <c r="Z21" s="8">
        <f>'Field 2 Investor'!Z18</f>
        <v>0</v>
      </c>
      <c r="AA21" s="8">
        <f>'Field 2 Investor'!AA18</f>
        <v>0</v>
      </c>
      <c r="AB21" s="8">
        <f>'Field 2 Investor'!AB18</f>
        <v>0</v>
      </c>
      <c r="AC21" s="8">
        <f>'Field 2 Investor'!AC18</f>
        <v>0</v>
      </c>
      <c r="AD21" s="8">
        <f>'Field 2 Investor'!AD18</f>
        <v>0</v>
      </c>
      <c r="AE21" s="8">
        <f>'Field 2 Investor'!AE18</f>
        <v>0</v>
      </c>
      <c r="AF21" s="8">
        <f>'Field 2 Investor'!AF18</f>
        <v>0</v>
      </c>
      <c r="AG21" s="8">
        <f>'Field 2 Investor'!AG18</f>
        <v>0</v>
      </c>
      <c r="AH21" s="8">
        <f>'Field 2 Investor'!AH18</f>
        <v>0</v>
      </c>
      <c r="AI21" s="8">
        <f>'Field 2 Investor'!AI18</f>
        <v>0</v>
      </c>
      <c r="AJ21" s="125">
        <f>SUM(C21:AI21)</f>
        <v>0</v>
      </c>
    </row>
    <row r="22" spans="1:36" ht="18" x14ac:dyDescent="0.35">
      <c r="A22" s="41" t="s">
        <v>355</v>
      </c>
      <c r="B22" t="s">
        <v>99</v>
      </c>
      <c r="C22" s="27">
        <f>'Field 3 Investor'!C18</f>
        <v>0</v>
      </c>
      <c r="D22" s="27">
        <f>'Field 3 Investor'!D18</f>
        <v>0</v>
      </c>
      <c r="E22" s="27">
        <f>'Field 3 Investor'!E18</f>
        <v>0</v>
      </c>
      <c r="F22" s="27">
        <f>'Field 3 Investor'!F18</f>
        <v>0</v>
      </c>
      <c r="G22" s="27">
        <f>'Field 3 Investor'!G18</f>
        <v>0</v>
      </c>
      <c r="H22" s="27">
        <f>'Field 3 Investor'!H18</f>
        <v>0</v>
      </c>
      <c r="I22" s="27">
        <f>'Field 3 Investor'!I18</f>
        <v>0</v>
      </c>
      <c r="J22" s="27">
        <f>'Field 3 Investor'!J18</f>
        <v>0</v>
      </c>
      <c r="K22" s="27">
        <f>'Field 3 Investor'!K18</f>
        <v>0</v>
      </c>
      <c r="L22" s="27">
        <f>'Field 3 Investor'!L18</f>
        <v>0</v>
      </c>
      <c r="M22" s="27">
        <f>'Field 3 Investor'!M18</f>
        <v>0</v>
      </c>
      <c r="N22" s="27">
        <f>'Field 3 Investor'!N18</f>
        <v>0</v>
      </c>
      <c r="O22" s="27">
        <f>'Field 3 Investor'!O18</f>
        <v>0</v>
      </c>
      <c r="P22" s="27">
        <f>'Field 3 Investor'!P18</f>
        <v>0</v>
      </c>
      <c r="Q22" s="27">
        <f>'Field 3 Investor'!Q18</f>
        <v>0</v>
      </c>
      <c r="R22" s="27">
        <f>'Field 3 Investor'!R18</f>
        <v>0</v>
      </c>
      <c r="S22" s="27">
        <f>'Field 3 Investor'!S18</f>
        <v>0</v>
      </c>
      <c r="T22" s="27">
        <f>'Field 3 Investor'!T18</f>
        <v>0</v>
      </c>
      <c r="U22" s="27">
        <f>'Field 3 Investor'!U18</f>
        <v>0</v>
      </c>
      <c r="V22" s="27">
        <f>'Field 3 Investor'!V18</f>
        <v>0</v>
      </c>
      <c r="W22" s="27">
        <f>'Field 3 Investor'!W18</f>
        <v>0</v>
      </c>
      <c r="X22" s="27">
        <f>'Field 3 Investor'!X18</f>
        <v>0</v>
      </c>
      <c r="Y22" s="27">
        <f>'Field 3 Investor'!Y18</f>
        <v>0</v>
      </c>
      <c r="Z22" s="27">
        <f>'Field 3 Investor'!Z18</f>
        <v>0</v>
      </c>
      <c r="AA22" s="27">
        <f>'Field 3 Investor'!AA18</f>
        <v>0</v>
      </c>
      <c r="AB22" s="27">
        <f>'Field 3 Investor'!AB18</f>
        <v>0</v>
      </c>
      <c r="AC22" s="27">
        <f>'Field 3 Investor'!AC18</f>
        <v>0</v>
      </c>
      <c r="AD22" s="27">
        <f>'Field 3 Investor'!AD18</f>
        <v>0</v>
      </c>
      <c r="AE22" s="27">
        <f>'Field 3 Investor'!AE18</f>
        <v>0</v>
      </c>
      <c r="AF22" s="27">
        <f>'Field 3 Investor'!AF18</f>
        <v>0</v>
      </c>
      <c r="AG22" s="27">
        <f>'Field 3 Investor'!AG18</f>
        <v>0</v>
      </c>
      <c r="AH22" s="27">
        <f>'Field 3 Investor'!AH18</f>
        <v>0</v>
      </c>
      <c r="AI22" s="27">
        <f>'Field 3 Investor'!AI18</f>
        <v>0</v>
      </c>
      <c r="AJ22" s="126">
        <f>SUM(C22:AI22)</f>
        <v>0</v>
      </c>
    </row>
    <row r="23" spans="1:36" x14ac:dyDescent="0.2">
      <c r="A23" s="40" t="s">
        <v>356</v>
      </c>
      <c r="B23" t="s">
        <v>99</v>
      </c>
      <c r="C23" s="8">
        <f>SUM(C20:C22)</f>
        <v>0</v>
      </c>
      <c r="D23" s="8">
        <f t="shared" ref="D23:AI23" si="1">SUM(D20:D22)</f>
        <v>0</v>
      </c>
      <c r="E23" s="8">
        <f t="shared" si="1"/>
        <v>0</v>
      </c>
      <c r="F23" s="8">
        <f t="shared" si="1"/>
        <v>0</v>
      </c>
      <c r="G23" s="8">
        <f t="shared" si="1"/>
        <v>0</v>
      </c>
      <c r="H23" s="8">
        <f t="shared" si="1"/>
        <v>0</v>
      </c>
      <c r="I23" s="8">
        <f t="shared" si="1"/>
        <v>0</v>
      </c>
      <c r="J23" s="8">
        <f t="shared" si="1"/>
        <v>0</v>
      </c>
      <c r="K23" s="8">
        <f t="shared" si="1"/>
        <v>0</v>
      </c>
      <c r="L23" s="8">
        <f t="shared" si="1"/>
        <v>0</v>
      </c>
      <c r="M23" s="8">
        <f t="shared" si="1"/>
        <v>0</v>
      </c>
      <c r="N23" s="8">
        <f t="shared" si="1"/>
        <v>0</v>
      </c>
      <c r="O23" s="8">
        <f t="shared" si="1"/>
        <v>0</v>
      </c>
      <c r="P23" s="8">
        <f t="shared" si="1"/>
        <v>0</v>
      </c>
      <c r="Q23" s="8">
        <f t="shared" si="1"/>
        <v>0</v>
      </c>
      <c r="R23" s="8">
        <f t="shared" si="1"/>
        <v>0</v>
      </c>
      <c r="S23" s="8">
        <f t="shared" si="1"/>
        <v>0</v>
      </c>
      <c r="T23" s="8">
        <f t="shared" si="1"/>
        <v>0</v>
      </c>
      <c r="U23" s="8">
        <f t="shared" si="1"/>
        <v>0</v>
      </c>
      <c r="V23" s="8">
        <f t="shared" si="1"/>
        <v>0</v>
      </c>
      <c r="W23" s="8">
        <f t="shared" si="1"/>
        <v>0</v>
      </c>
      <c r="X23" s="8">
        <f t="shared" si="1"/>
        <v>0</v>
      </c>
      <c r="Y23" s="8">
        <f t="shared" si="1"/>
        <v>0</v>
      </c>
      <c r="Z23" s="8">
        <f t="shared" si="1"/>
        <v>0</v>
      </c>
      <c r="AA23" s="8">
        <f t="shared" si="1"/>
        <v>0</v>
      </c>
      <c r="AB23" s="8">
        <f t="shared" si="1"/>
        <v>0</v>
      </c>
      <c r="AC23" s="8">
        <f t="shared" si="1"/>
        <v>0</v>
      </c>
      <c r="AD23" s="8">
        <f t="shared" si="1"/>
        <v>0</v>
      </c>
      <c r="AE23" s="8">
        <f t="shared" si="1"/>
        <v>0</v>
      </c>
      <c r="AF23" s="8">
        <f t="shared" si="1"/>
        <v>0</v>
      </c>
      <c r="AG23" s="8">
        <f t="shared" si="1"/>
        <v>0</v>
      </c>
      <c r="AH23" s="8">
        <f t="shared" si="1"/>
        <v>0</v>
      </c>
      <c r="AI23" s="8">
        <f t="shared" si="1"/>
        <v>0</v>
      </c>
      <c r="AJ23" s="125">
        <f>SUM(C23:AI23)</f>
        <v>0</v>
      </c>
    </row>
    <row r="24" spans="1:36" x14ac:dyDescent="0.2">
      <c r="A24" s="4"/>
    </row>
    <row r="25" spans="1:36" s="69" customFormat="1" x14ac:dyDescent="0.2">
      <c r="A25" s="74" t="s">
        <v>328</v>
      </c>
      <c r="AJ25" s="132"/>
    </row>
    <row r="26" spans="1:36" x14ac:dyDescent="0.2">
      <c r="A26" s="37" t="s">
        <v>357</v>
      </c>
      <c r="B26" t="s">
        <v>330</v>
      </c>
      <c r="C26" s="8">
        <f>('Field 1 Investor'!C12+'Field 2 Investor'!C12+'Field 3 Investor'!C12)*(1-'Assumptions &amp; Results'!D24)</f>
        <v>0</v>
      </c>
      <c r="D26" s="8">
        <f>('Field 1 Investor'!D12+'Field 2 Investor'!D12+'Field 3 Investor'!D12)*(1-'Assumptions &amp; Results'!E24)</f>
        <v>0</v>
      </c>
      <c r="E26" s="8">
        <f>('Field 1 Investor'!E12+'Field 2 Investor'!E12+'Field 3 Investor'!E12)*(1-'Assumptions &amp; Results'!F24)</f>
        <v>0</v>
      </c>
      <c r="F26" s="8">
        <f>('Field 1 Investor'!F12+'Field 2 Investor'!F12+'Field 3 Investor'!F12)*(1-'Assumptions &amp; Results'!G24)</f>
        <v>0</v>
      </c>
      <c r="G26" s="8">
        <f>('Field 1 Investor'!G12+'Field 2 Investor'!G12+'Field 3 Investor'!G12)*(1-'Assumptions &amp; Results'!H24)</f>
        <v>531.18450000000007</v>
      </c>
      <c r="H26" s="8">
        <f>('Field 1 Investor'!H12+'Field 2 Investor'!H12+'Field 3 Investor'!H12)*(1-'Assumptions &amp; Results'!I24)</f>
        <v>1062.3690000000001</v>
      </c>
      <c r="I26" s="8">
        <f>('Field 1 Investor'!I12+'Field 2 Investor'!I12+'Field 3 Investor'!I12)*(1-'Assumptions &amp; Results'!J24)</f>
        <v>1062.3690000000001</v>
      </c>
      <c r="J26" s="8">
        <f>('Field 1 Investor'!J12+'Field 2 Investor'!J12+'Field 3 Investor'!J12)*(1-'Assumptions &amp; Results'!K24)</f>
        <v>1009.25055</v>
      </c>
      <c r="K26" s="8">
        <f>('Field 1 Investor'!K12+'Field 2 Investor'!K12+'Field 3 Investor'!K12)*(1-'Assumptions &amp; Results'!L24)</f>
        <v>1062.3690000000001</v>
      </c>
      <c r="L26" s="8">
        <f>('Field 1 Investor'!L12+'Field 2 Investor'!L12+'Field 3 Investor'!L12)*(1-'Assumptions &amp; Results'!M24)</f>
        <v>1062.3690000000001</v>
      </c>
      <c r="M26" s="8">
        <f>('Field 1 Investor'!M12+'Field 2 Investor'!M12+'Field 3 Investor'!M12)*(1-'Assumptions &amp; Results'!N24)</f>
        <v>1062.3690000000001</v>
      </c>
      <c r="N26" s="8">
        <f>('Field 1 Investor'!N12+'Field 2 Investor'!N12+'Field 3 Investor'!N12)*(1-'Assumptions &amp; Results'!O24)</f>
        <v>1062.3690000000001</v>
      </c>
      <c r="O26" s="8">
        <f>('Field 1 Investor'!O12+'Field 2 Investor'!O12+'Field 3 Investor'!O12)*(1-'Assumptions &amp; Results'!P24)</f>
        <v>1009.25055</v>
      </c>
      <c r="P26" s="8">
        <f>('Field 1 Investor'!P12+'Field 2 Investor'!P12+'Field 3 Investor'!P12)*(1-'Assumptions &amp; Results'!Q24)</f>
        <v>1062.3690000000001</v>
      </c>
      <c r="Q26" s="8">
        <f>('Field 1 Investor'!Q12+'Field 2 Investor'!Q12+'Field 3 Investor'!Q12)*(1-'Assumptions &amp; Results'!R24)</f>
        <v>1062.3690000000001</v>
      </c>
      <c r="R26" s="8">
        <f>('Field 1 Investor'!R12+'Field 2 Investor'!R12+'Field 3 Investor'!R12)*(1-'Assumptions &amp; Results'!S24)</f>
        <v>1062.3690000000001</v>
      </c>
      <c r="S26" s="8">
        <f>('Field 1 Investor'!S12+'Field 2 Investor'!S12+'Field 3 Investor'!S12)*(1-'Assumptions &amp; Results'!T24)</f>
        <v>1062.3690000000001</v>
      </c>
      <c r="T26" s="8">
        <f>('Field 1 Investor'!T12+'Field 2 Investor'!T12+'Field 3 Investor'!T12)*(1-'Assumptions &amp; Results'!U24)</f>
        <v>1009.25055</v>
      </c>
      <c r="U26" s="8">
        <f>('Field 1 Investor'!U12+'Field 2 Investor'!U12+'Field 3 Investor'!U12)*(1-'Assumptions &amp; Results'!V24)</f>
        <v>1062.3690000000001</v>
      </c>
      <c r="V26" s="8">
        <f>('Field 1 Investor'!V12+'Field 2 Investor'!V12+'Field 3 Investor'!V12)*(1-'Assumptions &amp; Results'!W24)</f>
        <v>1062.3690000000001</v>
      </c>
      <c r="W26" s="8">
        <f>('Field 1 Investor'!W12+'Field 2 Investor'!W12+'Field 3 Investor'!W12)*(1-'Assumptions &amp; Results'!X24)</f>
        <v>1062.3690000000001</v>
      </c>
      <c r="X26" s="8">
        <f>('Field 1 Investor'!X12+'Field 2 Investor'!X12+'Field 3 Investor'!X12)*(1-'Assumptions &amp; Results'!Y24)</f>
        <v>1062.3690000000001</v>
      </c>
      <c r="Y26" s="8">
        <f>('Field 1 Investor'!Y12+'Field 2 Investor'!Y12+'Field 3 Investor'!Y12)*(1-'Assumptions &amp; Results'!Z24)</f>
        <v>1009.25055</v>
      </c>
      <c r="Z26" s="8">
        <f>('Field 1 Investor'!Z12+'Field 2 Investor'!Z12+'Field 3 Investor'!Z12)*(1-'Assumptions &amp; Results'!AA24)</f>
        <v>1062.3690000000001</v>
      </c>
      <c r="AA26" s="8">
        <f>('Field 1 Investor'!AA12+'Field 2 Investor'!AA12+'Field 3 Investor'!AA12)*(1-'Assumptions &amp; Results'!AB24)</f>
        <v>1062.3690000000001</v>
      </c>
      <c r="AB26" s="8">
        <f>('Field 1 Investor'!AB12+'Field 2 Investor'!AB12+'Field 3 Investor'!AB12)*(1-'Assumptions &amp; Results'!AC24)</f>
        <v>1062.3690000000001</v>
      </c>
      <c r="AC26" s="8">
        <f>('Field 1 Investor'!AC12+'Field 2 Investor'!AC12+'Field 3 Investor'!AC12)*(1-'Assumptions &amp; Results'!AD24)</f>
        <v>1062.3690000000001</v>
      </c>
      <c r="AD26" s="8">
        <f>('Field 1 Investor'!AD12+'Field 2 Investor'!AD12+'Field 3 Investor'!AD12)*(1-'Assumptions &amp; Results'!AE24)</f>
        <v>1009.25055</v>
      </c>
      <c r="AE26" s="8">
        <f>('Field 1 Investor'!AE12+'Field 2 Investor'!AE12+'Field 3 Investor'!AE12)*(1-'Assumptions &amp; Results'!AF24)</f>
        <v>1062.3690000000001</v>
      </c>
      <c r="AF26" s="8">
        <f>('Field 1 Investor'!AF12+'Field 2 Investor'!AF12+'Field 3 Investor'!AF12)*(1-'Assumptions &amp; Results'!AG24)</f>
        <v>1062.3690000000001</v>
      </c>
      <c r="AG26" s="8">
        <f>('Field 1 Investor'!AG12+'Field 2 Investor'!AG12+'Field 3 Investor'!AG12)*(1-'Assumptions &amp; Results'!AH24)</f>
        <v>1062.3690000000001</v>
      </c>
      <c r="AH26" s="8">
        <f>('Field 1 Investor'!AH12+'Field 2 Investor'!AH12+'Field 3 Investor'!AH12)*(1-'Assumptions &amp; Results'!AI24)</f>
        <v>1062.3690000000001</v>
      </c>
      <c r="AI26" s="8">
        <f>('Field 1 Investor'!AI12+'Field 2 Investor'!AI12+'Field 3 Investor'!AI12)*(1-'Assumptions &amp; Results'!AJ24)</f>
        <v>1062.3690000000001</v>
      </c>
      <c r="AJ26" s="125">
        <f>SUM(C26:AI26)</f>
        <v>30011.924249999996</v>
      </c>
    </row>
    <row r="27" spans="1:36" x14ac:dyDescent="0.2">
      <c r="A27" t="s">
        <v>358</v>
      </c>
      <c r="B27" t="s">
        <v>67</v>
      </c>
      <c r="C27" s="11">
        <f>'Assumptions &amp; Results'!D9</f>
        <v>9</v>
      </c>
      <c r="D27" s="11">
        <f>'Assumptions &amp; Results'!E9</f>
        <v>9</v>
      </c>
      <c r="E27" s="11">
        <f>'Assumptions &amp; Results'!F9</f>
        <v>9</v>
      </c>
      <c r="F27" s="11">
        <f>'Assumptions &amp; Results'!G9</f>
        <v>9</v>
      </c>
      <c r="G27" s="11">
        <f>'Assumptions &amp; Results'!H9</f>
        <v>9</v>
      </c>
      <c r="H27" s="11">
        <f>'Assumptions &amp; Results'!I9</f>
        <v>9</v>
      </c>
      <c r="I27" s="11">
        <f>'Assumptions &amp; Results'!J9</f>
        <v>9</v>
      </c>
      <c r="J27" s="11">
        <f>'Assumptions &amp; Results'!K9</f>
        <v>9</v>
      </c>
      <c r="K27" s="11">
        <f>'Assumptions &amp; Results'!L9</f>
        <v>9</v>
      </c>
      <c r="L27" s="11">
        <f>'Assumptions &amp; Results'!M9</f>
        <v>9</v>
      </c>
      <c r="M27" s="11">
        <f>'Assumptions &amp; Results'!N9</f>
        <v>9</v>
      </c>
      <c r="N27" s="11">
        <f>'Assumptions &amp; Results'!O9</f>
        <v>9</v>
      </c>
      <c r="O27" s="11">
        <f>'Assumptions &amp; Results'!P9</f>
        <v>9</v>
      </c>
      <c r="P27" s="11">
        <f>'Assumptions &amp; Results'!Q9</f>
        <v>9</v>
      </c>
      <c r="Q27" s="11">
        <f>'Assumptions &amp; Results'!R9</f>
        <v>9</v>
      </c>
      <c r="R27" s="11">
        <f>'Assumptions &amp; Results'!S9</f>
        <v>9</v>
      </c>
      <c r="S27" s="11">
        <f>'Assumptions &amp; Results'!T9</f>
        <v>9</v>
      </c>
      <c r="T27" s="11">
        <f>'Assumptions &amp; Results'!U9</f>
        <v>9</v>
      </c>
      <c r="U27" s="11">
        <f>'Assumptions &amp; Results'!V9</f>
        <v>9</v>
      </c>
      <c r="V27" s="11">
        <f>'Assumptions &amp; Results'!W9</f>
        <v>9</v>
      </c>
      <c r="W27" s="11">
        <f>'Assumptions &amp; Results'!X9</f>
        <v>9</v>
      </c>
      <c r="X27" s="11">
        <f>'Assumptions &amp; Results'!Y9</f>
        <v>9</v>
      </c>
      <c r="Y27" s="11">
        <f>'Assumptions &amp; Results'!Z9</f>
        <v>9</v>
      </c>
      <c r="Z27" s="11">
        <f>'Assumptions &amp; Results'!AA9</f>
        <v>9</v>
      </c>
      <c r="AA27" s="11">
        <f>'Assumptions &amp; Results'!AB9</f>
        <v>9</v>
      </c>
      <c r="AB27" s="11">
        <f>'Assumptions &amp; Results'!AC9</f>
        <v>9</v>
      </c>
      <c r="AC27" s="11">
        <f>'Assumptions &amp; Results'!AD9</f>
        <v>9</v>
      </c>
      <c r="AD27" s="11">
        <f>'Assumptions &amp; Results'!AE9</f>
        <v>9</v>
      </c>
      <c r="AE27" s="11">
        <f>'Assumptions &amp; Results'!AF9</f>
        <v>9</v>
      </c>
      <c r="AF27" s="11">
        <f>'Assumptions &amp; Results'!AG9</f>
        <v>9</v>
      </c>
      <c r="AG27" s="11">
        <f>'Assumptions &amp; Results'!AH9</f>
        <v>9</v>
      </c>
      <c r="AH27" s="11">
        <f>'Assumptions &amp; Results'!AI9</f>
        <v>9</v>
      </c>
      <c r="AI27" s="11">
        <f>'Assumptions &amp; Results'!AJ9</f>
        <v>9</v>
      </c>
    </row>
    <row r="28" spans="1:36" x14ac:dyDescent="0.2">
      <c r="A28" t="s">
        <v>359</v>
      </c>
      <c r="B28" s="13" t="s">
        <v>67</v>
      </c>
      <c r="C28" s="11">
        <f>'Assumptions &amp; Results'!D6</f>
        <v>8.75</v>
      </c>
      <c r="D28" s="11">
        <f>'Assumptions &amp; Results'!E6</f>
        <v>8.75</v>
      </c>
      <c r="E28" s="11">
        <f>'Assumptions &amp; Results'!F6</f>
        <v>8.75</v>
      </c>
      <c r="F28" s="11">
        <f>'Assumptions &amp; Results'!G6</f>
        <v>8.75</v>
      </c>
      <c r="G28" s="11">
        <f>'Assumptions &amp; Results'!H6</f>
        <v>8.75</v>
      </c>
      <c r="H28" s="11">
        <f>'Assumptions &amp; Results'!I6</f>
        <v>8.75</v>
      </c>
      <c r="I28" s="11">
        <f>'Assumptions &amp; Results'!J6</f>
        <v>8.75</v>
      </c>
      <c r="J28" s="11">
        <f>'Assumptions &amp; Results'!K6</f>
        <v>8.75</v>
      </c>
      <c r="K28" s="11">
        <f>'Assumptions &amp; Results'!L6</f>
        <v>8.75</v>
      </c>
      <c r="L28" s="11">
        <f>'Assumptions &amp; Results'!M6</f>
        <v>8.75</v>
      </c>
      <c r="M28" s="11">
        <f>'Assumptions &amp; Results'!N6</f>
        <v>8.75</v>
      </c>
      <c r="N28" s="11">
        <f>'Assumptions &amp; Results'!O6</f>
        <v>8.75</v>
      </c>
      <c r="O28" s="11">
        <f>'Assumptions &amp; Results'!P6</f>
        <v>8.75</v>
      </c>
      <c r="P28" s="11">
        <f>'Assumptions &amp; Results'!Q6</f>
        <v>8.75</v>
      </c>
      <c r="Q28" s="11">
        <f>'Assumptions &amp; Results'!R6</f>
        <v>8.75</v>
      </c>
      <c r="R28" s="11">
        <f>'Assumptions &amp; Results'!S6</f>
        <v>8.75</v>
      </c>
      <c r="S28" s="11">
        <f>'Assumptions &amp; Results'!T6</f>
        <v>8.75</v>
      </c>
      <c r="T28" s="11">
        <f>'Assumptions &amp; Results'!U6</f>
        <v>8.75</v>
      </c>
      <c r="U28" s="11">
        <f>'Assumptions &amp; Results'!V6</f>
        <v>8.75</v>
      </c>
      <c r="V28" s="11">
        <f>'Assumptions &amp; Results'!W6</f>
        <v>8.75</v>
      </c>
      <c r="W28" s="11">
        <f>'Assumptions &amp; Results'!X6</f>
        <v>8.75</v>
      </c>
      <c r="X28" s="11">
        <f>'Assumptions &amp; Results'!Y6</f>
        <v>8.75</v>
      </c>
      <c r="Y28" s="11">
        <f>'Assumptions &amp; Results'!Z6</f>
        <v>8.75</v>
      </c>
      <c r="Z28" s="11">
        <f>'Assumptions &amp; Results'!AA6</f>
        <v>8.75</v>
      </c>
      <c r="AA28" s="11">
        <f>'Assumptions &amp; Results'!AB6</f>
        <v>8.75</v>
      </c>
      <c r="AB28" s="11">
        <f>'Assumptions &amp; Results'!AC6</f>
        <v>8.75</v>
      </c>
      <c r="AC28" s="11">
        <f>'Assumptions &amp; Results'!AD6</f>
        <v>8.75</v>
      </c>
      <c r="AD28" s="11">
        <f>'Assumptions &amp; Results'!AE6</f>
        <v>8.75</v>
      </c>
      <c r="AE28" s="11">
        <f>'Assumptions &amp; Results'!AF6</f>
        <v>8.75</v>
      </c>
      <c r="AF28" s="11">
        <f>'Assumptions &amp; Results'!AG6</f>
        <v>8.75</v>
      </c>
      <c r="AG28" s="11">
        <f>'Assumptions &amp; Results'!AH6</f>
        <v>8.75</v>
      </c>
      <c r="AH28" s="11">
        <f>'Assumptions &amp; Results'!AI6</f>
        <v>8.75</v>
      </c>
      <c r="AI28" s="11">
        <f>'Assumptions &amp; Results'!AJ6</f>
        <v>8.75</v>
      </c>
    </row>
    <row r="29" spans="1:36" x14ac:dyDescent="0.2">
      <c r="A29" t="s">
        <v>360</v>
      </c>
      <c r="B29" t="s">
        <v>274</v>
      </c>
      <c r="C29" s="8">
        <f>IF('Assumptions &amp; Results'!$C$14=2,'Assumptions &amp; Results'!D27*'LNG Equity '!C26,0)</f>
        <v>0</v>
      </c>
      <c r="D29" s="8">
        <f>IF('Assumptions &amp; Results'!$C$14=2,'Assumptions &amp; Results'!E27*'LNG Equity '!D26,0)</f>
        <v>0</v>
      </c>
      <c r="E29" s="8">
        <f>IF('Assumptions &amp; Results'!$C$14=2,'Assumptions &amp; Results'!F27*'LNG Equity '!E26,0)</f>
        <v>0</v>
      </c>
      <c r="F29" s="8">
        <f>IF('Assumptions &amp; Results'!$C$14=2,'Assumptions &amp; Results'!G27*'LNG Equity '!F26,0)</f>
        <v>0</v>
      </c>
      <c r="G29" s="8">
        <f>IF('Assumptions &amp; Results'!$C$14=2,'Assumptions &amp; Results'!H27*'LNG Equity '!G26,0)</f>
        <v>0</v>
      </c>
      <c r="H29" s="8">
        <f>IF('Assumptions &amp; Results'!$C$14=2,'Assumptions &amp; Results'!I27*'LNG Equity '!H26,0)</f>
        <v>0</v>
      </c>
      <c r="I29" s="8">
        <f>IF('Assumptions &amp; Results'!$C$14=2,'Assumptions &amp; Results'!J27*'LNG Equity '!I26,0)</f>
        <v>0</v>
      </c>
      <c r="J29" s="8">
        <f>IF('Assumptions &amp; Results'!$C$14=2,'Assumptions &amp; Results'!K27*'LNG Equity '!J26,0)</f>
        <v>0</v>
      </c>
      <c r="K29" s="8">
        <f>IF('Assumptions &amp; Results'!$C$14=2,'Assumptions &amp; Results'!L27*'LNG Equity '!K26,0)</f>
        <v>0</v>
      </c>
      <c r="L29" s="8">
        <f>IF('Assumptions &amp; Results'!$C$14=2,'Assumptions &amp; Results'!M27*'LNG Equity '!L26,0)</f>
        <v>0</v>
      </c>
      <c r="M29" s="8">
        <f>IF('Assumptions &amp; Results'!$C$14=2,'Assumptions &amp; Results'!N27*'LNG Equity '!M26,0)</f>
        <v>0</v>
      </c>
      <c r="N29" s="8">
        <f>IF('Assumptions &amp; Results'!$C$14=2,'Assumptions &amp; Results'!O27*'LNG Equity '!N26,0)</f>
        <v>0</v>
      </c>
      <c r="O29" s="8">
        <f>IF('Assumptions &amp; Results'!$C$14=2,'Assumptions &amp; Results'!P27*'LNG Equity '!O26,0)</f>
        <v>0</v>
      </c>
      <c r="P29" s="8">
        <f>IF('Assumptions &amp; Results'!$C$14=2,'Assumptions &amp; Results'!Q27*'LNG Equity '!P26,0)</f>
        <v>0</v>
      </c>
      <c r="Q29" s="8">
        <f>IF('Assumptions &amp; Results'!$C$14=2,'Assumptions &amp; Results'!R27*'LNG Equity '!Q26,0)</f>
        <v>0</v>
      </c>
      <c r="R29" s="8">
        <f>IF('Assumptions &amp; Results'!$C$14=2,'Assumptions &amp; Results'!S27*'LNG Equity '!R26,0)</f>
        <v>0</v>
      </c>
      <c r="S29" s="8">
        <f>IF('Assumptions &amp; Results'!$C$14=2,'Assumptions &amp; Results'!T27*'LNG Equity '!S26,0)</f>
        <v>0</v>
      </c>
      <c r="T29" s="8">
        <f>IF('Assumptions &amp; Results'!$C$14=2,'Assumptions &amp; Results'!U27*'LNG Equity '!T26,0)</f>
        <v>0</v>
      </c>
      <c r="U29" s="8">
        <f>IF('Assumptions &amp; Results'!$C$14=2,'Assumptions &amp; Results'!V27*'LNG Equity '!U26,0)</f>
        <v>0</v>
      </c>
      <c r="V29" s="8">
        <f>IF('Assumptions &amp; Results'!$C$14=2,'Assumptions &amp; Results'!W27*'LNG Equity '!V26,0)</f>
        <v>0</v>
      </c>
      <c r="W29" s="8">
        <f>IF('Assumptions &amp; Results'!$C$14=2,'Assumptions &amp; Results'!X27*'LNG Equity '!W26,0)</f>
        <v>0</v>
      </c>
      <c r="X29" s="8">
        <f>IF('Assumptions &amp; Results'!$C$14=2,'Assumptions &amp; Results'!Y27*'LNG Equity '!X26,0)</f>
        <v>0</v>
      </c>
      <c r="Y29" s="8">
        <f>IF('Assumptions &amp; Results'!$C$14=2,'Assumptions &amp; Results'!Z27*'LNG Equity '!Y26,0)</f>
        <v>0</v>
      </c>
      <c r="Z29" s="8">
        <f>IF('Assumptions &amp; Results'!$C$14=2,'Assumptions &amp; Results'!AA27*'LNG Equity '!Z26,0)</f>
        <v>0</v>
      </c>
      <c r="AA29" s="8">
        <f>IF('Assumptions &amp; Results'!$C$14=2,'Assumptions &amp; Results'!AB27*'LNG Equity '!AA26,0)</f>
        <v>0</v>
      </c>
      <c r="AB29" s="8">
        <f>IF('Assumptions &amp; Results'!$C$14=2,'Assumptions &amp; Results'!AC27*'LNG Equity '!AB26,0)</f>
        <v>0</v>
      </c>
      <c r="AC29" s="8">
        <f>IF('Assumptions &amp; Results'!$C$14=2,'Assumptions &amp; Results'!AD27*'LNG Equity '!AC26,0)</f>
        <v>0</v>
      </c>
      <c r="AD29" s="8">
        <f>IF('Assumptions &amp; Results'!$C$14=2,'Assumptions &amp; Results'!AE27*'LNG Equity '!AD26,0)</f>
        <v>0</v>
      </c>
      <c r="AE29" s="8">
        <f>IF('Assumptions &amp; Results'!$C$14=2,'Assumptions &amp; Results'!AF27*'LNG Equity '!AE26,0)</f>
        <v>0</v>
      </c>
      <c r="AF29" s="8">
        <f>IF('Assumptions &amp; Results'!$C$14=2,'Assumptions &amp; Results'!AG27*'LNG Equity '!AF26,0)</f>
        <v>0</v>
      </c>
      <c r="AG29" s="8">
        <f>IF('Assumptions &amp; Results'!$C$14=2,'Assumptions &amp; Results'!AH27*'LNG Equity '!AG26,0)</f>
        <v>0</v>
      </c>
      <c r="AH29" s="8">
        <f>IF('Assumptions &amp; Results'!$C$14=2,'Assumptions &amp; Results'!AI27*'LNG Equity '!AH26,0)</f>
        <v>0</v>
      </c>
      <c r="AI29" s="8">
        <f>IF('Assumptions &amp; Results'!$C$14=2,'Assumptions &amp; Results'!AJ27*'LNG Equity '!AI26,0)</f>
        <v>0</v>
      </c>
      <c r="AJ29" s="125">
        <f>SUM(C29:AI29)</f>
        <v>0</v>
      </c>
    </row>
    <row r="30" spans="1:36" x14ac:dyDescent="0.2">
      <c r="A30" s="37" t="s">
        <v>361</v>
      </c>
      <c r="B30" t="s">
        <v>99</v>
      </c>
      <c r="C30" s="8">
        <f>IF(C17&gt;0,(C26-C29)*C27,C28*(C26-C29))</f>
        <v>0</v>
      </c>
      <c r="D30" s="8">
        <f t="shared" ref="D30:AI30" si="2">IF(D17&gt;0,(D26-D29)*D27,D28*(D26-D29))</f>
        <v>0</v>
      </c>
      <c r="E30" s="8">
        <f t="shared" si="2"/>
        <v>0</v>
      </c>
      <c r="F30" s="8">
        <f t="shared" si="2"/>
        <v>0</v>
      </c>
      <c r="G30" s="8">
        <f t="shared" si="2"/>
        <v>4647.864375000001</v>
      </c>
      <c r="H30" s="8">
        <f t="shared" si="2"/>
        <v>9295.728750000002</v>
      </c>
      <c r="I30" s="8">
        <f t="shared" si="2"/>
        <v>9295.728750000002</v>
      </c>
      <c r="J30" s="8">
        <f t="shared" si="2"/>
        <v>8830.9423124999994</v>
      </c>
      <c r="K30" s="8">
        <f t="shared" si="2"/>
        <v>9295.728750000002</v>
      </c>
      <c r="L30" s="8">
        <f t="shared" si="2"/>
        <v>9295.728750000002</v>
      </c>
      <c r="M30" s="8">
        <f t="shared" si="2"/>
        <v>9295.728750000002</v>
      </c>
      <c r="N30" s="8">
        <f t="shared" si="2"/>
        <v>9295.728750000002</v>
      </c>
      <c r="O30" s="8">
        <f t="shared" si="2"/>
        <v>8830.9423124999994</v>
      </c>
      <c r="P30" s="8">
        <f t="shared" si="2"/>
        <v>9295.728750000002</v>
      </c>
      <c r="Q30" s="8">
        <f t="shared" si="2"/>
        <v>9295.728750000002</v>
      </c>
      <c r="R30" s="8">
        <f t="shared" si="2"/>
        <v>9295.728750000002</v>
      </c>
      <c r="S30" s="8">
        <f t="shared" si="2"/>
        <v>9295.728750000002</v>
      </c>
      <c r="T30" s="8">
        <f t="shared" si="2"/>
        <v>8830.9423124999994</v>
      </c>
      <c r="U30" s="8">
        <f t="shared" si="2"/>
        <v>9295.728750000002</v>
      </c>
      <c r="V30" s="8">
        <f t="shared" si="2"/>
        <v>9295.728750000002</v>
      </c>
      <c r="W30" s="8">
        <f t="shared" si="2"/>
        <v>9295.728750000002</v>
      </c>
      <c r="X30" s="8">
        <f t="shared" si="2"/>
        <v>9295.728750000002</v>
      </c>
      <c r="Y30" s="8">
        <f t="shared" si="2"/>
        <v>8830.9423124999994</v>
      </c>
      <c r="Z30" s="8">
        <f t="shared" si="2"/>
        <v>9295.728750000002</v>
      </c>
      <c r="AA30" s="8">
        <f t="shared" si="2"/>
        <v>9295.728750000002</v>
      </c>
      <c r="AB30" s="8">
        <f t="shared" si="2"/>
        <v>9295.728750000002</v>
      </c>
      <c r="AC30" s="8">
        <f t="shared" si="2"/>
        <v>9295.728750000002</v>
      </c>
      <c r="AD30" s="8">
        <f t="shared" si="2"/>
        <v>8830.9423124999994</v>
      </c>
      <c r="AE30" s="8">
        <f t="shared" si="2"/>
        <v>9295.728750000002</v>
      </c>
      <c r="AF30" s="8">
        <f t="shared" si="2"/>
        <v>9295.728750000002</v>
      </c>
      <c r="AG30" s="8">
        <f t="shared" si="2"/>
        <v>9295.728750000002</v>
      </c>
      <c r="AH30" s="8">
        <f t="shared" si="2"/>
        <v>9295.728750000002</v>
      </c>
      <c r="AI30" s="8">
        <f t="shared" si="2"/>
        <v>9295.728750000002</v>
      </c>
      <c r="AJ30" s="125">
        <f>SUM(C30:AI30)</f>
        <v>262604.33718750015</v>
      </c>
    </row>
    <row r="31" spans="1:36" x14ac:dyDescent="0.2">
      <c r="A31" s="37" t="s">
        <v>362</v>
      </c>
      <c r="B31" t="s">
        <v>278</v>
      </c>
      <c r="C31" s="8">
        <f>'Assumptions &amp; Results'!D28*C29</f>
        <v>0</v>
      </c>
      <c r="D31" s="8">
        <f>'Assumptions &amp; Results'!E28*D29</f>
        <v>0</v>
      </c>
      <c r="E31" s="8">
        <f>'Assumptions &amp; Results'!F28*E29</f>
        <v>0</v>
      </c>
      <c r="F31" s="8">
        <f>'Assumptions &amp; Results'!G28*F29</f>
        <v>0</v>
      </c>
      <c r="G31" s="8">
        <f>'Assumptions &amp; Results'!H28*G29</f>
        <v>0</v>
      </c>
      <c r="H31" s="8">
        <f>'Assumptions &amp; Results'!I28*H29</f>
        <v>0</v>
      </c>
      <c r="I31" s="8">
        <f>'Assumptions &amp; Results'!J28*I29</f>
        <v>0</v>
      </c>
      <c r="J31" s="8">
        <f>'Assumptions &amp; Results'!K28*J29</f>
        <v>0</v>
      </c>
      <c r="K31" s="8">
        <f>'Assumptions &amp; Results'!L28*K29</f>
        <v>0</v>
      </c>
      <c r="L31" s="8">
        <f>'Assumptions &amp; Results'!M28*L29</f>
        <v>0</v>
      </c>
      <c r="M31" s="8">
        <f>'Assumptions &amp; Results'!N28*M29</f>
        <v>0</v>
      </c>
      <c r="N31" s="8">
        <f>'Assumptions &amp; Results'!O28*N29</f>
        <v>0</v>
      </c>
      <c r="O31" s="8">
        <f>'Assumptions &amp; Results'!P28*O29</f>
        <v>0</v>
      </c>
      <c r="P31" s="8">
        <f>'Assumptions &amp; Results'!Q28*P29</f>
        <v>0</v>
      </c>
      <c r="Q31" s="8">
        <f>'Assumptions &amp; Results'!R28*Q29</f>
        <v>0</v>
      </c>
      <c r="R31" s="8">
        <f>'Assumptions &amp; Results'!S28*R29</f>
        <v>0</v>
      </c>
      <c r="S31" s="8">
        <f>'Assumptions &amp; Results'!T28*S29</f>
        <v>0</v>
      </c>
      <c r="T31" s="8">
        <f>'Assumptions &amp; Results'!U28*T29</f>
        <v>0</v>
      </c>
      <c r="U31" s="8">
        <f>'Assumptions &amp; Results'!V28*U29</f>
        <v>0</v>
      </c>
      <c r="V31" s="8">
        <f>'Assumptions &amp; Results'!W28*V29</f>
        <v>0</v>
      </c>
      <c r="W31" s="8">
        <f>'Assumptions &amp; Results'!X28*W29</f>
        <v>0</v>
      </c>
      <c r="X31" s="8">
        <f>'Assumptions &amp; Results'!Y28*X29</f>
        <v>0</v>
      </c>
      <c r="Y31" s="8">
        <f>'Assumptions &amp; Results'!Z28*Y29</f>
        <v>0</v>
      </c>
      <c r="Z31" s="8">
        <f>'Assumptions &amp; Results'!AA28*Z29</f>
        <v>0</v>
      </c>
      <c r="AA31" s="8">
        <f>'Assumptions &amp; Results'!AB28*AA29</f>
        <v>0</v>
      </c>
      <c r="AB31" s="8">
        <f>'Assumptions &amp; Results'!AC28*AB29</f>
        <v>0</v>
      </c>
      <c r="AC31" s="8">
        <f>'Assumptions &amp; Results'!AD28*AC29</f>
        <v>0</v>
      </c>
      <c r="AD31" s="8">
        <f>'Assumptions &amp; Results'!AE28*AD29</f>
        <v>0</v>
      </c>
      <c r="AE31" s="8">
        <f>'Assumptions &amp; Results'!AF28*AE29</f>
        <v>0</v>
      </c>
      <c r="AF31" s="8">
        <f>'Assumptions &amp; Results'!AG28*AF29</f>
        <v>0</v>
      </c>
      <c r="AG31" s="8">
        <f>'Assumptions &amp; Results'!AH28*AG29</f>
        <v>0</v>
      </c>
      <c r="AH31" s="8">
        <f>'Assumptions &amp; Results'!AI28*AH29</f>
        <v>0</v>
      </c>
      <c r="AI31" s="8">
        <f>'Assumptions &amp; Results'!AJ28*AI29</f>
        <v>0</v>
      </c>
      <c r="AJ31" s="125">
        <f>SUM(C31:AI31)</f>
        <v>0</v>
      </c>
    </row>
    <row r="32" spans="1:36" x14ac:dyDescent="0.2">
      <c r="A32" s="37" t="s">
        <v>363</v>
      </c>
      <c r="B32" t="s">
        <v>77</v>
      </c>
      <c r="C32" s="24">
        <f>'Assumptions &amp; Results'!D11</f>
        <v>75</v>
      </c>
      <c r="D32" s="24">
        <f>'Assumptions &amp; Results'!E11</f>
        <v>75</v>
      </c>
      <c r="E32" s="24">
        <f>'Assumptions &amp; Results'!F11</f>
        <v>75</v>
      </c>
      <c r="F32" s="24">
        <f>'Assumptions &amp; Results'!G11</f>
        <v>75</v>
      </c>
      <c r="G32" s="24">
        <f>'Assumptions &amp; Results'!H11</f>
        <v>75</v>
      </c>
      <c r="H32" s="24">
        <f>'Assumptions &amp; Results'!I11</f>
        <v>75</v>
      </c>
      <c r="I32" s="24">
        <f>'Assumptions &amp; Results'!J11</f>
        <v>75</v>
      </c>
      <c r="J32" s="24">
        <f>'Assumptions &amp; Results'!K11</f>
        <v>75</v>
      </c>
      <c r="K32" s="24">
        <f>'Assumptions &amp; Results'!L11</f>
        <v>75</v>
      </c>
      <c r="L32" s="24">
        <f>'Assumptions &amp; Results'!M11</f>
        <v>75</v>
      </c>
      <c r="M32" s="24">
        <f>'Assumptions &amp; Results'!N11</f>
        <v>75</v>
      </c>
      <c r="N32" s="24">
        <f>'Assumptions &amp; Results'!O11</f>
        <v>75</v>
      </c>
      <c r="O32" s="24">
        <f>'Assumptions &amp; Results'!P11</f>
        <v>75</v>
      </c>
      <c r="P32" s="24">
        <f>'Assumptions &amp; Results'!Q11</f>
        <v>75</v>
      </c>
      <c r="Q32" s="24">
        <f>'Assumptions &amp; Results'!R11</f>
        <v>75</v>
      </c>
      <c r="R32" s="24">
        <f>'Assumptions &amp; Results'!S11</f>
        <v>75</v>
      </c>
      <c r="S32" s="24">
        <f>'Assumptions &amp; Results'!T11</f>
        <v>75</v>
      </c>
      <c r="T32" s="24">
        <f>'Assumptions &amp; Results'!U11</f>
        <v>75</v>
      </c>
      <c r="U32" s="24">
        <f>'Assumptions &amp; Results'!V11</f>
        <v>75</v>
      </c>
      <c r="V32" s="24">
        <f>'Assumptions &amp; Results'!W11</f>
        <v>75</v>
      </c>
      <c r="W32" s="24">
        <f>'Assumptions &amp; Results'!X11</f>
        <v>75</v>
      </c>
      <c r="X32" s="24">
        <f>'Assumptions &amp; Results'!Y11</f>
        <v>75</v>
      </c>
      <c r="Y32" s="24">
        <f>'Assumptions &amp; Results'!Z11</f>
        <v>75</v>
      </c>
      <c r="Z32" s="24">
        <f>'Assumptions &amp; Results'!AA11</f>
        <v>75</v>
      </c>
      <c r="AA32" s="24">
        <f>'Assumptions &amp; Results'!AB11</f>
        <v>75</v>
      </c>
      <c r="AB32" s="24">
        <f>'Assumptions &amp; Results'!AC11</f>
        <v>75</v>
      </c>
      <c r="AC32" s="24">
        <f>'Assumptions &amp; Results'!AD11</f>
        <v>75</v>
      </c>
      <c r="AD32" s="24">
        <f>'Assumptions &amp; Results'!AE11</f>
        <v>75</v>
      </c>
      <c r="AE32" s="24">
        <f>'Assumptions &amp; Results'!AF11</f>
        <v>75</v>
      </c>
      <c r="AF32" s="24">
        <f>'Assumptions &amp; Results'!AG11</f>
        <v>75</v>
      </c>
      <c r="AG32" s="24">
        <f>'Assumptions &amp; Results'!AH11</f>
        <v>75</v>
      </c>
      <c r="AH32" s="24">
        <f>'Assumptions &amp; Results'!AI11</f>
        <v>75</v>
      </c>
      <c r="AI32" s="24">
        <f>'Assumptions &amp; Results'!AJ11</f>
        <v>75</v>
      </c>
    </row>
    <row r="33" spans="1:36" ht="18" x14ac:dyDescent="0.35">
      <c r="A33" s="37" t="s">
        <v>364</v>
      </c>
      <c r="B33" t="s">
        <v>99</v>
      </c>
      <c r="C33" s="27">
        <f>C32*C31</f>
        <v>0</v>
      </c>
      <c r="D33" s="27">
        <f t="shared" ref="D33:AI33" si="3">D32*D31</f>
        <v>0</v>
      </c>
      <c r="E33" s="27">
        <f t="shared" si="3"/>
        <v>0</v>
      </c>
      <c r="F33" s="27">
        <f t="shared" si="3"/>
        <v>0</v>
      </c>
      <c r="G33" s="27">
        <f t="shared" si="3"/>
        <v>0</v>
      </c>
      <c r="H33" s="27">
        <f t="shared" si="3"/>
        <v>0</v>
      </c>
      <c r="I33" s="27">
        <f t="shared" si="3"/>
        <v>0</v>
      </c>
      <c r="J33" s="27">
        <f t="shared" si="3"/>
        <v>0</v>
      </c>
      <c r="K33" s="27">
        <f t="shared" si="3"/>
        <v>0</v>
      </c>
      <c r="L33" s="27">
        <f t="shared" si="3"/>
        <v>0</v>
      </c>
      <c r="M33" s="27">
        <f t="shared" si="3"/>
        <v>0</v>
      </c>
      <c r="N33" s="27">
        <f t="shared" si="3"/>
        <v>0</v>
      </c>
      <c r="O33" s="27">
        <f t="shared" si="3"/>
        <v>0</v>
      </c>
      <c r="P33" s="27">
        <f t="shared" si="3"/>
        <v>0</v>
      </c>
      <c r="Q33" s="27">
        <f t="shared" si="3"/>
        <v>0</v>
      </c>
      <c r="R33" s="27">
        <f t="shared" si="3"/>
        <v>0</v>
      </c>
      <c r="S33" s="27">
        <f t="shared" si="3"/>
        <v>0</v>
      </c>
      <c r="T33" s="27">
        <f t="shared" si="3"/>
        <v>0</v>
      </c>
      <c r="U33" s="27">
        <f t="shared" si="3"/>
        <v>0</v>
      </c>
      <c r="V33" s="27">
        <f t="shared" si="3"/>
        <v>0</v>
      </c>
      <c r="W33" s="27">
        <f t="shared" si="3"/>
        <v>0</v>
      </c>
      <c r="X33" s="27">
        <f t="shared" si="3"/>
        <v>0</v>
      </c>
      <c r="Y33" s="27">
        <f t="shared" si="3"/>
        <v>0</v>
      </c>
      <c r="Z33" s="27">
        <f t="shared" si="3"/>
        <v>0</v>
      </c>
      <c r="AA33" s="27">
        <f t="shared" si="3"/>
        <v>0</v>
      </c>
      <c r="AB33" s="27">
        <f t="shared" si="3"/>
        <v>0</v>
      </c>
      <c r="AC33" s="27">
        <f t="shared" si="3"/>
        <v>0</v>
      </c>
      <c r="AD33" s="27">
        <f t="shared" si="3"/>
        <v>0</v>
      </c>
      <c r="AE33" s="27">
        <f t="shared" si="3"/>
        <v>0</v>
      </c>
      <c r="AF33" s="27">
        <f t="shared" si="3"/>
        <v>0</v>
      </c>
      <c r="AG33" s="27">
        <f t="shared" si="3"/>
        <v>0</v>
      </c>
      <c r="AH33" s="27">
        <f t="shared" si="3"/>
        <v>0</v>
      </c>
      <c r="AI33" s="27">
        <f t="shared" si="3"/>
        <v>0</v>
      </c>
      <c r="AJ33" s="126">
        <f>SUM(C33:AI33)</f>
        <v>0</v>
      </c>
    </row>
    <row r="34" spans="1:36" x14ac:dyDescent="0.2">
      <c r="A34" s="37" t="s">
        <v>365</v>
      </c>
      <c r="B34" t="s">
        <v>366</v>
      </c>
      <c r="C34" s="8">
        <f>C30+C33</f>
        <v>0</v>
      </c>
      <c r="D34" s="8">
        <f t="shared" ref="D34:AI34" si="4">D30+D33</f>
        <v>0</v>
      </c>
      <c r="E34" s="8">
        <f t="shared" si="4"/>
        <v>0</v>
      </c>
      <c r="F34" s="8">
        <f t="shared" si="4"/>
        <v>0</v>
      </c>
      <c r="G34" s="8">
        <f t="shared" si="4"/>
        <v>4647.864375000001</v>
      </c>
      <c r="H34" s="8">
        <f t="shared" si="4"/>
        <v>9295.728750000002</v>
      </c>
      <c r="I34" s="8">
        <f t="shared" si="4"/>
        <v>9295.728750000002</v>
      </c>
      <c r="J34" s="8">
        <f t="shared" si="4"/>
        <v>8830.9423124999994</v>
      </c>
      <c r="K34" s="8">
        <f t="shared" si="4"/>
        <v>9295.728750000002</v>
      </c>
      <c r="L34" s="8">
        <f t="shared" si="4"/>
        <v>9295.728750000002</v>
      </c>
      <c r="M34" s="8">
        <f t="shared" si="4"/>
        <v>9295.728750000002</v>
      </c>
      <c r="N34" s="8">
        <f t="shared" si="4"/>
        <v>9295.728750000002</v>
      </c>
      <c r="O34" s="8">
        <f t="shared" si="4"/>
        <v>8830.9423124999994</v>
      </c>
      <c r="P34" s="8">
        <f t="shared" si="4"/>
        <v>9295.728750000002</v>
      </c>
      <c r="Q34" s="8">
        <f t="shared" si="4"/>
        <v>9295.728750000002</v>
      </c>
      <c r="R34" s="8">
        <f t="shared" si="4"/>
        <v>9295.728750000002</v>
      </c>
      <c r="S34" s="8">
        <f t="shared" si="4"/>
        <v>9295.728750000002</v>
      </c>
      <c r="T34" s="8">
        <f t="shared" si="4"/>
        <v>8830.9423124999994</v>
      </c>
      <c r="U34" s="8">
        <f t="shared" si="4"/>
        <v>9295.728750000002</v>
      </c>
      <c r="V34" s="8">
        <f t="shared" si="4"/>
        <v>9295.728750000002</v>
      </c>
      <c r="W34" s="8">
        <f t="shared" si="4"/>
        <v>9295.728750000002</v>
      </c>
      <c r="X34" s="8">
        <f t="shared" si="4"/>
        <v>9295.728750000002</v>
      </c>
      <c r="Y34" s="8">
        <f t="shared" si="4"/>
        <v>8830.9423124999994</v>
      </c>
      <c r="Z34" s="8">
        <f t="shared" si="4"/>
        <v>9295.728750000002</v>
      </c>
      <c r="AA34" s="8">
        <f t="shared" si="4"/>
        <v>9295.728750000002</v>
      </c>
      <c r="AB34" s="8">
        <f t="shared" si="4"/>
        <v>9295.728750000002</v>
      </c>
      <c r="AC34" s="8">
        <f t="shared" si="4"/>
        <v>9295.728750000002</v>
      </c>
      <c r="AD34" s="8">
        <f t="shared" si="4"/>
        <v>8830.9423124999994</v>
      </c>
      <c r="AE34" s="8">
        <f t="shared" si="4"/>
        <v>9295.728750000002</v>
      </c>
      <c r="AF34" s="8">
        <f t="shared" si="4"/>
        <v>9295.728750000002</v>
      </c>
      <c r="AG34" s="8">
        <f t="shared" si="4"/>
        <v>9295.728750000002</v>
      </c>
      <c r="AH34" s="8">
        <f t="shared" si="4"/>
        <v>9295.728750000002</v>
      </c>
      <c r="AI34" s="8">
        <f t="shared" si="4"/>
        <v>9295.728750000002</v>
      </c>
      <c r="AJ34" s="125">
        <f>SUM(C34:AI34)</f>
        <v>262604.33718750015</v>
      </c>
    </row>
    <row r="35" spans="1:36" x14ac:dyDescent="0.2">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125"/>
    </row>
    <row r="36" spans="1:36" x14ac:dyDescent="0.2">
      <c r="A36" s="37" t="s">
        <v>162</v>
      </c>
      <c r="B36" t="s">
        <v>99</v>
      </c>
      <c r="C36" s="8">
        <f>'Assumptions &amp; Results'!$C$126*('LNG Equity '!C34-'LNG Equity '!C23)</f>
        <v>0</v>
      </c>
      <c r="D36" s="8">
        <f>'Assumptions &amp; Results'!$C$126*('LNG Equity '!D34-'LNG Equity '!D23)</f>
        <v>0</v>
      </c>
      <c r="E36" s="8">
        <f>'Assumptions &amp; Results'!$C$126*('LNG Equity '!E34-'LNG Equity '!E23)</f>
        <v>0</v>
      </c>
      <c r="F36" s="8">
        <f>'Assumptions &amp; Results'!$C$126*('LNG Equity '!F34-'LNG Equity '!F23)</f>
        <v>0</v>
      </c>
      <c r="G36" s="8">
        <f>'Assumptions &amp; Results'!$C$126*('LNG Equity '!G34-'LNG Equity '!G23)</f>
        <v>0</v>
      </c>
      <c r="H36" s="8">
        <f>'Assumptions &amp; Results'!$C$126*('LNG Equity '!H34-'LNG Equity '!H23)</f>
        <v>0</v>
      </c>
      <c r="I36" s="8">
        <f>'Assumptions &amp; Results'!$C$126*('LNG Equity '!I34-'LNG Equity '!I23)</f>
        <v>0</v>
      </c>
      <c r="J36" s="8">
        <f>'Assumptions &amp; Results'!$C$126*('LNG Equity '!J34-'LNG Equity '!J23)</f>
        <v>0</v>
      </c>
      <c r="K36" s="8">
        <f>'Assumptions &amp; Results'!$C$126*('LNG Equity '!K34-'LNG Equity '!K23)</f>
        <v>0</v>
      </c>
      <c r="L36" s="8">
        <f>'Assumptions &amp; Results'!$C$126*('LNG Equity '!L34-'LNG Equity '!L23)</f>
        <v>0</v>
      </c>
      <c r="M36" s="8">
        <f>'Assumptions &amp; Results'!$C$126*('LNG Equity '!M34-'LNG Equity '!M23)</f>
        <v>0</v>
      </c>
      <c r="N36" s="8">
        <f>'Assumptions &amp; Results'!$C$126*('LNG Equity '!N34-'LNG Equity '!N23)</f>
        <v>0</v>
      </c>
      <c r="O36" s="8">
        <f>'Assumptions &amp; Results'!$C$126*('LNG Equity '!O34-'LNG Equity '!O23)</f>
        <v>0</v>
      </c>
      <c r="P36" s="8">
        <f>'Assumptions &amp; Results'!$C$126*('LNG Equity '!P34-'LNG Equity '!P23)</f>
        <v>0</v>
      </c>
      <c r="Q36" s="8">
        <f>'Assumptions &amp; Results'!$C$126*('LNG Equity '!Q34-'LNG Equity '!Q23)</f>
        <v>0</v>
      </c>
      <c r="R36" s="8">
        <f>'Assumptions &amp; Results'!$C$126*('LNG Equity '!R34-'LNG Equity '!R23)</f>
        <v>0</v>
      </c>
      <c r="S36" s="8">
        <f>'Assumptions &amp; Results'!$C$126*('LNG Equity '!S34-'LNG Equity '!S23)</f>
        <v>0</v>
      </c>
      <c r="T36" s="8">
        <f>'Assumptions &amp; Results'!$C$126*('LNG Equity '!T34-'LNG Equity '!T23)</f>
        <v>0</v>
      </c>
      <c r="U36" s="8">
        <f>'Assumptions &amp; Results'!$C$126*('LNG Equity '!U34-'LNG Equity '!U23)</f>
        <v>0</v>
      </c>
      <c r="V36" s="8">
        <f>'Assumptions &amp; Results'!$C$126*('LNG Equity '!V34-'LNG Equity '!V23)</f>
        <v>0</v>
      </c>
      <c r="W36" s="8">
        <f>'Assumptions &amp; Results'!$C$126*('LNG Equity '!W34-'LNG Equity '!W23)</f>
        <v>0</v>
      </c>
      <c r="X36" s="8">
        <f>'Assumptions &amp; Results'!$C$126*('LNG Equity '!X34-'LNG Equity '!X23)</f>
        <v>0</v>
      </c>
      <c r="Y36" s="8">
        <f>'Assumptions &amp; Results'!$C$126*('LNG Equity '!Y34-'LNG Equity '!Y23)</f>
        <v>0</v>
      </c>
      <c r="Z36" s="8">
        <f>'Assumptions &amp; Results'!$C$126*('LNG Equity '!Z34-'LNG Equity '!Z23)</f>
        <v>0</v>
      </c>
      <c r="AA36" s="8">
        <f>'Assumptions &amp; Results'!$C$126*('LNG Equity '!AA34-'LNG Equity '!AA23)</f>
        <v>0</v>
      </c>
      <c r="AB36" s="8">
        <f>'Assumptions &amp; Results'!$C$126*('LNG Equity '!AB34-'LNG Equity '!AB23)</f>
        <v>0</v>
      </c>
      <c r="AC36" s="8">
        <f>'Assumptions &amp; Results'!$C$126*('LNG Equity '!AC34-'LNG Equity '!AC23)</f>
        <v>0</v>
      </c>
      <c r="AD36" s="8">
        <f>'Assumptions &amp; Results'!$C$126*('LNG Equity '!AD34-'LNG Equity '!AD23)</f>
        <v>0</v>
      </c>
      <c r="AE36" s="8">
        <f>'Assumptions &amp; Results'!$C$126*('LNG Equity '!AE34-'LNG Equity '!AE23)</f>
        <v>0</v>
      </c>
      <c r="AF36" s="8">
        <f>'Assumptions &amp; Results'!$C$126*('LNG Equity '!AF34-'LNG Equity '!AF23)</f>
        <v>0</v>
      </c>
      <c r="AG36" s="8">
        <f>'Assumptions &amp; Results'!$C$126*('LNG Equity '!AG34-'LNG Equity '!AG23)</f>
        <v>0</v>
      </c>
      <c r="AH36" s="8">
        <f>'Assumptions &amp; Results'!$C$126*('LNG Equity '!AH34-'LNG Equity '!AH23)</f>
        <v>0</v>
      </c>
      <c r="AI36" s="8">
        <f>'Assumptions &amp; Results'!$C$126*('LNG Equity '!AI34-'LNG Equity '!AI23)</f>
        <v>0</v>
      </c>
      <c r="AJ36" s="125">
        <f>SUM(C36:AI36)</f>
        <v>0</v>
      </c>
    </row>
    <row r="38" spans="1:36" s="69" customFormat="1" x14ac:dyDescent="0.2">
      <c r="A38" s="74" t="s">
        <v>338</v>
      </c>
      <c r="AJ38" s="132"/>
    </row>
    <row r="39" spans="1:36" x14ac:dyDescent="0.2">
      <c r="A39" t="s">
        <v>339</v>
      </c>
      <c r="B39" t="s">
        <v>99</v>
      </c>
      <c r="C39" s="8">
        <f>C110</f>
        <v>2.125</v>
      </c>
      <c r="D39" s="8">
        <f t="shared" ref="D39:AI39" si="5">D110</f>
        <v>484.375</v>
      </c>
      <c r="E39" s="8">
        <f t="shared" si="5"/>
        <v>1217.125</v>
      </c>
      <c r="F39" s="8">
        <f t="shared" si="5"/>
        <v>2096</v>
      </c>
      <c r="G39" s="8">
        <f t="shared" si="5"/>
        <v>2096</v>
      </c>
      <c r="H39" s="8">
        <f t="shared" si="5"/>
        <v>2096</v>
      </c>
      <c r="I39" s="8">
        <f t="shared" si="5"/>
        <v>2096</v>
      </c>
      <c r="J39" s="8">
        <f t="shared" si="5"/>
        <v>2096</v>
      </c>
      <c r="K39" s="8">
        <f t="shared" si="5"/>
        <v>2093.875</v>
      </c>
      <c r="L39" s="8">
        <f t="shared" si="5"/>
        <v>1611.625</v>
      </c>
      <c r="M39" s="8">
        <f t="shared" si="5"/>
        <v>878.875</v>
      </c>
      <c r="N39" s="8">
        <f t="shared" si="5"/>
        <v>0</v>
      </c>
      <c r="O39" s="8">
        <f t="shared" si="5"/>
        <v>0</v>
      </c>
      <c r="P39" s="8">
        <f t="shared" si="5"/>
        <v>0</v>
      </c>
      <c r="Q39" s="8">
        <f t="shared" si="5"/>
        <v>0</v>
      </c>
      <c r="R39" s="8">
        <f t="shared" si="5"/>
        <v>0</v>
      </c>
      <c r="S39" s="8">
        <f t="shared" si="5"/>
        <v>0</v>
      </c>
      <c r="T39" s="8">
        <f t="shared" si="5"/>
        <v>0</v>
      </c>
      <c r="U39" s="8">
        <f t="shared" si="5"/>
        <v>0</v>
      </c>
      <c r="V39" s="8">
        <f t="shared" si="5"/>
        <v>0</v>
      </c>
      <c r="W39" s="8">
        <f t="shared" si="5"/>
        <v>0</v>
      </c>
      <c r="X39" s="8">
        <f t="shared" si="5"/>
        <v>0</v>
      </c>
      <c r="Y39" s="8">
        <f t="shared" si="5"/>
        <v>0</v>
      </c>
      <c r="Z39" s="8">
        <f t="shared" si="5"/>
        <v>0</v>
      </c>
      <c r="AA39" s="8">
        <f t="shared" si="5"/>
        <v>0</v>
      </c>
      <c r="AB39" s="8">
        <f t="shared" si="5"/>
        <v>0</v>
      </c>
      <c r="AC39" s="8">
        <f t="shared" si="5"/>
        <v>0</v>
      </c>
      <c r="AD39" s="8">
        <f t="shared" si="5"/>
        <v>0</v>
      </c>
      <c r="AE39" s="8">
        <f t="shared" si="5"/>
        <v>0</v>
      </c>
      <c r="AF39" s="8">
        <f t="shared" si="5"/>
        <v>0</v>
      </c>
      <c r="AG39" s="8">
        <f t="shared" si="5"/>
        <v>0</v>
      </c>
      <c r="AH39" s="8">
        <f t="shared" si="5"/>
        <v>0</v>
      </c>
      <c r="AI39" s="8">
        <f t="shared" si="5"/>
        <v>0</v>
      </c>
      <c r="AJ39" s="125">
        <f>SUM(C39:AI39)</f>
        <v>16768</v>
      </c>
    </row>
    <row r="40" spans="1:36" x14ac:dyDescent="0.2">
      <c r="A40" t="s">
        <v>555</v>
      </c>
      <c r="B40" t="s">
        <v>99</v>
      </c>
      <c r="C40" s="8">
        <f>IF(AND('Assumptions &amp; Results'!$C$85=1,'Assumptions &amp; Results'!$C$87=1),+'Assumptions &amp; Results'!D86,0)</f>
        <v>0</v>
      </c>
      <c r="D40" s="8">
        <f>IF(AND('Assumptions &amp; Results'!$C$85=1,'Assumptions &amp; Results'!$C$87=1),+'Assumptions &amp; Results'!E86,0)</f>
        <v>0</v>
      </c>
      <c r="E40" s="8">
        <f>IF(AND('Assumptions &amp; Results'!$C$85=1,'Assumptions &amp; Results'!$C$87=1),+'Assumptions &amp; Results'!F86,0)</f>
        <v>0</v>
      </c>
      <c r="F40" s="8">
        <f>IF(AND('Assumptions &amp; Results'!$C$85=1,'Assumptions &amp; Results'!$C$87=1),+'Assumptions &amp; Results'!G86,0)</f>
        <v>0</v>
      </c>
      <c r="G40" s="8">
        <f>IF(AND('Assumptions &amp; Results'!$C$85=1,'Assumptions &amp; Results'!$C$87=1),+'Assumptions &amp; Results'!H86,0)</f>
        <v>0</v>
      </c>
      <c r="H40" s="8">
        <f>IF(AND('Assumptions &amp; Results'!$C$85=1,'Assumptions &amp; Results'!$C$87=1),+'Assumptions &amp; Results'!I86,0)</f>
        <v>0</v>
      </c>
      <c r="I40" s="8">
        <f>IF(AND('Assumptions &amp; Results'!$C$85=1,'Assumptions &amp; Results'!$C$87=1),+'Assumptions &amp; Results'!J86,0)</f>
        <v>0</v>
      </c>
      <c r="J40" s="8">
        <f>IF(AND('Assumptions &amp; Results'!$C$85=1,'Assumptions &amp; Results'!$C$87=1),+'Assumptions &amp; Results'!K86,0)</f>
        <v>0</v>
      </c>
      <c r="K40" s="8">
        <f>IF(AND('Assumptions &amp; Results'!$C$85=1,'Assumptions &amp; Results'!$C$87=1),+'Assumptions &amp; Results'!L86,0)</f>
        <v>0</v>
      </c>
      <c r="L40" s="8">
        <f>IF(AND('Assumptions &amp; Results'!$C$85=1,'Assumptions &amp; Results'!$C$87=1),+'Assumptions &amp; Results'!M86,0)</f>
        <v>0</v>
      </c>
      <c r="M40" s="8">
        <f>IF(AND('Assumptions &amp; Results'!$C$85=1,'Assumptions &amp; Results'!$C$87=1),+'Assumptions &amp; Results'!N86,0)</f>
        <v>0</v>
      </c>
      <c r="N40" s="8">
        <f>IF(AND('Assumptions &amp; Results'!$C$85=1,'Assumptions &amp; Results'!$C$87=1),+'Assumptions &amp; Results'!O86,0)</f>
        <v>0</v>
      </c>
      <c r="O40" s="8">
        <f>IF(AND('Assumptions &amp; Results'!$C$85=1,'Assumptions &amp; Results'!$C$87=1),+'Assumptions &amp; Results'!P86,0)</f>
        <v>0</v>
      </c>
      <c r="P40" s="8">
        <f>IF(AND('Assumptions &amp; Results'!$C$85=1,'Assumptions &amp; Results'!$C$87=1),+'Assumptions &amp; Results'!Q86,0)</f>
        <v>0</v>
      </c>
      <c r="Q40" s="8">
        <f>IF(AND('Assumptions &amp; Results'!$C$85=1,'Assumptions &amp; Results'!$C$87=1),+'Assumptions &amp; Results'!R86,0)</f>
        <v>0</v>
      </c>
      <c r="R40" s="8">
        <f>IF(AND('Assumptions &amp; Results'!$C$85=1,'Assumptions &amp; Results'!$C$87=1),+'Assumptions &amp; Results'!S86,0)</f>
        <v>0</v>
      </c>
      <c r="S40" s="8">
        <f>IF(AND('Assumptions &amp; Results'!$C$85=1,'Assumptions &amp; Results'!$C$87=1),+'Assumptions &amp; Results'!T86,0)</f>
        <v>0</v>
      </c>
      <c r="T40" s="8">
        <f>IF(AND('Assumptions &amp; Results'!$C$85=1,'Assumptions &amp; Results'!$C$87=1),+'Assumptions &amp; Results'!U86,0)</f>
        <v>0</v>
      </c>
      <c r="U40" s="8">
        <f>IF(AND('Assumptions &amp; Results'!$C$85=1,'Assumptions &amp; Results'!$C$87=1),+'Assumptions &amp; Results'!V86,0)</f>
        <v>0</v>
      </c>
      <c r="V40" s="8">
        <f>IF(AND('Assumptions &amp; Results'!$C$85=1,'Assumptions &amp; Results'!$C$87=1),+'Assumptions &amp; Results'!W86,0)</f>
        <v>0</v>
      </c>
      <c r="W40" s="8">
        <f>IF(AND('Assumptions &amp; Results'!$C$85=1,'Assumptions &amp; Results'!$C$87=1),+'Assumptions &amp; Results'!X86,0)</f>
        <v>0</v>
      </c>
      <c r="X40" s="8">
        <f>IF(AND('Assumptions &amp; Results'!$C$85=1,'Assumptions &amp; Results'!$C$87=1),+'Assumptions &amp; Results'!Y86,0)</f>
        <v>0</v>
      </c>
      <c r="Y40" s="8">
        <f>IF(AND('Assumptions &amp; Results'!$C$85=1,'Assumptions &amp; Results'!$C$87=1),+'Assumptions &amp; Results'!Z86,0)</f>
        <v>0</v>
      </c>
      <c r="Z40" s="8">
        <f>IF(AND('Assumptions &amp; Results'!$C$85=1,'Assumptions &amp; Results'!$C$87=1),+'Assumptions &amp; Results'!AA86,0)</f>
        <v>0</v>
      </c>
      <c r="AA40" s="8">
        <f>IF(AND('Assumptions &amp; Results'!$C$85=1,'Assumptions &amp; Results'!$C$87=1),+'Assumptions &amp; Results'!AB86,0)</f>
        <v>0</v>
      </c>
      <c r="AB40" s="8">
        <f>IF(AND('Assumptions &amp; Results'!$C$85=1,'Assumptions &amp; Results'!$C$87=1),+'Assumptions &amp; Results'!AC86,0)</f>
        <v>0</v>
      </c>
      <c r="AC40" s="8">
        <f>IF(AND('Assumptions &amp; Results'!$C$85=1,'Assumptions &amp; Results'!$C$87=1),+'Assumptions &amp; Results'!AD86,0)</f>
        <v>0</v>
      </c>
      <c r="AD40" s="8">
        <f>IF(AND('Assumptions &amp; Results'!$C$85=1,'Assumptions &amp; Results'!$C$87=1),+'Assumptions &amp; Results'!AE86,0)</f>
        <v>0</v>
      </c>
      <c r="AE40" s="8">
        <f>IF(AND('Assumptions &amp; Results'!$C$85=1,'Assumptions &amp; Results'!$C$87=1),+'Assumptions &amp; Results'!AF86,0)</f>
        <v>0</v>
      </c>
      <c r="AF40" s="8">
        <f>IF(AND('Assumptions &amp; Results'!$C$85=1,'Assumptions &amp; Results'!$C$87=1),+'Assumptions &amp; Results'!AG86,0)</f>
        <v>0</v>
      </c>
      <c r="AG40" s="8">
        <f>IF(AND('Assumptions &amp; Results'!$C$85=1,'Assumptions &amp; Results'!$C$87=1),+'Assumptions &amp; Results'!AH86,0)</f>
        <v>0</v>
      </c>
      <c r="AH40" s="8">
        <f>IF(AND('Assumptions &amp; Results'!$C$85=1,'Assumptions &amp; Results'!$C$87=1),+'Assumptions &amp; Results'!AI86,0)</f>
        <v>0</v>
      </c>
      <c r="AI40" s="8">
        <f>IF(AND('Assumptions &amp; Results'!$C$85=1,'Assumptions &amp; Results'!$C$87=1),+'Assumptions &amp; Results'!AJ86,0)</f>
        <v>0</v>
      </c>
      <c r="AJ40" s="125">
        <f>SUM(C40:AI40)</f>
        <v>0</v>
      </c>
    </row>
    <row r="41" spans="1:36" x14ac:dyDescent="0.2">
      <c r="A41" s="31" t="s">
        <v>475</v>
      </c>
      <c r="B41" t="s">
        <v>99</v>
      </c>
      <c r="C41" s="33">
        <f>IF(AND('Assumptions &amp; Results'!$C$127=1,'Assumptions &amp; Results'!$C$87=0),'Financing for Fiscal Terms Only'!C13,0)</f>
        <v>0</v>
      </c>
      <c r="D41" s="33">
        <f>IF(AND('Assumptions &amp; Results'!$C$127=1,'Assumptions &amp; Results'!$C$87=0),'Financing for Fiscal Terms Only'!D13,0)</f>
        <v>0</v>
      </c>
      <c r="E41" s="33">
        <f>IF(AND('Assumptions &amp; Results'!$C$127=1,'Assumptions &amp; Results'!$C$87=0),'Financing for Fiscal Terms Only'!E13,0)</f>
        <v>0</v>
      </c>
      <c r="F41" s="33">
        <f>IF(AND('Assumptions &amp; Results'!$C$127=1,'Assumptions &amp; Results'!$C$87=0),'Financing for Fiscal Terms Only'!F13,0)</f>
        <v>0</v>
      </c>
      <c r="G41" s="33">
        <f>IF(AND('Assumptions &amp; Results'!$C$127=1,'Assumptions &amp; Results'!$C$87=0),'Financing for Fiscal Terms Only'!G13,0)</f>
        <v>0</v>
      </c>
      <c r="H41" s="33">
        <f>IF(AND('Assumptions &amp; Results'!$C$127=1,'Assumptions &amp; Results'!$C$87=0),'Financing for Fiscal Terms Only'!H13,0)</f>
        <v>0</v>
      </c>
      <c r="I41" s="33">
        <f>IF(AND('Assumptions &amp; Results'!$C$127=1,'Assumptions &amp; Results'!$C$87=0),'Financing for Fiscal Terms Only'!I13,0)</f>
        <v>0</v>
      </c>
      <c r="J41" s="33">
        <f>IF(AND('Assumptions &amp; Results'!$C$127=1,'Assumptions &amp; Results'!$C$87=0),'Financing for Fiscal Terms Only'!J13,0)</f>
        <v>0</v>
      </c>
      <c r="K41" s="33">
        <f>IF(AND('Assumptions &amp; Results'!$C$127=1,'Assumptions &amp; Results'!$C$87=0),'Financing for Fiscal Terms Only'!K13,0)</f>
        <v>0</v>
      </c>
      <c r="L41" s="33">
        <f>IF(AND('Assumptions &amp; Results'!$C$127=1,'Assumptions &amp; Results'!$C$87=0),'Financing for Fiscal Terms Only'!L13,0)</f>
        <v>0</v>
      </c>
      <c r="M41" s="33">
        <f>IF(AND('Assumptions &amp; Results'!$C$127=1,'Assumptions &amp; Results'!$C$87=0),'Financing for Fiscal Terms Only'!M13,0)</f>
        <v>0</v>
      </c>
      <c r="N41" s="33">
        <f>IF(AND('Assumptions &amp; Results'!$C$127=1,'Assumptions &amp; Results'!$C$87=0),'Financing for Fiscal Terms Only'!N13,0)</f>
        <v>0</v>
      </c>
      <c r="O41" s="33">
        <f>IF(AND('Assumptions &amp; Results'!$C$127=1,'Assumptions &amp; Results'!$C$87=0),'Financing for Fiscal Terms Only'!O13,0)</f>
        <v>0</v>
      </c>
      <c r="P41" s="33">
        <f>IF(AND('Assumptions &amp; Results'!$C$127=1,'Assumptions &amp; Results'!$C$87=0),'Financing for Fiscal Terms Only'!P13,0)</f>
        <v>0</v>
      </c>
      <c r="Q41" s="33">
        <f>IF(AND('Assumptions &amp; Results'!$C$127=1,'Assumptions &amp; Results'!$C$87=0),'Financing for Fiscal Terms Only'!Q13,0)</f>
        <v>0</v>
      </c>
      <c r="R41" s="33">
        <f>IF(AND('Assumptions &amp; Results'!$C$127=1,'Assumptions &amp; Results'!$C$87=0),'Financing for Fiscal Terms Only'!R13,0)</f>
        <v>0</v>
      </c>
      <c r="S41" s="33">
        <f>IF(AND('Assumptions &amp; Results'!$C$127=1,'Assumptions &amp; Results'!$C$87=0),'Financing for Fiscal Terms Only'!S13,0)</f>
        <v>0</v>
      </c>
      <c r="T41" s="33">
        <f>IF(AND('Assumptions &amp; Results'!$C$127=1,'Assumptions &amp; Results'!$C$87=0),'Financing for Fiscal Terms Only'!T13,0)</f>
        <v>0</v>
      </c>
      <c r="U41" s="33">
        <f>IF(AND('Assumptions &amp; Results'!$C$127=1,'Assumptions &amp; Results'!$C$87=0),'Financing for Fiscal Terms Only'!U13,0)</f>
        <v>0</v>
      </c>
      <c r="V41" s="33">
        <f>IF(AND('Assumptions &amp; Results'!$C$127=1,'Assumptions &amp; Results'!$C$87=0),'Financing for Fiscal Terms Only'!V13,0)</f>
        <v>0</v>
      </c>
      <c r="W41" s="33">
        <f>IF(AND('Assumptions &amp; Results'!$C$127=1,'Assumptions &amp; Results'!$C$87=0),'Financing for Fiscal Terms Only'!W13,0)</f>
        <v>0</v>
      </c>
      <c r="X41" s="33">
        <f>IF(AND('Assumptions &amp; Results'!$C$127=1,'Assumptions &amp; Results'!$C$87=0),'Financing for Fiscal Terms Only'!X13,0)</f>
        <v>0</v>
      </c>
      <c r="Y41" s="33">
        <f>IF(AND('Assumptions &amp; Results'!$C$127=1,'Assumptions &amp; Results'!$C$87=0),'Financing for Fiscal Terms Only'!Y13,0)</f>
        <v>0</v>
      </c>
      <c r="Z41" s="33">
        <f>IF(AND('Assumptions &amp; Results'!$C$127=1,'Assumptions &amp; Results'!$C$87=0),'Financing for Fiscal Terms Only'!Z13,0)</f>
        <v>0</v>
      </c>
      <c r="AA41" s="33">
        <f>IF(AND('Assumptions &amp; Results'!$C$127=1,'Assumptions &amp; Results'!$C$87=0),'Financing for Fiscal Terms Only'!AA13,0)</f>
        <v>0</v>
      </c>
      <c r="AB41" s="33">
        <f>IF(AND('Assumptions &amp; Results'!$C$127=1,'Assumptions &amp; Results'!$C$87=0),'Financing for Fiscal Terms Only'!AB13,0)</f>
        <v>0</v>
      </c>
      <c r="AC41" s="33">
        <f>IF(AND('Assumptions &amp; Results'!$C$127=1,'Assumptions &amp; Results'!$C$87=0),'Financing for Fiscal Terms Only'!AC13,0)</f>
        <v>0</v>
      </c>
      <c r="AD41" s="33">
        <f>IF(AND('Assumptions &amp; Results'!$C$127=1,'Assumptions &amp; Results'!$C$87=0),'Financing for Fiscal Terms Only'!AD13,0)</f>
        <v>0</v>
      </c>
      <c r="AE41" s="33">
        <f>IF(AND('Assumptions &amp; Results'!$C$127=1,'Assumptions &amp; Results'!$C$87=0),'Financing for Fiscal Terms Only'!AE13,0)</f>
        <v>0</v>
      </c>
      <c r="AF41" s="33">
        <f>IF(AND('Assumptions &amp; Results'!$C$127=1,'Assumptions &amp; Results'!$C$87=0),'Financing for Fiscal Terms Only'!AF13,0)</f>
        <v>0</v>
      </c>
      <c r="AG41" s="33">
        <f>IF(AND('Assumptions &amp; Results'!$C$127=1,'Assumptions &amp; Results'!$C$87=0),'Financing for Fiscal Terms Only'!AG13,0)</f>
        <v>0</v>
      </c>
      <c r="AH41" s="33">
        <f>IF(AND('Assumptions &amp; Results'!$C$127=1,'Assumptions &amp; Results'!$C$87=0),'Financing for Fiscal Terms Only'!AH13,0)</f>
        <v>0</v>
      </c>
      <c r="AI41" s="33">
        <f>IF(AND('Assumptions &amp; Results'!$C$127=1,'Assumptions &amp; Results'!$C$87=0),'Financing for Fiscal Terms Only'!AI13,0)</f>
        <v>0</v>
      </c>
      <c r="AJ41" s="125">
        <f>SUM(C41:AI41)</f>
        <v>0</v>
      </c>
    </row>
    <row r="42" spans="1:36" x14ac:dyDescent="0.2">
      <c r="A42" s="37" t="s">
        <v>265</v>
      </c>
      <c r="B42" t="s">
        <v>99</v>
      </c>
      <c r="C42" s="8">
        <f>C34-C18-C23-C39-C36-C41-C40</f>
        <v>-2.125</v>
      </c>
      <c r="D42" s="8">
        <f t="shared" ref="D42:AI42" si="6">D34-D18-D23-D39-D36-D41-D40</f>
        <v>-484.375</v>
      </c>
      <c r="E42" s="8">
        <f t="shared" si="6"/>
        <v>-1217.125</v>
      </c>
      <c r="F42" s="8">
        <f t="shared" si="6"/>
        <v>-2096</v>
      </c>
      <c r="G42" s="8">
        <f t="shared" si="6"/>
        <v>1931.4143750000012</v>
      </c>
      <c r="H42" s="8">
        <f t="shared" si="6"/>
        <v>5958.8287500000024</v>
      </c>
      <c r="I42" s="8">
        <f t="shared" si="6"/>
        <v>5958.8287500000024</v>
      </c>
      <c r="J42" s="8">
        <f t="shared" si="6"/>
        <v>5406.0873124999998</v>
      </c>
      <c r="K42" s="8">
        <f t="shared" si="6"/>
        <v>5960.9537500000024</v>
      </c>
      <c r="L42" s="8">
        <f t="shared" si="6"/>
        <v>6443.2037500000024</v>
      </c>
      <c r="M42" s="8">
        <f t="shared" si="6"/>
        <v>7175.9537500000024</v>
      </c>
      <c r="N42" s="8">
        <f t="shared" si="6"/>
        <v>8054.8287500000024</v>
      </c>
      <c r="O42" s="8">
        <f t="shared" si="6"/>
        <v>7502.0873124999998</v>
      </c>
      <c r="P42" s="8">
        <f t="shared" si="6"/>
        <v>8054.8287500000024</v>
      </c>
      <c r="Q42" s="8">
        <f t="shared" si="6"/>
        <v>8054.8287500000024</v>
      </c>
      <c r="R42" s="8">
        <f t="shared" si="6"/>
        <v>8054.8287500000024</v>
      </c>
      <c r="S42" s="8">
        <f t="shared" si="6"/>
        <v>8054.8287500000024</v>
      </c>
      <c r="T42" s="8">
        <f t="shared" si="6"/>
        <v>7502.0873124999998</v>
      </c>
      <c r="U42" s="8">
        <f t="shared" si="6"/>
        <v>8054.8287500000024</v>
      </c>
      <c r="V42" s="8">
        <f t="shared" si="6"/>
        <v>8054.8287500000024</v>
      </c>
      <c r="W42" s="8">
        <f t="shared" si="6"/>
        <v>8054.8287500000024</v>
      </c>
      <c r="X42" s="8">
        <f t="shared" si="6"/>
        <v>8054.8287500000024</v>
      </c>
      <c r="Y42" s="8">
        <f t="shared" si="6"/>
        <v>7502.0873124999998</v>
      </c>
      <c r="Z42" s="8">
        <f t="shared" si="6"/>
        <v>8054.8287500000024</v>
      </c>
      <c r="AA42" s="8">
        <f t="shared" si="6"/>
        <v>8054.8287500000024</v>
      </c>
      <c r="AB42" s="8">
        <f t="shared" si="6"/>
        <v>8054.8287500000024</v>
      </c>
      <c r="AC42" s="8">
        <f t="shared" si="6"/>
        <v>8054.8287500000024</v>
      </c>
      <c r="AD42" s="8">
        <f t="shared" si="6"/>
        <v>7502.0873124999998</v>
      </c>
      <c r="AE42" s="8">
        <f t="shared" si="6"/>
        <v>8054.8287500000024</v>
      </c>
      <c r="AF42" s="8">
        <f t="shared" si="6"/>
        <v>8054.8287500000024</v>
      </c>
      <c r="AG42" s="8">
        <f t="shared" si="6"/>
        <v>8054.8287500000024</v>
      </c>
      <c r="AH42" s="8">
        <f t="shared" si="6"/>
        <v>8054.8287500000024</v>
      </c>
      <c r="AI42" s="8">
        <f t="shared" si="6"/>
        <v>8054.8287500000024</v>
      </c>
      <c r="AJ42" s="125">
        <f>SUM(C42:AI42)</f>
        <v>210030.91218750013</v>
      </c>
    </row>
    <row r="43" spans="1:36" x14ac:dyDescent="0.2">
      <c r="A43" t="s">
        <v>340</v>
      </c>
      <c r="B43" t="s">
        <v>99</v>
      </c>
      <c r="C43" s="8">
        <f>IF(C42&lt;0,C42,0)</f>
        <v>-2.125</v>
      </c>
      <c r="D43" s="8">
        <f>IF((D42+C43)&lt;0,(D42+C43),0)</f>
        <v>-486.5</v>
      </c>
      <c r="E43" s="8">
        <f t="shared" ref="E43:AI43" si="7">IF((E42+D43)&lt;0,(E42+D43),0)</f>
        <v>-1703.625</v>
      </c>
      <c r="F43" s="8">
        <f t="shared" si="7"/>
        <v>-3799.625</v>
      </c>
      <c r="G43" s="8">
        <f t="shared" si="7"/>
        <v>-1868.2106249999988</v>
      </c>
      <c r="H43" s="8">
        <f t="shared" si="7"/>
        <v>0</v>
      </c>
      <c r="I43" s="8">
        <f t="shared" si="7"/>
        <v>0</v>
      </c>
      <c r="J43" s="8">
        <f t="shared" si="7"/>
        <v>0</v>
      </c>
      <c r="K43" s="8">
        <f t="shared" si="7"/>
        <v>0</v>
      </c>
      <c r="L43" s="8">
        <f t="shared" si="7"/>
        <v>0</v>
      </c>
      <c r="M43" s="8">
        <f t="shared" si="7"/>
        <v>0</v>
      </c>
      <c r="N43" s="8">
        <f t="shared" si="7"/>
        <v>0</v>
      </c>
      <c r="O43" s="8">
        <f t="shared" si="7"/>
        <v>0</v>
      </c>
      <c r="P43" s="8">
        <f t="shared" si="7"/>
        <v>0</v>
      </c>
      <c r="Q43" s="8">
        <f t="shared" si="7"/>
        <v>0</v>
      </c>
      <c r="R43" s="8">
        <f t="shared" si="7"/>
        <v>0</v>
      </c>
      <c r="S43" s="8">
        <f t="shared" si="7"/>
        <v>0</v>
      </c>
      <c r="T43" s="8">
        <f t="shared" si="7"/>
        <v>0</v>
      </c>
      <c r="U43" s="8">
        <f t="shared" si="7"/>
        <v>0</v>
      </c>
      <c r="V43" s="8">
        <f t="shared" si="7"/>
        <v>0</v>
      </c>
      <c r="W43" s="8">
        <f t="shared" si="7"/>
        <v>0</v>
      </c>
      <c r="X43" s="8">
        <f t="shared" si="7"/>
        <v>0</v>
      </c>
      <c r="Y43" s="8">
        <f t="shared" si="7"/>
        <v>0</v>
      </c>
      <c r="Z43" s="8">
        <f t="shared" si="7"/>
        <v>0</v>
      </c>
      <c r="AA43" s="8">
        <f t="shared" si="7"/>
        <v>0</v>
      </c>
      <c r="AB43" s="8">
        <f t="shared" si="7"/>
        <v>0</v>
      </c>
      <c r="AC43" s="8">
        <f t="shared" si="7"/>
        <v>0</v>
      </c>
      <c r="AD43" s="8">
        <f t="shared" si="7"/>
        <v>0</v>
      </c>
      <c r="AE43" s="8">
        <f t="shared" si="7"/>
        <v>0</v>
      </c>
      <c r="AF43" s="8">
        <f t="shared" si="7"/>
        <v>0</v>
      </c>
      <c r="AG43" s="8">
        <f t="shared" si="7"/>
        <v>0</v>
      </c>
      <c r="AH43" s="8">
        <f t="shared" si="7"/>
        <v>0</v>
      </c>
      <c r="AI43" s="8">
        <f t="shared" si="7"/>
        <v>0</v>
      </c>
      <c r="AJ43" s="125"/>
    </row>
    <row r="44" spans="1:36" x14ac:dyDescent="0.2">
      <c r="A44" t="s">
        <v>267</v>
      </c>
      <c r="B44" s="51" t="s">
        <v>99</v>
      </c>
      <c r="C44" s="8">
        <f>IF((C42)&gt;0,(C42),0)</f>
        <v>0</v>
      </c>
      <c r="D44" s="8">
        <f t="shared" ref="D44:I44" si="8">IF((D42+C43)&gt;0,(D42+C43),0)</f>
        <v>0</v>
      </c>
      <c r="E44" s="8">
        <f t="shared" si="8"/>
        <v>0</v>
      </c>
      <c r="F44" s="8">
        <f t="shared" si="8"/>
        <v>0</v>
      </c>
      <c r="G44" s="8">
        <f t="shared" si="8"/>
        <v>0</v>
      </c>
      <c r="H44" s="8">
        <f t="shared" si="8"/>
        <v>4090.6181250000036</v>
      </c>
      <c r="I44" s="8">
        <f t="shared" si="8"/>
        <v>5958.8287500000024</v>
      </c>
      <c r="J44" s="8">
        <f>IF((J42+I43)&gt;0,(J42+I43),0)</f>
        <v>5406.0873124999998</v>
      </c>
      <c r="K44" s="8">
        <f t="shared" ref="K44:AI44" si="9">IF((K42+J43)&gt;0,(K42+J43),0)</f>
        <v>5960.9537500000024</v>
      </c>
      <c r="L44" s="8">
        <f t="shared" si="9"/>
        <v>6443.2037500000024</v>
      </c>
      <c r="M44" s="8">
        <f t="shared" si="9"/>
        <v>7175.9537500000024</v>
      </c>
      <c r="N44" s="8">
        <f t="shared" si="9"/>
        <v>8054.8287500000024</v>
      </c>
      <c r="O44" s="8">
        <f t="shared" si="9"/>
        <v>7502.0873124999998</v>
      </c>
      <c r="P44" s="8">
        <f t="shared" si="9"/>
        <v>8054.8287500000024</v>
      </c>
      <c r="Q44" s="8">
        <f t="shared" si="9"/>
        <v>8054.8287500000024</v>
      </c>
      <c r="R44" s="8">
        <f t="shared" si="9"/>
        <v>8054.8287500000024</v>
      </c>
      <c r="S44" s="8">
        <f t="shared" si="9"/>
        <v>8054.8287500000024</v>
      </c>
      <c r="T44" s="8">
        <f t="shared" si="9"/>
        <v>7502.0873124999998</v>
      </c>
      <c r="U44" s="8">
        <f t="shared" si="9"/>
        <v>8054.8287500000024</v>
      </c>
      <c r="V44" s="8">
        <f t="shared" si="9"/>
        <v>8054.8287500000024</v>
      </c>
      <c r="W44" s="8">
        <f t="shared" si="9"/>
        <v>8054.8287500000024</v>
      </c>
      <c r="X44" s="8">
        <f t="shared" si="9"/>
        <v>8054.8287500000024</v>
      </c>
      <c r="Y44" s="8">
        <f t="shared" si="9"/>
        <v>7502.0873124999998</v>
      </c>
      <c r="Z44" s="8">
        <f t="shared" si="9"/>
        <v>8054.8287500000024</v>
      </c>
      <c r="AA44" s="8">
        <f t="shared" si="9"/>
        <v>8054.8287500000024</v>
      </c>
      <c r="AB44" s="8">
        <f t="shared" si="9"/>
        <v>8054.8287500000024</v>
      </c>
      <c r="AC44" s="8">
        <f t="shared" si="9"/>
        <v>8054.8287500000024</v>
      </c>
      <c r="AD44" s="8">
        <f t="shared" si="9"/>
        <v>7502.0873124999998</v>
      </c>
      <c r="AE44" s="8">
        <f t="shared" si="9"/>
        <v>8054.8287500000024</v>
      </c>
      <c r="AF44" s="8">
        <f t="shared" si="9"/>
        <v>8054.8287500000024</v>
      </c>
      <c r="AG44" s="8">
        <f t="shared" si="9"/>
        <v>8054.8287500000024</v>
      </c>
      <c r="AH44" s="8">
        <f t="shared" si="9"/>
        <v>8054.8287500000024</v>
      </c>
      <c r="AI44" s="8">
        <f t="shared" si="9"/>
        <v>8054.8287500000024</v>
      </c>
      <c r="AJ44" s="125">
        <f>SUM(C44:AI44)</f>
        <v>210030.91218750013</v>
      </c>
    </row>
    <row r="45" spans="1:36" x14ac:dyDescent="0.25">
      <c r="A45" t="s">
        <v>268</v>
      </c>
      <c r="B45" t="s">
        <v>99</v>
      </c>
      <c r="C45" s="8">
        <f>C44*'Assumptions &amp; Results'!$C$124</f>
        <v>0</v>
      </c>
      <c r="D45" s="8">
        <f>D44*'Assumptions &amp; Results'!$C$124</f>
        <v>0</v>
      </c>
      <c r="E45" s="8">
        <f>E44*'Assumptions &amp; Results'!$C$124</f>
        <v>0</v>
      </c>
      <c r="F45" s="8">
        <f>F44*'Assumptions &amp; Results'!$C$124</f>
        <v>0</v>
      </c>
      <c r="G45" s="8">
        <f>G44*'Assumptions &amp; Results'!$C$124</f>
        <v>0</v>
      </c>
      <c r="H45" s="8">
        <f>H44*'Assumptions &amp; Results'!$C$124</f>
        <v>1308.9978000000012</v>
      </c>
      <c r="I45" s="8">
        <f>I44*'Assumptions &amp; Results'!$C$124</f>
        <v>1906.8252000000009</v>
      </c>
      <c r="J45" s="8">
        <f>J44*'Assumptions &amp; Results'!$C$124</f>
        <v>1729.94794</v>
      </c>
      <c r="K45" s="8">
        <f>K44*'Assumptions &amp; Results'!$C$124</f>
        <v>1907.5052000000007</v>
      </c>
      <c r="L45" s="8">
        <f>L44*'Assumptions &amp; Results'!$C$124</f>
        <v>2061.8252000000007</v>
      </c>
      <c r="M45" s="8">
        <f>M44*'Assumptions &amp; Results'!$C$124</f>
        <v>2296.3052000000007</v>
      </c>
      <c r="N45" s="8">
        <f>N44*'Assumptions &amp; Results'!$C$124</f>
        <v>2577.5452000000009</v>
      </c>
      <c r="O45" s="8">
        <f>O44*'Assumptions &amp; Results'!$C$124</f>
        <v>2400.6679399999998</v>
      </c>
      <c r="P45" s="8">
        <f>P44*'Assumptions &amp; Results'!$C$124</f>
        <v>2577.5452000000009</v>
      </c>
      <c r="Q45" s="8">
        <f>Q44*'Assumptions &amp; Results'!$C$124</f>
        <v>2577.5452000000009</v>
      </c>
      <c r="R45" s="8">
        <f>R44*'Assumptions &amp; Results'!$C$124</f>
        <v>2577.5452000000009</v>
      </c>
      <c r="S45" s="8">
        <f>S44*'Assumptions &amp; Results'!$C$124</f>
        <v>2577.5452000000009</v>
      </c>
      <c r="T45" s="8">
        <f>T44*'Assumptions &amp; Results'!$C$124</f>
        <v>2400.6679399999998</v>
      </c>
      <c r="U45" s="8">
        <f>U44*'Assumptions &amp; Results'!$C$124</f>
        <v>2577.5452000000009</v>
      </c>
      <c r="V45" s="8">
        <f>V44*'Assumptions &amp; Results'!$C$124</f>
        <v>2577.5452000000009</v>
      </c>
      <c r="W45" s="8">
        <f>W44*'Assumptions &amp; Results'!$C$124</f>
        <v>2577.5452000000009</v>
      </c>
      <c r="X45" s="8">
        <f>X44*'Assumptions &amp; Results'!$C$124</f>
        <v>2577.5452000000009</v>
      </c>
      <c r="Y45" s="8">
        <f>Y44*'Assumptions &amp; Results'!$C$124</f>
        <v>2400.6679399999998</v>
      </c>
      <c r="Z45" s="8">
        <f>Z44*'Assumptions &amp; Results'!$C$124</f>
        <v>2577.5452000000009</v>
      </c>
      <c r="AA45" s="8">
        <f>AA44*'Assumptions &amp; Results'!$C$124</f>
        <v>2577.5452000000009</v>
      </c>
      <c r="AB45" s="8">
        <f>AB44*'Assumptions &amp; Results'!$C$124</f>
        <v>2577.5452000000009</v>
      </c>
      <c r="AC45" s="8">
        <f>AC44*'Assumptions &amp; Results'!$C$124</f>
        <v>2577.5452000000009</v>
      </c>
      <c r="AD45" s="8">
        <f>AD44*'Assumptions &amp; Results'!$C$124</f>
        <v>2400.6679399999998</v>
      </c>
      <c r="AE45" s="8">
        <f>AE44*'Assumptions &amp; Results'!$C$124</f>
        <v>2577.5452000000009</v>
      </c>
      <c r="AF45" s="8">
        <f>AF44*'Assumptions &amp; Results'!$C$124</f>
        <v>2577.5452000000009</v>
      </c>
      <c r="AG45" s="8">
        <f>AG44*'Assumptions &amp; Results'!$C$124</f>
        <v>2577.5452000000009</v>
      </c>
      <c r="AH45" s="8">
        <f>AH44*'Assumptions &amp; Results'!$C$124</f>
        <v>2577.5452000000009</v>
      </c>
      <c r="AI45" s="8">
        <f>AI44*'Assumptions &amp; Results'!$C$124</f>
        <v>2577.5452000000009</v>
      </c>
      <c r="AJ45" s="125">
        <f>SUM(C45:AI45)</f>
        <v>67209.891900000017</v>
      </c>
    </row>
    <row r="47" spans="1:36" s="69" customFormat="1" x14ac:dyDescent="0.25">
      <c r="A47" s="74" t="s">
        <v>298</v>
      </c>
      <c r="AJ47" s="131"/>
    </row>
    <row r="48" spans="1:36" ht="15.75" thickBot="1" x14ac:dyDescent="0.3">
      <c r="A48" s="37" t="s">
        <v>367</v>
      </c>
      <c r="B48" s="51" t="s">
        <v>99</v>
      </c>
      <c r="C48" s="10">
        <f t="shared" ref="C48:AI48" si="10">C34-C5-C18-C23-C45-C36</f>
        <v>-17</v>
      </c>
      <c r="D48" s="10">
        <f t="shared" si="10"/>
        <v>-3858</v>
      </c>
      <c r="E48" s="10">
        <f t="shared" si="10"/>
        <v>-5862</v>
      </c>
      <c r="F48" s="10">
        <f t="shared" si="10"/>
        <v>-7031</v>
      </c>
      <c r="G48" s="10">
        <f t="shared" si="10"/>
        <v>4027.4143750000012</v>
      </c>
      <c r="H48" s="10">
        <f t="shared" si="10"/>
        <v>6745.8309500000014</v>
      </c>
      <c r="I48" s="10">
        <f t="shared" si="10"/>
        <v>6148.0035500000013</v>
      </c>
      <c r="J48" s="10">
        <f t="shared" si="10"/>
        <v>5772.1393724999998</v>
      </c>
      <c r="K48" s="10">
        <f t="shared" si="10"/>
        <v>6147.3235500000019</v>
      </c>
      <c r="L48" s="10">
        <f t="shared" si="10"/>
        <v>5993.0035500000013</v>
      </c>
      <c r="M48" s="10">
        <f t="shared" si="10"/>
        <v>5758.5235500000017</v>
      </c>
      <c r="N48" s="10">
        <f t="shared" si="10"/>
        <v>5477.2835500000019</v>
      </c>
      <c r="O48" s="10">
        <f t="shared" si="10"/>
        <v>5101.4193725000005</v>
      </c>
      <c r="P48" s="10">
        <f t="shared" si="10"/>
        <v>5477.2835500000019</v>
      </c>
      <c r="Q48" s="10">
        <f t="shared" si="10"/>
        <v>5477.2835500000019</v>
      </c>
      <c r="R48" s="10">
        <f t="shared" si="10"/>
        <v>5477.2835500000019</v>
      </c>
      <c r="S48" s="10">
        <f t="shared" si="10"/>
        <v>5477.2835500000019</v>
      </c>
      <c r="T48" s="10">
        <f t="shared" si="10"/>
        <v>5101.4193725000005</v>
      </c>
      <c r="U48" s="10">
        <f t="shared" si="10"/>
        <v>5477.2835500000019</v>
      </c>
      <c r="V48" s="10">
        <f t="shared" si="10"/>
        <v>5477.2835500000019</v>
      </c>
      <c r="W48" s="10">
        <f t="shared" si="10"/>
        <v>5477.2835500000019</v>
      </c>
      <c r="X48" s="10">
        <f t="shared" si="10"/>
        <v>5477.2835500000019</v>
      </c>
      <c r="Y48" s="10">
        <f t="shared" si="10"/>
        <v>5101.4193725000005</v>
      </c>
      <c r="Z48" s="10">
        <f t="shared" si="10"/>
        <v>5477.2835500000019</v>
      </c>
      <c r="AA48" s="10">
        <f t="shared" si="10"/>
        <v>5477.2835500000019</v>
      </c>
      <c r="AB48" s="10">
        <f t="shared" si="10"/>
        <v>5477.2835500000019</v>
      </c>
      <c r="AC48" s="10">
        <f t="shared" si="10"/>
        <v>5477.2835500000019</v>
      </c>
      <c r="AD48" s="10">
        <f t="shared" si="10"/>
        <v>5101.4193725000005</v>
      </c>
      <c r="AE48" s="10">
        <f t="shared" si="10"/>
        <v>5477.2835500000019</v>
      </c>
      <c r="AF48" s="10">
        <f t="shared" si="10"/>
        <v>5477.2835500000019</v>
      </c>
      <c r="AG48" s="10">
        <f t="shared" si="10"/>
        <v>5477.2835500000019</v>
      </c>
      <c r="AH48" s="10">
        <f t="shared" si="10"/>
        <v>5477.2835500000019</v>
      </c>
      <c r="AI48" s="10">
        <f t="shared" si="10"/>
        <v>5477.2835500000019</v>
      </c>
      <c r="AJ48" s="125">
        <f>SUM(C48:AI48)</f>
        <v>142821.02028750005</v>
      </c>
    </row>
    <row r="49" spans="1:36" ht="15.75" thickBot="1" x14ac:dyDescent="0.3">
      <c r="A49" t="s">
        <v>300</v>
      </c>
      <c r="B49" s="7">
        <f>'Assumptions &amp; Results'!C154</f>
        <v>0.1</v>
      </c>
      <c r="C49" s="401">
        <f>NPV(B49,C48:AI48)</f>
        <v>23276.479599112197</v>
      </c>
    </row>
    <row r="50" spans="1:36" ht="15.75" thickBot="1" x14ac:dyDescent="0.3">
      <c r="A50" t="s">
        <v>301</v>
      </c>
      <c r="B50" s="7"/>
      <c r="C50" s="368">
        <f>IRR(C48:AI48)</f>
        <v>0.26930489145921799</v>
      </c>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125"/>
    </row>
    <row r="52" spans="1:36" s="69" customFormat="1" x14ac:dyDescent="0.25">
      <c r="A52" s="74" t="s">
        <v>302</v>
      </c>
      <c r="AJ52" s="132"/>
    </row>
    <row r="53" spans="1:36" x14ac:dyDescent="0.25">
      <c r="A53" s="37" t="s">
        <v>342</v>
      </c>
      <c r="B53" t="s">
        <v>99</v>
      </c>
      <c r="C53" s="10">
        <f>C34-'Assumptions &amp; Results'!D83-C18-C23</f>
        <v>-17</v>
      </c>
      <c r="D53" s="10">
        <f>D34-'Assumptions &amp; Results'!E83-D18-D23</f>
        <v>-3858</v>
      </c>
      <c r="E53" s="10">
        <f>E34-'Assumptions &amp; Results'!F83-E18-E23</f>
        <v>-5862</v>
      </c>
      <c r="F53" s="10">
        <f>F34-'Assumptions &amp; Results'!G83-F18-F23</f>
        <v>-7031</v>
      </c>
      <c r="G53" s="10">
        <f>G34-'Assumptions &amp; Results'!H83-G18-G23</f>
        <v>4027.4143750000012</v>
      </c>
      <c r="H53" s="10">
        <f>H34-'Assumptions &amp; Results'!I83-H18-H23</f>
        <v>8054.8287500000024</v>
      </c>
      <c r="I53" s="10">
        <f>I34-'Assumptions &amp; Results'!J83-I18-I23</f>
        <v>8054.8287500000024</v>
      </c>
      <c r="J53" s="10">
        <f>J34-'Assumptions &amp; Results'!K83-J18-J23</f>
        <v>7502.0873124999998</v>
      </c>
      <c r="K53" s="10">
        <f>K34-'Assumptions &amp; Results'!L83-K18-K23</f>
        <v>8054.8287500000024</v>
      </c>
      <c r="L53" s="10">
        <f>L34-'Assumptions &amp; Results'!M83-L18-L23</f>
        <v>8054.8287500000024</v>
      </c>
      <c r="M53" s="10">
        <f>M34-'Assumptions &amp; Results'!N83-M18-M23</f>
        <v>8054.8287500000024</v>
      </c>
      <c r="N53" s="10">
        <f>N34-'Assumptions &amp; Results'!O83-N18-N23</f>
        <v>8054.8287500000024</v>
      </c>
      <c r="O53" s="10">
        <f>O34-'Assumptions &amp; Results'!P83-O18-O23</f>
        <v>7502.0873124999998</v>
      </c>
      <c r="P53" s="10">
        <f>P34-'Assumptions &amp; Results'!Q83-P18-P23</f>
        <v>8054.8287500000024</v>
      </c>
      <c r="Q53" s="10">
        <f>Q34-'Assumptions &amp; Results'!R83-Q18-Q23</f>
        <v>8054.8287500000024</v>
      </c>
      <c r="R53" s="10">
        <f>R34-'Assumptions &amp; Results'!S83-R18-R23</f>
        <v>8054.8287500000024</v>
      </c>
      <c r="S53" s="10">
        <f>S34-'Assumptions &amp; Results'!T83-S18-S23</f>
        <v>8054.8287500000024</v>
      </c>
      <c r="T53" s="10">
        <f>T34-'Assumptions &amp; Results'!U83-T18-T23</f>
        <v>7502.0873124999998</v>
      </c>
      <c r="U53" s="10">
        <f>U34-'Assumptions &amp; Results'!V83-U18-U23</f>
        <v>8054.8287500000024</v>
      </c>
      <c r="V53" s="10">
        <f>V34-'Assumptions &amp; Results'!W83-V18-V23</f>
        <v>8054.8287500000024</v>
      </c>
      <c r="W53" s="10">
        <f>W34-'Assumptions &amp; Results'!X83-W18-W23</f>
        <v>8054.8287500000024</v>
      </c>
      <c r="X53" s="10">
        <f>X34-'Assumptions &amp; Results'!Y83-X18-X23</f>
        <v>8054.8287500000024</v>
      </c>
      <c r="Y53" s="10">
        <f>Y34-'Assumptions &amp; Results'!Z83-Y18-Y23</f>
        <v>7502.0873124999998</v>
      </c>
      <c r="Z53" s="10">
        <f>Z34-'Assumptions &amp; Results'!AA83-Z18-Z23</f>
        <v>8054.8287500000024</v>
      </c>
      <c r="AA53" s="10">
        <f>AA34-'Assumptions &amp; Results'!AB83-AA18-AA23</f>
        <v>8054.8287500000024</v>
      </c>
      <c r="AB53" s="10">
        <f>AB34-'Assumptions &amp; Results'!AC83-AB18-AB23</f>
        <v>8054.8287500000024</v>
      </c>
      <c r="AC53" s="10">
        <f>AC34-'Assumptions &amp; Results'!AD83-AC18-AC23</f>
        <v>8054.8287500000024</v>
      </c>
      <c r="AD53" s="10">
        <f>AD34-'Assumptions &amp; Results'!AE83-AD18-AD23</f>
        <v>7502.0873124999998</v>
      </c>
      <c r="AE53" s="10">
        <f>AE34-'Assumptions &amp; Results'!AF83-AE18-AE23</f>
        <v>8054.8287500000024</v>
      </c>
      <c r="AF53" s="10">
        <f>AF34-'Assumptions &amp; Results'!AG83-AF18-AF23</f>
        <v>8054.8287500000024</v>
      </c>
      <c r="AG53" s="10">
        <f>AG34-'Assumptions &amp; Results'!AH83-AG18-AG23</f>
        <v>8054.8287500000024</v>
      </c>
      <c r="AH53" s="10">
        <f>AH34-'Assumptions &amp; Results'!AI83-AH18-AH23</f>
        <v>8054.8287500000024</v>
      </c>
      <c r="AI53" s="10">
        <f>AI34-'Assumptions &amp; Results'!AJ83-AI18-AI23</f>
        <v>8054.8287500000024</v>
      </c>
      <c r="AJ53" s="125">
        <f>SUM(C53:AI53)</f>
        <v>210030.91218750013</v>
      </c>
    </row>
    <row r="54" spans="1:36" x14ac:dyDescent="0.25">
      <c r="A54" t="s">
        <v>304</v>
      </c>
      <c r="B54" t="s">
        <v>99</v>
      </c>
      <c r="C54" s="10">
        <f t="shared" ref="C54:AI54" si="11">C45+C36</f>
        <v>0</v>
      </c>
      <c r="D54" s="10">
        <f t="shared" si="11"/>
        <v>0</v>
      </c>
      <c r="E54" s="10">
        <f t="shared" si="11"/>
        <v>0</v>
      </c>
      <c r="F54" s="10">
        <f t="shared" si="11"/>
        <v>0</v>
      </c>
      <c r="G54" s="10">
        <f t="shared" si="11"/>
        <v>0</v>
      </c>
      <c r="H54" s="10">
        <f t="shared" si="11"/>
        <v>1308.9978000000012</v>
      </c>
      <c r="I54" s="10">
        <f t="shared" si="11"/>
        <v>1906.8252000000009</v>
      </c>
      <c r="J54" s="10">
        <f t="shared" si="11"/>
        <v>1729.94794</v>
      </c>
      <c r="K54" s="10">
        <f t="shared" si="11"/>
        <v>1907.5052000000007</v>
      </c>
      <c r="L54" s="10">
        <f t="shared" si="11"/>
        <v>2061.8252000000007</v>
      </c>
      <c r="M54" s="10">
        <f t="shared" si="11"/>
        <v>2296.3052000000007</v>
      </c>
      <c r="N54" s="10">
        <f t="shared" si="11"/>
        <v>2577.5452000000009</v>
      </c>
      <c r="O54" s="10">
        <f t="shared" si="11"/>
        <v>2400.6679399999998</v>
      </c>
      <c r="P54" s="10">
        <f t="shared" si="11"/>
        <v>2577.5452000000009</v>
      </c>
      <c r="Q54" s="10">
        <f t="shared" si="11"/>
        <v>2577.5452000000009</v>
      </c>
      <c r="R54" s="10">
        <f t="shared" si="11"/>
        <v>2577.5452000000009</v>
      </c>
      <c r="S54" s="10">
        <f t="shared" si="11"/>
        <v>2577.5452000000009</v>
      </c>
      <c r="T54" s="10">
        <f t="shared" si="11"/>
        <v>2400.6679399999998</v>
      </c>
      <c r="U54" s="10">
        <f t="shared" si="11"/>
        <v>2577.5452000000009</v>
      </c>
      <c r="V54" s="10">
        <f t="shared" si="11"/>
        <v>2577.5452000000009</v>
      </c>
      <c r="W54" s="10">
        <f t="shared" si="11"/>
        <v>2577.5452000000009</v>
      </c>
      <c r="X54" s="10">
        <f t="shared" si="11"/>
        <v>2577.5452000000009</v>
      </c>
      <c r="Y54" s="10">
        <f t="shared" si="11"/>
        <v>2400.6679399999998</v>
      </c>
      <c r="Z54" s="10">
        <f t="shared" si="11"/>
        <v>2577.5452000000009</v>
      </c>
      <c r="AA54" s="10">
        <f t="shared" si="11"/>
        <v>2577.5452000000009</v>
      </c>
      <c r="AB54" s="10">
        <f t="shared" si="11"/>
        <v>2577.5452000000009</v>
      </c>
      <c r="AC54" s="10">
        <f t="shared" si="11"/>
        <v>2577.5452000000009</v>
      </c>
      <c r="AD54" s="10">
        <f t="shared" si="11"/>
        <v>2400.6679399999998</v>
      </c>
      <c r="AE54" s="10">
        <f t="shared" si="11"/>
        <v>2577.5452000000009</v>
      </c>
      <c r="AF54" s="10">
        <f t="shared" si="11"/>
        <v>2577.5452000000009</v>
      </c>
      <c r="AG54" s="10">
        <f t="shared" si="11"/>
        <v>2577.5452000000009</v>
      </c>
      <c r="AH54" s="10">
        <f t="shared" si="11"/>
        <v>2577.5452000000009</v>
      </c>
      <c r="AI54" s="10">
        <f t="shared" si="11"/>
        <v>2577.5452000000009</v>
      </c>
      <c r="AJ54" s="125">
        <f>SUM(C54:AI54)</f>
        <v>67209.891900000017</v>
      </c>
    </row>
    <row r="55" spans="1:36" ht="15.75" thickBot="1" x14ac:dyDescent="0.3">
      <c r="A55" t="s">
        <v>305</v>
      </c>
      <c r="B55" t="s">
        <v>69</v>
      </c>
      <c r="C55" s="7">
        <f>C54/C53</f>
        <v>0</v>
      </c>
      <c r="D55" s="7">
        <f t="shared" ref="D55:AJ55" si="12">D54/D53</f>
        <v>0</v>
      </c>
      <c r="E55" s="7">
        <f t="shared" si="12"/>
        <v>0</v>
      </c>
      <c r="F55" s="7">
        <f t="shared" si="12"/>
        <v>0</v>
      </c>
      <c r="G55" s="7">
        <f t="shared" si="12"/>
        <v>0</v>
      </c>
      <c r="H55" s="7">
        <f t="shared" si="12"/>
        <v>0.16251094103024857</v>
      </c>
      <c r="I55" s="7">
        <f t="shared" si="12"/>
        <v>0.23673069399520136</v>
      </c>
      <c r="J55" s="7">
        <f t="shared" si="12"/>
        <v>0.23059554867050877</v>
      </c>
      <c r="K55" s="7">
        <f t="shared" si="12"/>
        <v>0.23681511540515374</v>
      </c>
      <c r="L55" s="7">
        <f t="shared" si="12"/>
        <v>0.25597380949905363</v>
      </c>
      <c r="M55" s="7">
        <f t="shared" si="12"/>
        <v>0.28508429803675217</v>
      </c>
      <c r="N55" s="7">
        <f t="shared" si="12"/>
        <v>0.32</v>
      </c>
      <c r="O55" s="7">
        <f t="shared" si="12"/>
        <v>0.32</v>
      </c>
      <c r="P55" s="7">
        <f t="shared" si="12"/>
        <v>0.32</v>
      </c>
      <c r="Q55" s="7">
        <f t="shared" si="12"/>
        <v>0.32</v>
      </c>
      <c r="R55" s="7">
        <f t="shared" si="12"/>
        <v>0.32</v>
      </c>
      <c r="S55" s="7">
        <f t="shared" si="12"/>
        <v>0.32</v>
      </c>
      <c r="T55" s="7">
        <f t="shared" si="12"/>
        <v>0.32</v>
      </c>
      <c r="U55" s="7">
        <f t="shared" si="12"/>
        <v>0.32</v>
      </c>
      <c r="V55" s="7">
        <f t="shared" si="12"/>
        <v>0.32</v>
      </c>
      <c r="W55" s="7">
        <f t="shared" si="12"/>
        <v>0.32</v>
      </c>
      <c r="X55" s="7">
        <f t="shared" si="12"/>
        <v>0.32</v>
      </c>
      <c r="Y55" s="7">
        <f t="shared" si="12"/>
        <v>0.32</v>
      </c>
      <c r="Z55" s="7">
        <f t="shared" si="12"/>
        <v>0.32</v>
      </c>
      <c r="AA55" s="7">
        <f t="shared" si="12"/>
        <v>0.32</v>
      </c>
      <c r="AB55" s="7">
        <f t="shared" si="12"/>
        <v>0.32</v>
      </c>
      <c r="AC55" s="7">
        <f t="shared" si="12"/>
        <v>0.32</v>
      </c>
      <c r="AD55" s="7">
        <f t="shared" si="12"/>
        <v>0.32</v>
      </c>
      <c r="AE55" s="7">
        <f t="shared" si="12"/>
        <v>0.32</v>
      </c>
      <c r="AF55" s="7">
        <f t="shared" si="12"/>
        <v>0.32</v>
      </c>
      <c r="AG55" s="7">
        <f t="shared" si="12"/>
        <v>0.32</v>
      </c>
      <c r="AH55" s="7">
        <f t="shared" si="12"/>
        <v>0.32</v>
      </c>
      <c r="AI55" s="7">
        <f t="shared" si="12"/>
        <v>0.32</v>
      </c>
      <c r="AJ55" s="133">
        <f t="shared" si="12"/>
        <v>0.3199999999999999</v>
      </c>
    </row>
    <row r="56" spans="1:36" ht="15.75" thickBot="1" x14ac:dyDescent="0.3">
      <c r="A56" t="s">
        <v>306</v>
      </c>
      <c r="C56" s="367">
        <f>AJ54</f>
        <v>67209.891900000017</v>
      </c>
    </row>
    <row r="57" spans="1:36" ht="15.75" thickBot="1" x14ac:dyDescent="0.3">
      <c r="A57" t="s">
        <v>307</v>
      </c>
      <c r="B57" s="201">
        <f>'Assumptions &amp; Results'!C154</f>
        <v>0.1</v>
      </c>
      <c r="C57" s="367">
        <f>NPV(B57,C54:AI54)</f>
        <v>12742.428252126181</v>
      </c>
    </row>
    <row r="58" spans="1:36" s="79" customFormat="1" ht="15.75" thickBot="1" x14ac:dyDescent="0.3">
      <c r="A58" t="s">
        <v>308</v>
      </c>
      <c r="B58" s="369">
        <f>AJ54/AJ53</f>
        <v>0.3199999999999999</v>
      </c>
      <c r="C58"/>
      <c r="AJ58" s="134"/>
    </row>
    <row r="59" spans="1:36" ht="15.75" thickBot="1" x14ac:dyDescent="0.3">
      <c r="A59" t="s">
        <v>309</v>
      </c>
      <c r="B59" s="369">
        <f>(NPV('Assumptions &amp; Results'!C154,C54:AI54))/(NPV('Assumptions &amp; Results'!C154,C53:AI53))</f>
        <v>0.35377053365287081</v>
      </c>
    </row>
    <row r="60" spans="1:36" s="37" customFormat="1" x14ac:dyDescent="0.25">
      <c r="A60" s="79"/>
      <c r="B60" s="15"/>
      <c r="C60" s="79"/>
      <c r="AJ60" s="202"/>
    </row>
    <row r="62" spans="1:36" x14ac:dyDescent="0.25">
      <c r="A62" s="18" t="s">
        <v>310</v>
      </c>
      <c r="B62" s="37"/>
      <c r="C62" s="37"/>
    </row>
    <row r="63" spans="1:36" x14ac:dyDescent="0.25">
      <c r="A63" s="18" t="s">
        <v>311</v>
      </c>
    </row>
    <row r="64" spans="1:36" x14ac:dyDescent="0.25">
      <c r="A64" s="18" t="s">
        <v>312</v>
      </c>
    </row>
    <row r="65" spans="1:37" x14ac:dyDescent="0.25">
      <c r="A65" s="18" t="s">
        <v>313</v>
      </c>
    </row>
    <row r="66" spans="1:37" x14ac:dyDescent="0.25">
      <c r="A66" s="18" t="s">
        <v>314</v>
      </c>
    </row>
    <row r="67" spans="1:37" x14ac:dyDescent="0.25">
      <c r="A67" s="16"/>
    </row>
    <row r="69" spans="1:37" ht="15.75" thickBot="1" x14ac:dyDescent="0.3">
      <c r="A69" s="402" t="s">
        <v>563</v>
      </c>
    </row>
    <row r="70" spans="1:37" ht="15.75" thickBot="1" x14ac:dyDescent="0.3">
      <c r="B70" s="1" t="s">
        <v>222</v>
      </c>
      <c r="C70" s="1">
        <f>C3</f>
        <v>2017</v>
      </c>
      <c r="D70" s="1">
        <f>'Assumptions &amp; Results'!E70</f>
        <v>0</v>
      </c>
      <c r="E70" s="1">
        <f>'Assumptions &amp; Results'!F70</f>
        <v>0</v>
      </c>
      <c r="F70" s="1">
        <f>'Assumptions &amp; Results'!G70</f>
        <v>0</v>
      </c>
      <c r="G70" s="1">
        <f>'Assumptions &amp; Results'!H70</f>
        <v>0</v>
      </c>
      <c r="H70" s="1">
        <f>'Assumptions &amp; Results'!I70</f>
        <v>0</v>
      </c>
      <c r="I70" s="1">
        <f>'Assumptions &amp; Results'!J70</f>
        <v>0</v>
      </c>
      <c r="J70" s="1">
        <f>'Assumptions &amp; Results'!K70</f>
        <v>0</v>
      </c>
      <c r="K70" s="1">
        <f>'Assumptions &amp; Results'!L70</f>
        <v>0</v>
      </c>
      <c r="L70" s="1">
        <f>'Assumptions &amp; Results'!M70</f>
        <v>0</v>
      </c>
      <c r="M70" s="1">
        <f>'Assumptions &amp; Results'!N70</f>
        <v>0</v>
      </c>
      <c r="N70" s="1">
        <f>'Assumptions &amp; Results'!O70</f>
        <v>0</v>
      </c>
      <c r="O70" s="1">
        <f>'Assumptions &amp; Results'!P70</f>
        <v>0</v>
      </c>
      <c r="P70" s="1">
        <f>'Assumptions &amp; Results'!Q70</f>
        <v>0</v>
      </c>
      <c r="Q70" s="1">
        <f>'Assumptions &amp; Results'!R70</f>
        <v>0</v>
      </c>
      <c r="R70" s="1">
        <f>'Assumptions &amp; Results'!S70</f>
        <v>0</v>
      </c>
      <c r="S70" s="1">
        <f>'Assumptions &amp; Results'!T70</f>
        <v>0</v>
      </c>
      <c r="T70" s="1">
        <f>'Assumptions &amp; Results'!U70</f>
        <v>0</v>
      </c>
      <c r="U70" s="1">
        <f>'Assumptions &amp; Results'!V70</f>
        <v>0</v>
      </c>
      <c r="V70" s="1">
        <f>'Assumptions &amp; Results'!W70</f>
        <v>0</v>
      </c>
      <c r="W70" s="1">
        <f>'Assumptions &amp; Results'!X70</f>
        <v>0</v>
      </c>
      <c r="X70" s="1">
        <f>'Assumptions &amp; Results'!Y70</f>
        <v>0</v>
      </c>
      <c r="Y70" s="1">
        <f>'Assumptions &amp; Results'!Z70</f>
        <v>0</v>
      </c>
      <c r="Z70" s="1">
        <f>'Assumptions &amp; Results'!AA70</f>
        <v>0</v>
      </c>
      <c r="AA70" s="1">
        <f>'Assumptions &amp; Results'!AB70</f>
        <v>0</v>
      </c>
      <c r="AB70" s="1">
        <f>'Assumptions &amp; Results'!AC70</f>
        <v>0</v>
      </c>
      <c r="AC70" s="1">
        <f>'Assumptions &amp; Results'!AD70</f>
        <v>0</v>
      </c>
      <c r="AD70" s="1">
        <f>'Assumptions &amp; Results'!AE70</f>
        <v>0</v>
      </c>
      <c r="AE70" s="1">
        <f>'Assumptions &amp; Results'!AF70</f>
        <v>0</v>
      </c>
      <c r="AF70" s="1">
        <f>'Assumptions &amp; Results'!AG70</f>
        <v>0</v>
      </c>
      <c r="AG70" s="1">
        <f>'Assumptions &amp; Results'!AH70</f>
        <v>0</v>
      </c>
      <c r="AH70" s="1">
        <f>'Assumptions &amp; Results'!AI70</f>
        <v>0</v>
      </c>
      <c r="AI70" s="1">
        <f>'Assumptions &amp; Results'!AJ70</f>
        <v>0</v>
      </c>
      <c r="AJ70" s="123" t="s">
        <v>63</v>
      </c>
    </row>
    <row r="71" spans="1:37" ht="15.75" thickBot="1" x14ac:dyDescent="0.3">
      <c r="A71" t="str">
        <f>'Assumptions &amp; Results'!A120</f>
        <v>Depreciation Life for LNG Investments</v>
      </c>
      <c r="B71" t="str">
        <f>'Assumptions &amp; Results'!B120</f>
        <v>Straight Line</v>
      </c>
      <c r="C71" s="403">
        <f>'Assumptions &amp; Results'!$C$120</f>
        <v>8</v>
      </c>
    </row>
    <row r="72" spans="1:37" x14ac:dyDescent="0.25">
      <c r="C72" s="38"/>
    </row>
    <row r="73" spans="1:37" x14ac:dyDescent="0.25">
      <c r="A73" s="1" t="str">
        <f>A7</f>
        <v>Total LNG Capital Expds eligible for Tax Depreciation under LNG fiscal regime</v>
      </c>
      <c r="B73" s="79" t="s">
        <v>99</v>
      </c>
      <c r="C73" s="84">
        <f>C7</f>
        <v>17</v>
      </c>
      <c r="D73" s="84">
        <f t="shared" ref="D73:AI73" si="13">D7</f>
        <v>3858</v>
      </c>
      <c r="E73" s="84">
        <f t="shared" si="13"/>
        <v>5862</v>
      </c>
      <c r="F73" s="84">
        <f t="shared" si="13"/>
        <v>7031</v>
      </c>
      <c r="G73" s="84">
        <f t="shared" si="13"/>
        <v>0</v>
      </c>
      <c r="H73" s="84">
        <f t="shared" si="13"/>
        <v>0</v>
      </c>
      <c r="I73" s="84">
        <f t="shared" si="13"/>
        <v>0</v>
      </c>
      <c r="J73" s="84">
        <f t="shared" si="13"/>
        <v>0</v>
      </c>
      <c r="K73" s="84">
        <f t="shared" si="13"/>
        <v>0</v>
      </c>
      <c r="L73" s="84">
        <f t="shared" si="13"/>
        <v>0</v>
      </c>
      <c r="M73" s="84">
        <f t="shared" si="13"/>
        <v>0</v>
      </c>
      <c r="N73" s="84">
        <f t="shared" si="13"/>
        <v>0</v>
      </c>
      <c r="O73" s="84">
        <f t="shared" si="13"/>
        <v>0</v>
      </c>
      <c r="P73" s="84">
        <f t="shared" si="13"/>
        <v>0</v>
      </c>
      <c r="Q73" s="84">
        <f t="shared" si="13"/>
        <v>0</v>
      </c>
      <c r="R73" s="84">
        <f t="shared" si="13"/>
        <v>0</v>
      </c>
      <c r="S73" s="84">
        <f t="shared" si="13"/>
        <v>0</v>
      </c>
      <c r="T73" s="84">
        <f t="shared" si="13"/>
        <v>0</v>
      </c>
      <c r="U73" s="84">
        <f t="shared" si="13"/>
        <v>0</v>
      </c>
      <c r="V73" s="84">
        <f t="shared" si="13"/>
        <v>0</v>
      </c>
      <c r="W73" s="84">
        <f t="shared" si="13"/>
        <v>0</v>
      </c>
      <c r="X73" s="84">
        <f t="shared" si="13"/>
        <v>0</v>
      </c>
      <c r="Y73" s="84">
        <f t="shared" si="13"/>
        <v>0</v>
      </c>
      <c r="Z73" s="84">
        <f t="shared" si="13"/>
        <v>0</v>
      </c>
      <c r="AA73" s="84">
        <f t="shared" si="13"/>
        <v>0</v>
      </c>
      <c r="AB73" s="84">
        <f t="shared" si="13"/>
        <v>0</v>
      </c>
      <c r="AC73" s="84">
        <f t="shared" si="13"/>
        <v>0</v>
      </c>
      <c r="AD73" s="84">
        <f t="shared" si="13"/>
        <v>0</v>
      </c>
      <c r="AE73" s="84">
        <f t="shared" si="13"/>
        <v>0</v>
      </c>
      <c r="AF73" s="84">
        <f t="shared" si="13"/>
        <v>0</v>
      </c>
      <c r="AG73" s="84">
        <f t="shared" si="13"/>
        <v>0</v>
      </c>
      <c r="AH73" s="84">
        <f t="shared" si="13"/>
        <v>0</v>
      </c>
      <c r="AI73" s="84">
        <f t="shared" si="13"/>
        <v>0</v>
      </c>
      <c r="AJ73" s="125">
        <f t="shared" ref="AJ73" si="14">SUM(C73:AI73)</f>
        <v>16768</v>
      </c>
      <c r="AK73" s="79"/>
    </row>
    <row r="74" spans="1:37" x14ac:dyDescent="0.25">
      <c r="A74" t="s">
        <v>228</v>
      </c>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125"/>
    </row>
    <row r="75" spans="1:37" x14ac:dyDescent="0.25">
      <c r="A75" s="4"/>
    </row>
    <row r="76" spans="1:37" x14ac:dyDescent="0.25">
      <c r="B76" s="1" t="s">
        <v>229</v>
      </c>
    </row>
    <row r="77" spans="1:37" x14ac:dyDescent="0.25">
      <c r="A77" t="s">
        <v>230</v>
      </c>
      <c r="B77">
        <f>C3</f>
        <v>2017</v>
      </c>
      <c r="C77" s="8">
        <f>IF(C$3-$B77-$C$71&lt;0,SLN($C73,0,$C$71),0)</f>
        <v>2.125</v>
      </c>
      <c r="D77" s="8">
        <f t="shared" ref="D77:AI77" si="15">IF(D$3-$B77-$C$71&lt;0,SLN($C73,0,$C$71),0)</f>
        <v>2.125</v>
      </c>
      <c r="E77" s="8">
        <f t="shared" si="15"/>
        <v>2.125</v>
      </c>
      <c r="F77" s="8">
        <f t="shared" si="15"/>
        <v>2.125</v>
      </c>
      <c r="G77" s="8">
        <f t="shared" si="15"/>
        <v>2.125</v>
      </c>
      <c r="H77" s="8">
        <f t="shared" si="15"/>
        <v>2.125</v>
      </c>
      <c r="I77" s="8">
        <f t="shared" si="15"/>
        <v>2.125</v>
      </c>
      <c r="J77" s="8">
        <f t="shared" si="15"/>
        <v>2.125</v>
      </c>
      <c r="K77" s="8">
        <f t="shared" si="15"/>
        <v>0</v>
      </c>
      <c r="L77" s="8">
        <f t="shared" si="15"/>
        <v>0</v>
      </c>
      <c r="M77" s="8">
        <f t="shared" si="15"/>
        <v>0</v>
      </c>
      <c r="N77" s="8">
        <f t="shared" si="15"/>
        <v>0</v>
      </c>
      <c r="O77" s="8">
        <f t="shared" si="15"/>
        <v>0</v>
      </c>
      <c r="P77" s="8">
        <f t="shared" si="15"/>
        <v>0</v>
      </c>
      <c r="Q77" s="8">
        <f t="shared" si="15"/>
        <v>0</v>
      </c>
      <c r="R77" s="8">
        <f t="shared" si="15"/>
        <v>0</v>
      </c>
      <c r="S77" s="8">
        <f t="shared" si="15"/>
        <v>0</v>
      </c>
      <c r="T77" s="8">
        <f t="shared" si="15"/>
        <v>0</v>
      </c>
      <c r="U77" s="8">
        <f t="shared" si="15"/>
        <v>0</v>
      </c>
      <c r="V77" s="8">
        <f t="shared" si="15"/>
        <v>0</v>
      </c>
      <c r="W77" s="8">
        <f t="shared" si="15"/>
        <v>0</v>
      </c>
      <c r="X77" s="8">
        <f t="shared" si="15"/>
        <v>0</v>
      </c>
      <c r="Y77" s="8">
        <f t="shared" si="15"/>
        <v>0</v>
      </c>
      <c r="Z77" s="8">
        <f t="shared" si="15"/>
        <v>0</v>
      </c>
      <c r="AA77" s="8">
        <f t="shared" si="15"/>
        <v>0</v>
      </c>
      <c r="AB77" s="8">
        <f t="shared" si="15"/>
        <v>0</v>
      </c>
      <c r="AC77" s="8">
        <f t="shared" si="15"/>
        <v>0</v>
      </c>
      <c r="AD77" s="8">
        <f t="shared" si="15"/>
        <v>0</v>
      </c>
      <c r="AE77" s="8">
        <f t="shared" si="15"/>
        <v>0</v>
      </c>
      <c r="AF77" s="8">
        <f t="shared" si="15"/>
        <v>0</v>
      </c>
      <c r="AG77" s="8">
        <f t="shared" si="15"/>
        <v>0</v>
      </c>
      <c r="AH77" s="8">
        <f t="shared" si="15"/>
        <v>0</v>
      </c>
      <c r="AI77" s="8">
        <f t="shared" si="15"/>
        <v>0</v>
      </c>
      <c r="AJ77" s="125">
        <f t="shared" ref="AJ77:AJ109" si="16">SUM(C77:AI77)</f>
        <v>17</v>
      </c>
    </row>
    <row r="78" spans="1:37" x14ac:dyDescent="0.25">
      <c r="B78">
        <f>D3</f>
        <v>2018</v>
      </c>
      <c r="C78" s="8"/>
      <c r="D78" s="8">
        <f>IF(D$3-$B78-$C$71&lt;0,SLN($D73,0,$C$71),0)</f>
        <v>482.25</v>
      </c>
      <c r="E78" s="8">
        <f t="shared" ref="E78:AI78" si="17">IF(E$3-$B78-$C$71&lt;0,SLN($D73,0,$C$71),0)</f>
        <v>482.25</v>
      </c>
      <c r="F78" s="8">
        <f t="shared" si="17"/>
        <v>482.25</v>
      </c>
      <c r="G78" s="8">
        <f t="shared" si="17"/>
        <v>482.25</v>
      </c>
      <c r="H78" s="8">
        <f t="shared" si="17"/>
        <v>482.25</v>
      </c>
      <c r="I78" s="8">
        <f t="shared" si="17"/>
        <v>482.25</v>
      </c>
      <c r="J78" s="8">
        <f t="shared" si="17"/>
        <v>482.25</v>
      </c>
      <c r="K78" s="8">
        <f t="shared" si="17"/>
        <v>482.25</v>
      </c>
      <c r="L78" s="8">
        <f t="shared" si="17"/>
        <v>0</v>
      </c>
      <c r="M78" s="8">
        <f t="shared" si="17"/>
        <v>0</v>
      </c>
      <c r="N78" s="8">
        <f t="shared" si="17"/>
        <v>0</v>
      </c>
      <c r="O78" s="8">
        <f t="shared" si="17"/>
        <v>0</v>
      </c>
      <c r="P78" s="8">
        <f t="shared" si="17"/>
        <v>0</v>
      </c>
      <c r="Q78" s="8">
        <f t="shared" si="17"/>
        <v>0</v>
      </c>
      <c r="R78" s="8">
        <f t="shared" si="17"/>
        <v>0</v>
      </c>
      <c r="S78" s="8">
        <f t="shared" si="17"/>
        <v>0</v>
      </c>
      <c r="T78" s="8">
        <f t="shared" si="17"/>
        <v>0</v>
      </c>
      <c r="U78" s="8">
        <f t="shared" si="17"/>
        <v>0</v>
      </c>
      <c r="V78" s="8">
        <f t="shared" si="17"/>
        <v>0</v>
      </c>
      <c r="W78" s="8">
        <f t="shared" si="17"/>
        <v>0</v>
      </c>
      <c r="X78" s="8">
        <f t="shared" si="17"/>
        <v>0</v>
      </c>
      <c r="Y78" s="8">
        <f t="shared" si="17"/>
        <v>0</v>
      </c>
      <c r="Z78" s="8">
        <f t="shared" si="17"/>
        <v>0</v>
      </c>
      <c r="AA78" s="8">
        <f t="shared" si="17"/>
        <v>0</v>
      </c>
      <c r="AB78" s="8">
        <f t="shared" si="17"/>
        <v>0</v>
      </c>
      <c r="AC78" s="8">
        <f t="shared" si="17"/>
        <v>0</v>
      </c>
      <c r="AD78" s="8">
        <f t="shared" si="17"/>
        <v>0</v>
      </c>
      <c r="AE78" s="8">
        <f t="shared" si="17"/>
        <v>0</v>
      </c>
      <c r="AF78" s="8">
        <f t="shared" si="17"/>
        <v>0</v>
      </c>
      <c r="AG78" s="8">
        <f t="shared" si="17"/>
        <v>0</v>
      </c>
      <c r="AH78" s="8">
        <f t="shared" si="17"/>
        <v>0</v>
      </c>
      <c r="AI78" s="8">
        <f t="shared" si="17"/>
        <v>0</v>
      </c>
      <c r="AJ78" s="125">
        <f t="shared" si="16"/>
        <v>3858</v>
      </c>
    </row>
    <row r="79" spans="1:37" x14ac:dyDescent="0.25">
      <c r="B79">
        <f>E3</f>
        <v>2019</v>
      </c>
      <c r="C79" s="8"/>
      <c r="D79" s="8"/>
      <c r="E79" s="8">
        <f>IF(E$3-$B79-$C$71&lt;0,SLN($E73,0,$C$71),0)</f>
        <v>732.75</v>
      </c>
      <c r="F79" s="8">
        <f t="shared" ref="F79:AI79" si="18">IF(F$3-$B79-$C$71&lt;0,SLN($E73,0,$C$71),0)</f>
        <v>732.75</v>
      </c>
      <c r="G79" s="8">
        <f t="shared" si="18"/>
        <v>732.75</v>
      </c>
      <c r="H79" s="8">
        <f t="shared" si="18"/>
        <v>732.75</v>
      </c>
      <c r="I79" s="8">
        <f t="shared" si="18"/>
        <v>732.75</v>
      </c>
      <c r="J79" s="8">
        <f t="shared" si="18"/>
        <v>732.75</v>
      </c>
      <c r="K79" s="8">
        <f t="shared" si="18"/>
        <v>732.75</v>
      </c>
      <c r="L79" s="8">
        <f t="shared" si="18"/>
        <v>732.75</v>
      </c>
      <c r="M79" s="8">
        <f t="shared" si="18"/>
        <v>0</v>
      </c>
      <c r="N79" s="8">
        <f t="shared" si="18"/>
        <v>0</v>
      </c>
      <c r="O79" s="8">
        <f t="shared" si="18"/>
        <v>0</v>
      </c>
      <c r="P79" s="8">
        <f t="shared" si="18"/>
        <v>0</v>
      </c>
      <c r="Q79" s="8">
        <f t="shared" si="18"/>
        <v>0</v>
      </c>
      <c r="R79" s="8">
        <f t="shared" si="18"/>
        <v>0</v>
      </c>
      <c r="S79" s="8">
        <f t="shared" si="18"/>
        <v>0</v>
      </c>
      <c r="T79" s="8">
        <f t="shared" si="18"/>
        <v>0</v>
      </c>
      <c r="U79" s="8">
        <f t="shared" si="18"/>
        <v>0</v>
      </c>
      <c r="V79" s="8">
        <f t="shared" si="18"/>
        <v>0</v>
      </c>
      <c r="W79" s="8">
        <f t="shared" si="18"/>
        <v>0</v>
      </c>
      <c r="X79" s="8">
        <f t="shared" si="18"/>
        <v>0</v>
      </c>
      <c r="Y79" s="8">
        <f t="shared" si="18"/>
        <v>0</v>
      </c>
      <c r="Z79" s="8">
        <f t="shared" si="18"/>
        <v>0</v>
      </c>
      <c r="AA79" s="8">
        <f t="shared" si="18"/>
        <v>0</v>
      </c>
      <c r="AB79" s="8">
        <f t="shared" si="18"/>
        <v>0</v>
      </c>
      <c r="AC79" s="8">
        <f t="shared" si="18"/>
        <v>0</v>
      </c>
      <c r="AD79" s="8">
        <f t="shared" si="18"/>
        <v>0</v>
      </c>
      <c r="AE79" s="8">
        <f t="shared" si="18"/>
        <v>0</v>
      </c>
      <c r="AF79" s="8">
        <f t="shared" si="18"/>
        <v>0</v>
      </c>
      <c r="AG79" s="8">
        <f t="shared" si="18"/>
        <v>0</v>
      </c>
      <c r="AH79" s="8">
        <f t="shared" si="18"/>
        <v>0</v>
      </c>
      <c r="AI79" s="8">
        <f t="shared" si="18"/>
        <v>0</v>
      </c>
      <c r="AJ79" s="125">
        <f t="shared" si="16"/>
        <v>5862</v>
      </c>
    </row>
    <row r="80" spans="1:37" x14ac:dyDescent="0.25">
      <c r="B80">
        <f>F3</f>
        <v>2020</v>
      </c>
      <c r="C80" s="8"/>
      <c r="D80" s="8"/>
      <c r="E80" s="8"/>
      <c r="F80" s="8">
        <f>IF(F$3-$B80-$C$71&lt;0,SLN($F73,0,$C$71),0)</f>
        <v>878.875</v>
      </c>
      <c r="G80" s="8">
        <f t="shared" ref="G80:AI80" si="19">IF(G$3-$B80-$C$71&lt;0,SLN($F73,0,$C$71),0)</f>
        <v>878.875</v>
      </c>
      <c r="H80" s="8">
        <f t="shared" si="19"/>
        <v>878.875</v>
      </c>
      <c r="I80" s="8">
        <f t="shared" si="19"/>
        <v>878.875</v>
      </c>
      <c r="J80" s="8">
        <f t="shared" si="19"/>
        <v>878.875</v>
      </c>
      <c r="K80" s="8">
        <f t="shared" si="19"/>
        <v>878.875</v>
      </c>
      <c r="L80" s="8">
        <f t="shared" si="19"/>
        <v>878.875</v>
      </c>
      <c r="M80" s="8">
        <f t="shared" si="19"/>
        <v>878.875</v>
      </c>
      <c r="N80" s="8">
        <f t="shared" si="19"/>
        <v>0</v>
      </c>
      <c r="O80" s="8">
        <f t="shared" si="19"/>
        <v>0</v>
      </c>
      <c r="P80" s="8">
        <f t="shared" si="19"/>
        <v>0</v>
      </c>
      <c r="Q80" s="8">
        <f t="shared" si="19"/>
        <v>0</v>
      </c>
      <c r="R80" s="8">
        <f t="shared" si="19"/>
        <v>0</v>
      </c>
      <c r="S80" s="8">
        <f t="shared" si="19"/>
        <v>0</v>
      </c>
      <c r="T80" s="8">
        <f t="shared" si="19"/>
        <v>0</v>
      </c>
      <c r="U80" s="8">
        <f t="shared" si="19"/>
        <v>0</v>
      </c>
      <c r="V80" s="8">
        <f t="shared" si="19"/>
        <v>0</v>
      </c>
      <c r="W80" s="8">
        <f t="shared" si="19"/>
        <v>0</v>
      </c>
      <c r="X80" s="8">
        <f t="shared" si="19"/>
        <v>0</v>
      </c>
      <c r="Y80" s="8">
        <f t="shared" si="19"/>
        <v>0</v>
      </c>
      <c r="Z80" s="8">
        <f t="shared" si="19"/>
        <v>0</v>
      </c>
      <c r="AA80" s="8">
        <f t="shared" si="19"/>
        <v>0</v>
      </c>
      <c r="AB80" s="8">
        <f t="shared" si="19"/>
        <v>0</v>
      </c>
      <c r="AC80" s="8">
        <f t="shared" si="19"/>
        <v>0</v>
      </c>
      <c r="AD80" s="8">
        <f t="shared" si="19"/>
        <v>0</v>
      </c>
      <c r="AE80" s="8">
        <f t="shared" si="19"/>
        <v>0</v>
      </c>
      <c r="AF80" s="8">
        <f t="shared" si="19"/>
        <v>0</v>
      </c>
      <c r="AG80" s="8">
        <f t="shared" si="19"/>
        <v>0</v>
      </c>
      <c r="AH80" s="8">
        <f t="shared" si="19"/>
        <v>0</v>
      </c>
      <c r="AI80" s="8">
        <f t="shared" si="19"/>
        <v>0</v>
      </c>
      <c r="AJ80" s="125">
        <f t="shared" si="16"/>
        <v>7031</v>
      </c>
    </row>
    <row r="81" spans="2:36" x14ac:dyDescent="0.25">
      <c r="B81">
        <f>G3</f>
        <v>2021</v>
      </c>
      <c r="C81" s="8"/>
      <c r="D81" s="8"/>
      <c r="E81" s="8"/>
      <c r="F81" s="8"/>
      <c r="G81" s="8">
        <f>IF(G$3-$B81-$C$71&lt;0,SLN($G73,0,$C$71),0)</f>
        <v>0</v>
      </c>
      <c r="H81" s="8">
        <f t="shared" ref="H81:AI81" si="20">IF(H$3-$B81-$C$71&lt;0,SLN($G73,0,$C$71),0)</f>
        <v>0</v>
      </c>
      <c r="I81" s="8">
        <f t="shared" si="20"/>
        <v>0</v>
      </c>
      <c r="J81" s="8">
        <f t="shared" si="20"/>
        <v>0</v>
      </c>
      <c r="K81" s="8">
        <f t="shared" si="20"/>
        <v>0</v>
      </c>
      <c r="L81" s="8">
        <f t="shared" si="20"/>
        <v>0</v>
      </c>
      <c r="M81" s="8">
        <f t="shared" si="20"/>
        <v>0</v>
      </c>
      <c r="N81" s="8">
        <f t="shared" si="20"/>
        <v>0</v>
      </c>
      <c r="O81" s="8">
        <f t="shared" si="20"/>
        <v>0</v>
      </c>
      <c r="P81" s="8">
        <f t="shared" si="20"/>
        <v>0</v>
      </c>
      <c r="Q81" s="8">
        <f t="shared" si="20"/>
        <v>0</v>
      </c>
      <c r="R81" s="8">
        <f t="shared" si="20"/>
        <v>0</v>
      </c>
      <c r="S81" s="8">
        <f t="shared" si="20"/>
        <v>0</v>
      </c>
      <c r="T81" s="8">
        <f t="shared" si="20"/>
        <v>0</v>
      </c>
      <c r="U81" s="8">
        <f t="shared" si="20"/>
        <v>0</v>
      </c>
      <c r="V81" s="8">
        <f t="shared" si="20"/>
        <v>0</v>
      </c>
      <c r="W81" s="8">
        <f t="shared" si="20"/>
        <v>0</v>
      </c>
      <c r="X81" s="8">
        <f t="shared" si="20"/>
        <v>0</v>
      </c>
      <c r="Y81" s="8">
        <f t="shared" si="20"/>
        <v>0</v>
      </c>
      <c r="Z81" s="8">
        <f t="shared" si="20"/>
        <v>0</v>
      </c>
      <c r="AA81" s="8">
        <f t="shared" si="20"/>
        <v>0</v>
      </c>
      <c r="AB81" s="8">
        <f t="shared" si="20"/>
        <v>0</v>
      </c>
      <c r="AC81" s="8">
        <f t="shared" si="20"/>
        <v>0</v>
      </c>
      <c r="AD81" s="8">
        <f t="shared" si="20"/>
        <v>0</v>
      </c>
      <c r="AE81" s="8">
        <f t="shared" si="20"/>
        <v>0</v>
      </c>
      <c r="AF81" s="8">
        <f t="shared" si="20"/>
        <v>0</v>
      </c>
      <c r="AG81" s="8">
        <f t="shared" si="20"/>
        <v>0</v>
      </c>
      <c r="AH81" s="8">
        <f t="shared" si="20"/>
        <v>0</v>
      </c>
      <c r="AI81" s="8">
        <f t="shared" si="20"/>
        <v>0</v>
      </c>
      <c r="AJ81" s="125">
        <f t="shared" si="16"/>
        <v>0</v>
      </c>
    </row>
    <row r="82" spans="2:36" x14ac:dyDescent="0.25">
      <c r="B82">
        <f>H3</f>
        <v>2022</v>
      </c>
      <c r="C82" s="8"/>
      <c r="D82" s="8"/>
      <c r="E82" s="8"/>
      <c r="F82" s="8"/>
      <c r="G82" s="8"/>
      <c r="H82" s="8">
        <f>IF(H$3-$B82-$C$71&lt;0,SLN($H73,0,$C$71),0)</f>
        <v>0</v>
      </c>
      <c r="I82" s="8">
        <f t="shared" ref="I82:AI82" si="21">IF(I$3-$B82-$C$71&lt;0,SLN($H73,0,$C$71),0)</f>
        <v>0</v>
      </c>
      <c r="J82" s="8">
        <f t="shared" si="21"/>
        <v>0</v>
      </c>
      <c r="K82" s="8">
        <f t="shared" si="21"/>
        <v>0</v>
      </c>
      <c r="L82" s="8">
        <f t="shared" si="21"/>
        <v>0</v>
      </c>
      <c r="M82" s="8">
        <f t="shared" si="21"/>
        <v>0</v>
      </c>
      <c r="N82" s="8">
        <f t="shared" si="21"/>
        <v>0</v>
      </c>
      <c r="O82" s="8">
        <f t="shared" si="21"/>
        <v>0</v>
      </c>
      <c r="P82" s="8">
        <f t="shared" si="21"/>
        <v>0</v>
      </c>
      <c r="Q82" s="8">
        <f t="shared" si="21"/>
        <v>0</v>
      </c>
      <c r="R82" s="8">
        <f t="shared" si="21"/>
        <v>0</v>
      </c>
      <c r="S82" s="8">
        <f t="shared" si="21"/>
        <v>0</v>
      </c>
      <c r="T82" s="8">
        <f t="shared" si="21"/>
        <v>0</v>
      </c>
      <c r="U82" s="8">
        <f t="shared" si="21"/>
        <v>0</v>
      </c>
      <c r="V82" s="8">
        <f t="shared" si="21"/>
        <v>0</v>
      </c>
      <c r="W82" s="8">
        <f t="shared" si="21"/>
        <v>0</v>
      </c>
      <c r="X82" s="8">
        <f t="shared" si="21"/>
        <v>0</v>
      </c>
      <c r="Y82" s="8">
        <f t="shared" si="21"/>
        <v>0</v>
      </c>
      <c r="Z82" s="8">
        <f t="shared" si="21"/>
        <v>0</v>
      </c>
      <c r="AA82" s="8">
        <f t="shared" si="21"/>
        <v>0</v>
      </c>
      <c r="AB82" s="8">
        <f t="shared" si="21"/>
        <v>0</v>
      </c>
      <c r="AC82" s="8">
        <f t="shared" si="21"/>
        <v>0</v>
      </c>
      <c r="AD82" s="8">
        <f t="shared" si="21"/>
        <v>0</v>
      </c>
      <c r="AE82" s="8">
        <f t="shared" si="21"/>
        <v>0</v>
      </c>
      <c r="AF82" s="8">
        <f t="shared" si="21"/>
        <v>0</v>
      </c>
      <c r="AG82" s="8">
        <f t="shared" si="21"/>
        <v>0</v>
      </c>
      <c r="AH82" s="8">
        <f t="shared" si="21"/>
        <v>0</v>
      </c>
      <c r="AI82" s="8">
        <f t="shared" si="21"/>
        <v>0</v>
      </c>
      <c r="AJ82" s="125">
        <f t="shared" si="16"/>
        <v>0</v>
      </c>
    </row>
    <row r="83" spans="2:36" x14ac:dyDescent="0.25">
      <c r="B83">
        <f>I3</f>
        <v>2023</v>
      </c>
      <c r="C83" s="8"/>
      <c r="D83" s="8"/>
      <c r="E83" s="8"/>
      <c r="F83" s="8"/>
      <c r="G83" s="8"/>
      <c r="H83" s="8"/>
      <c r="I83" s="8">
        <f>IF(I$3-$B83-$C$71&lt;0,SLN($I73,0,$C$71),0)</f>
        <v>0</v>
      </c>
      <c r="J83" s="8">
        <f t="shared" ref="J83:AI83" si="22">IF(J$3-$B83-$C$71&lt;0,SLN($I73,0,$C$71),0)</f>
        <v>0</v>
      </c>
      <c r="K83" s="8">
        <f t="shared" si="22"/>
        <v>0</v>
      </c>
      <c r="L83" s="8">
        <f t="shared" si="22"/>
        <v>0</v>
      </c>
      <c r="M83" s="8">
        <f t="shared" si="22"/>
        <v>0</v>
      </c>
      <c r="N83" s="8">
        <f t="shared" si="22"/>
        <v>0</v>
      </c>
      <c r="O83" s="8">
        <f t="shared" si="22"/>
        <v>0</v>
      </c>
      <c r="P83" s="8">
        <f t="shared" si="22"/>
        <v>0</v>
      </c>
      <c r="Q83" s="8">
        <f t="shared" si="22"/>
        <v>0</v>
      </c>
      <c r="R83" s="8">
        <f t="shared" si="22"/>
        <v>0</v>
      </c>
      <c r="S83" s="8">
        <f t="shared" si="22"/>
        <v>0</v>
      </c>
      <c r="T83" s="8">
        <f t="shared" si="22"/>
        <v>0</v>
      </c>
      <c r="U83" s="8">
        <f t="shared" si="22"/>
        <v>0</v>
      </c>
      <c r="V83" s="8">
        <f t="shared" si="22"/>
        <v>0</v>
      </c>
      <c r="W83" s="8">
        <f t="shared" si="22"/>
        <v>0</v>
      </c>
      <c r="X83" s="8">
        <f t="shared" si="22"/>
        <v>0</v>
      </c>
      <c r="Y83" s="8">
        <f t="shared" si="22"/>
        <v>0</v>
      </c>
      <c r="Z83" s="8">
        <f t="shared" si="22"/>
        <v>0</v>
      </c>
      <c r="AA83" s="8">
        <f t="shared" si="22"/>
        <v>0</v>
      </c>
      <c r="AB83" s="8">
        <f t="shared" si="22"/>
        <v>0</v>
      </c>
      <c r="AC83" s="8">
        <f t="shared" si="22"/>
        <v>0</v>
      </c>
      <c r="AD83" s="8">
        <f t="shared" si="22"/>
        <v>0</v>
      </c>
      <c r="AE83" s="8">
        <f t="shared" si="22"/>
        <v>0</v>
      </c>
      <c r="AF83" s="8">
        <f t="shared" si="22"/>
        <v>0</v>
      </c>
      <c r="AG83" s="8">
        <f t="shared" si="22"/>
        <v>0</v>
      </c>
      <c r="AH83" s="8">
        <f t="shared" si="22"/>
        <v>0</v>
      </c>
      <c r="AI83" s="8">
        <f t="shared" si="22"/>
        <v>0</v>
      </c>
      <c r="AJ83" s="125">
        <f t="shared" si="16"/>
        <v>0</v>
      </c>
    </row>
    <row r="84" spans="2:36" x14ac:dyDescent="0.25">
      <c r="B84">
        <f>J3</f>
        <v>2024</v>
      </c>
      <c r="C84" s="8"/>
      <c r="D84" s="8"/>
      <c r="E84" s="8"/>
      <c r="F84" s="8"/>
      <c r="G84" s="8"/>
      <c r="H84" s="8"/>
      <c r="I84" s="8"/>
      <c r="J84" s="8">
        <f>IF(J$3-$B84-$C$71&lt;0,SLN($J73,0,$C$71),0)</f>
        <v>0</v>
      </c>
      <c r="K84" s="8">
        <f t="shared" ref="K84:AI84" si="23">IF(K$3-$B84-$C$71&lt;0,SLN($J73,0,$C$71),0)</f>
        <v>0</v>
      </c>
      <c r="L84" s="8">
        <f t="shared" si="23"/>
        <v>0</v>
      </c>
      <c r="M84" s="8">
        <f t="shared" si="23"/>
        <v>0</v>
      </c>
      <c r="N84" s="8">
        <f t="shared" si="23"/>
        <v>0</v>
      </c>
      <c r="O84" s="8">
        <f t="shared" si="23"/>
        <v>0</v>
      </c>
      <c r="P84" s="8">
        <f t="shared" si="23"/>
        <v>0</v>
      </c>
      <c r="Q84" s="8">
        <f t="shared" si="23"/>
        <v>0</v>
      </c>
      <c r="R84" s="8">
        <f t="shared" si="23"/>
        <v>0</v>
      </c>
      <c r="S84" s="8">
        <f t="shared" si="23"/>
        <v>0</v>
      </c>
      <c r="T84" s="8">
        <f t="shared" si="23"/>
        <v>0</v>
      </c>
      <c r="U84" s="8">
        <f t="shared" si="23"/>
        <v>0</v>
      </c>
      <c r="V84" s="8">
        <f t="shared" si="23"/>
        <v>0</v>
      </c>
      <c r="W84" s="8">
        <f t="shared" si="23"/>
        <v>0</v>
      </c>
      <c r="X84" s="8">
        <f t="shared" si="23"/>
        <v>0</v>
      </c>
      <c r="Y84" s="8">
        <f t="shared" si="23"/>
        <v>0</v>
      </c>
      <c r="Z84" s="8">
        <f t="shared" si="23"/>
        <v>0</v>
      </c>
      <c r="AA84" s="8">
        <f t="shared" si="23"/>
        <v>0</v>
      </c>
      <c r="AB84" s="8">
        <f t="shared" si="23"/>
        <v>0</v>
      </c>
      <c r="AC84" s="8">
        <f t="shared" si="23"/>
        <v>0</v>
      </c>
      <c r="AD84" s="8">
        <f t="shared" si="23"/>
        <v>0</v>
      </c>
      <c r="AE84" s="8">
        <f t="shared" si="23"/>
        <v>0</v>
      </c>
      <c r="AF84" s="8">
        <f t="shared" si="23"/>
        <v>0</v>
      </c>
      <c r="AG84" s="8">
        <f t="shared" si="23"/>
        <v>0</v>
      </c>
      <c r="AH84" s="8">
        <f t="shared" si="23"/>
        <v>0</v>
      </c>
      <c r="AI84" s="8">
        <f t="shared" si="23"/>
        <v>0</v>
      </c>
      <c r="AJ84" s="125">
        <f t="shared" si="16"/>
        <v>0</v>
      </c>
    </row>
    <row r="85" spans="2:36" x14ac:dyDescent="0.25">
      <c r="B85">
        <f>K3</f>
        <v>2025</v>
      </c>
      <c r="C85" s="8"/>
      <c r="D85" s="8"/>
      <c r="E85" s="8"/>
      <c r="F85" s="8"/>
      <c r="G85" s="8"/>
      <c r="H85" s="8"/>
      <c r="I85" s="8"/>
      <c r="J85" s="8"/>
      <c r="K85" s="8">
        <f>IF(K$3-$B85-$C$71&lt;0,SLN($K73,0,$C$71),0)</f>
        <v>0</v>
      </c>
      <c r="L85" s="8">
        <f t="shared" ref="L85:AI85" si="24">IF(L$3-$B85-$C$71&lt;0,SLN($K73,0,$C$71),0)</f>
        <v>0</v>
      </c>
      <c r="M85" s="8">
        <f t="shared" si="24"/>
        <v>0</v>
      </c>
      <c r="N85" s="8">
        <f t="shared" si="24"/>
        <v>0</v>
      </c>
      <c r="O85" s="8">
        <f t="shared" si="24"/>
        <v>0</v>
      </c>
      <c r="P85" s="8">
        <f t="shared" si="24"/>
        <v>0</v>
      </c>
      <c r="Q85" s="8">
        <f t="shared" si="24"/>
        <v>0</v>
      </c>
      <c r="R85" s="8">
        <f t="shared" si="24"/>
        <v>0</v>
      </c>
      <c r="S85" s="8">
        <f t="shared" si="24"/>
        <v>0</v>
      </c>
      <c r="T85" s="8">
        <f t="shared" si="24"/>
        <v>0</v>
      </c>
      <c r="U85" s="8">
        <f t="shared" si="24"/>
        <v>0</v>
      </c>
      <c r="V85" s="8">
        <f t="shared" si="24"/>
        <v>0</v>
      </c>
      <c r="W85" s="8">
        <f t="shared" si="24"/>
        <v>0</v>
      </c>
      <c r="X85" s="8">
        <f t="shared" si="24"/>
        <v>0</v>
      </c>
      <c r="Y85" s="8">
        <f t="shared" si="24"/>
        <v>0</v>
      </c>
      <c r="Z85" s="8">
        <f t="shared" si="24"/>
        <v>0</v>
      </c>
      <c r="AA85" s="8">
        <f t="shared" si="24"/>
        <v>0</v>
      </c>
      <c r="AB85" s="8">
        <f t="shared" si="24"/>
        <v>0</v>
      </c>
      <c r="AC85" s="8">
        <f t="shared" si="24"/>
        <v>0</v>
      </c>
      <c r="AD85" s="8">
        <f t="shared" si="24"/>
        <v>0</v>
      </c>
      <c r="AE85" s="8">
        <f t="shared" si="24"/>
        <v>0</v>
      </c>
      <c r="AF85" s="8">
        <f t="shared" si="24"/>
        <v>0</v>
      </c>
      <c r="AG85" s="8">
        <f t="shared" si="24"/>
        <v>0</v>
      </c>
      <c r="AH85" s="8">
        <f t="shared" si="24"/>
        <v>0</v>
      </c>
      <c r="AI85" s="8">
        <f t="shared" si="24"/>
        <v>0</v>
      </c>
      <c r="AJ85" s="125">
        <f t="shared" si="16"/>
        <v>0</v>
      </c>
    </row>
    <row r="86" spans="2:36" x14ac:dyDescent="0.25">
      <c r="B86">
        <f>L3</f>
        <v>2026</v>
      </c>
      <c r="C86" s="8"/>
      <c r="D86" s="8"/>
      <c r="E86" s="8"/>
      <c r="F86" s="8"/>
      <c r="G86" s="8"/>
      <c r="H86" s="8"/>
      <c r="I86" s="8"/>
      <c r="J86" s="8"/>
      <c r="K86" s="8"/>
      <c r="L86" s="8">
        <f>IF(L$3-$B86-$C$71&lt;0,SLN($L73,0,$C$71),0)</f>
        <v>0</v>
      </c>
      <c r="M86" s="8">
        <f t="shared" ref="M86:AI86" si="25">IF(M$3-$B86-$C$71&lt;0,SLN($L73,0,$C$71),0)</f>
        <v>0</v>
      </c>
      <c r="N86" s="8">
        <f t="shared" si="25"/>
        <v>0</v>
      </c>
      <c r="O86" s="8">
        <f t="shared" si="25"/>
        <v>0</v>
      </c>
      <c r="P86" s="8">
        <f t="shared" si="25"/>
        <v>0</v>
      </c>
      <c r="Q86" s="8">
        <f t="shared" si="25"/>
        <v>0</v>
      </c>
      <c r="R86" s="8">
        <f t="shared" si="25"/>
        <v>0</v>
      </c>
      <c r="S86" s="8">
        <f t="shared" si="25"/>
        <v>0</v>
      </c>
      <c r="T86" s="8">
        <f t="shared" si="25"/>
        <v>0</v>
      </c>
      <c r="U86" s="8">
        <f t="shared" si="25"/>
        <v>0</v>
      </c>
      <c r="V86" s="8">
        <f t="shared" si="25"/>
        <v>0</v>
      </c>
      <c r="W86" s="8">
        <f t="shared" si="25"/>
        <v>0</v>
      </c>
      <c r="X86" s="8">
        <f t="shared" si="25"/>
        <v>0</v>
      </c>
      <c r="Y86" s="8">
        <f t="shared" si="25"/>
        <v>0</v>
      </c>
      <c r="Z86" s="8">
        <f t="shared" si="25"/>
        <v>0</v>
      </c>
      <c r="AA86" s="8">
        <f t="shared" si="25"/>
        <v>0</v>
      </c>
      <c r="AB86" s="8">
        <f t="shared" si="25"/>
        <v>0</v>
      </c>
      <c r="AC86" s="8">
        <f t="shared" si="25"/>
        <v>0</v>
      </c>
      <c r="AD86" s="8">
        <f t="shared" si="25"/>
        <v>0</v>
      </c>
      <c r="AE86" s="8">
        <f t="shared" si="25"/>
        <v>0</v>
      </c>
      <c r="AF86" s="8">
        <f t="shared" si="25"/>
        <v>0</v>
      </c>
      <c r="AG86" s="8">
        <f t="shared" si="25"/>
        <v>0</v>
      </c>
      <c r="AH86" s="8">
        <f t="shared" si="25"/>
        <v>0</v>
      </c>
      <c r="AI86" s="8">
        <f t="shared" si="25"/>
        <v>0</v>
      </c>
      <c r="AJ86" s="125">
        <f t="shared" si="16"/>
        <v>0</v>
      </c>
    </row>
    <row r="87" spans="2:36" x14ac:dyDescent="0.25">
      <c r="B87">
        <f>M3</f>
        <v>2027</v>
      </c>
      <c r="C87" s="8"/>
      <c r="D87" s="8"/>
      <c r="E87" s="8"/>
      <c r="F87" s="8"/>
      <c r="G87" s="8"/>
      <c r="H87" s="8"/>
      <c r="I87" s="8"/>
      <c r="J87" s="8"/>
      <c r="K87" s="8"/>
      <c r="L87" s="8"/>
      <c r="M87" s="8">
        <f>IF(M$3-$B87-$C$71&lt;0,SLN($M73,0,$C$71),0)</f>
        <v>0</v>
      </c>
      <c r="N87" s="8">
        <f t="shared" ref="N87:AI87" si="26">IF(N$3-$B87-$C$71&lt;0,SLN($M73,0,$C$71),0)</f>
        <v>0</v>
      </c>
      <c r="O87" s="8">
        <f t="shared" si="26"/>
        <v>0</v>
      </c>
      <c r="P87" s="8">
        <f t="shared" si="26"/>
        <v>0</v>
      </c>
      <c r="Q87" s="8">
        <f t="shared" si="26"/>
        <v>0</v>
      </c>
      <c r="R87" s="8">
        <f t="shared" si="26"/>
        <v>0</v>
      </c>
      <c r="S87" s="8">
        <f t="shared" si="26"/>
        <v>0</v>
      </c>
      <c r="T87" s="8">
        <f t="shared" si="26"/>
        <v>0</v>
      </c>
      <c r="U87" s="8">
        <f t="shared" si="26"/>
        <v>0</v>
      </c>
      <c r="V87" s="8">
        <f t="shared" si="26"/>
        <v>0</v>
      </c>
      <c r="W87" s="8">
        <f t="shared" si="26"/>
        <v>0</v>
      </c>
      <c r="X87" s="8">
        <f t="shared" si="26"/>
        <v>0</v>
      </c>
      <c r="Y87" s="8">
        <f t="shared" si="26"/>
        <v>0</v>
      </c>
      <c r="Z87" s="8">
        <f t="shared" si="26"/>
        <v>0</v>
      </c>
      <c r="AA87" s="8">
        <f t="shared" si="26"/>
        <v>0</v>
      </c>
      <c r="AB87" s="8">
        <f t="shared" si="26"/>
        <v>0</v>
      </c>
      <c r="AC87" s="8">
        <f t="shared" si="26"/>
        <v>0</v>
      </c>
      <c r="AD87" s="8">
        <f t="shared" si="26"/>
        <v>0</v>
      </c>
      <c r="AE87" s="8">
        <f t="shared" si="26"/>
        <v>0</v>
      </c>
      <c r="AF87" s="8">
        <f t="shared" si="26"/>
        <v>0</v>
      </c>
      <c r="AG87" s="8">
        <f t="shared" si="26"/>
        <v>0</v>
      </c>
      <c r="AH87" s="8">
        <f t="shared" si="26"/>
        <v>0</v>
      </c>
      <c r="AI87" s="8">
        <f t="shared" si="26"/>
        <v>0</v>
      </c>
      <c r="AJ87" s="125">
        <f t="shared" si="16"/>
        <v>0</v>
      </c>
    </row>
    <row r="88" spans="2:36" x14ac:dyDescent="0.25">
      <c r="B88">
        <f>N3</f>
        <v>2028</v>
      </c>
      <c r="C88" s="8"/>
      <c r="D88" s="8"/>
      <c r="E88" s="8"/>
      <c r="F88" s="8"/>
      <c r="G88" s="8"/>
      <c r="H88" s="8"/>
      <c r="I88" s="8"/>
      <c r="J88" s="8"/>
      <c r="K88" s="8"/>
      <c r="L88" s="8"/>
      <c r="M88" s="8"/>
      <c r="N88" s="8">
        <f>IF(N$3-$B88-$C$71&lt;0,SLN($N73,0,$C$71),0)</f>
        <v>0</v>
      </c>
      <c r="O88" s="8">
        <f t="shared" ref="O88:AI88" si="27">IF(O$3-$B88-$C$71&lt;0,SLN($N73,0,$C$71),0)</f>
        <v>0</v>
      </c>
      <c r="P88" s="8">
        <f t="shared" si="27"/>
        <v>0</v>
      </c>
      <c r="Q88" s="8">
        <f t="shared" si="27"/>
        <v>0</v>
      </c>
      <c r="R88" s="8">
        <f t="shared" si="27"/>
        <v>0</v>
      </c>
      <c r="S88" s="8">
        <f t="shared" si="27"/>
        <v>0</v>
      </c>
      <c r="T88" s="8">
        <f t="shared" si="27"/>
        <v>0</v>
      </c>
      <c r="U88" s="8">
        <f t="shared" si="27"/>
        <v>0</v>
      </c>
      <c r="V88" s="8">
        <f t="shared" si="27"/>
        <v>0</v>
      </c>
      <c r="W88" s="8">
        <f t="shared" si="27"/>
        <v>0</v>
      </c>
      <c r="X88" s="8">
        <f t="shared" si="27"/>
        <v>0</v>
      </c>
      <c r="Y88" s="8">
        <f t="shared" si="27"/>
        <v>0</v>
      </c>
      <c r="Z88" s="8">
        <f t="shared" si="27"/>
        <v>0</v>
      </c>
      <c r="AA88" s="8">
        <f t="shared" si="27"/>
        <v>0</v>
      </c>
      <c r="AB88" s="8">
        <f t="shared" si="27"/>
        <v>0</v>
      </c>
      <c r="AC88" s="8">
        <f t="shared" si="27"/>
        <v>0</v>
      </c>
      <c r="AD88" s="8">
        <f t="shared" si="27"/>
        <v>0</v>
      </c>
      <c r="AE88" s="8">
        <f t="shared" si="27"/>
        <v>0</v>
      </c>
      <c r="AF88" s="8">
        <f t="shared" si="27"/>
        <v>0</v>
      </c>
      <c r="AG88" s="8">
        <f t="shared" si="27"/>
        <v>0</v>
      </c>
      <c r="AH88" s="8">
        <f t="shared" si="27"/>
        <v>0</v>
      </c>
      <c r="AI88" s="8">
        <f t="shared" si="27"/>
        <v>0</v>
      </c>
      <c r="AJ88" s="125">
        <f t="shared" si="16"/>
        <v>0</v>
      </c>
    </row>
    <row r="89" spans="2:36" x14ac:dyDescent="0.25">
      <c r="B89">
        <f>O3</f>
        <v>2029</v>
      </c>
      <c r="C89" s="8"/>
      <c r="D89" s="8"/>
      <c r="E89" s="8"/>
      <c r="F89" s="8"/>
      <c r="G89" s="8"/>
      <c r="H89" s="8"/>
      <c r="I89" s="8"/>
      <c r="J89" s="8"/>
      <c r="K89" s="8"/>
      <c r="L89" s="8"/>
      <c r="M89" s="8"/>
      <c r="N89" s="8"/>
      <c r="O89" s="8">
        <f>IF(O$3-$B89-$C$71&lt;0,SLN($O73,0,$C$71),0)</f>
        <v>0</v>
      </c>
      <c r="P89" s="8">
        <f t="shared" ref="P89:AI89" si="28">IF(P$3-$B89-$C$71&lt;0,SLN($O73,0,$C$71),0)</f>
        <v>0</v>
      </c>
      <c r="Q89" s="8">
        <f t="shared" si="28"/>
        <v>0</v>
      </c>
      <c r="R89" s="8">
        <f t="shared" si="28"/>
        <v>0</v>
      </c>
      <c r="S89" s="8">
        <f t="shared" si="28"/>
        <v>0</v>
      </c>
      <c r="T89" s="8">
        <f t="shared" si="28"/>
        <v>0</v>
      </c>
      <c r="U89" s="8">
        <f t="shared" si="28"/>
        <v>0</v>
      </c>
      <c r="V89" s="8">
        <f t="shared" si="28"/>
        <v>0</v>
      </c>
      <c r="W89" s="8">
        <f t="shared" si="28"/>
        <v>0</v>
      </c>
      <c r="X89" s="8">
        <f t="shared" si="28"/>
        <v>0</v>
      </c>
      <c r="Y89" s="8">
        <f t="shared" si="28"/>
        <v>0</v>
      </c>
      <c r="Z89" s="8">
        <f t="shared" si="28"/>
        <v>0</v>
      </c>
      <c r="AA89" s="8">
        <f t="shared" si="28"/>
        <v>0</v>
      </c>
      <c r="AB89" s="8">
        <f t="shared" si="28"/>
        <v>0</v>
      </c>
      <c r="AC89" s="8">
        <f t="shared" si="28"/>
        <v>0</v>
      </c>
      <c r="AD89" s="8">
        <f t="shared" si="28"/>
        <v>0</v>
      </c>
      <c r="AE89" s="8">
        <f t="shared" si="28"/>
        <v>0</v>
      </c>
      <c r="AF89" s="8">
        <f t="shared" si="28"/>
        <v>0</v>
      </c>
      <c r="AG89" s="8">
        <f t="shared" si="28"/>
        <v>0</v>
      </c>
      <c r="AH89" s="8">
        <f t="shared" si="28"/>
        <v>0</v>
      </c>
      <c r="AI89" s="8">
        <f t="shared" si="28"/>
        <v>0</v>
      </c>
      <c r="AJ89" s="125">
        <f t="shared" si="16"/>
        <v>0</v>
      </c>
    </row>
    <row r="90" spans="2:36" x14ac:dyDescent="0.25">
      <c r="B90">
        <f>P3</f>
        <v>2030</v>
      </c>
      <c r="C90" s="8"/>
      <c r="D90" s="8"/>
      <c r="E90" s="8"/>
      <c r="F90" s="8"/>
      <c r="G90" s="8"/>
      <c r="H90" s="8"/>
      <c r="I90" s="8"/>
      <c r="J90" s="8"/>
      <c r="K90" s="8"/>
      <c r="L90" s="8"/>
      <c r="M90" s="8"/>
      <c r="N90" s="8"/>
      <c r="O90" s="8"/>
      <c r="P90" s="8">
        <f>IF(P$3-$B90-$C$71&lt;0,SLN($P73,0,$C$71),0)</f>
        <v>0</v>
      </c>
      <c r="Q90" s="8">
        <f t="shared" ref="Q90:AI90" si="29">IF(Q$3-$B90-$C$71&lt;0,SLN($P73,0,$C$71),0)</f>
        <v>0</v>
      </c>
      <c r="R90" s="8">
        <f t="shared" si="29"/>
        <v>0</v>
      </c>
      <c r="S90" s="8">
        <f t="shared" si="29"/>
        <v>0</v>
      </c>
      <c r="T90" s="8">
        <f t="shared" si="29"/>
        <v>0</v>
      </c>
      <c r="U90" s="8">
        <f t="shared" si="29"/>
        <v>0</v>
      </c>
      <c r="V90" s="8">
        <f t="shared" si="29"/>
        <v>0</v>
      </c>
      <c r="W90" s="8">
        <f t="shared" si="29"/>
        <v>0</v>
      </c>
      <c r="X90" s="8">
        <f t="shared" si="29"/>
        <v>0</v>
      </c>
      <c r="Y90" s="8">
        <f t="shared" si="29"/>
        <v>0</v>
      </c>
      <c r="Z90" s="8">
        <f t="shared" si="29"/>
        <v>0</v>
      </c>
      <c r="AA90" s="8">
        <f t="shared" si="29"/>
        <v>0</v>
      </c>
      <c r="AB90" s="8">
        <f t="shared" si="29"/>
        <v>0</v>
      </c>
      <c r="AC90" s="8">
        <f t="shared" si="29"/>
        <v>0</v>
      </c>
      <c r="AD90" s="8">
        <f t="shared" si="29"/>
        <v>0</v>
      </c>
      <c r="AE90" s="8">
        <f t="shared" si="29"/>
        <v>0</v>
      </c>
      <c r="AF90" s="8">
        <f t="shared" si="29"/>
        <v>0</v>
      </c>
      <c r="AG90" s="8">
        <f t="shared" si="29"/>
        <v>0</v>
      </c>
      <c r="AH90" s="8">
        <f t="shared" si="29"/>
        <v>0</v>
      </c>
      <c r="AI90" s="8">
        <f t="shared" si="29"/>
        <v>0</v>
      </c>
      <c r="AJ90" s="125">
        <f t="shared" si="16"/>
        <v>0</v>
      </c>
    </row>
    <row r="91" spans="2:36" x14ac:dyDescent="0.25">
      <c r="B91">
        <f>Q3</f>
        <v>2031</v>
      </c>
      <c r="C91" s="8"/>
      <c r="D91" s="8"/>
      <c r="E91" s="8"/>
      <c r="F91" s="8"/>
      <c r="G91" s="8"/>
      <c r="H91" s="8"/>
      <c r="I91" s="8"/>
      <c r="J91" s="8"/>
      <c r="K91" s="8"/>
      <c r="L91" s="8"/>
      <c r="M91" s="8"/>
      <c r="N91" s="8"/>
      <c r="O91" s="8"/>
      <c r="P91" s="8"/>
      <c r="Q91" s="8">
        <f>IF(Q$3-$B91-$C$71&lt;0,SLN($Q73,0,$C$71),0)</f>
        <v>0</v>
      </c>
      <c r="R91" s="8">
        <f t="shared" ref="R91:AI91" si="30">IF(R$3-$B91-$C$71&lt;0,SLN($Q73,0,$C$71),0)</f>
        <v>0</v>
      </c>
      <c r="S91" s="8">
        <f t="shared" si="30"/>
        <v>0</v>
      </c>
      <c r="T91" s="8">
        <f t="shared" si="30"/>
        <v>0</v>
      </c>
      <c r="U91" s="8">
        <f t="shared" si="30"/>
        <v>0</v>
      </c>
      <c r="V91" s="8">
        <f t="shared" si="30"/>
        <v>0</v>
      </c>
      <c r="W91" s="8">
        <f t="shared" si="30"/>
        <v>0</v>
      </c>
      <c r="X91" s="8">
        <f t="shared" si="30"/>
        <v>0</v>
      </c>
      <c r="Y91" s="8">
        <f t="shared" si="30"/>
        <v>0</v>
      </c>
      <c r="Z91" s="8">
        <f t="shared" si="30"/>
        <v>0</v>
      </c>
      <c r="AA91" s="8">
        <f t="shared" si="30"/>
        <v>0</v>
      </c>
      <c r="AB91" s="8">
        <f t="shared" si="30"/>
        <v>0</v>
      </c>
      <c r="AC91" s="8">
        <f t="shared" si="30"/>
        <v>0</v>
      </c>
      <c r="AD91" s="8">
        <f t="shared" si="30"/>
        <v>0</v>
      </c>
      <c r="AE91" s="8">
        <f t="shared" si="30"/>
        <v>0</v>
      </c>
      <c r="AF91" s="8">
        <f t="shared" si="30"/>
        <v>0</v>
      </c>
      <c r="AG91" s="8">
        <f t="shared" si="30"/>
        <v>0</v>
      </c>
      <c r="AH91" s="8">
        <f t="shared" si="30"/>
        <v>0</v>
      </c>
      <c r="AI91" s="8">
        <f t="shared" si="30"/>
        <v>0</v>
      </c>
      <c r="AJ91" s="125">
        <f t="shared" si="16"/>
        <v>0</v>
      </c>
    </row>
    <row r="92" spans="2:36" x14ac:dyDescent="0.25">
      <c r="B92">
        <f>R3</f>
        <v>2032</v>
      </c>
      <c r="C92" s="8"/>
      <c r="D92" s="8"/>
      <c r="E92" s="8"/>
      <c r="F92" s="8"/>
      <c r="G92" s="8"/>
      <c r="H92" s="8"/>
      <c r="I92" s="8"/>
      <c r="J92" s="8"/>
      <c r="K92" s="8"/>
      <c r="L92" s="8"/>
      <c r="M92" s="8"/>
      <c r="N92" s="8"/>
      <c r="O92" s="8"/>
      <c r="P92" s="8"/>
      <c r="Q92" s="8"/>
      <c r="R92" s="8">
        <f>IF(R$3-$B92-$C$71&lt;0,SLN($R73,0,$C$71),0)</f>
        <v>0</v>
      </c>
      <c r="S92" s="8">
        <f t="shared" ref="S92:AI92" si="31">IF(S$3-$B92-$C$71&lt;0,SLN($R73,0,$C$71),0)</f>
        <v>0</v>
      </c>
      <c r="T92" s="8">
        <f t="shared" si="31"/>
        <v>0</v>
      </c>
      <c r="U92" s="8">
        <f t="shared" si="31"/>
        <v>0</v>
      </c>
      <c r="V92" s="8">
        <f t="shared" si="31"/>
        <v>0</v>
      </c>
      <c r="W92" s="8">
        <f t="shared" si="31"/>
        <v>0</v>
      </c>
      <c r="X92" s="8">
        <f t="shared" si="31"/>
        <v>0</v>
      </c>
      <c r="Y92" s="8">
        <f t="shared" si="31"/>
        <v>0</v>
      </c>
      <c r="Z92" s="8">
        <f t="shared" si="31"/>
        <v>0</v>
      </c>
      <c r="AA92" s="8">
        <f t="shared" si="31"/>
        <v>0</v>
      </c>
      <c r="AB92" s="8">
        <f t="shared" si="31"/>
        <v>0</v>
      </c>
      <c r="AC92" s="8">
        <f t="shared" si="31"/>
        <v>0</v>
      </c>
      <c r="AD92" s="8">
        <f t="shared" si="31"/>
        <v>0</v>
      </c>
      <c r="AE92" s="8">
        <f t="shared" si="31"/>
        <v>0</v>
      </c>
      <c r="AF92" s="8">
        <f t="shared" si="31"/>
        <v>0</v>
      </c>
      <c r="AG92" s="8">
        <f t="shared" si="31"/>
        <v>0</v>
      </c>
      <c r="AH92" s="8">
        <f t="shared" si="31"/>
        <v>0</v>
      </c>
      <c r="AI92" s="8">
        <f t="shared" si="31"/>
        <v>0</v>
      </c>
      <c r="AJ92" s="125">
        <f t="shared" si="16"/>
        <v>0</v>
      </c>
    </row>
    <row r="93" spans="2:36" x14ac:dyDescent="0.25">
      <c r="B93">
        <f>S3</f>
        <v>2033</v>
      </c>
      <c r="C93" s="8"/>
      <c r="D93" s="8"/>
      <c r="E93" s="8"/>
      <c r="F93" s="8"/>
      <c r="G93" s="8"/>
      <c r="H93" s="8"/>
      <c r="I93" s="8"/>
      <c r="J93" s="8"/>
      <c r="K93" s="8"/>
      <c r="L93" s="8"/>
      <c r="M93" s="8"/>
      <c r="N93" s="8"/>
      <c r="O93" s="8"/>
      <c r="P93" s="8"/>
      <c r="Q93" s="8"/>
      <c r="R93" s="8"/>
      <c r="S93" s="8">
        <f>IF(S$3-$B93-$C$71&lt;0,SLN($S73,0,$C$71),0)</f>
        <v>0</v>
      </c>
      <c r="T93" s="8">
        <f t="shared" ref="T93:AI93" si="32">IF(T$3-$B93-$C$71&lt;0,SLN($S73,0,$C$71),0)</f>
        <v>0</v>
      </c>
      <c r="U93" s="8">
        <f t="shared" si="32"/>
        <v>0</v>
      </c>
      <c r="V93" s="8">
        <f t="shared" si="32"/>
        <v>0</v>
      </c>
      <c r="W93" s="8">
        <f t="shared" si="32"/>
        <v>0</v>
      </c>
      <c r="X93" s="8">
        <f t="shared" si="32"/>
        <v>0</v>
      </c>
      <c r="Y93" s="8">
        <f t="shared" si="32"/>
        <v>0</v>
      </c>
      <c r="Z93" s="8">
        <f t="shared" si="32"/>
        <v>0</v>
      </c>
      <c r="AA93" s="8">
        <f t="shared" si="32"/>
        <v>0</v>
      </c>
      <c r="AB93" s="8">
        <f t="shared" si="32"/>
        <v>0</v>
      </c>
      <c r="AC93" s="8">
        <f t="shared" si="32"/>
        <v>0</v>
      </c>
      <c r="AD93" s="8">
        <f t="shared" si="32"/>
        <v>0</v>
      </c>
      <c r="AE93" s="8">
        <f t="shared" si="32"/>
        <v>0</v>
      </c>
      <c r="AF93" s="8">
        <f t="shared" si="32"/>
        <v>0</v>
      </c>
      <c r="AG93" s="8">
        <f t="shared" si="32"/>
        <v>0</v>
      </c>
      <c r="AH93" s="8">
        <f t="shared" si="32"/>
        <v>0</v>
      </c>
      <c r="AI93" s="8">
        <f t="shared" si="32"/>
        <v>0</v>
      </c>
      <c r="AJ93" s="125">
        <f t="shared" si="16"/>
        <v>0</v>
      </c>
    </row>
    <row r="94" spans="2:36" x14ac:dyDescent="0.25">
      <c r="B94">
        <f>T3</f>
        <v>2034</v>
      </c>
      <c r="C94" s="8"/>
      <c r="D94" s="8"/>
      <c r="E94" s="8"/>
      <c r="F94" s="8"/>
      <c r="G94" s="8"/>
      <c r="H94" s="8"/>
      <c r="I94" s="8"/>
      <c r="J94" s="8"/>
      <c r="K94" s="8"/>
      <c r="L94" s="8"/>
      <c r="M94" s="8"/>
      <c r="N94" s="8"/>
      <c r="O94" s="8"/>
      <c r="P94" s="8"/>
      <c r="Q94" s="8"/>
      <c r="R94" s="8"/>
      <c r="S94" s="8"/>
      <c r="T94" s="8">
        <f>IF(T$3-$B94-$C$71&lt;0,SLN($T73,0,$C$71),0)</f>
        <v>0</v>
      </c>
      <c r="U94" s="8">
        <f t="shared" ref="U94:AI94" si="33">IF(U$3-$B94-$C$71&lt;0,SLN($T73,0,$C$71),0)</f>
        <v>0</v>
      </c>
      <c r="V94" s="8">
        <f t="shared" si="33"/>
        <v>0</v>
      </c>
      <c r="W94" s="8">
        <f t="shared" si="33"/>
        <v>0</v>
      </c>
      <c r="X94" s="8">
        <f t="shared" si="33"/>
        <v>0</v>
      </c>
      <c r="Y94" s="8">
        <f t="shared" si="33"/>
        <v>0</v>
      </c>
      <c r="Z94" s="8">
        <f t="shared" si="33"/>
        <v>0</v>
      </c>
      <c r="AA94" s="8">
        <f t="shared" si="33"/>
        <v>0</v>
      </c>
      <c r="AB94" s="8">
        <f t="shared" si="33"/>
        <v>0</v>
      </c>
      <c r="AC94" s="8">
        <f t="shared" si="33"/>
        <v>0</v>
      </c>
      <c r="AD94" s="8">
        <f t="shared" si="33"/>
        <v>0</v>
      </c>
      <c r="AE94" s="8">
        <f t="shared" si="33"/>
        <v>0</v>
      </c>
      <c r="AF94" s="8">
        <f t="shared" si="33"/>
        <v>0</v>
      </c>
      <c r="AG94" s="8">
        <f t="shared" si="33"/>
        <v>0</v>
      </c>
      <c r="AH94" s="8">
        <f t="shared" si="33"/>
        <v>0</v>
      </c>
      <c r="AI94" s="8">
        <f t="shared" si="33"/>
        <v>0</v>
      </c>
      <c r="AJ94" s="125">
        <f t="shared" si="16"/>
        <v>0</v>
      </c>
    </row>
    <row r="95" spans="2:36" x14ac:dyDescent="0.25">
      <c r="B95">
        <f>U3</f>
        <v>2035</v>
      </c>
      <c r="C95" s="8"/>
      <c r="D95" s="8"/>
      <c r="E95" s="8"/>
      <c r="F95" s="8"/>
      <c r="G95" s="8"/>
      <c r="H95" s="8"/>
      <c r="I95" s="8"/>
      <c r="J95" s="8"/>
      <c r="K95" s="8"/>
      <c r="L95" s="8"/>
      <c r="M95" s="8"/>
      <c r="N95" s="8"/>
      <c r="O95" s="8"/>
      <c r="P95" s="8"/>
      <c r="Q95" s="8"/>
      <c r="R95" s="8"/>
      <c r="S95" s="8"/>
      <c r="T95" s="8"/>
      <c r="U95" s="8">
        <f>IF(U$3-$B95-$C$71&lt;0,SLN($U73,0,$C$71),0)</f>
        <v>0</v>
      </c>
      <c r="V95" s="8">
        <f t="shared" ref="V95:AI95" si="34">IF(V$3-$B95-$C$71&lt;0,SLN($U73,0,$C$71),0)</f>
        <v>0</v>
      </c>
      <c r="W95" s="8">
        <f t="shared" si="34"/>
        <v>0</v>
      </c>
      <c r="X95" s="8">
        <f t="shared" si="34"/>
        <v>0</v>
      </c>
      <c r="Y95" s="8">
        <f t="shared" si="34"/>
        <v>0</v>
      </c>
      <c r="Z95" s="8">
        <f t="shared" si="34"/>
        <v>0</v>
      </c>
      <c r="AA95" s="8">
        <f t="shared" si="34"/>
        <v>0</v>
      </c>
      <c r="AB95" s="8">
        <f t="shared" si="34"/>
        <v>0</v>
      </c>
      <c r="AC95" s="8">
        <f t="shared" si="34"/>
        <v>0</v>
      </c>
      <c r="AD95" s="8">
        <f t="shared" si="34"/>
        <v>0</v>
      </c>
      <c r="AE95" s="8">
        <f t="shared" si="34"/>
        <v>0</v>
      </c>
      <c r="AF95" s="8">
        <f t="shared" si="34"/>
        <v>0</v>
      </c>
      <c r="AG95" s="8">
        <f t="shared" si="34"/>
        <v>0</v>
      </c>
      <c r="AH95" s="8">
        <f t="shared" si="34"/>
        <v>0</v>
      </c>
      <c r="AI95" s="8">
        <f t="shared" si="34"/>
        <v>0</v>
      </c>
      <c r="AJ95" s="125">
        <f t="shared" si="16"/>
        <v>0</v>
      </c>
    </row>
    <row r="96" spans="2:36" x14ac:dyDescent="0.25">
      <c r="B96">
        <f>V3</f>
        <v>2036</v>
      </c>
      <c r="C96" s="8"/>
      <c r="D96" s="8"/>
      <c r="E96" s="8"/>
      <c r="F96" s="8"/>
      <c r="G96" s="8"/>
      <c r="H96" s="8"/>
      <c r="I96" s="8"/>
      <c r="J96" s="8"/>
      <c r="K96" s="8"/>
      <c r="L96" s="8"/>
      <c r="M96" s="8"/>
      <c r="N96" s="8"/>
      <c r="O96" s="8"/>
      <c r="P96" s="8"/>
      <c r="Q96" s="8"/>
      <c r="R96" s="8"/>
      <c r="S96" s="8"/>
      <c r="T96" s="8"/>
      <c r="U96" s="8"/>
      <c r="V96" s="8">
        <f>IF(V$3-$B96-$C$71&lt;0,SLN($V73,0,$C$71),0)</f>
        <v>0</v>
      </c>
      <c r="W96" s="8">
        <f t="shared" ref="W96:AI96" si="35">IF(W$3-$B96-$C$71&lt;0,SLN($V73,0,$C$71),0)</f>
        <v>0</v>
      </c>
      <c r="X96" s="8">
        <f t="shared" si="35"/>
        <v>0</v>
      </c>
      <c r="Y96" s="8">
        <f t="shared" si="35"/>
        <v>0</v>
      </c>
      <c r="Z96" s="8">
        <f t="shared" si="35"/>
        <v>0</v>
      </c>
      <c r="AA96" s="8">
        <f t="shared" si="35"/>
        <v>0</v>
      </c>
      <c r="AB96" s="8">
        <f t="shared" si="35"/>
        <v>0</v>
      </c>
      <c r="AC96" s="8">
        <f t="shared" si="35"/>
        <v>0</v>
      </c>
      <c r="AD96" s="8">
        <f t="shared" si="35"/>
        <v>0</v>
      </c>
      <c r="AE96" s="8">
        <f t="shared" si="35"/>
        <v>0</v>
      </c>
      <c r="AF96" s="8">
        <f t="shared" si="35"/>
        <v>0</v>
      </c>
      <c r="AG96" s="8">
        <f t="shared" si="35"/>
        <v>0</v>
      </c>
      <c r="AH96" s="8">
        <f t="shared" si="35"/>
        <v>0</v>
      </c>
      <c r="AI96" s="8">
        <f t="shared" si="35"/>
        <v>0</v>
      </c>
      <c r="AJ96" s="125">
        <f t="shared" si="16"/>
        <v>0</v>
      </c>
    </row>
    <row r="97" spans="1:37" x14ac:dyDescent="0.25">
      <c r="B97">
        <f>W3</f>
        <v>2037</v>
      </c>
      <c r="C97" s="8"/>
      <c r="D97" s="8"/>
      <c r="E97" s="8"/>
      <c r="F97" s="8"/>
      <c r="G97" s="8"/>
      <c r="H97" s="8"/>
      <c r="I97" s="8"/>
      <c r="J97" s="8"/>
      <c r="K97" s="8"/>
      <c r="L97" s="8"/>
      <c r="M97" s="8"/>
      <c r="N97" s="8"/>
      <c r="O97" s="8"/>
      <c r="P97" s="8"/>
      <c r="Q97" s="8"/>
      <c r="R97" s="8"/>
      <c r="S97" s="8"/>
      <c r="T97" s="8"/>
      <c r="U97" s="8"/>
      <c r="V97" s="8"/>
      <c r="W97" s="8">
        <f>IF(W$3-$B97-$C$71&lt;0,SLN($W73,0,$C$71),0)</f>
        <v>0</v>
      </c>
      <c r="X97" s="8">
        <f t="shared" ref="X97:AI97" si="36">IF(X$3-$B97-$C$71&lt;0,SLN($W73,0,$C$71),0)</f>
        <v>0</v>
      </c>
      <c r="Y97" s="8">
        <f t="shared" si="36"/>
        <v>0</v>
      </c>
      <c r="Z97" s="8">
        <f t="shared" si="36"/>
        <v>0</v>
      </c>
      <c r="AA97" s="8">
        <f t="shared" si="36"/>
        <v>0</v>
      </c>
      <c r="AB97" s="8">
        <f t="shared" si="36"/>
        <v>0</v>
      </c>
      <c r="AC97" s="8">
        <f t="shared" si="36"/>
        <v>0</v>
      </c>
      <c r="AD97" s="8">
        <f t="shared" si="36"/>
        <v>0</v>
      </c>
      <c r="AE97" s="8">
        <f t="shared" si="36"/>
        <v>0</v>
      </c>
      <c r="AF97" s="8">
        <f t="shared" si="36"/>
        <v>0</v>
      </c>
      <c r="AG97" s="8">
        <f t="shared" si="36"/>
        <v>0</v>
      </c>
      <c r="AH97" s="8">
        <f t="shared" si="36"/>
        <v>0</v>
      </c>
      <c r="AI97" s="8">
        <f t="shared" si="36"/>
        <v>0</v>
      </c>
      <c r="AJ97" s="125">
        <f t="shared" si="16"/>
        <v>0</v>
      </c>
    </row>
    <row r="98" spans="1:37" x14ac:dyDescent="0.25">
      <c r="B98">
        <f>X3</f>
        <v>2038</v>
      </c>
      <c r="C98" s="8"/>
      <c r="D98" s="8"/>
      <c r="E98" s="8"/>
      <c r="F98" s="8"/>
      <c r="G98" s="8"/>
      <c r="H98" s="8"/>
      <c r="I98" s="8"/>
      <c r="J98" s="8"/>
      <c r="K98" s="8"/>
      <c r="L98" s="8"/>
      <c r="M98" s="8"/>
      <c r="N98" s="8"/>
      <c r="O98" s="8"/>
      <c r="P98" s="8"/>
      <c r="Q98" s="8"/>
      <c r="R98" s="8"/>
      <c r="S98" s="8"/>
      <c r="T98" s="8"/>
      <c r="U98" s="8"/>
      <c r="V98" s="8"/>
      <c r="W98" s="8"/>
      <c r="X98" s="8">
        <f>IF(X$3-$B98-$C$71&lt;0,SLN($X73,0,$C$71),0)</f>
        <v>0</v>
      </c>
      <c r="Y98" s="8">
        <f t="shared" ref="Y98:AI98" si="37">IF(Y$3-$B98-$C$71&lt;0,SLN($X73,0,$C$71),0)</f>
        <v>0</v>
      </c>
      <c r="Z98" s="8">
        <f t="shared" si="37"/>
        <v>0</v>
      </c>
      <c r="AA98" s="8">
        <f t="shared" si="37"/>
        <v>0</v>
      </c>
      <c r="AB98" s="8">
        <f t="shared" si="37"/>
        <v>0</v>
      </c>
      <c r="AC98" s="8">
        <f t="shared" si="37"/>
        <v>0</v>
      </c>
      <c r="AD98" s="8">
        <f t="shared" si="37"/>
        <v>0</v>
      </c>
      <c r="AE98" s="8">
        <f t="shared" si="37"/>
        <v>0</v>
      </c>
      <c r="AF98" s="8">
        <f t="shared" si="37"/>
        <v>0</v>
      </c>
      <c r="AG98" s="8">
        <f t="shared" si="37"/>
        <v>0</v>
      </c>
      <c r="AH98" s="8">
        <f t="shared" si="37"/>
        <v>0</v>
      </c>
      <c r="AI98" s="8">
        <f t="shared" si="37"/>
        <v>0</v>
      </c>
      <c r="AJ98" s="125">
        <f t="shared" si="16"/>
        <v>0</v>
      </c>
    </row>
    <row r="99" spans="1:37" x14ac:dyDescent="0.25">
      <c r="B99">
        <f>Y3</f>
        <v>2039</v>
      </c>
      <c r="C99" s="8"/>
      <c r="D99" s="8"/>
      <c r="E99" s="8"/>
      <c r="F99" s="8"/>
      <c r="G99" s="8"/>
      <c r="H99" s="8"/>
      <c r="I99" s="8"/>
      <c r="J99" s="8"/>
      <c r="K99" s="8"/>
      <c r="L99" s="8"/>
      <c r="M99" s="8"/>
      <c r="N99" s="8"/>
      <c r="O99" s="8"/>
      <c r="P99" s="8"/>
      <c r="Q99" s="8"/>
      <c r="R99" s="8"/>
      <c r="S99" s="8"/>
      <c r="T99" s="8"/>
      <c r="U99" s="8"/>
      <c r="V99" s="8"/>
      <c r="W99" s="8"/>
      <c r="X99" s="8"/>
      <c r="Y99" s="8">
        <f>IF(Y$3-$B99-$C$71&lt;0,SLN($Y73,0,$C$71),0)</f>
        <v>0</v>
      </c>
      <c r="Z99" s="8">
        <f t="shared" ref="Z99:AI99" si="38">IF(Z$3-$B99-$C$71&lt;0,SLN($Y73,0,$C$71),0)</f>
        <v>0</v>
      </c>
      <c r="AA99" s="8">
        <f t="shared" si="38"/>
        <v>0</v>
      </c>
      <c r="AB99" s="8">
        <f t="shared" si="38"/>
        <v>0</v>
      </c>
      <c r="AC99" s="8">
        <f t="shared" si="38"/>
        <v>0</v>
      </c>
      <c r="AD99" s="8">
        <f t="shared" si="38"/>
        <v>0</v>
      </c>
      <c r="AE99" s="8">
        <f t="shared" si="38"/>
        <v>0</v>
      </c>
      <c r="AF99" s="8">
        <f t="shared" si="38"/>
        <v>0</v>
      </c>
      <c r="AG99" s="8">
        <f t="shared" si="38"/>
        <v>0</v>
      </c>
      <c r="AH99" s="8">
        <f t="shared" si="38"/>
        <v>0</v>
      </c>
      <c r="AI99" s="8">
        <f t="shared" si="38"/>
        <v>0</v>
      </c>
      <c r="AJ99" s="125">
        <f t="shared" si="16"/>
        <v>0</v>
      </c>
    </row>
    <row r="100" spans="1:37" x14ac:dyDescent="0.25">
      <c r="B100">
        <f>Z3</f>
        <v>2040</v>
      </c>
      <c r="C100" s="8"/>
      <c r="D100" s="8"/>
      <c r="E100" s="8"/>
      <c r="F100" s="8"/>
      <c r="G100" s="8"/>
      <c r="H100" s="8"/>
      <c r="I100" s="8"/>
      <c r="J100" s="8"/>
      <c r="K100" s="8"/>
      <c r="L100" s="8"/>
      <c r="M100" s="8"/>
      <c r="N100" s="8"/>
      <c r="O100" s="8"/>
      <c r="P100" s="8"/>
      <c r="Q100" s="8"/>
      <c r="R100" s="8"/>
      <c r="S100" s="8"/>
      <c r="T100" s="8"/>
      <c r="U100" s="8"/>
      <c r="V100" s="8"/>
      <c r="W100" s="8"/>
      <c r="X100" s="8"/>
      <c r="Y100" s="8"/>
      <c r="Z100" s="8">
        <f>IF(Z$3-$B100-$C$71&lt;0,SLN($Z73,0,$C$71),0)</f>
        <v>0</v>
      </c>
      <c r="AA100" s="8">
        <f t="shared" ref="AA100:AI100" si="39">IF(AA$3-$B100-$C$71&lt;0,SLN($Z73,0,$C$71),0)</f>
        <v>0</v>
      </c>
      <c r="AB100" s="8">
        <f t="shared" si="39"/>
        <v>0</v>
      </c>
      <c r="AC100" s="8">
        <f t="shared" si="39"/>
        <v>0</v>
      </c>
      <c r="AD100" s="8">
        <f t="shared" si="39"/>
        <v>0</v>
      </c>
      <c r="AE100" s="8">
        <f t="shared" si="39"/>
        <v>0</v>
      </c>
      <c r="AF100" s="8">
        <f t="shared" si="39"/>
        <v>0</v>
      </c>
      <c r="AG100" s="8">
        <f t="shared" si="39"/>
        <v>0</v>
      </c>
      <c r="AH100" s="8">
        <f t="shared" si="39"/>
        <v>0</v>
      </c>
      <c r="AI100" s="8">
        <f t="shared" si="39"/>
        <v>0</v>
      </c>
      <c r="AJ100" s="125">
        <f t="shared" si="16"/>
        <v>0</v>
      </c>
    </row>
    <row r="101" spans="1:37" x14ac:dyDescent="0.25">
      <c r="B101">
        <f>AA3</f>
        <v>2041</v>
      </c>
      <c r="C101" s="8"/>
      <c r="D101" s="8"/>
      <c r="E101" s="8"/>
      <c r="F101" s="8"/>
      <c r="G101" s="8"/>
      <c r="H101" s="8"/>
      <c r="I101" s="8"/>
      <c r="J101" s="8"/>
      <c r="K101" s="8"/>
      <c r="L101" s="8"/>
      <c r="M101" s="8"/>
      <c r="N101" s="8"/>
      <c r="O101" s="8"/>
      <c r="P101" s="8"/>
      <c r="Q101" s="8"/>
      <c r="R101" s="8"/>
      <c r="S101" s="8"/>
      <c r="T101" s="8"/>
      <c r="U101" s="8"/>
      <c r="V101" s="8"/>
      <c r="W101" s="8"/>
      <c r="X101" s="8"/>
      <c r="Y101" s="8"/>
      <c r="Z101" s="8"/>
      <c r="AA101" s="8">
        <f>IF(AA$3-$B101-$C$71&lt;0,SLN($AA73,0,$C$71),0)</f>
        <v>0</v>
      </c>
      <c r="AB101" s="8">
        <f t="shared" ref="AB101:AI101" si="40">IF(AB$3-$B101-$C$71&lt;0,SLN($AA73,0,$C$71),0)</f>
        <v>0</v>
      </c>
      <c r="AC101" s="8">
        <f t="shared" si="40"/>
        <v>0</v>
      </c>
      <c r="AD101" s="8">
        <f t="shared" si="40"/>
        <v>0</v>
      </c>
      <c r="AE101" s="8">
        <f t="shared" si="40"/>
        <v>0</v>
      </c>
      <c r="AF101" s="8">
        <f t="shared" si="40"/>
        <v>0</v>
      </c>
      <c r="AG101" s="8">
        <f t="shared" si="40"/>
        <v>0</v>
      </c>
      <c r="AH101" s="8">
        <f t="shared" si="40"/>
        <v>0</v>
      </c>
      <c r="AI101" s="8">
        <f t="shared" si="40"/>
        <v>0</v>
      </c>
      <c r="AJ101" s="125">
        <f t="shared" si="16"/>
        <v>0</v>
      </c>
    </row>
    <row r="102" spans="1:37" x14ac:dyDescent="0.25">
      <c r="B102">
        <f>AB3</f>
        <v>2042</v>
      </c>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f>IF(AB$3-$B102-$C$71&lt;0,SLN($AB73,0,$C$71),0)</f>
        <v>0</v>
      </c>
      <c r="AC102" s="8">
        <f t="shared" ref="AC102:AI102" si="41">IF(AC$3-$B102-$C$71&lt;0,SLN($AB73,0,$C$71),0)</f>
        <v>0</v>
      </c>
      <c r="AD102" s="8">
        <f t="shared" si="41"/>
        <v>0</v>
      </c>
      <c r="AE102" s="8">
        <f t="shared" si="41"/>
        <v>0</v>
      </c>
      <c r="AF102" s="8">
        <f t="shared" si="41"/>
        <v>0</v>
      </c>
      <c r="AG102" s="8">
        <f t="shared" si="41"/>
        <v>0</v>
      </c>
      <c r="AH102" s="8">
        <f t="shared" si="41"/>
        <v>0</v>
      </c>
      <c r="AI102" s="8">
        <f t="shared" si="41"/>
        <v>0</v>
      </c>
      <c r="AJ102" s="125">
        <f t="shared" si="16"/>
        <v>0</v>
      </c>
    </row>
    <row r="103" spans="1:37" x14ac:dyDescent="0.25">
      <c r="B103">
        <f>AC3</f>
        <v>2043</v>
      </c>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f>IF(AC$3-$B103-$C$71&lt;0,SLN($AC73,0,$C$71),0)</f>
        <v>0</v>
      </c>
      <c r="AD103" s="8">
        <f t="shared" ref="AD103:AI103" si="42">IF(AD$3-$B103-$C$71&lt;0,SLN($AC73,0,$C$71),0)</f>
        <v>0</v>
      </c>
      <c r="AE103" s="8">
        <f t="shared" si="42"/>
        <v>0</v>
      </c>
      <c r="AF103" s="8">
        <f t="shared" si="42"/>
        <v>0</v>
      </c>
      <c r="AG103" s="8">
        <f t="shared" si="42"/>
        <v>0</v>
      </c>
      <c r="AH103" s="8">
        <f t="shared" si="42"/>
        <v>0</v>
      </c>
      <c r="AI103" s="8">
        <f t="shared" si="42"/>
        <v>0</v>
      </c>
      <c r="AJ103" s="125">
        <f t="shared" si="16"/>
        <v>0</v>
      </c>
    </row>
    <row r="104" spans="1:37" x14ac:dyDescent="0.25">
      <c r="B104">
        <f>AD3</f>
        <v>2044</v>
      </c>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f>IF(AD$3-$B104-$C$71&lt;0,SLN($AD73,0,$C$71),0)</f>
        <v>0</v>
      </c>
      <c r="AE104" s="8">
        <f t="shared" ref="AE104:AI104" si="43">IF(AE$3-$B104-$C$71&lt;0,SLN($AD73,0,$C$71),0)</f>
        <v>0</v>
      </c>
      <c r="AF104" s="8">
        <f t="shared" si="43"/>
        <v>0</v>
      </c>
      <c r="AG104" s="8">
        <f t="shared" si="43"/>
        <v>0</v>
      </c>
      <c r="AH104" s="8">
        <f t="shared" si="43"/>
        <v>0</v>
      </c>
      <c r="AI104" s="8">
        <f t="shared" si="43"/>
        <v>0</v>
      </c>
      <c r="AJ104" s="125">
        <f t="shared" si="16"/>
        <v>0</v>
      </c>
    </row>
    <row r="105" spans="1:37" x14ac:dyDescent="0.25">
      <c r="B105">
        <f>AE3</f>
        <v>2045</v>
      </c>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f>IF(AE$3-$B105-$C$71&lt;0,SLN($AE73,0,$C$71),0)</f>
        <v>0</v>
      </c>
      <c r="AF105" s="8">
        <f t="shared" ref="AF105:AI105" si="44">IF(AF$3-$B105-$C$71&lt;0,SLN($AE73,0,$C$71),0)</f>
        <v>0</v>
      </c>
      <c r="AG105" s="8">
        <f t="shared" si="44"/>
        <v>0</v>
      </c>
      <c r="AH105" s="8">
        <f t="shared" si="44"/>
        <v>0</v>
      </c>
      <c r="AI105" s="8">
        <f t="shared" si="44"/>
        <v>0</v>
      </c>
      <c r="AJ105" s="125">
        <f t="shared" si="16"/>
        <v>0</v>
      </c>
    </row>
    <row r="106" spans="1:37" x14ac:dyDescent="0.25">
      <c r="B106">
        <f>AF3</f>
        <v>2046</v>
      </c>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f>IF(AF$3-$B106-$C$71&lt;0,SLN($AF73,0,$C$71),0)</f>
        <v>0</v>
      </c>
      <c r="AG106" s="8">
        <f t="shared" ref="AG106:AI106" si="45">IF(AG$3-$B106-$C$71&lt;0,SLN($AF73,0,$C$71),0)</f>
        <v>0</v>
      </c>
      <c r="AH106" s="8">
        <f t="shared" si="45"/>
        <v>0</v>
      </c>
      <c r="AI106" s="8">
        <f t="shared" si="45"/>
        <v>0</v>
      </c>
      <c r="AJ106" s="125">
        <f t="shared" si="16"/>
        <v>0</v>
      </c>
    </row>
    <row r="107" spans="1:37" x14ac:dyDescent="0.25">
      <c r="B107">
        <f>AG3</f>
        <v>2047</v>
      </c>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f>IF(AG$3-$B107-$C$71&lt;0,SLN($AG73,0,$C$71),0)</f>
        <v>0</v>
      </c>
      <c r="AH107" s="8">
        <f t="shared" ref="AH107:AI107" si="46">IF(AH$3-$B107-$C$71&lt;0,SLN($AG73,0,$C$71),0)</f>
        <v>0</v>
      </c>
      <c r="AI107" s="8">
        <f t="shared" si="46"/>
        <v>0</v>
      </c>
      <c r="AJ107" s="125">
        <f t="shared" si="16"/>
        <v>0</v>
      </c>
    </row>
    <row r="108" spans="1:37" x14ac:dyDescent="0.25">
      <c r="B108">
        <f>AH3</f>
        <v>2048</v>
      </c>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f>IF(AH$3-$B108-$C$71&lt;0,SLN($AH73,0,$C$71),0)</f>
        <v>0</v>
      </c>
      <c r="AI108" s="8">
        <f>IF(AI$3-$B108-$C$71&lt;0,SLN($AH73,0,$C$71),0)</f>
        <v>0</v>
      </c>
      <c r="AJ108" s="125">
        <f t="shared" si="16"/>
        <v>0</v>
      </c>
    </row>
    <row r="109" spans="1:37" ht="15.75" thickBot="1" x14ac:dyDescent="0.3">
      <c r="B109">
        <f>AI3</f>
        <v>2049</v>
      </c>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8">
        <f>IF(AI$3-$B109-$C$71&lt;0,SLN($AI73,0,$C$71),0)</f>
        <v>0</v>
      </c>
      <c r="AJ109" s="128">
        <f t="shared" si="16"/>
        <v>0</v>
      </c>
    </row>
    <row r="110" spans="1:37" ht="15.75" thickBot="1" x14ac:dyDescent="0.3">
      <c r="A110" s="105" t="s">
        <v>231</v>
      </c>
      <c r="B110" s="79" t="s">
        <v>99</v>
      </c>
      <c r="C110" s="106">
        <f>SUM(C77:C109)</f>
        <v>2.125</v>
      </c>
      <c r="D110" s="107">
        <f t="shared" ref="D110:AJ110" si="47">SUM(D77:D109)</f>
        <v>484.375</v>
      </c>
      <c r="E110" s="107">
        <f t="shared" si="47"/>
        <v>1217.125</v>
      </c>
      <c r="F110" s="107">
        <f t="shared" si="47"/>
        <v>2096</v>
      </c>
      <c r="G110" s="107">
        <f t="shared" si="47"/>
        <v>2096</v>
      </c>
      <c r="H110" s="107">
        <f t="shared" si="47"/>
        <v>2096</v>
      </c>
      <c r="I110" s="107">
        <f t="shared" si="47"/>
        <v>2096</v>
      </c>
      <c r="J110" s="107">
        <f t="shared" si="47"/>
        <v>2096</v>
      </c>
      <c r="K110" s="107">
        <f t="shared" si="47"/>
        <v>2093.875</v>
      </c>
      <c r="L110" s="107">
        <f t="shared" si="47"/>
        <v>1611.625</v>
      </c>
      <c r="M110" s="107">
        <f t="shared" si="47"/>
        <v>878.875</v>
      </c>
      <c r="N110" s="107">
        <f t="shared" si="47"/>
        <v>0</v>
      </c>
      <c r="O110" s="107">
        <f t="shared" si="47"/>
        <v>0</v>
      </c>
      <c r="P110" s="107">
        <f t="shared" si="47"/>
        <v>0</v>
      </c>
      <c r="Q110" s="107">
        <f t="shared" si="47"/>
        <v>0</v>
      </c>
      <c r="R110" s="107">
        <f t="shared" si="47"/>
        <v>0</v>
      </c>
      <c r="S110" s="107">
        <f t="shared" si="47"/>
        <v>0</v>
      </c>
      <c r="T110" s="107">
        <f t="shared" si="47"/>
        <v>0</v>
      </c>
      <c r="U110" s="107">
        <f t="shared" si="47"/>
        <v>0</v>
      </c>
      <c r="V110" s="107">
        <f t="shared" si="47"/>
        <v>0</v>
      </c>
      <c r="W110" s="107">
        <f t="shared" si="47"/>
        <v>0</v>
      </c>
      <c r="X110" s="107">
        <f t="shared" si="47"/>
        <v>0</v>
      </c>
      <c r="Y110" s="107">
        <f t="shared" si="47"/>
        <v>0</v>
      </c>
      <c r="Z110" s="107">
        <f t="shared" si="47"/>
        <v>0</v>
      </c>
      <c r="AA110" s="107">
        <f t="shared" si="47"/>
        <v>0</v>
      </c>
      <c r="AB110" s="107">
        <f t="shared" si="47"/>
        <v>0</v>
      </c>
      <c r="AC110" s="107">
        <f t="shared" si="47"/>
        <v>0</v>
      </c>
      <c r="AD110" s="107">
        <f t="shared" si="47"/>
        <v>0</v>
      </c>
      <c r="AE110" s="107">
        <f t="shared" si="47"/>
        <v>0</v>
      </c>
      <c r="AF110" s="107">
        <f t="shared" si="47"/>
        <v>0</v>
      </c>
      <c r="AG110" s="107">
        <f t="shared" si="47"/>
        <v>0</v>
      </c>
      <c r="AH110" s="107">
        <f t="shared" si="47"/>
        <v>0</v>
      </c>
      <c r="AI110" s="107">
        <f t="shared" si="47"/>
        <v>0</v>
      </c>
      <c r="AJ110" s="129">
        <f t="shared" si="47"/>
        <v>16768</v>
      </c>
      <c r="AK110" s="108">
        <f>AJ110-AJ73</f>
        <v>0</v>
      </c>
    </row>
    <row r="111" spans="1:37" x14ac:dyDescent="0.25">
      <c r="AJ111" s="124" t="s">
        <v>232</v>
      </c>
      <c r="AK111" s="95" t="str">
        <f>IF(AK110=0,"VALID","ERROR")</f>
        <v>VALID</v>
      </c>
    </row>
  </sheetData>
  <pageMargins left="0.7" right="0.7" top="0.75" bottom="0.75" header="0.3" footer="0.3"/>
  <pageSetup orientation="portrait" horizontalDpi="4294967292" verticalDpi="429496729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FF6600"/>
  </sheetPr>
  <dimension ref="A1:AK112"/>
  <sheetViews>
    <sheetView topLeftCell="A33" workbookViewId="0">
      <pane xSplit="1" topLeftCell="B1" activePane="topRight" state="frozen"/>
      <selection activeCell="AI35" sqref="AI35"/>
      <selection pane="topRight" activeCell="A56" sqref="A56"/>
    </sheetView>
  </sheetViews>
  <sheetFormatPr defaultColWidth="8.85546875" defaultRowHeight="15" x14ac:dyDescent="0.25"/>
  <cols>
    <col min="1" max="1" width="66.85546875" bestFit="1" customWidth="1"/>
    <col min="3" max="3" width="8.42578125" customWidth="1"/>
    <col min="4" max="4" width="9.140625" bestFit="1" customWidth="1"/>
    <col min="5" max="6" width="9.28515625" bestFit="1" customWidth="1"/>
    <col min="7" max="7" width="10.7109375" customWidth="1"/>
    <col min="8" max="8" width="11.85546875" customWidth="1"/>
    <col min="9" max="10" width="10.7109375" customWidth="1"/>
    <col min="11" max="11" width="9.85546875" customWidth="1"/>
    <col min="12" max="12" width="11.140625" customWidth="1"/>
    <col min="13" max="13" width="10.28515625" customWidth="1"/>
    <col min="14" max="17" width="9.140625" bestFit="1" customWidth="1"/>
    <col min="18" max="18" width="10.28515625" customWidth="1"/>
    <col min="19" max="33" width="9.140625" bestFit="1" customWidth="1"/>
    <col min="34" max="34" width="10.140625" customWidth="1"/>
    <col min="35" max="35" width="10.42578125" customWidth="1"/>
    <col min="36" max="36" width="11.42578125" style="124" customWidth="1"/>
  </cols>
  <sheetData>
    <row r="1" spans="1:36" s="69" customFormat="1" ht="36" customHeight="1" x14ac:dyDescent="0.25">
      <c r="A1" s="197" t="s">
        <v>368</v>
      </c>
      <c r="AJ1" s="132"/>
    </row>
    <row r="2" spans="1:36" ht="21" x14ac:dyDescent="0.25">
      <c r="A2" s="117" t="str">
        <f>IF('Assumptions &amp; Results'!$C$172=1,"VALID","INVALID")</f>
        <v>VALID</v>
      </c>
      <c r="C2" s="19" t="s">
        <v>572</v>
      </c>
      <c r="D2" s="18"/>
    </row>
    <row r="3" spans="1:36" x14ac:dyDescent="0.2">
      <c r="B3" t="s">
        <v>234</v>
      </c>
      <c r="C3" s="1">
        <f>'Assumptions &amp; Results'!D2</f>
        <v>2017</v>
      </c>
      <c r="D3" s="1">
        <f>'Assumptions &amp; Results'!E2</f>
        <v>2018</v>
      </c>
      <c r="E3" s="1">
        <f>'Assumptions &amp; Results'!F2</f>
        <v>2019</v>
      </c>
      <c r="F3" s="1">
        <f>'Assumptions &amp; Results'!G2</f>
        <v>2020</v>
      </c>
      <c r="G3" s="1">
        <f>'Assumptions &amp; Results'!H2</f>
        <v>2021</v>
      </c>
      <c r="H3" s="1">
        <f>'Assumptions &amp; Results'!I2</f>
        <v>2022</v>
      </c>
      <c r="I3" s="1">
        <f>'Assumptions &amp; Results'!J2</f>
        <v>2023</v>
      </c>
      <c r="J3" s="1">
        <f>'Assumptions &amp; Results'!K2</f>
        <v>2024</v>
      </c>
      <c r="K3" s="1">
        <f>'Assumptions &amp; Results'!L2</f>
        <v>2025</v>
      </c>
      <c r="L3" s="1">
        <f>'Assumptions &amp; Results'!M2</f>
        <v>2026</v>
      </c>
      <c r="M3" s="1">
        <f>'Assumptions &amp; Results'!N2</f>
        <v>2027</v>
      </c>
      <c r="N3" s="1">
        <f>'Assumptions &amp; Results'!O2</f>
        <v>2028</v>
      </c>
      <c r="O3" s="1">
        <f>'Assumptions &amp; Results'!P2</f>
        <v>2029</v>
      </c>
      <c r="P3" s="1">
        <f>'Assumptions &amp; Results'!Q2</f>
        <v>2030</v>
      </c>
      <c r="Q3" s="1">
        <f>'Assumptions &amp; Results'!R2</f>
        <v>2031</v>
      </c>
      <c r="R3" s="1">
        <f>'Assumptions &amp; Results'!S2</f>
        <v>2032</v>
      </c>
      <c r="S3" s="1">
        <f>'Assumptions &amp; Results'!T2</f>
        <v>2033</v>
      </c>
      <c r="T3" s="1">
        <f>'Assumptions &amp; Results'!U2</f>
        <v>2034</v>
      </c>
      <c r="U3" s="1">
        <f>'Assumptions &amp; Results'!V2</f>
        <v>2035</v>
      </c>
      <c r="V3" s="1">
        <f>'Assumptions &amp; Results'!W2</f>
        <v>2036</v>
      </c>
      <c r="W3" s="1">
        <f>'Assumptions &amp; Results'!X2</f>
        <v>2037</v>
      </c>
      <c r="X3" s="1">
        <f>'Assumptions &amp; Results'!Y2</f>
        <v>2038</v>
      </c>
      <c r="Y3" s="1">
        <f>'Assumptions &amp; Results'!Z2</f>
        <v>2039</v>
      </c>
      <c r="Z3" s="1">
        <f>'Assumptions &amp; Results'!AA2</f>
        <v>2040</v>
      </c>
      <c r="AA3" s="1">
        <f>'Assumptions &amp; Results'!AB2</f>
        <v>2041</v>
      </c>
      <c r="AB3" s="1">
        <f>'Assumptions &amp; Results'!AC2</f>
        <v>2042</v>
      </c>
      <c r="AC3" s="1">
        <f>'Assumptions &amp; Results'!AD2</f>
        <v>2043</v>
      </c>
      <c r="AD3" s="1">
        <f>'Assumptions &amp; Results'!AE2</f>
        <v>2044</v>
      </c>
      <c r="AE3" s="1">
        <f>'Assumptions &amp; Results'!AF2</f>
        <v>2045</v>
      </c>
      <c r="AF3" s="1">
        <f>'Assumptions &amp; Results'!AG2</f>
        <v>2046</v>
      </c>
      <c r="AG3" s="1">
        <f>'Assumptions &amp; Results'!AH2</f>
        <v>2047</v>
      </c>
      <c r="AH3" s="1">
        <f>'Assumptions &amp; Results'!AI2</f>
        <v>2048</v>
      </c>
      <c r="AI3" s="1">
        <f>'Assumptions &amp; Results'!AJ2</f>
        <v>2049</v>
      </c>
      <c r="AJ3" s="123" t="s">
        <v>63</v>
      </c>
    </row>
    <row r="4" spans="1:36" x14ac:dyDescent="0.2">
      <c r="A4" s="4" t="s">
        <v>569</v>
      </c>
      <c r="B4" t="s">
        <v>99</v>
      </c>
      <c r="C4" s="39">
        <f>IF(AND('Assumptions &amp; Results'!$C$85=1,'Assumptions &amp; Results'!$C$87=1),(+'Assumptions &amp; Results'!D83-'Assumptions &amp; Results'!D79),IF(AND('Assumptions &amp; Results'!$C$85=1,'Assumptions &amp; Results'!$C$87=0),(+'Assumptions &amp; Results'!D83-'Assumptions &amp; Results'!D79+'LNG Tolling'!C6),+'Assumptions &amp; Results'!D83))</f>
        <v>17</v>
      </c>
      <c r="D4" s="39">
        <f>IF(AND('Assumptions &amp; Results'!$C$85=1,'Assumptions &amp; Results'!$C$87=1),(+'Assumptions &amp; Results'!E83-'Assumptions &amp; Results'!E79),IF(AND('Assumptions &amp; Results'!$C$85=1,'Assumptions &amp; Results'!$C$87=0),(+'Assumptions &amp; Results'!E83-'Assumptions &amp; Results'!E79+'LNG Tolling'!D6),+'Assumptions &amp; Results'!E83))</f>
        <v>3858</v>
      </c>
      <c r="E4" s="39">
        <f>IF(AND('Assumptions &amp; Results'!$C$85=1,'Assumptions &amp; Results'!$C$87=1),(+'Assumptions &amp; Results'!F83-'Assumptions &amp; Results'!F79),IF(AND('Assumptions &amp; Results'!$C$85=1,'Assumptions &amp; Results'!$C$87=0),(+'Assumptions &amp; Results'!F83-'Assumptions &amp; Results'!F79+'LNG Tolling'!E6),+'Assumptions &amp; Results'!F83))</f>
        <v>5862</v>
      </c>
      <c r="F4" s="39">
        <f>IF(AND('Assumptions &amp; Results'!$C$85=1,'Assumptions &amp; Results'!$C$87=1),(+'Assumptions &amp; Results'!G83-'Assumptions &amp; Results'!G79),IF(AND('Assumptions &amp; Results'!$C$85=1,'Assumptions &amp; Results'!$C$87=0),(+'Assumptions &amp; Results'!G83-'Assumptions &amp; Results'!G79+'LNG Tolling'!F6),+'Assumptions &amp; Results'!G83))</f>
        <v>7031</v>
      </c>
      <c r="G4" s="39">
        <f>IF(AND('Assumptions &amp; Results'!$C$85=1,'Assumptions &amp; Results'!$C$87=1),(+'Assumptions &amp; Results'!H83-'Assumptions &amp; Results'!H79),IF(AND('Assumptions &amp; Results'!$C$85=1,'Assumptions &amp; Results'!$C$87=0),(+'Assumptions &amp; Results'!H83-'Assumptions &amp; Results'!H79+'LNG Tolling'!G6),+'Assumptions &amp; Results'!H83))</f>
        <v>0</v>
      </c>
      <c r="H4" s="39">
        <f>IF(AND('Assumptions &amp; Results'!$C$85=1,'Assumptions &amp; Results'!$C$87=1),(+'Assumptions &amp; Results'!I83-'Assumptions &amp; Results'!I79),IF(AND('Assumptions &amp; Results'!$C$85=1,'Assumptions &amp; Results'!$C$87=0),(+'Assumptions &amp; Results'!I83-'Assumptions &amp; Results'!I79+'LNG Tolling'!H6),+'Assumptions &amp; Results'!I83))</f>
        <v>0</v>
      </c>
      <c r="I4" s="39">
        <f>IF(AND('Assumptions &amp; Results'!$C$85=1,'Assumptions &amp; Results'!$C$87=1),(+'Assumptions &amp; Results'!J83-'Assumptions &amp; Results'!J79),IF(AND('Assumptions &amp; Results'!$C$85=1,'Assumptions &amp; Results'!$C$87=0),(+'Assumptions &amp; Results'!J83-'Assumptions &amp; Results'!J79+'LNG Tolling'!I6),+'Assumptions &amp; Results'!J83))</f>
        <v>0</v>
      </c>
      <c r="J4" s="39">
        <f>IF(AND('Assumptions &amp; Results'!$C$85=1,'Assumptions &amp; Results'!$C$87=1),(+'Assumptions &amp; Results'!K83-'Assumptions &amp; Results'!K79),IF(AND('Assumptions &amp; Results'!$C$85=1,'Assumptions &amp; Results'!$C$87=0),(+'Assumptions &amp; Results'!K83-'Assumptions &amp; Results'!K79+'LNG Tolling'!J6),+'Assumptions &amp; Results'!K83))</f>
        <v>0</v>
      </c>
      <c r="K4" s="39">
        <f>IF(AND('Assumptions &amp; Results'!$C$85=1,'Assumptions &amp; Results'!$C$87=1),(+'Assumptions &amp; Results'!L83-'Assumptions &amp; Results'!L79),IF(AND('Assumptions &amp; Results'!$C$85=1,'Assumptions &amp; Results'!$C$87=0),(+'Assumptions &amp; Results'!L83-'Assumptions &amp; Results'!L79+'LNG Tolling'!K6),+'Assumptions &amp; Results'!L83))</f>
        <v>0</v>
      </c>
      <c r="L4" s="39">
        <f>IF(AND('Assumptions &amp; Results'!$C$85=1,'Assumptions &amp; Results'!$C$87=1),(+'Assumptions &amp; Results'!M83-'Assumptions &amp; Results'!M79),IF(AND('Assumptions &amp; Results'!$C$85=1,'Assumptions &amp; Results'!$C$87=0),(+'Assumptions &amp; Results'!M83-'Assumptions &amp; Results'!M79+'LNG Tolling'!L6),+'Assumptions &amp; Results'!M83))</f>
        <v>0</v>
      </c>
      <c r="M4" s="39">
        <f>IF(AND('Assumptions &amp; Results'!$C$85=1,'Assumptions &amp; Results'!$C$87=1),(+'Assumptions &amp; Results'!N83-'Assumptions &amp; Results'!N79),IF(AND('Assumptions &amp; Results'!$C$85=1,'Assumptions &amp; Results'!$C$87=0),(+'Assumptions &amp; Results'!N83-'Assumptions &amp; Results'!N79+'LNG Tolling'!M6),+'Assumptions &amp; Results'!N83))</f>
        <v>0</v>
      </c>
      <c r="N4" s="39">
        <f>IF(AND('Assumptions &amp; Results'!$C$85=1,'Assumptions &amp; Results'!$C$87=1),(+'Assumptions &amp; Results'!O83-'Assumptions &amp; Results'!O79),IF(AND('Assumptions &amp; Results'!$C$85=1,'Assumptions &amp; Results'!$C$87=0),(+'Assumptions &amp; Results'!O83-'Assumptions &amp; Results'!O79+'LNG Tolling'!N6),+'Assumptions &amp; Results'!O83))</f>
        <v>0</v>
      </c>
      <c r="O4" s="39">
        <f>IF(AND('Assumptions &amp; Results'!$C$85=1,'Assumptions &amp; Results'!$C$87=1),(+'Assumptions &amp; Results'!P83-'Assumptions &amp; Results'!P79),IF(AND('Assumptions &amp; Results'!$C$85=1,'Assumptions &amp; Results'!$C$87=0),(+'Assumptions &amp; Results'!P83-'Assumptions &amp; Results'!P79+'LNG Tolling'!O6),+'Assumptions &amp; Results'!P83))</f>
        <v>0</v>
      </c>
      <c r="P4" s="39">
        <f>IF(AND('Assumptions &amp; Results'!$C$85=1,'Assumptions &amp; Results'!$C$87=1),(+'Assumptions &amp; Results'!Q83-'Assumptions &amp; Results'!Q79),IF(AND('Assumptions &amp; Results'!$C$85=1,'Assumptions &amp; Results'!$C$87=0),(+'Assumptions &amp; Results'!Q83-'Assumptions &amp; Results'!Q79+'LNG Tolling'!P6),+'Assumptions &amp; Results'!Q83))</f>
        <v>0</v>
      </c>
      <c r="Q4" s="39">
        <f>IF(AND('Assumptions &amp; Results'!$C$85=1,'Assumptions &amp; Results'!$C$87=1),(+'Assumptions &amp; Results'!R83-'Assumptions &amp; Results'!R79),IF(AND('Assumptions &amp; Results'!$C$85=1,'Assumptions &amp; Results'!$C$87=0),(+'Assumptions &amp; Results'!R83-'Assumptions &amp; Results'!R79+'LNG Tolling'!Q6),+'Assumptions &amp; Results'!R83))</f>
        <v>0</v>
      </c>
      <c r="R4" s="39">
        <f>IF(AND('Assumptions &amp; Results'!$C$85=1,'Assumptions &amp; Results'!$C$87=1),(+'Assumptions &amp; Results'!S83-'Assumptions &amp; Results'!S79),IF(AND('Assumptions &amp; Results'!$C$85=1,'Assumptions &amp; Results'!$C$87=0),(+'Assumptions &amp; Results'!S83-'Assumptions &amp; Results'!S79+'LNG Tolling'!R6),+'Assumptions &amp; Results'!S83))</f>
        <v>0</v>
      </c>
      <c r="S4" s="39">
        <f>IF(AND('Assumptions &amp; Results'!$C$85=1,'Assumptions &amp; Results'!$C$87=1),(+'Assumptions &amp; Results'!T83-'Assumptions &amp; Results'!T79),IF(AND('Assumptions &amp; Results'!$C$85=1,'Assumptions &amp; Results'!$C$87=0),(+'Assumptions &amp; Results'!T83-'Assumptions &amp; Results'!T79+'LNG Tolling'!S6),+'Assumptions &amp; Results'!T83))</f>
        <v>0</v>
      </c>
      <c r="T4" s="39">
        <f>IF(AND('Assumptions &amp; Results'!$C$85=1,'Assumptions &amp; Results'!$C$87=1),(+'Assumptions &amp; Results'!U83-'Assumptions &amp; Results'!U79),IF(AND('Assumptions &amp; Results'!$C$85=1,'Assumptions &amp; Results'!$C$87=0),(+'Assumptions &amp; Results'!U83-'Assumptions &amp; Results'!U79+'LNG Tolling'!T6),+'Assumptions &amp; Results'!U83))</f>
        <v>0</v>
      </c>
      <c r="U4" s="39">
        <f>IF(AND('Assumptions &amp; Results'!$C$85=1,'Assumptions &amp; Results'!$C$87=1),(+'Assumptions &amp; Results'!V83-'Assumptions &amp; Results'!V79),IF(AND('Assumptions &amp; Results'!$C$85=1,'Assumptions &amp; Results'!$C$87=0),(+'Assumptions &amp; Results'!V83-'Assumptions &amp; Results'!V79+'LNG Tolling'!U6),+'Assumptions &amp; Results'!V83))</f>
        <v>0</v>
      </c>
      <c r="V4" s="39">
        <f>IF(AND('Assumptions &amp; Results'!$C$85=1,'Assumptions &amp; Results'!$C$87=1),(+'Assumptions &amp; Results'!W83-'Assumptions &amp; Results'!W79),IF(AND('Assumptions &amp; Results'!$C$85=1,'Assumptions &amp; Results'!$C$87=0),(+'Assumptions &amp; Results'!W83-'Assumptions &amp; Results'!W79+'LNG Tolling'!V6),+'Assumptions &amp; Results'!W83))</f>
        <v>0</v>
      </c>
      <c r="W4" s="39">
        <f>IF(AND('Assumptions &amp; Results'!$C$85=1,'Assumptions &amp; Results'!$C$87=1),(+'Assumptions &amp; Results'!X83-'Assumptions &amp; Results'!X79),IF(AND('Assumptions &amp; Results'!$C$85=1,'Assumptions &amp; Results'!$C$87=0),(+'Assumptions &amp; Results'!X83-'Assumptions &amp; Results'!X79+'LNG Tolling'!W6),+'Assumptions &amp; Results'!X83))</f>
        <v>0</v>
      </c>
      <c r="X4" s="39">
        <f>IF(AND('Assumptions &amp; Results'!$C$85=1,'Assumptions &amp; Results'!$C$87=1),(+'Assumptions &amp; Results'!Y83-'Assumptions &amp; Results'!Y79),IF(AND('Assumptions &amp; Results'!$C$85=1,'Assumptions &amp; Results'!$C$87=0),(+'Assumptions &amp; Results'!Y83-'Assumptions &amp; Results'!Y79+'LNG Tolling'!X6),+'Assumptions &amp; Results'!Y83))</f>
        <v>0</v>
      </c>
      <c r="Y4" s="39">
        <f>IF(AND('Assumptions &amp; Results'!$C$85=1,'Assumptions &amp; Results'!$C$87=1),(+'Assumptions &amp; Results'!Z83-'Assumptions &amp; Results'!Z79),IF(AND('Assumptions &amp; Results'!$C$85=1,'Assumptions &amp; Results'!$C$87=0),(+'Assumptions &amp; Results'!Z83-'Assumptions &amp; Results'!Z79+'LNG Tolling'!Y6),+'Assumptions &amp; Results'!Z83))</f>
        <v>0</v>
      </c>
      <c r="Z4" s="39">
        <f>IF(AND('Assumptions &amp; Results'!$C$85=1,'Assumptions &amp; Results'!$C$87=1),(+'Assumptions &amp; Results'!AA83-'Assumptions &amp; Results'!AA79),IF(AND('Assumptions &amp; Results'!$C$85=1,'Assumptions &amp; Results'!$C$87=0),(+'Assumptions &amp; Results'!AA83-'Assumptions &amp; Results'!AA79+'LNG Tolling'!Z6),+'Assumptions &amp; Results'!AA83))</f>
        <v>0</v>
      </c>
      <c r="AA4" s="39">
        <f>IF(AND('Assumptions &amp; Results'!$C$85=1,'Assumptions &amp; Results'!$C$87=1),(+'Assumptions &amp; Results'!AB83-'Assumptions &amp; Results'!AB79),IF(AND('Assumptions &amp; Results'!$C$85=1,'Assumptions &amp; Results'!$C$87=0),(+'Assumptions &amp; Results'!AB83-'Assumptions &amp; Results'!AB79+'LNG Tolling'!AA6),+'Assumptions &amp; Results'!AB83))</f>
        <v>0</v>
      </c>
      <c r="AB4" s="39">
        <f>IF(AND('Assumptions &amp; Results'!$C$85=1,'Assumptions &amp; Results'!$C$87=1),(+'Assumptions &amp; Results'!AC83-'Assumptions &amp; Results'!AC79),IF(AND('Assumptions &amp; Results'!$C$85=1,'Assumptions &amp; Results'!$C$87=0),(+'Assumptions &amp; Results'!AC83-'Assumptions &amp; Results'!AC79+'LNG Tolling'!AB6),+'Assumptions &amp; Results'!AC83))</f>
        <v>0</v>
      </c>
      <c r="AC4" s="39">
        <f>IF(AND('Assumptions &amp; Results'!$C$85=1,'Assumptions &amp; Results'!$C$87=1),(+'Assumptions &amp; Results'!AD83-'Assumptions &amp; Results'!AD79),IF(AND('Assumptions &amp; Results'!$C$85=1,'Assumptions &amp; Results'!$C$87=0),(+'Assumptions &amp; Results'!AD83-'Assumptions &amp; Results'!AD79+'LNG Tolling'!AC6),+'Assumptions &amp; Results'!AD83))</f>
        <v>0</v>
      </c>
      <c r="AD4" s="39">
        <f>IF(AND('Assumptions &amp; Results'!$C$85=1,'Assumptions &amp; Results'!$C$87=1),(+'Assumptions &amp; Results'!AE83-'Assumptions &amp; Results'!AE79),IF(AND('Assumptions &amp; Results'!$C$85=1,'Assumptions &amp; Results'!$C$87=0),(+'Assumptions &amp; Results'!AE83-'Assumptions &amp; Results'!AE79+'LNG Tolling'!AD6),+'Assumptions &amp; Results'!AE83))</f>
        <v>0</v>
      </c>
      <c r="AE4" s="39">
        <f>IF(AND('Assumptions &amp; Results'!$C$85=1,'Assumptions &amp; Results'!$C$87=1),(+'Assumptions &amp; Results'!AF83-'Assumptions &amp; Results'!AF79),IF(AND('Assumptions &amp; Results'!$C$85=1,'Assumptions &amp; Results'!$C$87=0),(+'Assumptions &amp; Results'!AF83-'Assumptions &amp; Results'!AF79+'LNG Tolling'!AE6),+'Assumptions &amp; Results'!AF83))</f>
        <v>0</v>
      </c>
      <c r="AF4" s="39">
        <f>IF(AND('Assumptions &amp; Results'!$C$85=1,'Assumptions &amp; Results'!$C$87=1),(+'Assumptions &amp; Results'!AG83-'Assumptions &amp; Results'!AG79),IF(AND('Assumptions &amp; Results'!$C$85=1,'Assumptions &amp; Results'!$C$87=0),(+'Assumptions &amp; Results'!AG83-'Assumptions &amp; Results'!AG79+'LNG Tolling'!AF6),+'Assumptions &amp; Results'!AG83))</f>
        <v>0</v>
      </c>
      <c r="AG4" s="39">
        <f>IF(AND('Assumptions &amp; Results'!$C$85=1,'Assumptions &amp; Results'!$C$87=1),(+'Assumptions &amp; Results'!AH83-'Assumptions &amp; Results'!AH79),IF(AND('Assumptions &amp; Results'!$C$85=1,'Assumptions &amp; Results'!$C$87=0),(+'Assumptions &amp; Results'!AH83-'Assumptions &amp; Results'!AH79+'LNG Tolling'!AG6),+'Assumptions &amp; Results'!AH83))</f>
        <v>0</v>
      </c>
      <c r="AH4" s="39">
        <f>IF(AND('Assumptions &amp; Results'!$C$85=1,'Assumptions &amp; Results'!$C$87=1),(+'Assumptions &amp; Results'!AI83-'Assumptions &amp; Results'!AI79),IF(AND('Assumptions &amp; Results'!$C$85=1,'Assumptions &amp; Results'!$C$87=0),(+'Assumptions &amp; Results'!AI83-'Assumptions &amp; Results'!AI79+'LNG Tolling'!AH6),+'Assumptions &amp; Results'!AI83))</f>
        <v>0</v>
      </c>
      <c r="AI4" s="39">
        <f>IF(AND('Assumptions &amp; Results'!$C$85=1,'Assumptions &amp; Results'!$C$87=1),(+'Assumptions &amp; Results'!AJ83-'Assumptions &amp; Results'!AJ79),IF(AND('Assumptions &amp; Results'!$C$85=1,'Assumptions &amp; Results'!$C$87=0),(+'Assumptions &amp; Results'!AJ83-'Assumptions &amp; Results'!AJ79+'LNG Tolling'!AI6),+'Assumptions &amp; Results'!AJ83))</f>
        <v>0</v>
      </c>
      <c r="AJ4" s="125">
        <f>SUM(C4:AI4)</f>
        <v>16768</v>
      </c>
    </row>
    <row r="5" spans="1:36" x14ac:dyDescent="0.2">
      <c r="A5" s="4"/>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125"/>
    </row>
    <row r="6" spans="1:36" x14ac:dyDescent="0.2">
      <c r="A6" s="4" t="str">
        <f>'LNG Equity '!A9</f>
        <v>LNG Plant-only "equivalent" Capital Costs included above IF a Capital Lease</v>
      </c>
      <c r="B6" t="s">
        <v>99</v>
      </c>
      <c r="C6" s="8">
        <f>IF(AND('Assumptions &amp; Results'!$C$85=1,C3='Assumptions &amp; Results'!$C$16),NPV(8%,'Assumptions &amp; Results'!D86:'Assumptions &amp; Results'!$AJ86),0)</f>
        <v>0</v>
      </c>
      <c r="D6" s="8">
        <f>IF(AND('Assumptions &amp; Results'!$C$85=1,D3='Assumptions &amp; Results'!$C$16),NPV(8%,'Assumptions &amp; Results'!E86:'Assumptions &amp; Results'!$AJ86),0)</f>
        <v>0</v>
      </c>
      <c r="E6" s="8">
        <f>IF(AND('Assumptions &amp; Results'!$C$85=1,E3='Assumptions &amp; Results'!$C$16),NPV(8%,'Assumptions &amp; Results'!F86:'Assumptions &amp; Results'!$AJ86),0)</f>
        <v>0</v>
      </c>
      <c r="F6" s="8">
        <f>IF(AND('Assumptions &amp; Results'!$C$85=1,F3='Assumptions &amp; Results'!$C$16),NPV(8%,'Assumptions &amp; Results'!G86:'Assumptions &amp; Results'!$AJ86),0)</f>
        <v>0</v>
      </c>
      <c r="G6" s="8">
        <f>IF(AND('Assumptions &amp; Results'!$C$85=1,G3='Assumptions &amp; Results'!$C$16),NPV(8%,'Assumptions &amp; Results'!H86:'Assumptions &amp; Results'!$AJ86),0)</f>
        <v>0</v>
      </c>
      <c r="H6" s="8">
        <f>IF(AND('Assumptions &amp; Results'!$C$85=1,H3='Assumptions &amp; Results'!$C$16),NPV(8%,'Assumptions &amp; Results'!I86:'Assumptions &amp; Results'!$AJ86),0)</f>
        <v>0</v>
      </c>
      <c r="I6" s="8">
        <f>IF(AND('Assumptions &amp; Results'!$C$85=1,I3='Assumptions &amp; Results'!$C$16),NPV(8%,'Assumptions &amp; Results'!J86:'Assumptions &amp; Results'!$AJ86),0)</f>
        <v>0</v>
      </c>
      <c r="J6" s="8">
        <f>IF(AND('Assumptions &amp; Results'!$C$85=1,J3='Assumptions &amp; Results'!$C$16),NPV(8%,'Assumptions &amp; Results'!K86:'Assumptions &amp; Results'!$AJ86),0)</f>
        <v>0</v>
      </c>
      <c r="K6" s="8">
        <f>IF(AND('Assumptions &amp; Results'!$C$85=1,K3='Assumptions &amp; Results'!$C$16),NPV(8%,'Assumptions &amp; Results'!L86:'Assumptions &amp; Results'!$AJ86),0)</f>
        <v>0</v>
      </c>
      <c r="L6" s="8">
        <f>IF(AND('Assumptions &amp; Results'!$C$85=1,L3='Assumptions &amp; Results'!$C$16),NPV(8%,'Assumptions &amp; Results'!M86:'Assumptions &amp; Results'!$AJ86),0)</f>
        <v>0</v>
      </c>
      <c r="M6" s="8">
        <f>IF(AND('Assumptions &amp; Results'!$C$85=1,M3='Assumptions &amp; Results'!$C$16),NPV(8%,'Assumptions &amp; Results'!N86:'Assumptions &amp; Results'!$AJ86),0)</f>
        <v>0</v>
      </c>
      <c r="N6" s="8">
        <f>IF(AND('Assumptions &amp; Results'!$C$85=1,N3='Assumptions &amp; Results'!$C$16),NPV(8%,'Assumptions &amp; Results'!O86:'Assumptions &amp; Results'!$AJ86),0)</f>
        <v>0</v>
      </c>
      <c r="O6" s="8">
        <f>IF(AND('Assumptions &amp; Results'!$C$85=1,O3='Assumptions &amp; Results'!$C$16),NPV(8%,'Assumptions &amp; Results'!P86:'Assumptions &amp; Results'!$AJ86),0)</f>
        <v>0</v>
      </c>
      <c r="P6" s="8">
        <f>IF(AND('Assumptions &amp; Results'!$C$85=1,P3='Assumptions &amp; Results'!$C$16),NPV(8%,'Assumptions &amp; Results'!Q86:'Assumptions &amp; Results'!$AJ86),0)</f>
        <v>0</v>
      </c>
      <c r="Q6" s="8">
        <f>IF(AND('Assumptions &amp; Results'!$C$85=1,Q3='Assumptions &amp; Results'!$C$16),NPV(8%,'Assumptions &amp; Results'!R86:'Assumptions &amp; Results'!$AJ86),0)</f>
        <v>0</v>
      </c>
      <c r="R6" s="8">
        <f>IF(AND('Assumptions &amp; Results'!$C$85=1,R3='Assumptions &amp; Results'!$C$16),NPV(8%,'Assumptions &amp; Results'!S86:'Assumptions &amp; Results'!$AJ86),0)</f>
        <v>0</v>
      </c>
      <c r="S6" s="8">
        <f>IF(AND('Assumptions &amp; Results'!$C$85=1,S3='Assumptions &amp; Results'!$C$16),NPV(8%,'Assumptions &amp; Results'!T86:'Assumptions &amp; Results'!$AJ86),0)</f>
        <v>0</v>
      </c>
      <c r="T6" s="8">
        <f>IF(AND('Assumptions &amp; Results'!$C$85=1,T3='Assumptions &amp; Results'!$C$16),NPV(8%,'Assumptions &amp; Results'!U86:'Assumptions &amp; Results'!$AJ86),0)</f>
        <v>0</v>
      </c>
      <c r="U6" s="8">
        <f>IF(AND('Assumptions &amp; Results'!$C$85=1,U3='Assumptions &amp; Results'!$C$16),NPV(8%,'Assumptions &amp; Results'!V86:'Assumptions &amp; Results'!$AJ86),0)</f>
        <v>0</v>
      </c>
      <c r="V6" s="8">
        <f>IF(AND('Assumptions &amp; Results'!$C$85=1,V3='Assumptions &amp; Results'!$C$16),NPV(8%,'Assumptions &amp; Results'!W86:'Assumptions &amp; Results'!$AJ86),0)</f>
        <v>0</v>
      </c>
      <c r="W6" s="8">
        <f>IF(AND('Assumptions &amp; Results'!$C$85=1,W3='Assumptions &amp; Results'!$C$16),NPV(8%,'Assumptions &amp; Results'!X86:'Assumptions &amp; Results'!$AJ86),0)</f>
        <v>0</v>
      </c>
      <c r="X6" s="8">
        <f>IF(AND('Assumptions &amp; Results'!$C$85=1,X3='Assumptions &amp; Results'!$C$16),NPV(8%,'Assumptions &amp; Results'!Y86:'Assumptions &amp; Results'!$AJ86),0)</f>
        <v>0</v>
      </c>
      <c r="Y6" s="8">
        <f>IF(AND('Assumptions &amp; Results'!$C$85=1,Y3='Assumptions &amp; Results'!$C$16),NPV(8%,'Assumptions &amp; Results'!Z86:'Assumptions &amp; Results'!$AJ86),0)</f>
        <v>0</v>
      </c>
      <c r="Z6" s="8">
        <f>IF(AND('Assumptions &amp; Results'!$C$85=1,Z3='Assumptions &amp; Results'!$C$16),NPV(8%,'Assumptions &amp; Results'!AA86:'Assumptions &amp; Results'!$AJ86),0)</f>
        <v>0</v>
      </c>
      <c r="AA6" s="8">
        <f>IF(AND('Assumptions &amp; Results'!$C$85=1,AA3='Assumptions &amp; Results'!$C$16),NPV(8%,'Assumptions &amp; Results'!AB86:'Assumptions &amp; Results'!$AJ86),0)</f>
        <v>0</v>
      </c>
      <c r="AB6" s="8">
        <f>IF(AND('Assumptions &amp; Results'!$C$85=1,AB3='Assumptions &amp; Results'!$C$16),NPV(8%,'Assumptions &amp; Results'!AC86:'Assumptions &amp; Results'!$AJ86),0)</f>
        <v>0</v>
      </c>
      <c r="AC6" s="8">
        <f>IF(AND('Assumptions &amp; Results'!$C$85=1,AC3='Assumptions &amp; Results'!$C$16),NPV(8%,'Assumptions &amp; Results'!AD86:'Assumptions &amp; Results'!$AJ86),0)</f>
        <v>0</v>
      </c>
      <c r="AD6" s="8">
        <f>IF(AND('Assumptions &amp; Results'!$C$85=1,AD3='Assumptions &amp; Results'!$C$16),NPV(8%,'Assumptions &amp; Results'!AE86:'Assumptions &amp; Results'!$AJ86),0)</f>
        <v>0</v>
      </c>
      <c r="AE6" s="8">
        <f>IF(AND('Assumptions &amp; Results'!$C$85=1,AE3='Assumptions &amp; Results'!$C$16),NPV(8%,'Assumptions &amp; Results'!AF86:'Assumptions &amp; Results'!$AJ86),0)</f>
        <v>0</v>
      </c>
      <c r="AF6" s="8">
        <f>IF(AND('Assumptions &amp; Results'!$C$85=1,AF3='Assumptions &amp; Results'!$C$16),NPV(8%,'Assumptions &amp; Results'!AG86:'Assumptions &amp; Results'!$AJ86),0)</f>
        <v>0</v>
      </c>
      <c r="AG6" s="8">
        <f>IF(AND('Assumptions &amp; Results'!$C$85=1,AG3='Assumptions &amp; Results'!$C$16),NPV(8%,'Assumptions &amp; Results'!AH86:'Assumptions &amp; Results'!$AJ86),0)</f>
        <v>0</v>
      </c>
      <c r="AH6" s="8">
        <f>IF(AND('Assumptions &amp; Results'!$C$85=1,AH3='Assumptions &amp; Results'!$C$16),NPV(8%,'Assumptions &amp; Results'!AI86:'Assumptions &amp; Results'!$AJ86),0)</f>
        <v>0</v>
      </c>
      <c r="AI6" s="8">
        <f>IF(AND('Assumptions &amp; Results'!$C$85=1,AI3='Assumptions &amp; Results'!$C$16),NPV(8%,'Assumptions &amp; Results'!AJ86:'Assumptions &amp; Results'!$AJ86),0)</f>
        <v>0</v>
      </c>
      <c r="AJ6" s="125">
        <f>SUM(C6:AI6)</f>
        <v>0</v>
      </c>
    </row>
    <row r="7" spans="1:36" x14ac:dyDescent="0.2">
      <c r="A7" s="4"/>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125"/>
    </row>
    <row r="8" spans="1:36" x14ac:dyDescent="0.2">
      <c r="A8" t="s">
        <v>345</v>
      </c>
      <c r="B8" t="s">
        <v>99</v>
      </c>
      <c r="C8" s="12">
        <f>IF('Assumptions &amp; Results'!$C$85=1,('Assumptions &amp; Results'!D83-'Assumptions &amp; Results'!D79+'LNG Tolling'!C6),'Assumptions &amp; Results'!D83)</f>
        <v>17</v>
      </c>
      <c r="D8" s="12">
        <f>IF('Assumptions &amp; Results'!$C$85=1,('Assumptions &amp; Results'!E83-'Assumptions &amp; Results'!E79+'LNG Tolling'!D6),'Assumptions &amp; Results'!E83)</f>
        <v>3858</v>
      </c>
      <c r="E8" s="12">
        <f>IF('Assumptions &amp; Results'!$C$85=1,('Assumptions &amp; Results'!F83-'Assumptions &amp; Results'!F79+'LNG Tolling'!E6),'Assumptions &amp; Results'!F83)</f>
        <v>5862</v>
      </c>
      <c r="F8" s="12">
        <f>IF('Assumptions &amp; Results'!$C$85=1,('Assumptions &amp; Results'!G83-'Assumptions &amp; Results'!G79+'LNG Tolling'!F6),'Assumptions &amp; Results'!G83)</f>
        <v>7031</v>
      </c>
      <c r="G8" s="12">
        <f>IF('Assumptions &amp; Results'!$C$85=1,('Assumptions &amp; Results'!H83-'Assumptions &amp; Results'!H79+'LNG Tolling'!G6),'Assumptions &amp; Results'!H83)</f>
        <v>0</v>
      </c>
      <c r="H8" s="12">
        <f>IF('Assumptions &amp; Results'!$C$85=1,('Assumptions &amp; Results'!I83-'Assumptions &amp; Results'!I79+'LNG Tolling'!H6),'Assumptions &amp; Results'!I83)</f>
        <v>0</v>
      </c>
      <c r="I8" s="12">
        <f>IF('Assumptions &amp; Results'!$C$85=1,('Assumptions &amp; Results'!J83-'Assumptions &amp; Results'!J79+'LNG Tolling'!I6),'Assumptions &amp; Results'!J83)</f>
        <v>0</v>
      </c>
      <c r="J8" s="12">
        <f>IF('Assumptions &amp; Results'!$C$85=1,('Assumptions &amp; Results'!K83-'Assumptions &amp; Results'!K79+'LNG Tolling'!J6),'Assumptions &amp; Results'!K83)</f>
        <v>0</v>
      </c>
      <c r="K8" s="12">
        <f>IF('Assumptions &amp; Results'!$C$85=1,('Assumptions &amp; Results'!L83-'Assumptions &amp; Results'!L79+'LNG Tolling'!K6),'Assumptions &amp; Results'!L83)</f>
        <v>0</v>
      </c>
      <c r="L8" s="12">
        <f>IF('Assumptions &amp; Results'!$C$85=1,('Assumptions &amp; Results'!M83-'Assumptions &amp; Results'!M79+'LNG Tolling'!L6),'Assumptions &amp; Results'!M83)</f>
        <v>0</v>
      </c>
      <c r="M8" s="12">
        <f>IF('Assumptions &amp; Results'!$C$85=1,('Assumptions &amp; Results'!N83-'Assumptions &amp; Results'!N79+'LNG Tolling'!M6),'Assumptions &amp; Results'!N83)</f>
        <v>0</v>
      </c>
      <c r="N8" s="12">
        <f>IF('Assumptions &amp; Results'!$C$85=1,('Assumptions &amp; Results'!O83-'Assumptions &amp; Results'!O79+'LNG Tolling'!N6),'Assumptions &amp; Results'!O83)</f>
        <v>0</v>
      </c>
      <c r="O8" s="12">
        <f>IF('Assumptions &amp; Results'!$C$85=1,('Assumptions &amp; Results'!P83-'Assumptions &amp; Results'!P79+'LNG Tolling'!O6),'Assumptions &amp; Results'!P83)</f>
        <v>0</v>
      </c>
      <c r="P8" s="12">
        <f>IF('Assumptions &amp; Results'!$C$85=1,('Assumptions &amp; Results'!Q83-'Assumptions &amp; Results'!Q79+'LNG Tolling'!P6),'Assumptions &amp; Results'!Q83)</f>
        <v>0</v>
      </c>
      <c r="Q8" s="12">
        <f>IF('Assumptions &amp; Results'!$C$85=1,('Assumptions &amp; Results'!R83-'Assumptions &amp; Results'!R79+'LNG Tolling'!Q6),'Assumptions &amp; Results'!R83)</f>
        <v>0</v>
      </c>
      <c r="R8" s="12">
        <f>IF('Assumptions &amp; Results'!$C$85=1,('Assumptions &amp; Results'!S83-'Assumptions &amp; Results'!S79+'LNG Tolling'!R6),'Assumptions &amp; Results'!S83)</f>
        <v>0</v>
      </c>
      <c r="S8" s="12">
        <f>IF('Assumptions &amp; Results'!$C$85=1,('Assumptions &amp; Results'!T83-'Assumptions &amp; Results'!T79+'LNG Tolling'!S6),'Assumptions &amp; Results'!T83)</f>
        <v>0</v>
      </c>
      <c r="T8" s="12">
        <f>IF('Assumptions &amp; Results'!$C$85=1,('Assumptions &amp; Results'!U83-'Assumptions &amp; Results'!U79+'LNG Tolling'!T6),'Assumptions &amp; Results'!U83)</f>
        <v>0</v>
      </c>
      <c r="U8" s="12">
        <f>IF('Assumptions &amp; Results'!$C$85=1,('Assumptions &amp; Results'!V83-'Assumptions &amp; Results'!V79+'LNG Tolling'!U6),'Assumptions &amp; Results'!V83)</f>
        <v>0</v>
      </c>
      <c r="V8" s="12">
        <f>IF('Assumptions &amp; Results'!$C$85=1,('Assumptions &amp; Results'!W83-'Assumptions &amp; Results'!W79+'LNG Tolling'!V6),'Assumptions &amp; Results'!W83)</f>
        <v>0</v>
      </c>
      <c r="W8" s="12">
        <f>IF('Assumptions &amp; Results'!$C$85=1,('Assumptions &amp; Results'!X83-'Assumptions &amp; Results'!X79+'LNG Tolling'!W6),'Assumptions &amp; Results'!X83)</f>
        <v>0</v>
      </c>
      <c r="X8" s="12">
        <f>IF('Assumptions &amp; Results'!$C$85=1,('Assumptions &amp; Results'!Y83-'Assumptions &amp; Results'!Y79+'LNG Tolling'!X6),'Assumptions &amp; Results'!Y83)</f>
        <v>0</v>
      </c>
      <c r="Y8" s="12">
        <f>IF('Assumptions &amp; Results'!$C$85=1,('Assumptions &amp; Results'!Z83-'Assumptions &amp; Results'!Z79+'LNG Tolling'!Y6),'Assumptions &amp; Results'!Z83)</f>
        <v>0</v>
      </c>
      <c r="Z8" s="12">
        <f>IF('Assumptions &amp; Results'!$C$85=1,('Assumptions &amp; Results'!AA83-'Assumptions &amp; Results'!AA79+'LNG Tolling'!Z6),'Assumptions &amp; Results'!AA83)</f>
        <v>0</v>
      </c>
      <c r="AA8" s="12">
        <f>IF('Assumptions &amp; Results'!$C$85=1,('Assumptions &amp; Results'!AB83-'Assumptions &amp; Results'!AB79+'LNG Tolling'!AA6),'Assumptions &amp; Results'!AB83)</f>
        <v>0</v>
      </c>
      <c r="AB8" s="12">
        <f>IF('Assumptions &amp; Results'!$C$85=1,('Assumptions &amp; Results'!AC83-'Assumptions &amp; Results'!AC79+'LNG Tolling'!AB6),'Assumptions &amp; Results'!AC83)</f>
        <v>0</v>
      </c>
      <c r="AC8" s="12">
        <f>IF('Assumptions &amp; Results'!$C$85=1,('Assumptions &amp; Results'!AD83-'Assumptions &amp; Results'!AD79+'LNG Tolling'!AC6),'Assumptions &amp; Results'!AD83)</f>
        <v>0</v>
      </c>
      <c r="AD8" s="12">
        <f>IF('Assumptions &amp; Results'!$C$85=1,('Assumptions &amp; Results'!AE83-'Assumptions &amp; Results'!AE79+'LNG Tolling'!AD6),'Assumptions &amp; Results'!AE83)</f>
        <v>0</v>
      </c>
      <c r="AE8" s="12">
        <f>IF('Assumptions &amp; Results'!$C$85=1,('Assumptions &amp; Results'!AF83-'Assumptions &amp; Results'!AF79+'LNG Tolling'!AE6),'Assumptions &amp; Results'!AF83)</f>
        <v>0</v>
      </c>
      <c r="AF8" s="12">
        <f>IF('Assumptions &amp; Results'!$C$85=1,('Assumptions &amp; Results'!AG83-'Assumptions &amp; Results'!AG79+'LNG Tolling'!AF6),'Assumptions &amp; Results'!AG83)</f>
        <v>0</v>
      </c>
      <c r="AG8" s="12">
        <f>IF('Assumptions &amp; Results'!$C$85=1,('Assumptions &amp; Results'!AH83-'Assumptions &amp; Results'!AH79+'LNG Tolling'!AG6),'Assumptions &amp; Results'!AH83)</f>
        <v>0</v>
      </c>
      <c r="AH8" s="12">
        <f>IF('Assumptions &amp; Results'!$C$85=1,('Assumptions &amp; Results'!AI83-'Assumptions &amp; Results'!AI79+'LNG Tolling'!AH6),'Assumptions &amp; Results'!AI83)</f>
        <v>0</v>
      </c>
      <c r="AI8" s="12">
        <f>IF('Assumptions &amp; Results'!$C$85=1,('Assumptions &amp; Results'!AJ83-'Assumptions &amp; Results'!AJ79+'LNG Tolling'!AI6),'Assumptions &amp; Results'!AJ83)</f>
        <v>0</v>
      </c>
      <c r="AJ8" s="125">
        <f>SUM(C8:AI8)</f>
        <v>16768</v>
      </c>
    </row>
    <row r="9" spans="1:36" x14ac:dyDescent="0.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5"/>
    </row>
    <row r="10" spans="1:36" s="69" customFormat="1" x14ac:dyDescent="0.2">
      <c r="A10" s="74" t="s">
        <v>346</v>
      </c>
      <c r="AJ10" s="132"/>
    </row>
    <row r="11" spans="1:36" x14ac:dyDescent="0.2">
      <c r="A11" t="s">
        <v>142</v>
      </c>
      <c r="B11" t="s">
        <v>99</v>
      </c>
      <c r="C11" s="8">
        <f>'Assumptions &amp; Results'!D105</f>
        <v>0</v>
      </c>
      <c r="D11" s="8">
        <f>'Assumptions &amp; Results'!E105</f>
        <v>0</v>
      </c>
      <c r="E11" s="8">
        <f>'Assumptions &amp; Results'!F105</f>
        <v>0</v>
      </c>
      <c r="F11" s="8">
        <f>'Assumptions &amp; Results'!G105</f>
        <v>0</v>
      </c>
      <c r="G11" s="8">
        <f>'Assumptions &amp; Results'!H105</f>
        <v>500</v>
      </c>
      <c r="H11" s="8">
        <f>'Assumptions &amp; Results'!I105</f>
        <v>1000</v>
      </c>
      <c r="I11" s="8">
        <f>'Assumptions &amp; Results'!J105</f>
        <v>1000</v>
      </c>
      <c r="J11" s="8">
        <f>'Assumptions &amp; Results'!K105</f>
        <v>1000</v>
      </c>
      <c r="K11" s="8">
        <f>'Assumptions &amp; Results'!L105</f>
        <v>1000</v>
      </c>
      <c r="L11" s="8">
        <f>'Assumptions &amp; Results'!M105</f>
        <v>1000</v>
      </c>
      <c r="M11" s="8">
        <f>'Assumptions &amp; Results'!N105</f>
        <v>1000</v>
      </c>
      <c r="N11" s="8">
        <f>'Assumptions &amp; Results'!O105</f>
        <v>1000</v>
      </c>
      <c r="O11" s="8">
        <f>'Assumptions &amp; Results'!P105</f>
        <v>1000</v>
      </c>
      <c r="P11" s="8">
        <f>'Assumptions &amp; Results'!Q105</f>
        <v>1000</v>
      </c>
      <c r="Q11" s="8">
        <f>'Assumptions &amp; Results'!R105</f>
        <v>1000</v>
      </c>
      <c r="R11" s="8">
        <f>'Assumptions &amp; Results'!S105</f>
        <v>1000</v>
      </c>
      <c r="S11" s="8">
        <f>'Assumptions &amp; Results'!T105</f>
        <v>1000</v>
      </c>
      <c r="T11" s="8">
        <f>'Assumptions &amp; Results'!U105</f>
        <v>1000</v>
      </c>
      <c r="U11" s="8">
        <f>'Assumptions &amp; Results'!V105</f>
        <v>1000</v>
      </c>
      <c r="V11" s="8">
        <f>'Assumptions &amp; Results'!W105</f>
        <v>1000</v>
      </c>
      <c r="W11" s="8">
        <f>'Assumptions &amp; Results'!X105</f>
        <v>1000</v>
      </c>
      <c r="X11" s="8">
        <f>'Assumptions &amp; Results'!Y105</f>
        <v>1000</v>
      </c>
      <c r="Y11" s="8">
        <f>'Assumptions &amp; Results'!Z105</f>
        <v>1000</v>
      </c>
      <c r="Z11" s="8">
        <f>'Assumptions &amp; Results'!AA105</f>
        <v>1000</v>
      </c>
      <c r="AA11" s="8">
        <f>'Assumptions &amp; Results'!AB105</f>
        <v>1000</v>
      </c>
      <c r="AB11" s="8">
        <f>'Assumptions &amp; Results'!AC105</f>
        <v>1000</v>
      </c>
      <c r="AC11" s="8">
        <f>'Assumptions &amp; Results'!AD105</f>
        <v>1000</v>
      </c>
      <c r="AD11" s="8">
        <f>'Assumptions &amp; Results'!AE105</f>
        <v>1000</v>
      </c>
      <c r="AE11" s="8">
        <f>'Assumptions &amp; Results'!AF105</f>
        <v>1000</v>
      </c>
      <c r="AF11" s="8">
        <f>'Assumptions &amp; Results'!AG105</f>
        <v>1000</v>
      </c>
      <c r="AG11" s="8">
        <f>'Assumptions &amp; Results'!AH105</f>
        <v>1000</v>
      </c>
      <c r="AH11" s="8">
        <f>'Assumptions &amp; Results'!AI105</f>
        <v>1000</v>
      </c>
      <c r="AI11" s="8">
        <f>'Assumptions &amp; Results'!AJ105</f>
        <v>1000</v>
      </c>
      <c r="AJ11" s="125">
        <f>SUM(C11:AI11)</f>
        <v>28500</v>
      </c>
    </row>
    <row r="12" spans="1:36" x14ac:dyDescent="0.2">
      <c r="A12" t="s">
        <v>348</v>
      </c>
      <c r="B12" t="s">
        <v>99</v>
      </c>
      <c r="C12" s="8">
        <f>IF('Assumptions &amp; Results'!D25&lt;1,'Assumptions &amp; Results'!D107,0)</f>
        <v>0</v>
      </c>
      <c r="D12" s="8">
        <f>IF('Assumptions &amp; Results'!E25&lt;1,'Assumptions &amp; Results'!E107,0)</f>
        <v>0</v>
      </c>
      <c r="E12" s="8">
        <f>IF('Assumptions &amp; Results'!F25&lt;1,'Assumptions &amp; Results'!F107,0)</f>
        <v>0</v>
      </c>
      <c r="F12" s="8">
        <f>IF('Assumptions &amp; Results'!G25&lt;1,'Assumptions &amp; Results'!G107,0)</f>
        <v>0</v>
      </c>
      <c r="G12" s="8">
        <f>IF('Assumptions &amp; Results'!H25&lt;1,'Assumptions &amp; Results'!H107,0)</f>
        <v>0</v>
      </c>
      <c r="H12" s="8">
        <f>IF('Assumptions &amp; Results'!I25&lt;1,'Assumptions &amp; Results'!I107,0)</f>
        <v>0</v>
      </c>
      <c r="I12" s="8">
        <f>IF('Assumptions &amp; Results'!J25&lt;1,'Assumptions &amp; Results'!J107,0)</f>
        <v>0</v>
      </c>
      <c r="J12" s="8">
        <f>IF('Assumptions &amp; Results'!K25&lt;1,'Assumptions &amp; Results'!K107,0)</f>
        <v>100</v>
      </c>
      <c r="K12" s="8">
        <f>IF('Assumptions &amp; Results'!L25&lt;1,'Assumptions &amp; Results'!L107,0)</f>
        <v>0</v>
      </c>
      <c r="L12" s="8">
        <f>IF('Assumptions &amp; Results'!M25&lt;1,'Assumptions &amp; Results'!M107,0)</f>
        <v>0</v>
      </c>
      <c r="M12" s="8">
        <f>IF('Assumptions &amp; Results'!N25&lt;1,'Assumptions &amp; Results'!N107,0)</f>
        <v>0</v>
      </c>
      <c r="N12" s="8">
        <f>IF('Assumptions &amp; Results'!O25&lt;1,'Assumptions &amp; Results'!O107,0)</f>
        <v>0</v>
      </c>
      <c r="O12" s="8">
        <f>IF('Assumptions &amp; Results'!P25&lt;1,'Assumptions &amp; Results'!P107,0)</f>
        <v>100</v>
      </c>
      <c r="P12" s="8">
        <f>IF('Assumptions &amp; Results'!Q25&lt;1,'Assumptions &amp; Results'!Q107,0)</f>
        <v>0</v>
      </c>
      <c r="Q12" s="8">
        <f>IF('Assumptions &amp; Results'!R25&lt;1,'Assumptions &amp; Results'!R107,0)</f>
        <v>0</v>
      </c>
      <c r="R12" s="8">
        <f>IF('Assumptions &amp; Results'!S25&lt;1,'Assumptions &amp; Results'!S107,0)</f>
        <v>0</v>
      </c>
      <c r="S12" s="8">
        <f>IF('Assumptions &amp; Results'!T25&lt;1,'Assumptions &amp; Results'!T107,0)</f>
        <v>0</v>
      </c>
      <c r="T12" s="8">
        <f>IF('Assumptions &amp; Results'!U25&lt;1,'Assumptions &amp; Results'!U107,0)</f>
        <v>100</v>
      </c>
      <c r="U12" s="8">
        <f>IF('Assumptions &amp; Results'!V25&lt;1,'Assumptions &amp; Results'!V107,0)</f>
        <v>0</v>
      </c>
      <c r="V12" s="8">
        <f>IF('Assumptions &amp; Results'!W25&lt;1,'Assumptions &amp; Results'!W107,0)</f>
        <v>0</v>
      </c>
      <c r="W12" s="8">
        <f>IF('Assumptions &amp; Results'!X25&lt;1,'Assumptions &amp; Results'!X107,0)</f>
        <v>0</v>
      </c>
      <c r="X12" s="8">
        <f>IF('Assumptions &amp; Results'!Y25&lt;1,'Assumptions &amp; Results'!Y107,0)</f>
        <v>0</v>
      </c>
      <c r="Y12" s="8">
        <f>IF('Assumptions &amp; Results'!Z25&lt;1,'Assumptions &amp; Results'!Z107,0)</f>
        <v>100</v>
      </c>
      <c r="Z12" s="8">
        <f>IF('Assumptions &amp; Results'!AA25&lt;1,'Assumptions &amp; Results'!AA107,0)</f>
        <v>0</v>
      </c>
      <c r="AA12" s="8">
        <f>IF('Assumptions &amp; Results'!AB25&lt;1,'Assumptions &amp; Results'!AB107,0)</f>
        <v>0</v>
      </c>
      <c r="AB12" s="8">
        <f>IF('Assumptions &amp; Results'!AC25&lt;1,'Assumptions &amp; Results'!AC107,0)</f>
        <v>0</v>
      </c>
      <c r="AC12" s="8">
        <f>IF('Assumptions &amp; Results'!AD25&lt;1,'Assumptions &amp; Results'!AD107,0)</f>
        <v>0</v>
      </c>
      <c r="AD12" s="8">
        <f>IF('Assumptions &amp; Results'!AE25&lt;1,'Assumptions &amp; Results'!AE107,0)</f>
        <v>100</v>
      </c>
      <c r="AE12" s="8">
        <f>IF('Assumptions &amp; Results'!AF25&lt;1,'Assumptions &amp; Results'!AF107,0)</f>
        <v>0</v>
      </c>
      <c r="AF12" s="8">
        <f>IF('Assumptions &amp; Results'!AG25&lt;1,'Assumptions &amp; Results'!AG107,0)</f>
        <v>0</v>
      </c>
      <c r="AG12" s="8">
        <f>IF('Assumptions &amp; Results'!AH25&lt;1,'Assumptions &amp; Results'!AH107,0)</f>
        <v>0</v>
      </c>
      <c r="AH12" s="8">
        <f>IF('Assumptions &amp; Results'!AI25&lt;1,'Assumptions &amp; Results'!AI107,0)</f>
        <v>0</v>
      </c>
      <c r="AI12" s="8">
        <f>IF('Assumptions &amp; Results'!AJ25&lt;1,'Assumptions &amp; Results'!AJ107,0)</f>
        <v>0</v>
      </c>
      <c r="AJ12" s="125">
        <f>SUM(C12:AI12)</f>
        <v>500</v>
      </c>
    </row>
    <row r="13" spans="1:36" x14ac:dyDescent="0.2">
      <c r="A13" t="s">
        <v>350</v>
      </c>
      <c r="B13" t="s">
        <v>99</v>
      </c>
      <c r="C13" s="8">
        <f>IF('Assumptions &amp; Results'!$C$97=1,+'Gas PL'!C26,0)</f>
        <v>0</v>
      </c>
      <c r="D13" s="8">
        <f>IF('Assumptions &amp; Results'!$C$97=1,+'Gas PL'!D26,0)</f>
        <v>0</v>
      </c>
      <c r="E13" s="8">
        <f>IF('Assumptions &amp; Results'!$C$97=1,+'Gas PL'!E26,0)</f>
        <v>0</v>
      </c>
      <c r="F13" s="8">
        <f>IF('Assumptions &amp; Results'!$C$97=1,+'Gas PL'!F26,0)</f>
        <v>0</v>
      </c>
      <c r="G13" s="8">
        <f>IF('Assumptions &amp; Results'!$C$97=1,+'Gas PL'!G26,0)</f>
        <v>120.45</v>
      </c>
      <c r="H13" s="8">
        <f>IF('Assumptions &amp; Results'!$C$97=1,+'Gas PL'!H26,0)</f>
        <v>240.9</v>
      </c>
      <c r="I13" s="8">
        <f>IF('Assumptions &amp; Results'!$C$97=1,+'Gas PL'!I26,0)</f>
        <v>240.9</v>
      </c>
      <c r="J13" s="8">
        <f>IF('Assumptions &amp; Results'!$C$97=1,+'Gas PL'!J26,0)</f>
        <v>228.85499999999999</v>
      </c>
      <c r="K13" s="8">
        <f>IF('Assumptions &amp; Results'!$C$97=1,+'Gas PL'!K26,0)</f>
        <v>240.9</v>
      </c>
      <c r="L13" s="8">
        <f>IF('Assumptions &amp; Results'!$C$97=1,+'Gas PL'!L26,0)</f>
        <v>240.9</v>
      </c>
      <c r="M13" s="8">
        <f>IF('Assumptions &amp; Results'!$C$97=1,+'Gas PL'!M26,0)</f>
        <v>240.9</v>
      </c>
      <c r="N13" s="8">
        <f>IF('Assumptions &amp; Results'!$C$97=1,+'Gas PL'!N26,0)</f>
        <v>240.9</v>
      </c>
      <c r="O13" s="8">
        <f>IF('Assumptions &amp; Results'!$C$97=1,+'Gas PL'!O26,0)</f>
        <v>228.85499999999999</v>
      </c>
      <c r="P13" s="8">
        <f>IF('Assumptions &amp; Results'!$C$97=1,+'Gas PL'!P26,0)</f>
        <v>240.9</v>
      </c>
      <c r="Q13" s="8">
        <f>IF('Assumptions &amp; Results'!$C$97=1,+'Gas PL'!Q26,0)</f>
        <v>240.9</v>
      </c>
      <c r="R13" s="8">
        <f>IF('Assumptions &amp; Results'!$C$97=1,+'Gas PL'!R26,0)</f>
        <v>240.9</v>
      </c>
      <c r="S13" s="8">
        <f>IF('Assumptions &amp; Results'!$C$97=1,+'Gas PL'!S26,0)</f>
        <v>240.9</v>
      </c>
      <c r="T13" s="8">
        <f>IF('Assumptions &amp; Results'!$C$97=1,+'Gas PL'!T26,0)</f>
        <v>228.85499999999999</v>
      </c>
      <c r="U13" s="8">
        <f>IF('Assumptions &amp; Results'!$C$97=1,+'Gas PL'!U26,0)</f>
        <v>240.9</v>
      </c>
      <c r="V13" s="8">
        <f>IF('Assumptions &amp; Results'!$C$97=1,+'Gas PL'!V26,0)</f>
        <v>240.9</v>
      </c>
      <c r="W13" s="8">
        <f>IF('Assumptions &amp; Results'!$C$97=1,+'Gas PL'!W26,0)</f>
        <v>240.9</v>
      </c>
      <c r="X13" s="8">
        <f>IF('Assumptions &amp; Results'!$C$97=1,+'Gas PL'!X26,0)</f>
        <v>240.9</v>
      </c>
      <c r="Y13" s="8">
        <f>IF('Assumptions &amp; Results'!$C$97=1,+'Gas PL'!Y26,0)</f>
        <v>228.85499999999999</v>
      </c>
      <c r="Z13" s="8">
        <f>IF('Assumptions &amp; Results'!$C$97=1,+'Gas PL'!Z26,0)</f>
        <v>240.9</v>
      </c>
      <c r="AA13" s="8">
        <f>IF('Assumptions &amp; Results'!$C$97=1,+'Gas PL'!AA26,0)</f>
        <v>240.9</v>
      </c>
      <c r="AB13" s="8">
        <f>IF('Assumptions &amp; Results'!$C$97=1,+'Gas PL'!AB26,0)</f>
        <v>240.9</v>
      </c>
      <c r="AC13" s="8">
        <f>IF('Assumptions &amp; Results'!$C$97=1,+'Gas PL'!AC26,0)</f>
        <v>240.9</v>
      </c>
      <c r="AD13" s="8">
        <f>IF('Assumptions &amp; Results'!$C$97=1,+'Gas PL'!AD26,0)</f>
        <v>228.85499999999999</v>
      </c>
      <c r="AE13" s="8">
        <f>IF('Assumptions &amp; Results'!$C$97=1,+'Gas PL'!AE26,0)</f>
        <v>240.9</v>
      </c>
      <c r="AF13" s="8">
        <f>IF('Assumptions &amp; Results'!$C$97=1,+'Gas PL'!AF26,0)</f>
        <v>240.9</v>
      </c>
      <c r="AG13" s="8">
        <f>IF('Assumptions &amp; Results'!$C$97=1,+'Gas PL'!AG26,0)</f>
        <v>240.9</v>
      </c>
      <c r="AH13" s="8">
        <f>IF('Assumptions &amp; Results'!$C$97=1,+'Gas PL'!AH26,0)</f>
        <v>240.9</v>
      </c>
      <c r="AI13" s="8">
        <f>IF('Assumptions &amp; Results'!$C$97=1,+'Gas PL'!AI26,0)</f>
        <v>240.9</v>
      </c>
      <c r="AJ13" s="125">
        <f>SUM(C13:AI13)</f>
        <v>6805.4249999999965</v>
      </c>
    </row>
    <row r="14" spans="1:36" ht="18" x14ac:dyDescent="0.35">
      <c r="A14" s="4" t="s">
        <v>369</v>
      </c>
      <c r="B14" t="s">
        <v>99</v>
      </c>
      <c r="C14" s="27">
        <v>0</v>
      </c>
      <c r="D14" s="27">
        <v>0</v>
      </c>
      <c r="E14" s="27">
        <v>0</v>
      </c>
      <c r="F14" s="27">
        <v>0</v>
      </c>
      <c r="G14" s="27">
        <v>0</v>
      </c>
      <c r="H14" s="27">
        <v>0</v>
      </c>
      <c r="I14" s="27">
        <v>0</v>
      </c>
      <c r="J14" s="27">
        <v>0</v>
      </c>
      <c r="K14" s="27">
        <v>0</v>
      </c>
      <c r="L14" s="27">
        <v>0</v>
      </c>
      <c r="M14" s="27">
        <v>0</v>
      </c>
      <c r="N14" s="27">
        <v>0</v>
      </c>
      <c r="O14" s="27">
        <v>0</v>
      </c>
      <c r="P14" s="27">
        <v>0</v>
      </c>
      <c r="Q14" s="27">
        <v>0</v>
      </c>
      <c r="R14" s="27">
        <v>0</v>
      </c>
      <c r="S14" s="27">
        <v>0</v>
      </c>
      <c r="T14" s="27">
        <v>0</v>
      </c>
      <c r="U14" s="27">
        <v>0</v>
      </c>
      <c r="V14" s="27">
        <v>0</v>
      </c>
      <c r="W14" s="27">
        <v>0</v>
      </c>
      <c r="X14" s="27">
        <v>0</v>
      </c>
      <c r="Y14" s="27">
        <v>0</v>
      </c>
      <c r="Z14" s="27">
        <v>0</v>
      </c>
      <c r="AA14" s="27">
        <v>0</v>
      </c>
      <c r="AB14" s="27">
        <v>0</v>
      </c>
      <c r="AC14" s="27">
        <v>0</v>
      </c>
      <c r="AD14" s="27">
        <v>0</v>
      </c>
      <c r="AE14" s="27">
        <v>0</v>
      </c>
      <c r="AF14" s="27">
        <v>0</v>
      </c>
      <c r="AG14" s="27">
        <v>0</v>
      </c>
      <c r="AH14" s="27">
        <v>0</v>
      </c>
      <c r="AI14" s="27">
        <v>0</v>
      </c>
      <c r="AJ14" s="126">
        <f>SUM(C14:AI14)</f>
        <v>0</v>
      </c>
    </row>
    <row r="15" spans="1:36" x14ac:dyDescent="0.2">
      <c r="A15" s="14" t="s">
        <v>352</v>
      </c>
      <c r="B15" t="s">
        <v>99</v>
      </c>
      <c r="C15" s="8">
        <f t="shared" ref="C15:AI15" si="0">C11+C12+C13+C14</f>
        <v>0</v>
      </c>
      <c r="D15" s="8">
        <f t="shared" si="0"/>
        <v>0</v>
      </c>
      <c r="E15" s="8">
        <f t="shared" si="0"/>
        <v>0</v>
      </c>
      <c r="F15" s="8">
        <f t="shared" si="0"/>
        <v>0</v>
      </c>
      <c r="G15" s="8">
        <f t="shared" si="0"/>
        <v>620.45000000000005</v>
      </c>
      <c r="H15" s="8">
        <f t="shared" si="0"/>
        <v>1240.9000000000001</v>
      </c>
      <c r="I15" s="8">
        <f t="shared" si="0"/>
        <v>1240.9000000000001</v>
      </c>
      <c r="J15" s="8">
        <f t="shared" si="0"/>
        <v>1328.855</v>
      </c>
      <c r="K15" s="8">
        <f t="shared" si="0"/>
        <v>1240.9000000000001</v>
      </c>
      <c r="L15" s="8">
        <f t="shared" si="0"/>
        <v>1240.9000000000001</v>
      </c>
      <c r="M15" s="8">
        <f t="shared" si="0"/>
        <v>1240.9000000000001</v>
      </c>
      <c r="N15" s="8">
        <f t="shared" si="0"/>
        <v>1240.9000000000001</v>
      </c>
      <c r="O15" s="8">
        <f t="shared" si="0"/>
        <v>1328.855</v>
      </c>
      <c r="P15" s="8">
        <f t="shared" si="0"/>
        <v>1240.9000000000001</v>
      </c>
      <c r="Q15" s="8">
        <f t="shared" si="0"/>
        <v>1240.9000000000001</v>
      </c>
      <c r="R15" s="8">
        <f t="shared" si="0"/>
        <v>1240.9000000000001</v>
      </c>
      <c r="S15" s="8">
        <f t="shared" si="0"/>
        <v>1240.9000000000001</v>
      </c>
      <c r="T15" s="8">
        <f t="shared" si="0"/>
        <v>1328.855</v>
      </c>
      <c r="U15" s="8">
        <f t="shared" si="0"/>
        <v>1240.9000000000001</v>
      </c>
      <c r="V15" s="8">
        <f t="shared" si="0"/>
        <v>1240.9000000000001</v>
      </c>
      <c r="W15" s="8">
        <f t="shared" si="0"/>
        <v>1240.9000000000001</v>
      </c>
      <c r="X15" s="8">
        <f t="shared" si="0"/>
        <v>1240.9000000000001</v>
      </c>
      <c r="Y15" s="8">
        <f t="shared" si="0"/>
        <v>1328.855</v>
      </c>
      <c r="Z15" s="8">
        <f t="shared" si="0"/>
        <v>1240.9000000000001</v>
      </c>
      <c r="AA15" s="8">
        <f t="shared" si="0"/>
        <v>1240.9000000000001</v>
      </c>
      <c r="AB15" s="8">
        <f t="shared" si="0"/>
        <v>1240.9000000000001</v>
      </c>
      <c r="AC15" s="8">
        <f t="shared" si="0"/>
        <v>1240.9000000000001</v>
      </c>
      <c r="AD15" s="8">
        <f t="shared" si="0"/>
        <v>1328.855</v>
      </c>
      <c r="AE15" s="8">
        <f t="shared" si="0"/>
        <v>1240.9000000000001</v>
      </c>
      <c r="AF15" s="8">
        <f t="shared" si="0"/>
        <v>1240.9000000000001</v>
      </c>
      <c r="AG15" s="8">
        <f t="shared" si="0"/>
        <v>1240.9000000000001</v>
      </c>
      <c r="AH15" s="8">
        <f t="shared" si="0"/>
        <v>1240.9000000000001</v>
      </c>
      <c r="AI15" s="8">
        <f t="shared" si="0"/>
        <v>1240.9000000000001</v>
      </c>
      <c r="AJ15" s="125">
        <f>SUM(C15:AI15)</f>
        <v>35805.42500000001</v>
      </c>
    </row>
    <row r="16" spans="1:36" x14ac:dyDescent="0.2">
      <c r="A16" s="4"/>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125"/>
    </row>
    <row r="17" spans="1:36" s="69" customFormat="1" x14ac:dyDescent="0.2">
      <c r="A17" s="74" t="s">
        <v>328</v>
      </c>
      <c r="AJ17" s="132"/>
    </row>
    <row r="18" spans="1:36" x14ac:dyDescent="0.2">
      <c r="A18" s="37" t="s">
        <v>370</v>
      </c>
      <c r="B18" t="s">
        <v>330</v>
      </c>
      <c r="C18" s="8">
        <f>'Field 1 Investor'!C13*'Assumptions &amp; Results'!D25</f>
        <v>0</v>
      </c>
      <c r="D18" s="8">
        <f>'Field 1 Investor'!D13*'Assumptions &amp; Results'!E25</f>
        <v>0</v>
      </c>
      <c r="E18" s="8">
        <f>'Field 1 Investor'!E13*'Assumptions &amp; Results'!F25</f>
        <v>0</v>
      </c>
      <c r="F18" s="8">
        <f>'Field 1 Investor'!F13*'Assumptions &amp; Results'!G25</f>
        <v>0</v>
      </c>
      <c r="G18" s="8">
        <f>'Field 1 Investor'!G13*'Assumptions &amp; Results'!H25</f>
        <v>265.59225000000004</v>
      </c>
      <c r="H18" s="8">
        <f>'Field 1 Investor'!H13*'Assumptions &amp; Results'!I25</f>
        <v>531.18450000000007</v>
      </c>
      <c r="I18" s="8">
        <f>'Field 1 Investor'!I13*'Assumptions &amp; Results'!J25</f>
        <v>531.18450000000007</v>
      </c>
      <c r="J18" s="8">
        <f>'Field 1 Investor'!J13*'Assumptions &amp; Results'!K25</f>
        <v>479.39401124999995</v>
      </c>
      <c r="K18" s="8">
        <f>'Field 1 Investor'!K13*'Assumptions &amp; Results'!L25</f>
        <v>531.18450000000007</v>
      </c>
      <c r="L18" s="8">
        <f>'Field 1 Investor'!L13*'Assumptions &amp; Results'!M25</f>
        <v>531.18450000000007</v>
      </c>
      <c r="M18" s="8">
        <f>'Field 1 Investor'!M13*'Assumptions &amp; Results'!N25</f>
        <v>531.18450000000007</v>
      </c>
      <c r="N18" s="8">
        <f>'Field 1 Investor'!N13*'Assumptions &amp; Results'!O25</f>
        <v>531.18450000000007</v>
      </c>
      <c r="O18" s="8">
        <f>'Field 1 Investor'!O13*'Assumptions &amp; Results'!P25</f>
        <v>479.39401124999995</v>
      </c>
      <c r="P18" s="8">
        <f>'Field 1 Investor'!P13*'Assumptions &amp; Results'!Q25</f>
        <v>531.18450000000007</v>
      </c>
      <c r="Q18" s="8">
        <f>'Field 1 Investor'!Q13*'Assumptions &amp; Results'!R25</f>
        <v>531.18450000000007</v>
      </c>
      <c r="R18" s="8">
        <f>'Field 1 Investor'!R13*'Assumptions &amp; Results'!S25</f>
        <v>531.18450000000007</v>
      </c>
      <c r="S18" s="8">
        <f>'Field 1 Investor'!S13*'Assumptions &amp; Results'!T25</f>
        <v>531.18450000000007</v>
      </c>
      <c r="T18" s="8">
        <f>'Field 1 Investor'!T13*'Assumptions &amp; Results'!U25</f>
        <v>479.39401124999995</v>
      </c>
      <c r="U18" s="8">
        <f>'Field 1 Investor'!U13*'Assumptions &amp; Results'!V25</f>
        <v>531.18450000000007</v>
      </c>
      <c r="V18" s="8">
        <f>'Field 1 Investor'!V13*'Assumptions &amp; Results'!W25</f>
        <v>531.18450000000007</v>
      </c>
      <c r="W18" s="8">
        <f>'Field 1 Investor'!W13*'Assumptions &amp; Results'!X25</f>
        <v>531.18450000000007</v>
      </c>
      <c r="X18" s="8">
        <f>'Field 1 Investor'!X13*'Assumptions &amp; Results'!Y25</f>
        <v>531.18450000000007</v>
      </c>
      <c r="Y18" s="8">
        <f>'Field 1 Investor'!Y13*'Assumptions &amp; Results'!Z25</f>
        <v>479.39401124999995</v>
      </c>
      <c r="Z18" s="8">
        <f>'Field 1 Investor'!Z13*'Assumptions &amp; Results'!AA25</f>
        <v>531.18450000000007</v>
      </c>
      <c r="AA18" s="8">
        <f>'Field 1 Investor'!AA13*'Assumptions &amp; Results'!AB25</f>
        <v>531.18450000000007</v>
      </c>
      <c r="AB18" s="8">
        <f>'Field 1 Investor'!AB13*'Assumptions &amp; Results'!AC25</f>
        <v>531.18450000000007</v>
      </c>
      <c r="AC18" s="8">
        <f>'Field 1 Investor'!AC13*'Assumptions &amp; Results'!AD25</f>
        <v>531.18450000000007</v>
      </c>
      <c r="AD18" s="8">
        <f>'Field 1 Investor'!AD13*'Assumptions &amp; Results'!AE25</f>
        <v>479.39401124999995</v>
      </c>
      <c r="AE18" s="8">
        <f>'Field 1 Investor'!AE13*'Assumptions &amp; Results'!AF25</f>
        <v>531.18450000000007</v>
      </c>
      <c r="AF18" s="8">
        <f>'Field 1 Investor'!AF13*'Assumptions &amp; Results'!AG25</f>
        <v>531.18450000000007</v>
      </c>
      <c r="AG18" s="8">
        <f>'Field 1 Investor'!AG13*'Assumptions &amp; Results'!AH25</f>
        <v>531.18450000000007</v>
      </c>
      <c r="AH18" s="8">
        <f>'Field 1 Investor'!AH13*'Assumptions &amp; Results'!AI25</f>
        <v>531.18450000000007</v>
      </c>
      <c r="AI18" s="8">
        <f>'Field 1 Investor'!AI13*'Assumptions &amp; Results'!AJ25</f>
        <v>531.18450000000007</v>
      </c>
      <c r="AJ18" s="125">
        <f>SUM(C18:AI18)</f>
        <v>14879.805806249997</v>
      </c>
    </row>
    <row r="19" spans="1:36" x14ac:dyDescent="0.2">
      <c r="A19" s="37" t="s">
        <v>371</v>
      </c>
      <c r="B19" t="s">
        <v>330</v>
      </c>
      <c r="C19" s="8">
        <f>'Field 2 Investor'!C13*'Assumptions &amp; Results'!D25</f>
        <v>0</v>
      </c>
      <c r="D19" s="8">
        <f>'Field 2 Investor'!D13*'Assumptions &amp; Results'!E25</f>
        <v>0</v>
      </c>
      <c r="E19" s="8">
        <f>'Field 2 Investor'!E13*'Assumptions &amp; Results'!F25</f>
        <v>0</v>
      </c>
      <c r="F19" s="8">
        <f>'Field 2 Investor'!F13*'Assumptions &amp; Results'!G25</f>
        <v>0</v>
      </c>
      <c r="G19" s="8">
        <f>'Field 2 Investor'!G13*'Assumptions &amp; Results'!H25</f>
        <v>265.59225000000004</v>
      </c>
      <c r="H19" s="8">
        <f>'Field 2 Investor'!H13*'Assumptions &amp; Results'!I25</f>
        <v>531.18450000000007</v>
      </c>
      <c r="I19" s="8">
        <f>'Field 2 Investor'!I13*'Assumptions &amp; Results'!J25</f>
        <v>531.18450000000007</v>
      </c>
      <c r="J19" s="8">
        <f>'Field 2 Investor'!J13*'Assumptions &amp; Results'!K25</f>
        <v>479.39401124999995</v>
      </c>
      <c r="K19" s="8">
        <f>'Field 2 Investor'!K13*'Assumptions &amp; Results'!L25</f>
        <v>531.18450000000007</v>
      </c>
      <c r="L19" s="8">
        <f>'Field 2 Investor'!L13*'Assumptions &amp; Results'!M25</f>
        <v>531.18450000000007</v>
      </c>
      <c r="M19" s="8">
        <f>'Field 2 Investor'!M13*'Assumptions &amp; Results'!N25</f>
        <v>531.18450000000007</v>
      </c>
      <c r="N19" s="8">
        <f>'Field 2 Investor'!N13*'Assumptions &amp; Results'!O25</f>
        <v>531.18450000000007</v>
      </c>
      <c r="O19" s="8">
        <f>'Field 2 Investor'!O13*'Assumptions &amp; Results'!P25</f>
        <v>479.39401124999995</v>
      </c>
      <c r="P19" s="8">
        <f>'Field 2 Investor'!P13*'Assumptions &amp; Results'!Q25</f>
        <v>531.18450000000007</v>
      </c>
      <c r="Q19" s="8">
        <f>'Field 2 Investor'!Q13*'Assumptions &amp; Results'!R25</f>
        <v>531.18450000000007</v>
      </c>
      <c r="R19" s="8">
        <f>'Field 2 Investor'!R13*'Assumptions &amp; Results'!S25</f>
        <v>531.18450000000007</v>
      </c>
      <c r="S19" s="8">
        <f>'Field 2 Investor'!S13*'Assumptions &amp; Results'!T25</f>
        <v>531.18450000000007</v>
      </c>
      <c r="T19" s="8">
        <f>'Field 2 Investor'!T13*'Assumptions &amp; Results'!U25</f>
        <v>479.39401124999995</v>
      </c>
      <c r="U19" s="8">
        <f>'Field 2 Investor'!U13*'Assumptions &amp; Results'!V25</f>
        <v>531.18450000000007</v>
      </c>
      <c r="V19" s="8">
        <f>'Field 2 Investor'!V13*'Assumptions &amp; Results'!W25</f>
        <v>531.18450000000007</v>
      </c>
      <c r="W19" s="8">
        <f>'Field 2 Investor'!W13*'Assumptions &amp; Results'!X25</f>
        <v>531.18450000000007</v>
      </c>
      <c r="X19" s="8">
        <f>'Field 2 Investor'!X13*'Assumptions &amp; Results'!Y25</f>
        <v>531.18450000000007</v>
      </c>
      <c r="Y19" s="8">
        <f>'Field 2 Investor'!Y13*'Assumptions &amp; Results'!Z25</f>
        <v>479.39401124999995</v>
      </c>
      <c r="Z19" s="8">
        <f>'Field 2 Investor'!Z13*'Assumptions &amp; Results'!AA25</f>
        <v>531.18450000000007</v>
      </c>
      <c r="AA19" s="8">
        <f>'Field 2 Investor'!AA13*'Assumptions &amp; Results'!AB25</f>
        <v>531.18450000000007</v>
      </c>
      <c r="AB19" s="8">
        <f>'Field 2 Investor'!AB13*'Assumptions &amp; Results'!AC25</f>
        <v>531.18450000000007</v>
      </c>
      <c r="AC19" s="8">
        <f>'Field 2 Investor'!AC13*'Assumptions &amp; Results'!AD25</f>
        <v>531.18450000000007</v>
      </c>
      <c r="AD19" s="8">
        <f>'Field 2 Investor'!AD13*'Assumptions &amp; Results'!AE25</f>
        <v>479.39401124999995</v>
      </c>
      <c r="AE19" s="8">
        <f>'Field 2 Investor'!AE13*'Assumptions &amp; Results'!AF25</f>
        <v>531.18450000000007</v>
      </c>
      <c r="AF19" s="8">
        <f>'Field 2 Investor'!AF13*'Assumptions &amp; Results'!AG25</f>
        <v>531.18450000000007</v>
      </c>
      <c r="AG19" s="8">
        <f>'Field 2 Investor'!AG13*'Assumptions &amp; Results'!AH25</f>
        <v>531.18450000000007</v>
      </c>
      <c r="AH19" s="8">
        <f>'Field 2 Investor'!AH13*'Assumptions &amp; Results'!AI25</f>
        <v>531.18450000000007</v>
      </c>
      <c r="AI19" s="8">
        <f>'Field 2 Investor'!AI13*'Assumptions &amp; Results'!AJ25</f>
        <v>531.18450000000007</v>
      </c>
      <c r="AJ19" s="125">
        <f>SUM(C19:AI19)</f>
        <v>14879.805806249997</v>
      </c>
    </row>
    <row r="20" spans="1:36" ht="18" x14ac:dyDescent="0.35">
      <c r="A20" s="37" t="s">
        <v>372</v>
      </c>
      <c r="B20" t="s">
        <v>330</v>
      </c>
      <c r="C20" s="27">
        <f>'Field 3 Investor'!C13*'Assumptions &amp; Results'!D25</f>
        <v>0</v>
      </c>
      <c r="D20" s="27">
        <f>'Field 3 Investor'!D13*'Assumptions &amp; Results'!E25</f>
        <v>0</v>
      </c>
      <c r="E20" s="27">
        <f>'Field 3 Investor'!E13*'Assumptions &amp; Results'!F25</f>
        <v>0</v>
      </c>
      <c r="F20" s="27">
        <f>'Field 3 Investor'!F13*'Assumptions &amp; Results'!G25</f>
        <v>0</v>
      </c>
      <c r="G20" s="27">
        <f>'Field 3 Investor'!G13*'Assumptions &amp; Results'!H25</f>
        <v>0</v>
      </c>
      <c r="H20" s="27">
        <f>'Field 3 Investor'!H13*'Assumptions &amp; Results'!I25</f>
        <v>0</v>
      </c>
      <c r="I20" s="27">
        <f>'Field 3 Investor'!I13*'Assumptions &amp; Results'!J25</f>
        <v>0</v>
      </c>
      <c r="J20" s="27">
        <f>'Field 3 Investor'!J13*'Assumptions &amp; Results'!K25</f>
        <v>0</v>
      </c>
      <c r="K20" s="27">
        <f>'Field 3 Investor'!K13*'Assumptions &amp; Results'!L25</f>
        <v>0</v>
      </c>
      <c r="L20" s="27">
        <f>'Field 3 Investor'!L13*'Assumptions &amp; Results'!M25</f>
        <v>0</v>
      </c>
      <c r="M20" s="27">
        <f>'Field 3 Investor'!M13*'Assumptions &amp; Results'!N25</f>
        <v>0</v>
      </c>
      <c r="N20" s="27">
        <f>'Field 3 Investor'!N13*'Assumptions &amp; Results'!O25</f>
        <v>0</v>
      </c>
      <c r="O20" s="27">
        <f>'Field 3 Investor'!O13*'Assumptions &amp; Results'!P25</f>
        <v>0</v>
      </c>
      <c r="P20" s="27">
        <f>'Field 3 Investor'!P13*'Assumptions &amp; Results'!Q25</f>
        <v>0</v>
      </c>
      <c r="Q20" s="27">
        <f>'Field 3 Investor'!Q13*'Assumptions &amp; Results'!R25</f>
        <v>0</v>
      </c>
      <c r="R20" s="27">
        <f>'Field 3 Investor'!R13*'Assumptions &amp; Results'!S25</f>
        <v>0</v>
      </c>
      <c r="S20" s="27">
        <f>'Field 3 Investor'!S13*'Assumptions &amp; Results'!T25</f>
        <v>0</v>
      </c>
      <c r="T20" s="27">
        <f>'Field 3 Investor'!T13*'Assumptions &amp; Results'!U25</f>
        <v>0</v>
      </c>
      <c r="U20" s="27">
        <f>'Field 3 Investor'!U13*'Assumptions &amp; Results'!V25</f>
        <v>0</v>
      </c>
      <c r="V20" s="27">
        <f>'Field 3 Investor'!V13*'Assumptions &amp; Results'!W25</f>
        <v>0</v>
      </c>
      <c r="W20" s="27">
        <f>'Field 3 Investor'!W13*'Assumptions &amp; Results'!X25</f>
        <v>0</v>
      </c>
      <c r="X20" s="27">
        <f>'Field 3 Investor'!X13*'Assumptions &amp; Results'!Y25</f>
        <v>0</v>
      </c>
      <c r="Y20" s="27">
        <f>'Field 3 Investor'!Y13*'Assumptions &amp; Results'!Z25</f>
        <v>0</v>
      </c>
      <c r="Z20" s="27">
        <f>'Field 3 Investor'!Z13*'Assumptions &amp; Results'!AA25</f>
        <v>0</v>
      </c>
      <c r="AA20" s="27">
        <f>'Field 3 Investor'!AA13*'Assumptions &amp; Results'!AB25</f>
        <v>0</v>
      </c>
      <c r="AB20" s="27">
        <f>'Field 3 Investor'!AB13*'Assumptions &amp; Results'!AC25</f>
        <v>0</v>
      </c>
      <c r="AC20" s="27">
        <f>'Field 3 Investor'!AC13*'Assumptions &amp; Results'!AD25</f>
        <v>0</v>
      </c>
      <c r="AD20" s="27">
        <f>'Field 3 Investor'!AD13*'Assumptions &amp; Results'!AE25</f>
        <v>0</v>
      </c>
      <c r="AE20" s="27">
        <f>'Field 3 Investor'!AE13*'Assumptions &amp; Results'!AF25</f>
        <v>0</v>
      </c>
      <c r="AF20" s="27">
        <f>'Field 3 Investor'!AF13*'Assumptions &amp; Results'!AG25</f>
        <v>0</v>
      </c>
      <c r="AG20" s="27">
        <f>'Field 3 Investor'!AG13*'Assumptions &amp; Results'!AH25</f>
        <v>0</v>
      </c>
      <c r="AH20" s="27">
        <f>'Field 3 Investor'!AH13*'Assumptions &amp; Results'!AI25</f>
        <v>0</v>
      </c>
      <c r="AI20" s="27">
        <f>'Field 3 Investor'!AI13*'Assumptions &amp; Results'!AJ25</f>
        <v>0</v>
      </c>
      <c r="AJ20" s="126">
        <f>SUM(C20:AI20)</f>
        <v>0</v>
      </c>
    </row>
    <row r="21" spans="1:36" ht="18" x14ac:dyDescent="0.35">
      <c r="A21" s="37" t="s">
        <v>373</v>
      </c>
      <c r="B21" t="s">
        <v>330</v>
      </c>
      <c r="C21" s="8">
        <f>SUM(C18:C20)</f>
        <v>0</v>
      </c>
      <c r="D21" s="8">
        <f t="shared" ref="D21:AI21" si="1">SUM(D18:D20)</f>
        <v>0</v>
      </c>
      <c r="E21" s="8">
        <f t="shared" si="1"/>
        <v>0</v>
      </c>
      <c r="F21" s="8">
        <f t="shared" si="1"/>
        <v>0</v>
      </c>
      <c r="G21" s="8">
        <f t="shared" si="1"/>
        <v>531.18450000000007</v>
      </c>
      <c r="H21" s="8">
        <f t="shared" si="1"/>
        <v>1062.3690000000001</v>
      </c>
      <c r="I21" s="8">
        <f t="shared" si="1"/>
        <v>1062.3690000000001</v>
      </c>
      <c r="J21" s="8">
        <f t="shared" si="1"/>
        <v>958.7880224999999</v>
      </c>
      <c r="K21" s="8">
        <f t="shared" si="1"/>
        <v>1062.3690000000001</v>
      </c>
      <c r="L21" s="8">
        <f t="shared" si="1"/>
        <v>1062.3690000000001</v>
      </c>
      <c r="M21" s="8">
        <f t="shared" si="1"/>
        <v>1062.3690000000001</v>
      </c>
      <c r="N21" s="8">
        <f t="shared" si="1"/>
        <v>1062.3690000000001</v>
      </c>
      <c r="O21" s="8">
        <f t="shared" si="1"/>
        <v>958.7880224999999</v>
      </c>
      <c r="P21" s="8">
        <f t="shared" si="1"/>
        <v>1062.3690000000001</v>
      </c>
      <c r="Q21" s="8">
        <f t="shared" si="1"/>
        <v>1062.3690000000001</v>
      </c>
      <c r="R21" s="8">
        <f t="shared" si="1"/>
        <v>1062.3690000000001</v>
      </c>
      <c r="S21" s="8">
        <f t="shared" si="1"/>
        <v>1062.3690000000001</v>
      </c>
      <c r="T21" s="8">
        <f t="shared" si="1"/>
        <v>958.7880224999999</v>
      </c>
      <c r="U21" s="8">
        <f t="shared" si="1"/>
        <v>1062.3690000000001</v>
      </c>
      <c r="V21" s="8">
        <f t="shared" si="1"/>
        <v>1062.3690000000001</v>
      </c>
      <c r="W21" s="8">
        <f t="shared" si="1"/>
        <v>1062.3690000000001</v>
      </c>
      <c r="X21" s="8">
        <f t="shared" si="1"/>
        <v>1062.3690000000001</v>
      </c>
      <c r="Y21" s="8">
        <f t="shared" si="1"/>
        <v>958.7880224999999</v>
      </c>
      <c r="Z21" s="8">
        <f t="shared" si="1"/>
        <v>1062.3690000000001</v>
      </c>
      <c r="AA21" s="8">
        <f t="shared" si="1"/>
        <v>1062.3690000000001</v>
      </c>
      <c r="AB21" s="8">
        <f t="shared" si="1"/>
        <v>1062.3690000000001</v>
      </c>
      <c r="AC21" s="8">
        <f t="shared" si="1"/>
        <v>1062.3690000000001</v>
      </c>
      <c r="AD21" s="8">
        <f t="shared" si="1"/>
        <v>958.7880224999999</v>
      </c>
      <c r="AE21" s="8">
        <f t="shared" si="1"/>
        <v>1062.3690000000001</v>
      </c>
      <c r="AF21" s="8">
        <f t="shared" si="1"/>
        <v>1062.3690000000001</v>
      </c>
      <c r="AG21" s="8">
        <f t="shared" si="1"/>
        <v>1062.3690000000001</v>
      </c>
      <c r="AH21" s="8">
        <f t="shared" si="1"/>
        <v>1062.3690000000001</v>
      </c>
      <c r="AI21" s="8">
        <f t="shared" si="1"/>
        <v>1062.3690000000001</v>
      </c>
      <c r="AJ21" s="126">
        <f>SUM(C21:AI21)</f>
        <v>29759.611612499993</v>
      </c>
    </row>
    <row r="22" spans="1:36" x14ac:dyDescent="0.2">
      <c r="B22" s="13"/>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row>
    <row r="23" spans="1:36" x14ac:dyDescent="0.2">
      <c r="A23" s="37" t="s">
        <v>374</v>
      </c>
      <c r="B23" t="s">
        <v>99</v>
      </c>
      <c r="C23" s="8">
        <f>IF('Assumptions &amp; Results'!$C$172=1,C18*'Assumptions &amp; Results'!D$98,0)</f>
        <v>0</v>
      </c>
      <c r="D23" s="8">
        <f>IF('Assumptions &amp; Results'!$C$172=1,D18*'Assumptions &amp; Results'!E$98,0)</f>
        <v>0</v>
      </c>
      <c r="E23" s="8">
        <f>IF('Assumptions &amp; Results'!$C$172=1,E18*'Assumptions &amp; Results'!F$98,0)</f>
        <v>0</v>
      </c>
      <c r="F23" s="8">
        <f>IF('Assumptions &amp; Results'!$C$172=1,F18*'Assumptions &amp; Results'!G$98,0)</f>
        <v>0</v>
      </c>
      <c r="G23" s="8">
        <f>IF('Assumptions &amp; Results'!$C$172=1,G18*'Assumptions &amp; Results'!H$98,0)</f>
        <v>1195.1651250000002</v>
      </c>
      <c r="H23" s="8">
        <f>IF('Assumptions &amp; Results'!$C$172=1,H18*'Assumptions &amp; Results'!I$98,0)</f>
        <v>2390.3302500000004</v>
      </c>
      <c r="I23" s="8">
        <f>IF('Assumptions &amp; Results'!$C$172=1,I18*'Assumptions &amp; Results'!J$98,0)</f>
        <v>2390.3302500000004</v>
      </c>
      <c r="J23" s="8">
        <f>IF('Assumptions &amp; Results'!$C$172=1,J18*'Assumptions &amp; Results'!K$98,0)</f>
        <v>2157.273050625</v>
      </c>
      <c r="K23" s="8">
        <f>IF('Assumptions &amp; Results'!$C$172=1,K18*'Assumptions &amp; Results'!L$98,0)</f>
        <v>2390.3302500000004</v>
      </c>
      <c r="L23" s="8">
        <f>IF('Assumptions &amp; Results'!$C$172=1,L18*'Assumptions &amp; Results'!M$98,0)</f>
        <v>2390.3302500000004</v>
      </c>
      <c r="M23" s="8">
        <f>IF('Assumptions &amp; Results'!$C$172=1,M18*'Assumptions &amp; Results'!N$98,0)</f>
        <v>2390.3302500000004</v>
      </c>
      <c r="N23" s="8">
        <f>IF('Assumptions &amp; Results'!$C$172=1,N18*'Assumptions &amp; Results'!O$98,0)</f>
        <v>2390.3302500000004</v>
      </c>
      <c r="O23" s="8">
        <f>IF('Assumptions &amp; Results'!$C$172=1,O18*'Assumptions &amp; Results'!P$98,0)</f>
        <v>2157.273050625</v>
      </c>
      <c r="P23" s="8">
        <f>IF('Assumptions &amp; Results'!$C$172=1,P18*'Assumptions &amp; Results'!Q$98,0)</f>
        <v>2390.3302500000004</v>
      </c>
      <c r="Q23" s="8">
        <f>IF('Assumptions &amp; Results'!$C$172=1,Q18*'Assumptions &amp; Results'!R$98,0)</f>
        <v>2390.3302500000004</v>
      </c>
      <c r="R23" s="8">
        <f>IF('Assumptions &amp; Results'!$C$172=1,R18*'Assumptions &amp; Results'!S$98,0)</f>
        <v>2390.3302500000004</v>
      </c>
      <c r="S23" s="8">
        <f>IF('Assumptions &amp; Results'!$C$172=1,S18*'Assumptions &amp; Results'!T$98,0)</f>
        <v>2390.3302500000004</v>
      </c>
      <c r="T23" s="8">
        <f>IF('Assumptions &amp; Results'!$C$172=1,T18*'Assumptions &amp; Results'!U$98,0)</f>
        <v>2157.273050625</v>
      </c>
      <c r="U23" s="8">
        <f>IF('Assumptions &amp; Results'!$C$172=1,U18*'Assumptions &amp; Results'!V$98,0)</f>
        <v>2390.3302500000004</v>
      </c>
      <c r="V23" s="8">
        <f>IF('Assumptions &amp; Results'!$C$172=1,V18*'Assumptions &amp; Results'!W$98,0)</f>
        <v>2390.3302500000004</v>
      </c>
      <c r="W23" s="8">
        <f>IF('Assumptions &amp; Results'!$C$172=1,W18*'Assumptions &amp; Results'!X$98,0)</f>
        <v>2390.3302500000004</v>
      </c>
      <c r="X23" s="8">
        <f>IF('Assumptions &amp; Results'!$C$172=1,X18*'Assumptions &amp; Results'!Y$98,0)</f>
        <v>2390.3302500000004</v>
      </c>
      <c r="Y23" s="8">
        <f>IF('Assumptions &amp; Results'!$C$172=1,Y18*'Assumptions &amp; Results'!Z$98,0)</f>
        <v>2157.273050625</v>
      </c>
      <c r="Z23" s="8">
        <f>IF('Assumptions &amp; Results'!$C$172=1,Z18*'Assumptions &amp; Results'!AA$98,0)</f>
        <v>2390.3302500000004</v>
      </c>
      <c r="AA23" s="8">
        <f>IF('Assumptions &amp; Results'!$C$172=1,AA18*'Assumptions &amp; Results'!AB$98,0)</f>
        <v>2390.3302500000004</v>
      </c>
      <c r="AB23" s="8">
        <f>IF('Assumptions &amp; Results'!$C$172=1,AB18*'Assumptions &amp; Results'!AC$98,0)</f>
        <v>2390.3302500000004</v>
      </c>
      <c r="AC23" s="8">
        <f>IF('Assumptions &amp; Results'!$C$172=1,AC18*'Assumptions &amp; Results'!AD$98,0)</f>
        <v>2390.3302500000004</v>
      </c>
      <c r="AD23" s="8">
        <f>IF('Assumptions &amp; Results'!$C$172=1,AD18*'Assumptions &amp; Results'!AE$98,0)</f>
        <v>2157.273050625</v>
      </c>
      <c r="AE23" s="8">
        <f>IF('Assumptions &amp; Results'!$C$172=1,AE18*'Assumptions &amp; Results'!AF$98,0)</f>
        <v>2390.3302500000004</v>
      </c>
      <c r="AF23" s="8">
        <f>IF('Assumptions &amp; Results'!$C$172=1,AF18*'Assumptions &amp; Results'!AG$98,0)</f>
        <v>2390.3302500000004</v>
      </c>
      <c r="AG23" s="8">
        <f>IF('Assumptions &amp; Results'!$C$172=1,AG18*'Assumptions &amp; Results'!AH$98,0)</f>
        <v>2390.3302500000004</v>
      </c>
      <c r="AH23" s="8">
        <f>IF('Assumptions &amp; Results'!$C$172=1,AH18*'Assumptions &amp; Results'!AI$98,0)</f>
        <v>2390.3302500000004</v>
      </c>
      <c r="AI23" s="8">
        <f>IF('Assumptions &amp; Results'!$C$172=1,AI18*'Assumptions &amp; Results'!AJ$98,0)</f>
        <v>2390.3302500000004</v>
      </c>
      <c r="AJ23" s="125">
        <f>SUM(C23:AI23)</f>
        <v>66959.12612812499</v>
      </c>
    </row>
    <row r="24" spans="1:36" x14ac:dyDescent="0.2">
      <c r="A24" s="37" t="s">
        <v>375</v>
      </c>
      <c r="B24" t="s">
        <v>99</v>
      </c>
      <c r="C24" s="8">
        <f>IF('Assumptions &amp; Results'!$C$172=1,C19*'Assumptions &amp; Results'!D$98,0)</f>
        <v>0</v>
      </c>
      <c r="D24" s="8">
        <f>IF('Assumptions &amp; Results'!$C$172=1,D19*'Assumptions &amp; Results'!E$98,0)</f>
        <v>0</v>
      </c>
      <c r="E24" s="8">
        <f>IF('Assumptions &amp; Results'!$C$172=1,E19*'Assumptions &amp; Results'!F$98,0)</f>
        <v>0</v>
      </c>
      <c r="F24" s="8">
        <f>IF('Assumptions &amp; Results'!$C$172=1,F19*'Assumptions &amp; Results'!G$98,0)</f>
        <v>0</v>
      </c>
      <c r="G24" s="8">
        <f>IF('Assumptions &amp; Results'!$C$172=1,G19*'Assumptions &amp; Results'!H$98,0)</f>
        <v>1195.1651250000002</v>
      </c>
      <c r="H24" s="8">
        <f>IF('Assumptions &amp; Results'!$C$172=1,H19*'Assumptions &amp; Results'!I$98,0)</f>
        <v>2390.3302500000004</v>
      </c>
      <c r="I24" s="8">
        <f>IF('Assumptions &amp; Results'!$C$172=1,I19*'Assumptions &amp; Results'!J$98,0)</f>
        <v>2390.3302500000004</v>
      </c>
      <c r="J24" s="8">
        <f>IF('Assumptions &amp; Results'!$C$172=1,J19*'Assumptions &amp; Results'!K$98,0)</f>
        <v>2157.273050625</v>
      </c>
      <c r="K24" s="8">
        <f>IF('Assumptions &amp; Results'!$C$172=1,K19*'Assumptions &amp; Results'!L$98,0)</f>
        <v>2390.3302500000004</v>
      </c>
      <c r="L24" s="8">
        <f>IF('Assumptions &amp; Results'!$C$172=1,L19*'Assumptions &amp; Results'!M$98,0)</f>
        <v>2390.3302500000004</v>
      </c>
      <c r="M24" s="8">
        <f>IF('Assumptions &amp; Results'!$C$172=1,M19*'Assumptions &amp; Results'!N$98,0)</f>
        <v>2390.3302500000004</v>
      </c>
      <c r="N24" s="8">
        <f>IF('Assumptions &amp; Results'!$C$172=1,N19*'Assumptions &amp; Results'!O$98,0)</f>
        <v>2390.3302500000004</v>
      </c>
      <c r="O24" s="8">
        <f>IF('Assumptions &amp; Results'!$C$172=1,O19*'Assumptions &amp; Results'!P$98,0)</f>
        <v>2157.273050625</v>
      </c>
      <c r="P24" s="8">
        <f>IF('Assumptions &amp; Results'!$C$172=1,P19*'Assumptions &amp; Results'!Q$98,0)</f>
        <v>2390.3302500000004</v>
      </c>
      <c r="Q24" s="8">
        <f>IF('Assumptions &amp; Results'!$C$172=1,Q19*'Assumptions &amp; Results'!R$98,0)</f>
        <v>2390.3302500000004</v>
      </c>
      <c r="R24" s="8">
        <f>IF('Assumptions &amp; Results'!$C$172=1,R19*'Assumptions &amp; Results'!S$98,0)</f>
        <v>2390.3302500000004</v>
      </c>
      <c r="S24" s="8">
        <f>IF('Assumptions &amp; Results'!$C$172=1,S19*'Assumptions &amp; Results'!T$98,0)</f>
        <v>2390.3302500000004</v>
      </c>
      <c r="T24" s="8">
        <f>IF('Assumptions &amp; Results'!$C$172=1,T19*'Assumptions &amp; Results'!U$98,0)</f>
        <v>2157.273050625</v>
      </c>
      <c r="U24" s="8">
        <f>IF('Assumptions &amp; Results'!$C$172=1,U19*'Assumptions &amp; Results'!V$98,0)</f>
        <v>2390.3302500000004</v>
      </c>
      <c r="V24" s="8">
        <f>IF('Assumptions &amp; Results'!$C$172=1,V19*'Assumptions &amp; Results'!W$98,0)</f>
        <v>2390.3302500000004</v>
      </c>
      <c r="W24" s="8">
        <f>IF('Assumptions &amp; Results'!$C$172=1,W19*'Assumptions &amp; Results'!X$98,0)</f>
        <v>2390.3302500000004</v>
      </c>
      <c r="X24" s="8">
        <f>IF('Assumptions &amp; Results'!$C$172=1,X19*'Assumptions &amp; Results'!Y$98,0)</f>
        <v>2390.3302500000004</v>
      </c>
      <c r="Y24" s="8">
        <f>IF('Assumptions &amp; Results'!$C$172=1,Y19*'Assumptions &amp; Results'!Z$98,0)</f>
        <v>2157.273050625</v>
      </c>
      <c r="Z24" s="8">
        <f>IF('Assumptions &amp; Results'!$C$172=1,Z19*'Assumptions &amp; Results'!AA$98,0)</f>
        <v>2390.3302500000004</v>
      </c>
      <c r="AA24" s="8">
        <f>IF('Assumptions &amp; Results'!$C$172=1,AA19*'Assumptions &amp; Results'!AB$98,0)</f>
        <v>2390.3302500000004</v>
      </c>
      <c r="AB24" s="8">
        <f>IF('Assumptions &amp; Results'!$C$172=1,AB19*'Assumptions &amp; Results'!AC$98,0)</f>
        <v>2390.3302500000004</v>
      </c>
      <c r="AC24" s="8">
        <f>IF('Assumptions &amp; Results'!$C$172=1,AC19*'Assumptions &amp; Results'!AD$98,0)</f>
        <v>2390.3302500000004</v>
      </c>
      <c r="AD24" s="8">
        <f>IF('Assumptions &amp; Results'!$C$172=1,AD19*'Assumptions &amp; Results'!AE$98,0)</f>
        <v>2157.273050625</v>
      </c>
      <c r="AE24" s="8">
        <f>IF('Assumptions &amp; Results'!$C$172=1,AE19*'Assumptions &amp; Results'!AF$98,0)</f>
        <v>2390.3302500000004</v>
      </c>
      <c r="AF24" s="8">
        <f>IF('Assumptions &amp; Results'!$C$172=1,AF19*'Assumptions &amp; Results'!AG$98,0)</f>
        <v>2390.3302500000004</v>
      </c>
      <c r="AG24" s="8">
        <f>IF('Assumptions &amp; Results'!$C$172=1,AG19*'Assumptions &amp; Results'!AH$98,0)</f>
        <v>2390.3302500000004</v>
      </c>
      <c r="AH24" s="8">
        <f>IF('Assumptions &amp; Results'!$C$172=1,AH19*'Assumptions &amp; Results'!AI$98,0)</f>
        <v>2390.3302500000004</v>
      </c>
      <c r="AI24" s="8">
        <f>IF('Assumptions &amp; Results'!$C$172=1,AI19*'Assumptions &amp; Results'!AJ$98,0)</f>
        <v>2390.3302500000004</v>
      </c>
      <c r="AJ24" s="125">
        <f>SUM(C24:AI24)</f>
        <v>66959.12612812499</v>
      </c>
    </row>
    <row r="25" spans="1:36" ht="18" x14ac:dyDescent="0.35">
      <c r="A25" s="37" t="s">
        <v>376</v>
      </c>
      <c r="B25" t="s">
        <v>99</v>
      </c>
      <c r="C25" s="27">
        <f>IF('Assumptions &amp; Results'!$C$172=1,C20*'Assumptions &amp; Results'!D$98,0)</f>
        <v>0</v>
      </c>
      <c r="D25" s="27">
        <f>IF('Assumptions &amp; Results'!$C$172=1,D20*'Assumptions &amp; Results'!E$98,0)</f>
        <v>0</v>
      </c>
      <c r="E25" s="27">
        <f>IF('Assumptions &amp; Results'!$C$172=1,E20*'Assumptions &amp; Results'!F$98,0)</f>
        <v>0</v>
      </c>
      <c r="F25" s="27">
        <f>IF('Assumptions &amp; Results'!$C$172=1,F20*'Assumptions &amp; Results'!G$98,0)</f>
        <v>0</v>
      </c>
      <c r="G25" s="27">
        <f>IF('Assumptions &amp; Results'!$C$172=1,G20*'Assumptions &amp; Results'!H$98,0)</f>
        <v>0</v>
      </c>
      <c r="H25" s="27">
        <f>IF('Assumptions &amp; Results'!$C$172=1,H20*'Assumptions &amp; Results'!I$98,0)</f>
        <v>0</v>
      </c>
      <c r="I25" s="27">
        <f>IF('Assumptions &amp; Results'!$C$172=1,I20*'Assumptions &amp; Results'!J$98,0)</f>
        <v>0</v>
      </c>
      <c r="J25" s="27">
        <f>IF('Assumptions &amp; Results'!$C$172=1,J20*'Assumptions &amp; Results'!K$98,0)</f>
        <v>0</v>
      </c>
      <c r="K25" s="27">
        <f>IF('Assumptions &amp; Results'!$C$172=1,K20*'Assumptions &amp; Results'!L$98,0)</f>
        <v>0</v>
      </c>
      <c r="L25" s="27">
        <f>IF('Assumptions &amp; Results'!$C$172=1,L20*'Assumptions &amp; Results'!M$98,0)</f>
        <v>0</v>
      </c>
      <c r="M25" s="27">
        <f>IF('Assumptions &amp; Results'!$C$172=1,M20*'Assumptions &amp; Results'!N$98,0)</f>
        <v>0</v>
      </c>
      <c r="N25" s="27">
        <f>IF('Assumptions &amp; Results'!$C$172=1,N20*'Assumptions &amp; Results'!O$98,0)</f>
        <v>0</v>
      </c>
      <c r="O25" s="27">
        <f>IF('Assumptions &amp; Results'!$C$172=1,O20*'Assumptions &amp; Results'!P$98,0)</f>
        <v>0</v>
      </c>
      <c r="P25" s="27">
        <f>IF('Assumptions &amp; Results'!$C$172=1,P20*'Assumptions &amp; Results'!Q$98,0)</f>
        <v>0</v>
      </c>
      <c r="Q25" s="27">
        <f>IF('Assumptions &amp; Results'!$C$172=1,Q20*'Assumptions &amp; Results'!R$98,0)</f>
        <v>0</v>
      </c>
      <c r="R25" s="27">
        <f>IF('Assumptions &amp; Results'!$C$172=1,R20*'Assumptions &amp; Results'!S$98,0)</f>
        <v>0</v>
      </c>
      <c r="S25" s="27">
        <f>IF('Assumptions &amp; Results'!$C$172=1,S20*'Assumptions &amp; Results'!T$98,0)</f>
        <v>0</v>
      </c>
      <c r="T25" s="27">
        <f>IF('Assumptions &amp; Results'!$C$172=1,T20*'Assumptions &amp; Results'!U$98,0)</f>
        <v>0</v>
      </c>
      <c r="U25" s="27">
        <f>IF('Assumptions &amp; Results'!$C$172=1,U20*'Assumptions &amp; Results'!V$98,0)</f>
        <v>0</v>
      </c>
      <c r="V25" s="27">
        <f>IF('Assumptions &amp; Results'!$C$172=1,V20*'Assumptions &amp; Results'!W$98,0)</f>
        <v>0</v>
      </c>
      <c r="W25" s="27">
        <f>IF('Assumptions &amp; Results'!$C$172=1,W20*'Assumptions &amp; Results'!X$98,0)</f>
        <v>0</v>
      </c>
      <c r="X25" s="27">
        <f>IF('Assumptions &amp; Results'!$C$172=1,X20*'Assumptions &amp; Results'!Y$98,0)</f>
        <v>0</v>
      </c>
      <c r="Y25" s="27">
        <f>IF('Assumptions &amp; Results'!$C$172=1,Y20*'Assumptions &amp; Results'!Z$98,0)</f>
        <v>0</v>
      </c>
      <c r="Z25" s="27">
        <f>IF('Assumptions &amp; Results'!$C$172=1,Z20*'Assumptions &amp; Results'!AA$98,0)</f>
        <v>0</v>
      </c>
      <c r="AA25" s="27">
        <f>IF('Assumptions &amp; Results'!$C$172=1,AA20*'Assumptions &amp; Results'!AB$98,0)</f>
        <v>0</v>
      </c>
      <c r="AB25" s="27">
        <f>IF('Assumptions &amp; Results'!$C$172=1,AB20*'Assumptions &amp; Results'!AC$98,0)</f>
        <v>0</v>
      </c>
      <c r="AC25" s="27">
        <f>IF('Assumptions &amp; Results'!$C$172=1,AC20*'Assumptions &amp; Results'!AD$98,0)</f>
        <v>0</v>
      </c>
      <c r="AD25" s="27">
        <f>IF('Assumptions &amp; Results'!$C$172=1,AD20*'Assumptions &amp; Results'!AE$98,0)</f>
        <v>0</v>
      </c>
      <c r="AE25" s="27">
        <f>IF('Assumptions &amp; Results'!$C$172=1,AE20*'Assumptions &amp; Results'!AF$98,0)</f>
        <v>0</v>
      </c>
      <c r="AF25" s="27">
        <f>IF('Assumptions &amp; Results'!$C$172=1,AF20*'Assumptions &amp; Results'!AG$98,0)</f>
        <v>0</v>
      </c>
      <c r="AG25" s="27">
        <f>IF('Assumptions &amp; Results'!$C$172=1,AG20*'Assumptions &amp; Results'!AH$98,0)</f>
        <v>0</v>
      </c>
      <c r="AH25" s="27">
        <f>IF('Assumptions &amp; Results'!$C$172=1,AH20*'Assumptions &amp; Results'!AI$98,0)</f>
        <v>0</v>
      </c>
      <c r="AI25" s="27">
        <f>IF('Assumptions &amp; Results'!$C$172=1,AI20*'Assumptions &amp; Results'!AJ$98,0)</f>
        <v>0</v>
      </c>
      <c r="AJ25" s="126">
        <f>SUM(C25:AI25)</f>
        <v>0</v>
      </c>
    </row>
    <row r="26" spans="1:36" x14ac:dyDescent="0.2">
      <c r="A26" s="37" t="s">
        <v>377</v>
      </c>
      <c r="B26" t="s">
        <v>99</v>
      </c>
      <c r="C26" s="8">
        <f>SUM(C23:C25)</f>
        <v>0</v>
      </c>
      <c r="D26" s="8">
        <f t="shared" ref="D26:AI26" si="2">SUM(D23:D25)</f>
        <v>0</v>
      </c>
      <c r="E26" s="8">
        <f t="shared" si="2"/>
        <v>0</v>
      </c>
      <c r="F26" s="8">
        <f t="shared" si="2"/>
        <v>0</v>
      </c>
      <c r="G26" s="8">
        <f t="shared" si="2"/>
        <v>2390.3302500000004</v>
      </c>
      <c r="H26" s="8">
        <f t="shared" si="2"/>
        <v>4780.6605000000009</v>
      </c>
      <c r="I26" s="8">
        <f t="shared" si="2"/>
        <v>4780.6605000000009</v>
      </c>
      <c r="J26" s="8">
        <f t="shared" si="2"/>
        <v>4314.54610125</v>
      </c>
      <c r="K26" s="8">
        <f t="shared" si="2"/>
        <v>4780.6605000000009</v>
      </c>
      <c r="L26" s="8">
        <f t="shared" si="2"/>
        <v>4780.6605000000009</v>
      </c>
      <c r="M26" s="8">
        <f t="shared" si="2"/>
        <v>4780.6605000000009</v>
      </c>
      <c r="N26" s="8">
        <f t="shared" si="2"/>
        <v>4780.6605000000009</v>
      </c>
      <c r="O26" s="8">
        <f t="shared" si="2"/>
        <v>4314.54610125</v>
      </c>
      <c r="P26" s="8">
        <f t="shared" si="2"/>
        <v>4780.6605000000009</v>
      </c>
      <c r="Q26" s="8">
        <f t="shared" si="2"/>
        <v>4780.6605000000009</v>
      </c>
      <c r="R26" s="8">
        <f t="shared" si="2"/>
        <v>4780.6605000000009</v>
      </c>
      <c r="S26" s="8">
        <f t="shared" si="2"/>
        <v>4780.6605000000009</v>
      </c>
      <c r="T26" s="8">
        <f t="shared" si="2"/>
        <v>4314.54610125</v>
      </c>
      <c r="U26" s="8">
        <f t="shared" si="2"/>
        <v>4780.6605000000009</v>
      </c>
      <c r="V26" s="8">
        <f t="shared" si="2"/>
        <v>4780.6605000000009</v>
      </c>
      <c r="W26" s="8">
        <f t="shared" si="2"/>
        <v>4780.6605000000009</v>
      </c>
      <c r="X26" s="8">
        <f t="shared" si="2"/>
        <v>4780.6605000000009</v>
      </c>
      <c r="Y26" s="8">
        <f t="shared" si="2"/>
        <v>4314.54610125</v>
      </c>
      <c r="Z26" s="8">
        <f t="shared" si="2"/>
        <v>4780.6605000000009</v>
      </c>
      <c r="AA26" s="8">
        <f t="shared" si="2"/>
        <v>4780.6605000000009</v>
      </c>
      <c r="AB26" s="8">
        <f t="shared" si="2"/>
        <v>4780.6605000000009</v>
      </c>
      <c r="AC26" s="8">
        <f t="shared" si="2"/>
        <v>4780.6605000000009</v>
      </c>
      <c r="AD26" s="8">
        <f t="shared" si="2"/>
        <v>4314.54610125</v>
      </c>
      <c r="AE26" s="8">
        <f t="shared" si="2"/>
        <v>4780.6605000000009</v>
      </c>
      <c r="AF26" s="8">
        <f t="shared" si="2"/>
        <v>4780.6605000000009</v>
      </c>
      <c r="AG26" s="8">
        <f t="shared" si="2"/>
        <v>4780.6605000000009</v>
      </c>
      <c r="AH26" s="8">
        <f t="shared" si="2"/>
        <v>4780.6605000000009</v>
      </c>
      <c r="AI26" s="8">
        <f t="shared" si="2"/>
        <v>4780.6605000000009</v>
      </c>
      <c r="AJ26" s="125">
        <f>SUM(C26:AI26)</f>
        <v>133918.25225624998</v>
      </c>
    </row>
    <row r="28" spans="1:36" s="69" customFormat="1" x14ac:dyDescent="0.2">
      <c r="A28" s="74" t="s">
        <v>338</v>
      </c>
      <c r="AJ28" s="132"/>
    </row>
    <row r="29" spans="1:36" x14ac:dyDescent="0.2">
      <c r="A29" t="s">
        <v>339</v>
      </c>
      <c r="B29" t="s">
        <v>99</v>
      </c>
      <c r="C29" s="8">
        <f>C111</f>
        <v>2.125</v>
      </c>
      <c r="D29" s="8">
        <f t="shared" ref="D29:AI29" si="3">D111</f>
        <v>484.375</v>
      </c>
      <c r="E29" s="8">
        <f t="shared" si="3"/>
        <v>1217.125</v>
      </c>
      <c r="F29" s="8">
        <f t="shared" si="3"/>
        <v>2096</v>
      </c>
      <c r="G29" s="8">
        <f t="shared" si="3"/>
        <v>2096</v>
      </c>
      <c r="H29" s="8">
        <f t="shared" si="3"/>
        <v>2096</v>
      </c>
      <c r="I29" s="8">
        <f t="shared" si="3"/>
        <v>2096</v>
      </c>
      <c r="J29" s="8">
        <f t="shared" si="3"/>
        <v>2096</v>
      </c>
      <c r="K29" s="8">
        <f t="shared" si="3"/>
        <v>2093.875</v>
      </c>
      <c r="L29" s="8">
        <f t="shared" si="3"/>
        <v>1611.625</v>
      </c>
      <c r="M29" s="8">
        <f t="shared" si="3"/>
        <v>878.875</v>
      </c>
      <c r="N29" s="8">
        <f t="shared" si="3"/>
        <v>0</v>
      </c>
      <c r="O29" s="8">
        <f t="shared" si="3"/>
        <v>0</v>
      </c>
      <c r="P29" s="8">
        <f t="shared" si="3"/>
        <v>0</v>
      </c>
      <c r="Q29" s="8">
        <f t="shared" si="3"/>
        <v>0</v>
      </c>
      <c r="R29" s="8">
        <f t="shared" si="3"/>
        <v>0</v>
      </c>
      <c r="S29" s="8">
        <f t="shared" si="3"/>
        <v>0</v>
      </c>
      <c r="T29" s="8">
        <f t="shared" si="3"/>
        <v>0</v>
      </c>
      <c r="U29" s="8">
        <f t="shared" si="3"/>
        <v>0</v>
      </c>
      <c r="V29" s="8">
        <f t="shared" si="3"/>
        <v>0</v>
      </c>
      <c r="W29" s="8">
        <f t="shared" si="3"/>
        <v>0</v>
      </c>
      <c r="X29" s="8">
        <f t="shared" si="3"/>
        <v>0</v>
      </c>
      <c r="Y29" s="8">
        <f t="shared" si="3"/>
        <v>0</v>
      </c>
      <c r="Z29" s="8">
        <f t="shared" si="3"/>
        <v>0</v>
      </c>
      <c r="AA29" s="8">
        <f t="shared" si="3"/>
        <v>0</v>
      </c>
      <c r="AB29" s="8">
        <f t="shared" si="3"/>
        <v>0</v>
      </c>
      <c r="AC29" s="8">
        <f t="shared" si="3"/>
        <v>0</v>
      </c>
      <c r="AD29" s="8">
        <f t="shared" si="3"/>
        <v>0</v>
      </c>
      <c r="AE29" s="8">
        <f t="shared" si="3"/>
        <v>0</v>
      </c>
      <c r="AF29" s="8">
        <f t="shared" si="3"/>
        <v>0</v>
      </c>
      <c r="AG29" s="8">
        <f t="shared" si="3"/>
        <v>0</v>
      </c>
      <c r="AH29" s="8">
        <f t="shared" si="3"/>
        <v>0</v>
      </c>
      <c r="AI29" s="8">
        <f t="shared" si="3"/>
        <v>0</v>
      </c>
      <c r="AJ29" s="125">
        <f>SUM(C29:AI29)</f>
        <v>16768</v>
      </c>
    </row>
    <row r="30" spans="1:36" x14ac:dyDescent="0.2">
      <c r="A30" t="str">
        <f>'LNG Equity '!A40</f>
        <v>Capital Lease Annual Cost (if lease cost permitted as deduction)</v>
      </c>
      <c r="B30" t="s">
        <v>99</v>
      </c>
      <c r="C30" s="8">
        <f>IF(AND('Assumptions &amp; Results'!$C$85=1,'Assumptions &amp; Results'!$C$87=1),+'Assumptions &amp; Results'!D86,0)</f>
        <v>0</v>
      </c>
      <c r="D30" s="8">
        <f>IF(AND('Assumptions &amp; Results'!$C$85=1,'Assumptions &amp; Results'!$C$87=1),+'Assumptions &amp; Results'!E86,0)</f>
        <v>0</v>
      </c>
      <c r="E30" s="8">
        <f>IF(AND('Assumptions &amp; Results'!$C$85=1,'Assumptions &amp; Results'!$C$87=1),+'Assumptions &amp; Results'!F86,0)</f>
        <v>0</v>
      </c>
      <c r="F30" s="8">
        <f>IF(AND('Assumptions &amp; Results'!$C$85=1,'Assumptions &amp; Results'!$C$87=1),+'Assumptions &amp; Results'!G86,0)</f>
        <v>0</v>
      </c>
      <c r="G30" s="8">
        <f>IF(AND('Assumptions &amp; Results'!$C$85=1,'Assumptions &amp; Results'!$C$87=1),+'Assumptions &amp; Results'!H86,0)</f>
        <v>0</v>
      </c>
      <c r="H30" s="8">
        <f>IF(AND('Assumptions &amp; Results'!$C$85=1,'Assumptions &amp; Results'!$C$87=1),+'Assumptions &amp; Results'!I86,0)</f>
        <v>0</v>
      </c>
      <c r="I30" s="8">
        <f>IF(AND('Assumptions &amp; Results'!$C$85=1,'Assumptions &amp; Results'!$C$87=1),+'Assumptions &amp; Results'!J86,0)</f>
        <v>0</v>
      </c>
      <c r="J30" s="8">
        <f>IF(AND('Assumptions &amp; Results'!$C$85=1,'Assumptions &amp; Results'!$C$87=1),+'Assumptions &amp; Results'!K86,0)</f>
        <v>0</v>
      </c>
      <c r="K30" s="8">
        <f>IF(AND('Assumptions &amp; Results'!$C$85=1,'Assumptions &amp; Results'!$C$87=1),+'Assumptions &amp; Results'!L86,0)</f>
        <v>0</v>
      </c>
      <c r="L30" s="8">
        <f>IF(AND('Assumptions &amp; Results'!$C$85=1,'Assumptions &amp; Results'!$C$87=1),+'Assumptions &amp; Results'!M86,0)</f>
        <v>0</v>
      </c>
      <c r="M30" s="8">
        <f>IF(AND('Assumptions &amp; Results'!$C$85=1,'Assumptions &amp; Results'!$C$87=1),+'Assumptions &amp; Results'!N86,0)</f>
        <v>0</v>
      </c>
      <c r="N30" s="8">
        <f>IF(AND('Assumptions &amp; Results'!$C$85=1,'Assumptions &amp; Results'!$C$87=1),+'Assumptions &amp; Results'!O86,0)</f>
        <v>0</v>
      </c>
      <c r="O30" s="8">
        <f>IF(AND('Assumptions &amp; Results'!$C$85=1,'Assumptions &amp; Results'!$C$87=1),+'Assumptions &amp; Results'!P86,0)</f>
        <v>0</v>
      </c>
      <c r="P30" s="8">
        <f>IF(AND('Assumptions &amp; Results'!$C$85=1,'Assumptions &amp; Results'!$C$87=1),+'Assumptions &amp; Results'!Q86,0)</f>
        <v>0</v>
      </c>
      <c r="Q30" s="8">
        <f>IF(AND('Assumptions &amp; Results'!$C$85=1,'Assumptions &amp; Results'!$C$87=1),+'Assumptions &amp; Results'!R86,0)</f>
        <v>0</v>
      </c>
      <c r="R30" s="8">
        <f>IF(AND('Assumptions &amp; Results'!$C$85=1,'Assumptions &amp; Results'!$C$87=1),+'Assumptions &amp; Results'!S86,0)</f>
        <v>0</v>
      </c>
      <c r="S30" s="8">
        <f>IF(AND('Assumptions &amp; Results'!$C$85=1,'Assumptions &amp; Results'!$C$87=1),+'Assumptions &amp; Results'!T86,0)</f>
        <v>0</v>
      </c>
      <c r="T30" s="8">
        <f>IF(AND('Assumptions &amp; Results'!$C$85=1,'Assumptions &amp; Results'!$C$87=1),+'Assumptions &amp; Results'!U86,0)</f>
        <v>0</v>
      </c>
      <c r="U30" s="8">
        <f>IF(AND('Assumptions &amp; Results'!$C$85=1,'Assumptions &amp; Results'!$C$87=1),+'Assumptions &amp; Results'!V86,0)</f>
        <v>0</v>
      </c>
      <c r="V30" s="8">
        <f>IF(AND('Assumptions &amp; Results'!$C$85=1,'Assumptions &amp; Results'!$C$87=1),+'Assumptions &amp; Results'!W86,0)</f>
        <v>0</v>
      </c>
      <c r="W30" s="8">
        <f>IF(AND('Assumptions &amp; Results'!$C$85=1,'Assumptions &amp; Results'!$C$87=1),+'Assumptions &amp; Results'!X86,0)</f>
        <v>0</v>
      </c>
      <c r="X30" s="8">
        <f>IF(AND('Assumptions &amp; Results'!$C$85=1,'Assumptions &amp; Results'!$C$87=1),+'Assumptions &amp; Results'!Y86,0)</f>
        <v>0</v>
      </c>
      <c r="Y30" s="8">
        <f>IF(AND('Assumptions &amp; Results'!$C$85=1,'Assumptions &amp; Results'!$C$87=1),+'Assumptions &amp; Results'!Z86,0)</f>
        <v>0</v>
      </c>
      <c r="Z30" s="8">
        <f>IF(AND('Assumptions &amp; Results'!$C$85=1,'Assumptions &amp; Results'!$C$87=1),+'Assumptions &amp; Results'!AA86,0)</f>
        <v>0</v>
      </c>
      <c r="AA30" s="8">
        <f>IF(AND('Assumptions &amp; Results'!$C$85=1,'Assumptions &amp; Results'!$C$87=1),+'Assumptions &amp; Results'!AB86,0)</f>
        <v>0</v>
      </c>
      <c r="AB30" s="8">
        <f>IF(AND('Assumptions &amp; Results'!$C$85=1,'Assumptions &amp; Results'!$C$87=1),+'Assumptions &amp; Results'!AC86,0)</f>
        <v>0</v>
      </c>
      <c r="AC30" s="8">
        <f>IF(AND('Assumptions &amp; Results'!$C$85=1,'Assumptions &amp; Results'!$C$87=1),+'Assumptions &amp; Results'!AD86,0)</f>
        <v>0</v>
      </c>
      <c r="AD30" s="8">
        <f>IF(AND('Assumptions &amp; Results'!$C$85=1,'Assumptions &amp; Results'!$C$87=1),+'Assumptions &amp; Results'!AE86,0)</f>
        <v>0</v>
      </c>
      <c r="AE30" s="8">
        <f>IF(AND('Assumptions &amp; Results'!$C$85=1,'Assumptions &amp; Results'!$C$87=1),+'Assumptions &amp; Results'!AF86,0)</f>
        <v>0</v>
      </c>
      <c r="AF30" s="8">
        <f>IF(AND('Assumptions &amp; Results'!$C$85=1,'Assumptions &amp; Results'!$C$87=1),+'Assumptions &amp; Results'!AG86,0)</f>
        <v>0</v>
      </c>
      <c r="AG30" s="8">
        <f>IF(AND('Assumptions &amp; Results'!$C$85=1,'Assumptions &amp; Results'!$C$87=1),+'Assumptions &amp; Results'!AH86,0)</f>
        <v>0</v>
      </c>
      <c r="AH30" s="8">
        <f>IF(AND('Assumptions &amp; Results'!$C$85=1,'Assumptions &amp; Results'!$C$87=1),+'Assumptions &amp; Results'!AI86,0)</f>
        <v>0</v>
      </c>
      <c r="AI30" s="8">
        <f>IF(AND('Assumptions &amp; Results'!$C$85=1,'Assumptions &amp; Results'!$C$87=1),+'Assumptions &amp; Results'!AJ86,0)</f>
        <v>0</v>
      </c>
      <c r="AJ30" s="125">
        <f>SUM(C30:AI30)</f>
        <v>0</v>
      </c>
    </row>
    <row r="31" spans="1:36" x14ac:dyDescent="0.2">
      <c r="A31" s="31" t="s">
        <v>475</v>
      </c>
      <c r="B31" t="s">
        <v>99</v>
      </c>
      <c r="C31" s="33">
        <f>IF(AND('Assumptions &amp; Results'!$C$127=1,'Assumptions &amp; Results'!$C$87=0),'Financing for Fiscal Terms Only'!C13,0)</f>
        <v>0</v>
      </c>
      <c r="D31" s="33">
        <f>IF(AND('Assumptions &amp; Results'!$C$127=1,'Assumptions &amp; Results'!$C$87=0),'Financing for Fiscal Terms Only'!D13,0)</f>
        <v>0</v>
      </c>
      <c r="E31" s="33">
        <f>IF(AND('Assumptions &amp; Results'!$C$127=1,'Assumptions &amp; Results'!$C$87=0),'Financing for Fiscal Terms Only'!E13,0)</f>
        <v>0</v>
      </c>
      <c r="F31" s="33">
        <f>IF(AND('Assumptions &amp; Results'!$C$127=1,'Assumptions &amp; Results'!$C$87=0),'Financing for Fiscal Terms Only'!F13,0)</f>
        <v>0</v>
      </c>
      <c r="G31" s="33">
        <f>IF(AND('Assumptions &amp; Results'!$C$127=1,'Assumptions &amp; Results'!$C$87=0),'Financing for Fiscal Terms Only'!G13,0)</f>
        <v>0</v>
      </c>
      <c r="H31" s="33">
        <f>IF(AND('Assumptions &amp; Results'!$C$127=1,'Assumptions &amp; Results'!$C$87=0),'Financing for Fiscal Terms Only'!H13,0)</f>
        <v>0</v>
      </c>
      <c r="I31" s="33">
        <f>IF(AND('Assumptions &amp; Results'!$C$127=1,'Assumptions &amp; Results'!$C$87=0),'Financing for Fiscal Terms Only'!I13,0)</f>
        <v>0</v>
      </c>
      <c r="J31" s="33">
        <f>IF(AND('Assumptions &amp; Results'!$C$127=1,'Assumptions &amp; Results'!$C$87=0),'Financing for Fiscal Terms Only'!J13,0)</f>
        <v>0</v>
      </c>
      <c r="K31" s="33">
        <f>IF(AND('Assumptions &amp; Results'!$C$127=1,'Assumptions &amp; Results'!$C$87=0),'Financing for Fiscal Terms Only'!K13,0)</f>
        <v>0</v>
      </c>
      <c r="L31" s="33">
        <f>IF(AND('Assumptions &amp; Results'!$C$127=1,'Assumptions &amp; Results'!$C$87=0),'Financing for Fiscal Terms Only'!L13,0)</f>
        <v>0</v>
      </c>
      <c r="M31" s="33">
        <f>IF(AND('Assumptions &amp; Results'!$C$127=1,'Assumptions &amp; Results'!$C$87=0),'Financing for Fiscal Terms Only'!M13,0)</f>
        <v>0</v>
      </c>
      <c r="N31" s="33">
        <f>IF(AND('Assumptions &amp; Results'!$C$127=1,'Assumptions &amp; Results'!$C$87=0),'Financing for Fiscal Terms Only'!N13,0)</f>
        <v>0</v>
      </c>
      <c r="O31" s="33">
        <f>IF(AND('Assumptions &amp; Results'!$C$127=1,'Assumptions &amp; Results'!$C$87=0),'Financing for Fiscal Terms Only'!O13,0)</f>
        <v>0</v>
      </c>
      <c r="P31" s="33">
        <f>IF(AND('Assumptions &amp; Results'!$C$127=1,'Assumptions &amp; Results'!$C$87=0),'Financing for Fiscal Terms Only'!P13,0)</f>
        <v>0</v>
      </c>
      <c r="Q31" s="33">
        <f>IF(AND('Assumptions &amp; Results'!$C$127=1,'Assumptions &amp; Results'!$C$87=0),'Financing for Fiscal Terms Only'!Q13,0)</f>
        <v>0</v>
      </c>
      <c r="R31" s="33">
        <f>IF(AND('Assumptions &amp; Results'!$C$127=1,'Assumptions &amp; Results'!$C$87=0),'Financing for Fiscal Terms Only'!R13,0)</f>
        <v>0</v>
      </c>
      <c r="S31" s="33">
        <f>IF(AND('Assumptions &amp; Results'!$C$127=1,'Assumptions &amp; Results'!$C$87=0),'Financing for Fiscal Terms Only'!S13,0)</f>
        <v>0</v>
      </c>
      <c r="T31" s="33">
        <f>IF(AND('Assumptions &amp; Results'!$C$127=1,'Assumptions &amp; Results'!$C$87=0),'Financing for Fiscal Terms Only'!T13,0)</f>
        <v>0</v>
      </c>
      <c r="U31" s="33">
        <f>IF(AND('Assumptions &amp; Results'!$C$127=1,'Assumptions &amp; Results'!$C$87=0),'Financing for Fiscal Terms Only'!U13,0)</f>
        <v>0</v>
      </c>
      <c r="V31" s="33">
        <f>IF(AND('Assumptions &amp; Results'!$C$127=1,'Assumptions &amp; Results'!$C$87=0),'Financing for Fiscal Terms Only'!V13,0)</f>
        <v>0</v>
      </c>
      <c r="W31" s="33">
        <f>IF(AND('Assumptions &amp; Results'!$C$127=1,'Assumptions &amp; Results'!$C$87=0),'Financing for Fiscal Terms Only'!W13,0)</f>
        <v>0</v>
      </c>
      <c r="X31" s="33">
        <f>IF(AND('Assumptions &amp; Results'!$C$127=1,'Assumptions &amp; Results'!$C$87=0),'Financing for Fiscal Terms Only'!X13,0)</f>
        <v>0</v>
      </c>
      <c r="Y31" s="33">
        <f>IF(AND('Assumptions &amp; Results'!$C$127=1,'Assumptions &amp; Results'!$C$87=0),'Financing for Fiscal Terms Only'!Y13,0)</f>
        <v>0</v>
      </c>
      <c r="Z31" s="33">
        <f>IF(AND('Assumptions &amp; Results'!$C$127=1,'Assumptions &amp; Results'!$C$87=0),'Financing for Fiscal Terms Only'!Z13,0)</f>
        <v>0</v>
      </c>
      <c r="AA31" s="33">
        <f>IF(AND('Assumptions &amp; Results'!$C$127=1,'Assumptions &amp; Results'!$C$87=0),'Financing for Fiscal Terms Only'!AA13,0)</f>
        <v>0</v>
      </c>
      <c r="AB31" s="33">
        <f>IF(AND('Assumptions &amp; Results'!$C$127=1,'Assumptions &amp; Results'!$C$87=0),'Financing for Fiscal Terms Only'!AB13,0)</f>
        <v>0</v>
      </c>
      <c r="AC31" s="33">
        <f>IF(AND('Assumptions &amp; Results'!$C$127=1,'Assumptions &amp; Results'!$C$87=0),'Financing for Fiscal Terms Only'!AC13,0)</f>
        <v>0</v>
      </c>
      <c r="AD31" s="33">
        <f>IF(AND('Assumptions &amp; Results'!$C$127=1,'Assumptions &amp; Results'!$C$87=0),'Financing for Fiscal Terms Only'!AD13,0)</f>
        <v>0</v>
      </c>
      <c r="AE31" s="33">
        <f>IF(AND('Assumptions &amp; Results'!$C$127=1,'Assumptions &amp; Results'!$C$87=0),'Financing for Fiscal Terms Only'!AE13,0)</f>
        <v>0</v>
      </c>
      <c r="AF31" s="33">
        <f>IF(AND('Assumptions &amp; Results'!$C$127=1,'Assumptions &amp; Results'!$C$87=0),'Financing for Fiscal Terms Only'!AF13,0)</f>
        <v>0</v>
      </c>
      <c r="AG31" s="33">
        <f>IF(AND('Assumptions &amp; Results'!$C$127=1,'Assumptions &amp; Results'!$C$87=0),'Financing for Fiscal Terms Only'!AG13,0)</f>
        <v>0</v>
      </c>
      <c r="AH31" s="33">
        <f>IF(AND('Assumptions &amp; Results'!$C$127=1,'Assumptions &amp; Results'!$C$87=0),'Financing for Fiscal Terms Only'!AH13,0)</f>
        <v>0</v>
      </c>
      <c r="AI31" s="33">
        <f>IF(AND('Assumptions &amp; Results'!$C$127=1,'Assumptions &amp; Results'!$C$87=0),'Financing for Fiscal Terms Only'!AI13,0)</f>
        <v>0</v>
      </c>
      <c r="AJ31" s="125">
        <f>SUM(C31:AI31)</f>
        <v>0</v>
      </c>
    </row>
    <row r="32" spans="1:36" x14ac:dyDescent="0.2">
      <c r="A32" s="37" t="s">
        <v>265</v>
      </c>
      <c r="B32" t="s">
        <v>99</v>
      </c>
      <c r="C32" s="8">
        <f>C26-C15-C29-C31-C30</f>
        <v>-2.125</v>
      </c>
      <c r="D32" s="8">
        <f t="shared" ref="D32:AI32" si="4">D26-D15-D29-D31-D30</f>
        <v>-484.375</v>
      </c>
      <c r="E32" s="8">
        <f t="shared" si="4"/>
        <v>-1217.125</v>
      </c>
      <c r="F32" s="8">
        <f t="shared" si="4"/>
        <v>-2096</v>
      </c>
      <c r="G32" s="8">
        <f t="shared" si="4"/>
        <v>-326.11974999999961</v>
      </c>
      <c r="H32" s="8">
        <f t="shared" si="4"/>
        <v>1443.7605000000008</v>
      </c>
      <c r="I32" s="8">
        <f t="shared" si="4"/>
        <v>1443.7605000000008</v>
      </c>
      <c r="J32" s="8">
        <f t="shared" si="4"/>
        <v>889.69110124999997</v>
      </c>
      <c r="K32" s="8">
        <f t="shared" si="4"/>
        <v>1445.8855000000008</v>
      </c>
      <c r="L32" s="8">
        <f t="shared" si="4"/>
        <v>1928.1355000000008</v>
      </c>
      <c r="M32" s="8">
        <f t="shared" si="4"/>
        <v>2660.8855000000008</v>
      </c>
      <c r="N32" s="8">
        <f t="shared" si="4"/>
        <v>3539.7605000000008</v>
      </c>
      <c r="O32" s="8">
        <f t="shared" si="4"/>
        <v>2985.69110125</v>
      </c>
      <c r="P32" s="8">
        <f t="shared" si="4"/>
        <v>3539.7605000000008</v>
      </c>
      <c r="Q32" s="8">
        <f t="shared" si="4"/>
        <v>3539.7605000000008</v>
      </c>
      <c r="R32" s="8">
        <f t="shared" si="4"/>
        <v>3539.7605000000008</v>
      </c>
      <c r="S32" s="8">
        <f t="shared" si="4"/>
        <v>3539.7605000000008</v>
      </c>
      <c r="T32" s="8">
        <f t="shared" si="4"/>
        <v>2985.69110125</v>
      </c>
      <c r="U32" s="8">
        <f t="shared" si="4"/>
        <v>3539.7605000000008</v>
      </c>
      <c r="V32" s="8">
        <f t="shared" si="4"/>
        <v>3539.7605000000008</v>
      </c>
      <c r="W32" s="8">
        <f t="shared" si="4"/>
        <v>3539.7605000000008</v>
      </c>
      <c r="X32" s="8">
        <f t="shared" si="4"/>
        <v>3539.7605000000008</v>
      </c>
      <c r="Y32" s="8">
        <f t="shared" si="4"/>
        <v>2985.69110125</v>
      </c>
      <c r="Z32" s="8">
        <f t="shared" si="4"/>
        <v>3539.7605000000008</v>
      </c>
      <c r="AA32" s="8">
        <f t="shared" si="4"/>
        <v>3539.7605000000008</v>
      </c>
      <c r="AB32" s="8">
        <f t="shared" si="4"/>
        <v>3539.7605000000008</v>
      </c>
      <c r="AC32" s="8">
        <f t="shared" si="4"/>
        <v>3539.7605000000008</v>
      </c>
      <c r="AD32" s="8">
        <f t="shared" si="4"/>
        <v>2985.69110125</v>
      </c>
      <c r="AE32" s="8">
        <f t="shared" si="4"/>
        <v>3539.7605000000008</v>
      </c>
      <c r="AF32" s="8">
        <f t="shared" si="4"/>
        <v>3539.7605000000008</v>
      </c>
      <c r="AG32" s="8">
        <f t="shared" si="4"/>
        <v>3539.7605000000008</v>
      </c>
      <c r="AH32" s="8">
        <f t="shared" si="4"/>
        <v>3539.7605000000008</v>
      </c>
      <c r="AI32" s="8">
        <f t="shared" si="4"/>
        <v>3539.7605000000008</v>
      </c>
      <c r="AJ32" s="125">
        <f>SUM(C32:AI32)</f>
        <v>81344.82725625005</v>
      </c>
    </row>
    <row r="33" spans="1:36" x14ac:dyDescent="0.2">
      <c r="A33" t="s">
        <v>340</v>
      </c>
      <c r="B33" t="s">
        <v>99</v>
      </c>
      <c r="C33" s="8">
        <f>IF(C32&lt;0,C32,0)</f>
        <v>-2.125</v>
      </c>
      <c r="D33" s="8">
        <f>IF((D32+C33)&lt;0,(D32+C33),0)</f>
        <v>-486.5</v>
      </c>
      <c r="E33" s="8">
        <f t="shared" ref="E33:AI33" si="5">IF((E32+D33)&lt;0,(E32+D33),0)</f>
        <v>-1703.625</v>
      </c>
      <c r="F33" s="8">
        <f t="shared" si="5"/>
        <v>-3799.625</v>
      </c>
      <c r="G33" s="8">
        <f t="shared" si="5"/>
        <v>-4125.7447499999998</v>
      </c>
      <c r="H33" s="8">
        <f t="shared" si="5"/>
        <v>-2681.9842499999991</v>
      </c>
      <c r="I33" s="8">
        <f t="shared" si="5"/>
        <v>-1238.2237499999983</v>
      </c>
      <c r="J33" s="8">
        <f t="shared" si="5"/>
        <v>-348.53264874999832</v>
      </c>
      <c r="K33" s="8">
        <f t="shared" si="5"/>
        <v>0</v>
      </c>
      <c r="L33" s="8">
        <f t="shared" si="5"/>
        <v>0</v>
      </c>
      <c r="M33" s="8">
        <f t="shared" si="5"/>
        <v>0</v>
      </c>
      <c r="N33" s="8">
        <f t="shared" si="5"/>
        <v>0</v>
      </c>
      <c r="O33" s="8">
        <f t="shared" si="5"/>
        <v>0</v>
      </c>
      <c r="P33" s="8">
        <f t="shared" si="5"/>
        <v>0</v>
      </c>
      <c r="Q33" s="8">
        <f t="shared" si="5"/>
        <v>0</v>
      </c>
      <c r="R33" s="8">
        <f t="shared" si="5"/>
        <v>0</v>
      </c>
      <c r="S33" s="8">
        <f t="shared" si="5"/>
        <v>0</v>
      </c>
      <c r="T33" s="8">
        <f t="shared" si="5"/>
        <v>0</v>
      </c>
      <c r="U33" s="8">
        <f t="shared" si="5"/>
        <v>0</v>
      </c>
      <c r="V33" s="8">
        <f t="shared" si="5"/>
        <v>0</v>
      </c>
      <c r="W33" s="8">
        <f t="shared" si="5"/>
        <v>0</v>
      </c>
      <c r="X33" s="8">
        <f t="shared" si="5"/>
        <v>0</v>
      </c>
      <c r="Y33" s="8">
        <f t="shared" si="5"/>
        <v>0</v>
      </c>
      <c r="Z33" s="8">
        <f t="shared" si="5"/>
        <v>0</v>
      </c>
      <c r="AA33" s="8">
        <f t="shared" si="5"/>
        <v>0</v>
      </c>
      <c r="AB33" s="8">
        <f t="shared" si="5"/>
        <v>0</v>
      </c>
      <c r="AC33" s="8">
        <f t="shared" si="5"/>
        <v>0</v>
      </c>
      <c r="AD33" s="8">
        <f t="shared" si="5"/>
        <v>0</v>
      </c>
      <c r="AE33" s="8">
        <f t="shared" si="5"/>
        <v>0</v>
      </c>
      <c r="AF33" s="8">
        <f t="shared" si="5"/>
        <v>0</v>
      </c>
      <c r="AG33" s="8">
        <f t="shared" si="5"/>
        <v>0</v>
      </c>
      <c r="AH33" s="8">
        <f t="shared" si="5"/>
        <v>0</v>
      </c>
      <c r="AI33" s="8">
        <f t="shared" si="5"/>
        <v>0</v>
      </c>
      <c r="AJ33" s="125"/>
    </row>
    <row r="34" spans="1:36" x14ac:dyDescent="0.2">
      <c r="A34" t="s">
        <v>267</v>
      </c>
      <c r="B34" t="s">
        <v>99</v>
      </c>
      <c r="C34" s="8">
        <f>IF((C32)&gt;0,(C32),0)</f>
        <v>0</v>
      </c>
      <c r="D34" s="8">
        <f t="shared" ref="D34:I34" si="6">IF((D32+C33)&gt;0,(D32+C33),0)</f>
        <v>0</v>
      </c>
      <c r="E34" s="8">
        <f t="shared" si="6"/>
        <v>0</v>
      </c>
      <c r="F34" s="8">
        <f t="shared" si="6"/>
        <v>0</v>
      </c>
      <c r="G34" s="8">
        <f t="shared" si="6"/>
        <v>0</v>
      </c>
      <c r="H34" s="8">
        <f t="shared" si="6"/>
        <v>0</v>
      </c>
      <c r="I34" s="8">
        <f t="shared" si="6"/>
        <v>0</v>
      </c>
      <c r="J34" s="8">
        <f>IF((J32+I33)&gt;0,(J32+I33),0)</f>
        <v>0</v>
      </c>
      <c r="K34" s="8">
        <f t="shared" ref="K34:AI34" si="7">IF((K32+J33)&gt;0,(K32+J33),0)</f>
        <v>1097.3528512500025</v>
      </c>
      <c r="L34" s="8">
        <f t="shared" si="7"/>
        <v>1928.1355000000008</v>
      </c>
      <c r="M34" s="8">
        <f t="shared" si="7"/>
        <v>2660.8855000000008</v>
      </c>
      <c r="N34" s="8">
        <f t="shared" si="7"/>
        <v>3539.7605000000008</v>
      </c>
      <c r="O34" s="8">
        <f t="shared" si="7"/>
        <v>2985.69110125</v>
      </c>
      <c r="P34" s="8">
        <f t="shared" si="7"/>
        <v>3539.7605000000008</v>
      </c>
      <c r="Q34" s="8">
        <f t="shared" si="7"/>
        <v>3539.7605000000008</v>
      </c>
      <c r="R34" s="8">
        <f t="shared" si="7"/>
        <v>3539.7605000000008</v>
      </c>
      <c r="S34" s="8">
        <f t="shared" si="7"/>
        <v>3539.7605000000008</v>
      </c>
      <c r="T34" s="8">
        <f t="shared" si="7"/>
        <v>2985.69110125</v>
      </c>
      <c r="U34" s="8">
        <f t="shared" si="7"/>
        <v>3539.7605000000008</v>
      </c>
      <c r="V34" s="8">
        <f t="shared" si="7"/>
        <v>3539.7605000000008</v>
      </c>
      <c r="W34" s="8">
        <f t="shared" si="7"/>
        <v>3539.7605000000008</v>
      </c>
      <c r="X34" s="8">
        <f t="shared" si="7"/>
        <v>3539.7605000000008</v>
      </c>
      <c r="Y34" s="8">
        <f t="shared" si="7"/>
        <v>2985.69110125</v>
      </c>
      <c r="Z34" s="8">
        <f t="shared" si="7"/>
        <v>3539.7605000000008</v>
      </c>
      <c r="AA34" s="8">
        <f t="shared" si="7"/>
        <v>3539.7605000000008</v>
      </c>
      <c r="AB34" s="8">
        <f t="shared" si="7"/>
        <v>3539.7605000000008</v>
      </c>
      <c r="AC34" s="8">
        <f t="shared" si="7"/>
        <v>3539.7605000000008</v>
      </c>
      <c r="AD34" s="8">
        <f t="shared" si="7"/>
        <v>2985.69110125</v>
      </c>
      <c r="AE34" s="8">
        <f t="shared" si="7"/>
        <v>3539.7605000000008</v>
      </c>
      <c r="AF34" s="8">
        <f t="shared" si="7"/>
        <v>3539.7605000000008</v>
      </c>
      <c r="AG34" s="8">
        <f t="shared" si="7"/>
        <v>3539.7605000000008</v>
      </c>
      <c r="AH34" s="8">
        <f t="shared" si="7"/>
        <v>3539.7605000000008</v>
      </c>
      <c r="AI34" s="8">
        <f t="shared" si="7"/>
        <v>3539.7605000000008</v>
      </c>
      <c r="AJ34" s="125">
        <f>SUM(C34:AI34)</f>
        <v>81344.82725625005</v>
      </c>
    </row>
    <row r="35" spans="1:36" x14ac:dyDescent="0.2">
      <c r="A35" t="s">
        <v>268</v>
      </c>
      <c r="B35" t="s">
        <v>99</v>
      </c>
      <c r="C35" s="8">
        <f>C34*'Assumptions &amp; Results'!$C$124</f>
        <v>0</v>
      </c>
      <c r="D35" s="8">
        <f>D34*'Assumptions &amp; Results'!$C$124</f>
        <v>0</v>
      </c>
      <c r="E35" s="8">
        <f>E34*'Assumptions &amp; Results'!$C$124</f>
        <v>0</v>
      </c>
      <c r="F35" s="8">
        <f>F34*'Assumptions &amp; Results'!$C$124</f>
        <v>0</v>
      </c>
      <c r="G35" s="8">
        <f>G34*'Assumptions &amp; Results'!$C$124</f>
        <v>0</v>
      </c>
      <c r="H35" s="8">
        <f>H34*'Assumptions &amp; Results'!$C$124</f>
        <v>0</v>
      </c>
      <c r="I35" s="8">
        <f>I34*'Assumptions &amp; Results'!$C$124</f>
        <v>0</v>
      </c>
      <c r="J35" s="8">
        <f>J34*'Assumptions &amp; Results'!$C$124</f>
        <v>0</v>
      </c>
      <c r="K35" s="8">
        <f>K34*'Assumptions &amp; Results'!$C$124</f>
        <v>351.15291240000079</v>
      </c>
      <c r="L35" s="8">
        <f>L34*'Assumptions &amp; Results'!$C$124</f>
        <v>617.00336000000027</v>
      </c>
      <c r="M35" s="8">
        <f>M34*'Assumptions &amp; Results'!$C$124</f>
        <v>851.48336000000029</v>
      </c>
      <c r="N35" s="8">
        <f>N34*'Assumptions &amp; Results'!$C$124</f>
        <v>1132.7233600000002</v>
      </c>
      <c r="O35" s="8">
        <f>O34*'Assumptions &amp; Results'!$C$124</f>
        <v>955.42115239999998</v>
      </c>
      <c r="P35" s="8">
        <f>P34*'Assumptions &amp; Results'!$C$124</f>
        <v>1132.7233600000002</v>
      </c>
      <c r="Q35" s="8">
        <f>Q34*'Assumptions &amp; Results'!$C$124</f>
        <v>1132.7233600000002</v>
      </c>
      <c r="R35" s="8">
        <f>R34*'Assumptions &amp; Results'!$C$124</f>
        <v>1132.7233600000002</v>
      </c>
      <c r="S35" s="8">
        <f>S34*'Assumptions &amp; Results'!$C$124</f>
        <v>1132.7233600000002</v>
      </c>
      <c r="T35" s="8">
        <f>T34*'Assumptions &amp; Results'!$C$124</f>
        <v>955.42115239999998</v>
      </c>
      <c r="U35" s="8">
        <f>U34*'Assumptions &amp; Results'!$C$124</f>
        <v>1132.7233600000002</v>
      </c>
      <c r="V35" s="8">
        <f>V34*'Assumptions &amp; Results'!$C$124</f>
        <v>1132.7233600000002</v>
      </c>
      <c r="W35" s="8">
        <f>W34*'Assumptions &amp; Results'!$C$124</f>
        <v>1132.7233600000002</v>
      </c>
      <c r="X35" s="8">
        <f>X34*'Assumptions &amp; Results'!$C$124</f>
        <v>1132.7233600000002</v>
      </c>
      <c r="Y35" s="8">
        <f>Y34*'Assumptions &amp; Results'!$C$124</f>
        <v>955.42115239999998</v>
      </c>
      <c r="Z35" s="8">
        <f>Z34*'Assumptions &amp; Results'!$C$124</f>
        <v>1132.7233600000002</v>
      </c>
      <c r="AA35" s="8">
        <f>AA34*'Assumptions &amp; Results'!$C$124</f>
        <v>1132.7233600000002</v>
      </c>
      <c r="AB35" s="8">
        <f>AB34*'Assumptions &amp; Results'!$C$124</f>
        <v>1132.7233600000002</v>
      </c>
      <c r="AC35" s="8">
        <f>AC34*'Assumptions &amp; Results'!$C$124</f>
        <v>1132.7233600000002</v>
      </c>
      <c r="AD35" s="8">
        <f>AD34*'Assumptions &amp; Results'!$C$124</f>
        <v>955.42115239999998</v>
      </c>
      <c r="AE35" s="8">
        <f>AE34*'Assumptions &amp; Results'!$C$124</f>
        <v>1132.7233600000002</v>
      </c>
      <c r="AF35" s="8">
        <f>AF34*'Assumptions &amp; Results'!$C$124</f>
        <v>1132.7233600000002</v>
      </c>
      <c r="AG35" s="8">
        <f>AG34*'Assumptions &amp; Results'!$C$124</f>
        <v>1132.7233600000002</v>
      </c>
      <c r="AH35" s="8">
        <f>AH34*'Assumptions &amp; Results'!$C$124</f>
        <v>1132.7233600000002</v>
      </c>
      <c r="AI35" s="8">
        <f>AI34*'Assumptions &amp; Results'!$C$124</f>
        <v>1132.7233600000002</v>
      </c>
      <c r="AJ35" s="125">
        <f>SUM(C35:AI35)</f>
        <v>26030.344722000002</v>
      </c>
    </row>
    <row r="37" spans="1:36" s="69" customFormat="1" x14ac:dyDescent="0.2">
      <c r="A37" s="74" t="s">
        <v>298</v>
      </c>
      <c r="AJ37" s="131">
        <f>SUM(E37:AI37)</f>
        <v>0</v>
      </c>
    </row>
    <row r="38" spans="1:36" ht="15.95" thickBot="1" x14ac:dyDescent="0.25">
      <c r="A38" s="37" t="s">
        <v>367</v>
      </c>
      <c r="B38" t="s">
        <v>99</v>
      </c>
      <c r="C38" s="10">
        <f>C26-C8-C15-C35</f>
        <v>-17</v>
      </c>
      <c r="D38" s="10">
        <f t="shared" ref="D38:AI38" si="8">D26-D8-D15-D35</f>
        <v>-3858</v>
      </c>
      <c r="E38" s="10">
        <f t="shared" si="8"/>
        <v>-5862</v>
      </c>
      <c r="F38" s="10">
        <f t="shared" si="8"/>
        <v>-7031</v>
      </c>
      <c r="G38" s="10">
        <f t="shared" si="8"/>
        <v>1769.8802500000004</v>
      </c>
      <c r="H38" s="10">
        <f t="shared" si="8"/>
        <v>3539.7605000000008</v>
      </c>
      <c r="I38" s="10">
        <f t="shared" si="8"/>
        <v>3539.7605000000008</v>
      </c>
      <c r="J38" s="10">
        <f t="shared" si="8"/>
        <v>2985.69110125</v>
      </c>
      <c r="K38" s="10">
        <f t="shared" si="8"/>
        <v>3188.6075876</v>
      </c>
      <c r="L38" s="10">
        <f t="shared" si="8"/>
        <v>2922.7571400000006</v>
      </c>
      <c r="M38" s="10">
        <f t="shared" si="8"/>
        <v>2688.2771400000006</v>
      </c>
      <c r="N38" s="10">
        <f t="shared" si="8"/>
        <v>2407.0371400000004</v>
      </c>
      <c r="O38" s="10">
        <f t="shared" si="8"/>
        <v>2030.26994885</v>
      </c>
      <c r="P38" s="10">
        <f t="shared" si="8"/>
        <v>2407.0371400000004</v>
      </c>
      <c r="Q38" s="10">
        <f t="shared" si="8"/>
        <v>2407.0371400000004</v>
      </c>
      <c r="R38" s="10">
        <f t="shared" si="8"/>
        <v>2407.0371400000004</v>
      </c>
      <c r="S38" s="10">
        <f t="shared" si="8"/>
        <v>2407.0371400000004</v>
      </c>
      <c r="T38" s="10">
        <f t="shared" si="8"/>
        <v>2030.26994885</v>
      </c>
      <c r="U38" s="10">
        <f t="shared" si="8"/>
        <v>2407.0371400000004</v>
      </c>
      <c r="V38" s="10">
        <f t="shared" si="8"/>
        <v>2407.0371400000004</v>
      </c>
      <c r="W38" s="10">
        <f t="shared" si="8"/>
        <v>2407.0371400000004</v>
      </c>
      <c r="X38" s="10">
        <f t="shared" si="8"/>
        <v>2407.0371400000004</v>
      </c>
      <c r="Y38" s="10">
        <f t="shared" si="8"/>
        <v>2030.26994885</v>
      </c>
      <c r="Z38" s="10">
        <f t="shared" si="8"/>
        <v>2407.0371400000004</v>
      </c>
      <c r="AA38" s="10">
        <f t="shared" si="8"/>
        <v>2407.0371400000004</v>
      </c>
      <c r="AB38" s="10">
        <f t="shared" si="8"/>
        <v>2407.0371400000004</v>
      </c>
      <c r="AC38" s="10">
        <f t="shared" si="8"/>
        <v>2407.0371400000004</v>
      </c>
      <c r="AD38" s="10">
        <f t="shared" si="8"/>
        <v>2030.26994885</v>
      </c>
      <c r="AE38" s="10">
        <f t="shared" si="8"/>
        <v>2407.0371400000004</v>
      </c>
      <c r="AF38" s="10">
        <f t="shared" si="8"/>
        <v>2407.0371400000004</v>
      </c>
      <c r="AG38" s="10">
        <f t="shared" si="8"/>
        <v>2407.0371400000004</v>
      </c>
      <c r="AH38" s="10">
        <f t="shared" si="8"/>
        <v>2407.0371400000004</v>
      </c>
      <c r="AI38" s="10">
        <f t="shared" si="8"/>
        <v>2407.0371400000004</v>
      </c>
      <c r="AJ38" s="125">
        <f>SUM(C38:AI38)</f>
        <v>55314.482534250012</v>
      </c>
    </row>
    <row r="39" spans="1:36" ht="15.95" thickBot="1" x14ac:dyDescent="0.25">
      <c r="A39" t="s">
        <v>300</v>
      </c>
      <c r="B39" s="7">
        <f>'Assumptions &amp; Results'!C154</f>
        <v>0.1</v>
      </c>
      <c r="C39" s="401">
        <f>NPV(B39,C38:AI38)</f>
        <v>4472.3805716887964</v>
      </c>
    </row>
    <row r="40" spans="1:36" ht="15.95" thickBot="1" x14ac:dyDescent="0.25">
      <c r="A40" t="s">
        <v>301</v>
      </c>
      <c r="B40" s="7"/>
      <c r="C40" s="368">
        <f>IRR(C38:AI38)</f>
        <v>0.14004073682421914</v>
      </c>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125"/>
    </row>
    <row r="42" spans="1:36" s="69" customFormat="1" x14ac:dyDescent="0.2">
      <c r="A42" s="74" t="s">
        <v>302</v>
      </c>
      <c r="AJ42" s="132"/>
    </row>
    <row r="43" spans="1:36" x14ac:dyDescent="0.2">
      <c r="A43" s="37" t="s">
        <v>342</v>
      </c>
      <c r="B43" t="s">
        <v>99</v>
      </c>
      <c r="C43" s="10">
        <f t="shared" ref="C43:AI43" si="9">C26-C4-C15</f>
        <v>-17</v>
      </c>
      <c r="D43" s="10">
        <f t="shared" si="9"/>
        <v>-3858</v>
      </c>
      <c r="E43" s="10">
        <f t="shared" si="9"/>
        <v>-5862</v>
      </c>
      <c r="F43" s="10">
        <f t="shared" si="9"/>
        <v>-7031</v>
      </c>
      <c r="G43" s="10">
        <f t="shared" si="9"/>
        <v>1769.8802500000004</v>
      </c>
      <c r="H43" s="10">
        <f t="shared" si="9"/>
        <v>3539.7605000000008</v>
      </c>
      <c r="I43" s="10">
        <f t="shared" si="9"/>
        <v>3539.7605000000008</v>
      </c>
      <c r="J43" s="10">
        <f t="shared" si="9"/>
        <v>2985.69110125</v>
      </c>
      <c r="K43" s="10">
        <f t="shared" si="9"/>
        <v>3539.7605000000008</v>
      </c>
      <c r="L43" s="10">
        <f t="shared" si="9"/>
        <v>3539.7605000000008</v>
      </c>
      <c r="M43" s="10">
        <f t="shared" si="9"/>
        <v>3539.7605000000008</v>
      </c>
      <c r="N43" s="10">
        <f t="shared" si="9"/>
        <v>3539.7605000000008</v>
      </c>
      <c r="O43" s="10">
        <f t="shared" si="9"/>
        <v>2985.69110125</v>
      </c>
      <c r="P43" s="10">
        <f t="shared" si="9"/>
        <v>3539.7605000000008</v>
      </c>
      <c r="Q43" s="10">
        <f t="shared" si="9"/>
        <v>3539.7605000000008</v>
      </c>
      <c r="R43" s="10">
        <f t="shared" si="9"/>
        <v>3539.7605000000008</v>
      </c>
      <c r="S43" s="10">
        <f t="shared" si="9"/>
        <v>3539.7605000000008</v>
      </c>
      <c r="T43" s="10">
        <f t="shared" si="9"/>
        <v>2985.69110125</v>
      </c>
      <c r="U43" s="10">
        <f t="shared" si="9"/>
        <v>3539.7605000000008</v>
      </c>
      <c r="V43" s="10">
        <f t="shared" si="9"/>
        <v>3539.7605000000008</v>
      </c>
      <c r="W43" s="10">
        <f t="shared" si="9"/>
        <v>3539.7605000000008</v>
      </c>
      <c r="X43" s="10">
        <f t="shared" si="9"/>
        <v>3539.7605000000008</v>
      </c>
      <c r="Y43" s="10">
        <f t="shared" si="9"/>
        <v>2985.69110125</v>
      </c>
      <c r="Z43" s="10">
        <f t="shared" si="9"/>
        <v>3539.7605000000008</v>
      </c>
      <c r="AA43" s="10">
        <f t="shared" si="9"/>
        <v>3539.7605000000008</v>
      </c>
      <c r="AB43" s="10">
        <f t="shared" si="9"/>
        <v>3539.7605000000008</v>
      </c>
      <c r="AC43" s="10">
        <f t="shared" si="9"/>
        <v>3539.7605000000008</v>
      </c>
      <c r="AD43" s="10">
        <f t="shared" si="9"/>
        <v>2985.69110125</v>
      </c>
      <c r="AE43" s="10">
        <f t="shared" si="9"/>
        <v>3539.7605000000008</v>
      </c>
      <c r="AF43" s="10">
        <f t="shared" si="9"/>
        <v>3539.7605000000008</v>
      </c>
      <c r="AG43" s="10">
        <f t="shared" si="9"/>
        <v>3539.7605000000008</v>
      </c>
      <c r="AH43" s="10">
        <f t="shared" si="9"/>
        <v>3539.7605000000008</v>
      </c>
      <c r="AI43" s="10">
        <f t="shared" si="9"/>
        <v>3539.7605000000008</v>
      </c>
      <c r="AJ43" s="125">
        <f>SUM(E43:AI43)</f>
        <v>85219.827256250064</v>
      </c>
    </row>
    <row r="44" spans="1:36" x14ac:dyDescent="0.2">
      <c r="A44" t="s">
        <v>304</v>
      </c>
      <c r="B44" t="s">
        <v>99</v>
      </c>
      <c r="C44" s="10">
        <f>C35</f>
        <v>0</v>
      </c>
      <c r="D44" s="10">
        <f t="shared" ref="D44:AI44" si="10">D35</f>
        <v>0</v>
      </c>
      <c r="E44" s="10">
        <f t="shared" si="10"/>
        <v>0</v>
      </c>
      <c r="F44" s="10">
        <f t="shared" si="10"/>
        <v>0</v>
      </c>
      <c r="G44" s="10">
        <f t="shared" si="10"/>
        <v>0</v>
      </c>
      <c r="H44" s="10">
        <f t="shared" si="10"/>
        <v>0</v>
      </c>
      <c r="I44" s="10">
        <f t="shared" si="10"/>
        <v>0</v>
      </c>
      <c r="J44" s="10">
        <f t="shared" si="10"/>
        <v>0</v>
      </c>
      <c r="K44" s="10">
        <f t="shared" si="10"/>
        <v>351.15291240000079</v>
      </c>
      <c r="L44" s="10">
        <f t="shared" si="10"/>
        <v>617.00336000000027</v>
      </c>
      <c r="M44" s="10">
        <f t="shared" si="10"/>
        <v>851.48336000000029</v>
      </c>
      <c r="N44" s="10">
        <f t="shared" si="10"/>
        <v>1132.7233600000002</v>
      </c>
      <c r="O44" s="10">
        <f t="shared" si="10"/>
        <v>955.42115239999998</v>
      </c>
      <c r="P44" s="10">
        <f t="shared" si="10"/>
        <v>1132.7233600000002</v>
      </c>
      <c r="Q44" s="10">
        <f t="shared" si="10"/>
        <v>1132.7233600000002</v>
      </c>
      <c r="R44" s="10">
        <f t="shared" si="10"/>
        <v>1132.7233600000002</v>
      </c>
      <c r="S44" s="10">
        <f t="shared" si="10"/>
        <v>1132.7233600000002</v>
      </c>
      <c r="T44" s="10">
        <f t="shared" si="10"/>
        <v>955.42115239999998</v>
      </c>
      <c r="U44" s="10">
        <f t="shared" si="10"/>
        <v>1132.7233600000002</v>
      </c>
      <c r="V44" s="10">
        <f t="shared" si="10"/>
        <v>1132.7233600000002</v>
      </c>
      <c r="W44" s="10">
        <f t="shared" si="10"/>
        <v>1132.7233600000002</v>
      </c>
      <c r="X44" s="10">
        <f t="shared" si="10"/>
        <v>1132.7233600000002</v>
      </c>
      <c r="Y44" s="10">
        <f t="shared" si="10"/>
        <v>955.42115239999998</v>
      </c>
      <c r="Z44" s="10">
        <f t="shared" si="10"/>
        <v>1132.7233600000002</v>
      </c>
      <c r="AA44" s="10">
        <f t="shared" si="10"/>
        <v>1132.7233600000002</v>
      </c>
      <c r="AB44" s="10">
        <f t="shared" si="10"/>
        <v>1132.7233600000002</v>
      </c>
      <c r="AC44" s="10">
        <f t="shared" si="10"/>
        <v>1132.7233600000002</v>
      </c>
      <c r="AD44" s="10">
        <f t="shared" si="10"/>
        <v>955.42115239999998</v>
      </c>
      <c r="AE44" s="10">
        <f t="shared" si="10"/>
        <v>1132.7233600000002</v>
      </c>
      <c r="AF44" s="10">
        <f t="shared" si="10"/>
        <v>1132.7233600000002</v>
      </c>
      <c r="AG44" s="10">
        <f t="shared" si="10"/>
        <v>1132.7233600000002</v>
      </c>
      <c r="AH44" s="10">
        <f t="shared" si="10"/>
        <v>1132.7233600000002</v>
      </c>
      <c r="AI44" s="10">
        <f t="shared" si="10"/>
        <v>1132.7233600000002</v>
      </c>
      <c r="AJ44" s="125">
        <f>SUM(E44:AI44)</f>
        <v>26030.344722000002</v>
      </c>
    </row>
    <row r="45" spans="1:36" ht="15.95" thickBot="1" x14ac:dyDescent="0.25">
      <c r="A45" t="s">
        <v>305</v>
      </c>
      <c r="C45" s="7">
        <f>C44/C43</f>
        <v>0</v>
      </c>
      <c r="D45" s="7">
        <f t="shared" ref="D45:AJ45" si="11">D44/D43</f>
        <v>0</v>
      </c>
      <c r="E45" s="7">
        <f t="shared" si="11"/>
        <v>0</v>
      </c>
      <c r="F45" s="7">
        <f t="shared" si="11"/>
        <v>0</v>
      </c>
      <c r="G45" s="7">
        <f t="shared" si="11"/>
        <v>0</v>
      </c>
      <c r="H45" s="7">
        <f t="shared" si="11"/>
        <v>0</v>
      </c>
      <c r="I45" s="7">
        <f t="shared" si="11"/>
        <v>0</v>
      </c>
      <c r="J45" s="7">
        <f t="shared" si="11"/>
        <v>0</v>
      </c>
      <c r="K45" s="7">
        <f t="shared" si="11"/>
        <v>9.9202449544256097E-2</v>
      </c>
      <c r="L45" s="7">
        <f t="shared" si="11"/>
        <v>0.17430652723538786</v>
      </c>
      <c r="M45" s="7">
        <f t="shared" si="11"/>
        <v>0.24054829698223937</v>
      </c>
      <c r="N45" s="7">
        <f t="shared" si="11"/>
        <v>0.32</v>
      </c>
      <c r="O45" s="7">
        <f t="shared" si="11"/>
        <v>0.32</v>
      </c>
      <c r="P45" s="7">
        <f t="shared" si="11"/>
        <v>0.32</v>
      </c>
      <c r="Q45" s="7">
        <f t="shared" si="11"/>
        <v>0.32</v>
      </c>
      <c r="R45" s="7">
        <f t="shared" si="11"/>
        <v>0.32</v>
      </c>
      <c r="S45" s="7">
        <f t="shared" si="11"/>
        <v>0.32</v>
      </c>
      <c r="T45" s="7">
        <f t="shared" si="11"/>
        <v>0.32</v>
      </c>
      <c r="U45" s="7">
        <f t="shared" si="11"/>
        <v>0.32</v>
      </c>
      <c r="V45" s="7">
        <f t="shared" si="11"/>
        <v>0.32</v>
      </c>
      <c r="W45" s="7">
        <f t="shared" si="11"/>
        <v>0.32</v>
      </c>
      <c r="X45" s="7">
        <f t="shared" si="11"/>
        <v>0.32</v>
      </c>
      <c r="Y45" s="7">
        <f t="shared" si="11"/>
        <v>0.32</v>
      </c>
      <c r="Z45" s="7">
        <f t="shared" si="11"/>
        <v>0.32</v>
      </c>
      <c r="AA45" s="7">
        <f t="shared" si="11"/>
        <v>0.32</v>
      </c>
      <c r="AB45" s="7">
        <f t="shared" si="11"/>
        <v>0.32</v>
      </c>
      <c r="AC45" s="7">
        <f t="shared" si="11"/>
        <v>0.32</v>
      </c>
      <c r="AD45" s="7">
        <f t="shared" si="11"/>
        <v>0.32</v>
      </c>
      <c r="AE45" s="7">
        <f t="shared" si="11"/>
        <v>0.32</v>
      </c>
      <c r="AF45" s="7">
        <f t="shared" si="11"/>
        <v>0.32</v>
      </c>
      <c r="AG45" s="7">
        <f t="shared" si="11"/>
        <v>0.32</v>
      </c>
      <c r="AH45" s="7">
        <f t="shared" si="11"/>
        <v>0.32</v>
      </c>
      <c r="AI45" s="7">
        <f t="shared" si="11"/>
        <v>0.32</v>
      </c>
      <c r="AJ45" s="133">
        <f t="shared" si="11"/>
        <v>0.30544939552304623</v>
      </c>
    </row>
    <row r="46" spans="1:36" ht="15.95" thickBot="1" x14ac:dyDescent="0.25">
      <c r="A46" t="s">
        <v>306</v>
      </c>
      <c r="C46" s="367">
        <f>AJ44</f>
        <v>26030.344722000002</v>
      </c>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133"/>
    </row>
    <row r="47" spans="1:36" ht="15.95" thickBot="1" x14ac:dyDescent="0.25">
      <c r="A47" t="s">
        <v>307</v>
      </c>
      <c r="B47" s="201">
        <f>'Assumptions &amp; Results'!C154</f>
        <v>0.1</v>
      </c>
      <c r="C47" s="367">
        <f>NPV(B47,C44:AI44)</f>
        <v>4052.3135820262091</v>
      </c>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133"/>
    </row>
    <row r="48" spans="1:36" ht="15.95" thickBot="1" x14ac:dyDescent="0.25">
      <c r="A48" t="s">
        <v>308</v>
      </c>
      <c r="C48" s="369">
        <f>AJ44/AJ43</f>
        <v>0.30544939552304623</v>
      </c>
    </row>
    <row r="49" spans="1:3" ht="15.95" thickBot="1" x14ac:dyDescent="0.25">
      <c r="A49" t="s">
        <v>309</v>
      </c>
      <c r="C49" s="369">
        <f>(NPV('Assumptions &amp; Results'!C154,C44:AI44))/(NPV('Assumptions &amp; Results'!C154,C43:AI43))</f>
        <v>0.47536175597106167</v>
      </c>
    </row>
    <row r="53" spans="1:3" x14ac:dyDescent="0.2">
      <c r="A53" s="36"/>
    </row>
    <row r="54" spans="1:3" x14ac:dyDescent="0.2">
      <c r="A54" s="16"/>
    </row>
    <row r="55" spans="1:3" x14ac:dyDescent="0.2">
      <c r="A55" s="16"/>
    </row>
    <row r="56" spans="1:3" x14ac:dyDescent="0.2">
      <c r="A56" s="16"/>
    </row>
    <row r="57" spans="1:3" x14ac:dyDescent="0.2">
      <c r="A57" s="16"/>
    </row>
    <row r="70" spans="1:37" x14ac:dyDescent="0.2">
      <c r="A70" s="402" t="s">
        <v>563</v>
      </c>
    </row>
    <row r="71" spans="1:37" ht="15.95" thickBot="1" x14ac:dyDescent="0.25">
      <c r="B71" s="1" t="s">
        <v>222</v>
      </c>
      <c r="C71" s="1">
        <f>C3</f>
        <v>2017</v>
      </c>
      <c r="D71" s="1">
        <f t="shared" ref="D71:AI71" si="12">D3</f>
        <v>2018</v>
      </c>
      <c r="E71" s="1">
        <f t="shared" si="12"/>
        <v>2019</v>
      </c>
      <c r="F71" s="1">
        <f t="shared" si="12"/>
        <v>2020</v>
      </c>
      <c r="G71" s="1">
        <f t="shared" si="12"/>
        <v>2021</v>
      </c>
      <c r="H71" s="1">
        <f t="shared" si="12"/>
        <v>2022</v>
      </c>
      <c r="I71" s="1">
        <f t="shared" si="12"/>
        <v>2023</v>
      </c>
      <c r="J71" s="1">
        <f t="shared" si="12"/>
        <v>2024</v>
      </c>
      <c r="K71" s="1">
        <f t="shared" si="12"/>
        <v>2025</v>
      </c>
      <c r="L71" s="1">
        <f t="shared" si="12"/>
        <v>2026</v>
      </c>
      <c r="M71" s="1">
        <f t="shared" si="12"/>
        <v>2027</v>
      </c>
      <c r="N71" s="1">
        <f t="shared" si="12"/>
        <v>2028</v>
      </c>
      <c r="O71" s="1">
        <f t="shared" si="12"/>
        <v>2029</v>
      </c>
      <c r="P71" s="1">
        <f t="shared" si="12"/>
        <v>2030</v>
      </c>
      <c r="Q71" s="1">
        <f t="shared" si="12"/>
        <v>2031</v>
      </c>
      <c r="R71" s="1">
        <f t="shared" si="12"/>
        <v>2032</v>
      </c>
      <c r="S71" s="1">
        <f t="shared" si="12"/>
        <v>2033</v>
      </c>
      <c r="T71" s="1">
        <f t="shared" si="12"/>
        <v>2034</v>
      </c>
      <c r="U71" s="1">
        <f t="shared" si="12"/>
        <v>2035</v>
      </c>
      <c r="V71" s="1">
        <f t="shared" si="12"/>
        <v>2036</v>
      </c>
      <c r="W71" s="1">
        <f t="shared" si="12"/>
        <v>2037</v>
      </c>
      <c r="X71" s="1">
        <f t="shared" si="12"/>
        <v>2038</v>
      </c>
      <c r="Y71" s="1">
        <f t="shared" si="12"/>
        <v>2039</v>
      </c>
      <c r="Z71" s="1">
        <f t="shared" si="12"/>
        <v>2040</v>
      </c>
      <c r="AA71" s="1">
        <f t="shared" si="12"/>
        <v>2041</v>
      </c>
      <c r="AB71" s="1">
        <f t="shared" si="12"/>
        <v>2042</v>
      </c>
      <c r="AC71" s="1">
        <f t="shared" si="12"/>
        <v>2043</v>
      </c>
      <c r="AD71" s="1">
        <f t="shared" si="12"/>
        <v>2044</v>
      </c>
      <c r="AE71" s="1">
        <f t="shared" si="12"/>
        <v>2045</v>
      </c>
      <c r="AF71" s="1">
        <f t="shared" si="12"/>
        <v>2046</v>
      </c>
      <c r="AG71" s="1">
        <f t="shared" si="12"/>
        <v>2047</v>
      </c>
      <c r="AH71" s="1">
        <f t="shared" si="12"/>
        <v>2048</v>
      </c>
      <c r="AI71" s="1">
        <f t="shared" si="12"/>
        <v>2049</v>
      </c>
      <c r="AJ71" s="123" t="s">
        <v>63</v>
      </c>
    </row>
    <row r="72" spans="1:37" ht="15.95" thickBot="1" x14ac:dyDescent="0.25">
      <c r="A72" t="str">
        <f>'Assumptions &amp; Results'!A120</f>
        <v>Depreciation Life for LNG Investments</v>
      </c>
      <c r="B72" t="str">
        <f>'Assumptions &amp; Results'!B120</f>
        <v>Straight Line</v>
      </c>
      <c r="C72" s="403">
        <f>'Assumptions &amp; Results'!$C$120</f>
        <v>8</v>
      </c>
    </row>
    <row r="73" spans="1:37" x14ac:dyDescent="0.2">
      <c r="C73" s="38"/>
    </row>
    <row r="74" spans="1:37" x14ac:dyDescent="0.2">
      <c r="A74" s="2" t="str">
        <f>A4</f>
        <v>Total LNG Capital Expds eligible for Tax Depreciation under LNG fiscal regime</v>
      </c>
      <c r="B74" s="79" t="s">
        <v>99</v>
      </c>
      <c r="C74" s="84">
        <f>C4</f>
        <v>17</v>
      </c>
      <c r="D74" s="84">
        <f t="shared" ref="D74:AI74" si="13">D4</f>
        <v>3858</v>
      </c>
      <c r="E74" s="84">
        <f t="shared" si="13"/>
        <v>5862</v>
      </c>
      <c r="F74" s="84">
        <f t="shared" si="13"/>
        <v>7031</v>
      </c>
      <c r="G74" s="84">
        <f t="shared" si="13"/>
        <v>0</v>
      </c>
      <c r="H74" s="84">
        <f t="shared" si="13"/>
        <v>0</v>
      </c>
      <c r="I74" s="84">
        <f t="shared" si="13"/>
        <v>0</v>
      </c>
      <c r="J74" s="84">
        <f t="shared" si="13"/>
        <v>0</v>
      </c>
      <c r="K74" s="84">
        <f t="shared" si="13"/>
        <v>0</v>
      </c>
      <c r="L74" s="84">
        <f t="shared" si="13"/>
        <v>0</v>
      </c>
      <c r="M74" s="84">
        <f t="shared" si="13"/>
        <v>0</v>
      </c>
      <c r="N74" s="84">
        <f t="shared" si="13"/>
        <v>0</v>
      </c>
      <c r="O74" s="84">
        <f t="shared" si="13"/>
        <v>0</v>
      </c>
      <c r="P74" s="84">
        <f t="shared" si="13"/>
        <v>0</v>
      </c>
      <c r="Q74" s="84">
        <f t="shared" si="13"/>
        <v>0</v>
      </c>
      <c r="R74" s="84">
        <f t="shared" si="13"/>
        <v>0</v>
      </c>
      <c r="S74" s="84">
        <f t="shared" si="13"/>
        <v>0</v>
      </c>
      <c r="T74" s="84">
        <f t="shared" si="13"/>
        <v>0</v>
      </c>
      <c r="U74" s="84">
        <f t="shared" si="13"/>
        <v>0</v>
      </c>
      <c r="V74" s="84">
        <f t="shared" si="13"/>
        <v>0</v>
      </c>
      <c r="W74" s="84">
        <f t="shared" si="13"/>
        <v>0</v>
      </c>
      <c r="X74" s="84">
        <f t="shared" si="13"/>
        <v>0</v>
      </c>
      <c r="Y74" s="84">
        <f t="shared" si="13"/>
        <v>0</v>
      </c>
      <c r="Z74" s="84">
        <f t="shared" si="13"/>
        <v>0</v>
      </c>
      <c r="AA74" s="84">
        <f t="shared" si="13"/>
        <v>0</v>
      </c>
      <c r="AB74" s="84">
        <f t="shared" si="13"/>
        <v>0</v>
      </c>
      <c r="AC74" s="84">
        <f t="shared" si="13"/>
        <v>0</v>
      </c>
      <c r="AD74" s="84">
        <f t="shared" si="13"/>
        <v>0</v>
      </c>
      <c r="AE74" s="84">
        <f t="shared" si="13"/>
        <v>0</v>
      </c>
      <c r="AF74" s="84">
        <f t="shared" si="13"/>
        <v>0</v>
      </c>
      <c r="AG74" s="84">
        <f t="shared" si="13"/>
        <v>0</v>
      </c>
      <c r="AH74" s="84">
        <f t="shared" si="13"/>
        <v>0</v>
      </c>
      <c r="AI74" s="84">
        <f t="shared" si="13"/>
        <v>0</v>
      </c>
      <c r="AJ74" s="125">
        <f t="shared" ref="AJ74" si="14">SUM(C74:AI74)</f>
        <v>16768</v>
      </c>
      <c r="AK74" s="79"/>
    </row>
    <row r="75" spans="1:37" x14ac:dyDescent="0.2">
      <c r="A75" t="s">
        <v>228</v>
      </c>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125"/>
    </row>
    <row r="76" spans="1:37" x14ac:dyDescent="0.2">
      <c r="A76" s="4"/>
    </row>
    <row r="77" spans="1:37" x14ac:dyDescent="0.25">
      <c r="B77" s="1" t="s">
        <v>229</v>
      </c>
    </row>
    <row r="78" spans="1:37" x14ac:dyDescent="0.25">
      <c r="A78" t="s">
        <v>230</v>
      </c>
      <c r="B78">
        <f>C3</f>
        <v>2017</v>
      </c>
      <c r="C78" s="8">
        <f>IF(C$3-$B78-$C$72&lt;0,SLN($C74,0,$C$72),0)</f>
        <v>2.125</v>
      </c>
      <c r="D78" s="8">
        <f t="shared" ref="D78:AI78" si="15">IF(D$3-$B78-$C$72&lt;0,SLN($C74,0,$C$72),0)</f>
        <v>2.125</v>
      </c>
      <c r="E78" s="8">
        <f t="shared" si="15"/>
        <v>2.125</v>
      </c>
      <c r="F78" s="8">
        <f t="shared" si="15"/>
        <v>2.125</v>
      </c>
      <c r="G78" s="8">
        <f t="shared" si="15"/>
        <v>2.125</v>
      </c>
      <c r="H78" s="8">
        <f t="shared" si="15"/>
        <v>2.125</v>
      </c>
      <c r="I78" s="8">
        <f t="shared" si="15"/>
        <v>2.125</v>
      </c>
      <c r="J78" s="8">
        <f t="shared" si="15"/>
        <v>2.125</v>
      </c>
      <c r="K78" s="8">
        <f t="shared" si="15"/>
        <v>0</v>
      </c>
      <c r="L78" s="8">
        <f t="shared" si="15"/>
        <v>0</v>
      </c>
      <c r="M78" s="8">
        <f t="shared" si="15"/>
        <v>0</v>
      </c>
      <c r="N78" s="8">
        <f t="shared" si="15"/>
        <v>0</v>
      </c>
      <c r="O78" s="8">
        <f t="shared" si="15"/>
        <v>0</v>
      </c>
      <c r="P78" s="8">
        <f t="shared" si="15"/>
        <v>0</v>
      </c>
      <c r="Q78" s="8">
        <f t="shared" si="15"/>
        <v>0</v>
      </c>
      <c r="R78" s="8">
        <f t="shared" si="15"/>
        <v>0</v>
      </c>
      <c r="S78" s="8">
        <f t="shared" si="15"/>
        <v>0</v>
      </c>
      <c r="T78" s="8">
        <f t="shared" si="15"/>
        <v>0</v>
      </c>
      <c r="U78" s="8">
        <f t="shared" si="15"/>
        <v>0</v>
      </c>
      <c r="V78" s="8">
        <f t="shared" si="15"/>
        <v>0</v>
      </c>
      <c r="W78" s="8">
        <f t="shared" si="15"/>
        <v>0</v>
      </c>
      <c r="X78" s="8">
        <f t="shared" si="15"/>
        <v>0</v>
      </c>
      <c r="Y78" s="8">
        <f t="shared" si="15"/>
        <v>0</v>
      </c>
      <c r="Z78" s="8">
        <f t="shared" si="15"/>
        <v>0</v>
      </c>
      <c r="AA78" s="8">
        <f t="shared" si="15"/>
        <v>0</v>
      </c>
      <c r="AB78" s="8">
        <f t="shared" si="15"/>
        <v>0</v>
      </c>
      <c r="AC78" s="8">
        <f t="shared" si="15"/>
        <v>0</v>
      </c>
      <c r="AD78" s="8">
        <f t="shared" si="15"/>
        <v>0</v>
      </c>
      <c r="AE78" s="8">
        <f t="shared" si="15"/>
        <v>0</v>
      </c>
      <c r="AF78" s="8">
        <f t="shared" si="15"/>
        <v>0</v>
      </c>
      <c r="AG78" s="8">
        <f t="shared" si="15"/>
        <v>0</v>
      </c>
      <c r="AH78" s="8">
        <f t="shared" si="15"/>
        <v>0</v>
      </c>
      <c r="AI78" s="8">
        <f t="shared" si="15"/>
        <v>0</v>
      </c>
      <c r="AJ78" s="125">
        <f t="shared" ref="AJ78:AJ110" si="16">SUM(C78:AI78)</f>
        <v>17</v>
      </c>
    </row>
    <row r="79" spans="1:37" x14ac:dyDescent="0.25">
      <c r="B79">
        <f>D3</f>
        <v>2018</v>
      </c>
      <c r="C79" s="8"/>
      <c r="D79" s="8">
        <f>IF(D$3-$B79-$C$72&lt;0,SLN($D74,0,$C$72),0)</f>
        <v>482.25</v>
      </c>
      <c r="E79" s="8">
        <f t="shared" ref="E79:AI79" si="17">IF(E$3-$B79-$C$72&lt;0,SLN($D74,0,$C$72),0)</f>
        <v>482.25</v>
      </c>
      <c r="F79" s="8">
        <f t="shared" si="17"/>
        <v>482.25</v>
      </c>
      <c r="G79" s="8">
        <f t="shared" si="17"/>
        <v>482.25</v>
      </c>
      <c r="H79" s="8">
        <f t="shared" si="17"/>
        <v>482.25</v>
      </c>
      <c r="I79" s="8">
        <f t="shared" si="17"/>
        <v>482.25</v>
      </c>
      <c r="J79" s="8">
        <f t="shared" si="17"/>
        <v>482.25</v>
      </c>
      <c r="K79" s="8">
        <f t="shared" si="17"/>
        <v>482.25</v>
      </c>
      <c r="L79" s="8">
        <f t="shared" si="17"/>
        <v>0</v>
      </c>
      <c r="M79" s="8">
        <f t="shared" si="17"/>
        <v>0</v>
      </c>
      <c r="N79" s="8">
        <f t="shared" si="17"/>
        <v>0</v>
      </c>
      <c r="O79" s="8">
        <f t="shared" si="17"/>
        <v>0</v>
      </c>
      <c r="P79" s="8">
        <f t="shared" si="17"/>
        <v>0</v>
      </c>
      <c r="Q79" s="8">
        <f t="shared" si="17"/>
        <v>0</v>
      </c>
      <c r="R79" s="8">
        <f t="shared" si="17"/>
        <v>0</v>
      </c>
      <c r="S79" s="8">
        <f t="shared" si="17"/>
        <v>0</v>
      </c>
      <c r="T79" s="8">
        <f t="shared" si="17"/>
        <v>0</v>
      </c>
      <c r="U79" s="8">
        <f t="shared" si="17"/>
        <v>0</v>
      </c>
      <c r="V79" s="8">
        <f t="shared" si="17"/>
        <v>0</v>
      </c>
      <c r="W79" s="8">
        <f t="shared" si="17"/>
        <v>0</v>
      </c>
      <c r="X79" s="8">
        <f t="shared" si="17"/>
        <v>0</v>
      </c>
      <c r="Y79" s="8">
        <f t="shared" si="17"/>
        <v>0</v>
      </c>
      <c r="Z79" s="8">
        <f t="shared" si="17"/>
        <v>0</v>
      </c>
      <c r="AA79" s="8">
        <f t="shared" si="17"/>
        <v>0</v>
      </c>
      <c r="AB79" s="8">
        <f t="shared" si="17"/>
        <v>0</v>
      </c>
      <c r="AC79" s="8">
        <f t="shared" si="17"/>
        <v>0</v>
      </c>
      <c r="AD79" s="8">
        <f t="shared" si="17"/>
        <v>0</v>
      </c>
      <c r="AE79" s="8">
        <f t="shared" si="17"/>
        <v>0</v>
      </c>
      <c r="AF79" s="8">
        <f t="shared" si="17"/>
        <v>0</v>
      </c>
      <c r="AG79" s="8">
        <f t="shared" si="17"/>
        <v>0</v>
      </c>
      <c r="AH79" s="8">
        <f t="shared" si="17"/>
        <v>0</v>
      </c>
      <c r="AI79" s="8">
        <f t="shared" si="17"/>
        <v>0</v>
      </c>
      <c r="AJ79" s="125">
        <f t="shared" si="16"/>
        <v>3858</v>
      </c>
    </row>
    <row r="80" spans="1:37" x14ac:dyDescent="0.25">
      <c r="B80">
        <f>E3</f>
        <v>2019</v>
      </c>
      <c r="C80" s="8"/>
      <c r="D80" s="8"/>
      <c r="E80" s="8">
        <f>IF(E$3-$B80-$C$72&lt;0,SLN($E74,0,$C$72),0)</f>
        <v>732.75</v>
      </c>
      <c r="F80" s="8">
        <f t="shared" ref="F80:AI80" si="18">IF(F$3-$B80-$C$72&lt;0,SLN($E74,0,$C$72),0)</f>
        <v>732.75</v>
      </c>
      <c r="G80" s="8">
        <f t="shared" si="18"/>
        <v>732.75</v>
      </c>
      <c r="H80" s="8">
        <f t="shared" si="18"/>
        <v>732.75</v>
      </c>
      <c r="I80" s="8">
        <f t="shared" si="18"/>
        <v>732.75</v>
      </c>
      <c r="J80" s="8">
        <f t="shared" si="18"/>
        <v>732.75</v>
      </c>
      <c r="K80" s="8">
        <f t="shared" si="18"/>
        <v>732.75</v>
      </c>
      <c r="L80" s="8">
        <f t="shared" si="18"/>
        <v>732.75</v>
      </c>
      <c r="M80" s="8">
        <f t="shared" si="18"/>
        <v>0</v>
      </c>
      <c r="N80" s="8">
        <f t="shared" si="18"/>
        <v>0</v>
      </c>
      <c r="O80" s="8">
        <f t="shared" si="18"/>
        <v>0</v>
      </c>
      <c r="P80" s="8">
        <f t="shared" si="18"/>
        <v>0</v>
      </c>
      <c r="Q80" s="8">
        <f t="shared" si="18"/>
        <v>0</v>
      </c>
      <c r="R80" s="8">
        <f t="shared" si="18"/>
        <v>0</v>
      </c>
      <c r="S80" s="8">
        <f t="shared" si="18"/>
        <v>0</v>
      </c>
      <c r="T80" s="8">
        <f t="shared" si="18"/>
        <v>0</v>
      </c>
      <c r="U80" s="8">
        <f t="shared" si="18"/>
        <v>0</v>
      </c>
      <c r="V80" s="8">
        <f t="shared" si="18"/>
        <v>0</v>
      </c>
      <c r="W80" s="8">
        <f t="shared" si="18"/>
        <v>0</v>
      </c>
      <c r="X80" s="8">
        <f t="shared" si="18"/>
        <v>0</v>
      </c>
      <c r="Y80" s="8">
        <f t="shared" si="18"/>
        <v>0</v>
      </c>
      <c r="Z80" s="8">
        <f t="shared" si="18"/>
        <v>0</v>
      </c>
      <c r="AA80" s="8">
        <f t="shared" si="18"/>
        <v>0</v>
      </c>
      <c r="AB80" s="8">
        <f t="shared" si="18"/>
        <v>0</v>
      </c>
      <c r="AC80" s="8">
        <f t="shared" si="18"/>
        <v>0</v>
      </c>
      <c r="AD80" s="8">
        <f t="shared" si="18"/>
        <v>0</v>
      </c>
      <c r="AE80" s="8">
        <f t="shared" si="18"/>
        <v>0</v>
      </c>
      <c r="AF80" s="8">
        <f t="shared" si="18"/>
        <v>0</v>
      </c>
      <c r="AG80" s="8">
        <f t="shared" si="18"/>
        <v>0</v>
      </c>
      <c r="AH80" s="8">
        <f t="shared" si="18"/>
        <v>0</v>
      </c>
      <c r="AI80" s="8">
        <f t="shared" si="18"/>
        <v>0</v>
      </c>
      <c r="AJ80" s="125">
        <f t="shared" si="16"/>
        <v>5862</v>
      </c>
    </row>
    <row r="81" spans="2:36" x14ac:dyDescent="0.25">
      <c r="B81">
        <f>F3</f>
        <v>2020</v>
      </c>
      <c r="C81" s="8"/>
      <c r="D81" s="8"/>
      <c r="E81" s="8"/>
      <c r="F81" s="8">
        <f>IF(F$3-$B81-$C$72&lt;0,SLN($F74,0,$C$72),0)</f>
        <v>878.875</v>
      </c>
      <c r="G81" s="8">
        <f t="shared" ref="G81:AI81" si="19">IF(G$3-$B81-$C$72&lt;0,SLN($F74,0,$C$72),0)</f>
        <v>878.875</v>
      </c>
      <c r="H81" s="8">
        <f t="shared" si="19"/>
        <v>878.875</v>
      </c>
      <c r="I81" s="8">
        <f t="shared" si="19"/>
        <v>878.875</v>
      </c>
      <c r="J81" s="8">
        <f t="shared" si="19"/>
        <v>878.875</v>
      </c>
      <c r="K81" s="8">
        <f t="shared" si="19"/>
        <v>878.875</v>
      </c>
      <c r="L81" s="8">
        <f t="shared" si="19"/>
        <v>878.875</v>
      </c>
      <c r="M81" s="8">
        <f t="shared" si="19"/>
        <v>878.875</v>
      </c>
      <c r="N81" s="8">
        <f t="shared" si="19"/>
        <v>0</v>
      </c>
      <c r="O81" s="8">
        <f t="shared" si="19"/>
        <v>0</v>
      </c>
      <c r="P81" s="8">
        <f t="shared" si="19"/>
        <v>0</v>
      </c>
      <c r="Q81" s="8">
        <f t="shared" si="19"/>
        <v>0</v>
      </c>
      <c r="R81" s="8">
        <f t="shared" si="19"/>
        <v>0</v>
      </c>
      <c r="S81" s="8">
        <f t="shared" si="19"/>
        <v>0</v>
      </c>
      <c r="T81" s="8">
        <f t="shared" si="19"/>
        <v>0</v>
      </c>
      <c r="U81" s="8">
        <f t="shared" si="19"/>
        <v>0</v>
      </c>
      <c r="V81" s="8">
        <f t="shared" si="19"/>
        <v>0</v>
      </c>
      <c r="W81" s="8">
        <f t="shared" si="19"/>
        <v>0</v>
      </c>
      <c r="X81" s="8">
        <f t="shared" si="19"/>
        <v>0</v>
      </c>
      <c r="Y81" s="8">
        <f t="shared" si="19"/>
        <v>0</v>
      </c>
      <c r="Z81" s="8">
        <f t="shared" si="19"/>
        <v>0</v>
      </c>
      <c r="AA81" s="8">
        <f t="shared" si="19"/>
        <v>0</v>
      </c>
      <c r="AB81" s="8">
        <f t="shared" si="19"/>
        <v>0</v>
      </c>
      <c r="AC81" s="8">
        <f t="shared" si="19"/>
        <v>0</v>
      </c>
      <c r="AD81" s="8">
        <f t="shared" si="19"/>
        <v>0</v>
      </c>
      <c r="AE81" s="8">
        <f t="shared" si="19"/>
        <v>0</v>
      </c>
      <c r="AF81" s="8">
        <f t="shared" si="19"/>
        <v>0</v>
      </c>
      <c r="AG81" s="8">
        <f t="shared" si="19"/>
        <v>0</v>
      </c>
      <c r="AH81" s="8">
        <f t="shared" si="19"/>
        <v>0</v>
      </c>
      <c r="AI81" s="8">
        <f t="shared" si="19"/>
        <v>0</v>
      </c>
      <c r="AJ81" s="125">
        <f t="shared" si="16"/>
        <v>7031</v>
      </c>
    </row>
    <row r="82" spans="2:36" x14ac:dyDescent="0.25">
      <c r="B82">
        <f>G3</f>
        <v>2021</v>
      </c>
      <c r="C82" s="8"/>
      <c r="D82" s="8"/>
      <c r="E82" s="8"/>
      <c r="F82" s="8"/>
      <c r="G82" s="8">
        <f>IF(G$3-$B82-$C$72&lt;0,SLN($G74,0,$C$72),0)</f>
        <v>0</v>
      </c>
      <c r="H82" s="8">
        <f t="shared" ref="H82:AI82" si="20">IF(H$3-$B82-$C$72&lt;0,SLN($G74,0,$C$72),0)</f>
        <v>0</v>
      </c>
      <c r="I82" s="8">
        <f t="shared" si="20"/>
        <v>0</v>
      </c>
      <c r="J82" s="8">
        <f t="shared" si="20"/>
        <v>0</v>
      </c>
      <c r="K82" s="8">
        <f t="shared" si="20"/>
        <v>0</v>
      </c>
      <c r="L82" s="8">
        <f t="shared" si="20"/>
        <v>0</v>
      </c>
      <c r="M82" s="8">
        <f t="shared" si="20"/>
        <v>0</v>
      </c>
      <c r="N82" s="8">
        <f t="shared" si="20"/>
        <v>0</v>
      </c>
      <c r="O82" s="8">
        <f t="shared" si="20"/>
        <v>0</v>
      </c>
      <c r="P82" s="8">
        <f t="shared" si="20"/>
        <v>0</v>
      </c>
      <c r="Q82" s="8">
        <f t="shared" si="20"/>
        <v>0</v>
      </c>
      <c r="R82" s="8">
        <f t="shared" si="20"/>
        <v>0</v>
      </c>
      <c r="S82" s="8">
        <f t="shared" si="20"/>
        <v>0</v>
      </c>
      <c r="T82" s="8">
        <f t="shared" si="20"/>
        <v>0</v>
      </c>
      <c r="U82" s="8">
        <f t="shared" si="20"/>
        <v>0</v>
      </c>
      <c r="V82" s="8">
        <f t="shared" si="20"/>
        <v>0</v>
      </c>
      <c r="W82" s="8">
        <f t="shared" si="20"/>
        <v>0</v>
      </c>
      <c r="X82" s="8">
        <f t="shared" si="20"/>
        <v>0</v>
      </c>
      <c r="Y82" s="8">
        <f t="shared" si="20"/>
        <v>0</v>
      </c>
      <c r="Z82" s="8">
        <f t="shared" si="20"/>
        <v>0</v>
      </c>
      <c r="AA82" s="8">
        <f t="shared" si="20"/>
        <v>0</v>
      </c>
      <c r="AB82" s="8">
        <f t="shared" si="20"/>
        <v>0</v>
      </c>
      <c r="AC82" s="8">
        <f t="shared" si="20"/>
        <v>0</v>
      </c>
      <c r="AD82" s="8">
        <f t="shared" si="20"/>
        <v>0</v>
      </c>
      <c r="AE82" s="8">
        <f t="shared" si="20"/>
        <v>0</v>
      </c>
      <c r="AF82" s="8">
        <f t="shared" si="20"/>
        <v>0</v>
      </c>
      <c r="AG82" s="8">
        <f t="shared" si="20"/>
        <v>0</v>
      </c>
      <c r="AH82" s="8">
        <f t="shared" si="20"/>
        <v>0</v>
      </c>
      <c r="AI82" s="8">
        <f t="shared" si="20"/>
        <v>0</v>
      </c>
      <c r="AJ82" s="125">
        <f t="shared" si="16"/>
        <v>0</v>
      </c>
    </row>
    <row r="83" spans="2:36" x14ac:dyDescent="0.25">
      <c r="B83">
        <f>H3</f>
        <v>2022</v>
      </c>
      <c r="C83" s="8"/>
      <c r="D83" s="8"/>
      <c r="E83" s="8"/>
      <c r="F83" s="8"/>
      <c r="G83" s="8"/>
      <c r="H83" s="8">
        <f>IF(H$3-$B83-$C$72&lt;0,SLN($H74,0,$C$72),0)</f>
        <v>0</v>
      </c>
      <c r="I83" s="8">
        <f t="shared" ref="I83:AI83" si="21">IF(I$3-$B83-$C$72&lt;0,SLN($H74,0,$C$72),0)</f>
        <v>0</v>
      </c>
      <c r="J83" s="8">
        <f t="shared" si="21"/>
        <v>0</v>
      </c>
      <c r="K83" s="8">
        <f t="shared" si="21"/>
        <v>0</v>
      </c>
      <c r="L83" s="8">
        <f t="shared" si="21"/>
        <v>0</v>
      </c>
      <c r="M83" s="8">
        <f t="shared" si="21"/>
        <v>0</v>
      </c>
      <c r="N83" s="8">
        <f t="shared" si="21"/>
        <v>0</v>
      </c>
      <c r="O83" s="8">
        <f t="shared" si="21"/>
        <v>0</v>
      </c>
      <c r="P83" s="8">
        <f t="shared" si="21"/>
        <v>0</v>
      </c>
      <c r="Q83" s="8">
        <f t="shared" si="21"/>
        <v>0</v>
      </c>
      <c r="R83" s="8">
        <f t="shared" si="21"/>
        <v>0</v>
      </c>
      <c r="S83" s="8">
        <f t="shared" si="21"/>
        <v>0</v>
      </c>
      <c r="T83" s="8">
        <f t="shared" si="21"/>
        <v>0</v>
      </c>
      <c r="U83" s="8">
        <f t="shared" si="21"/>
        <v>0</v>
      </c>
      <c r="V83" s="8">
        <f t="shared" si="21"/>
        <v>0</v>
      </c>
      <c r="W83" s="8">
        <f t="shared" si="21"/>
        <v>0</v>
      </c>
      <c r="X83" s="8">
        <f t="shared" si="21"/>
        <v>0</v>
      </c>
      <c r="Y83" s="8">
        <f t="shared" si="21"/>
        <v>0</v>
      </c>
      <c r="Z83" s="8">
        <f t="shared" si="21"/>
        <v>0</v>
      </c>
      <c r="AA83" s="8">
        <f t="shared" si="21"/>
        <v>0</v>
      </c>
      <c r="AB83" s="8">
        <f t="shared" si="21"/>
        <v>0</v>
      </c>
      <c r="AC83" s="8">
        <f t="shared" si="21"/>
        <v>0</v>
      </c>
      <c r="AD83" s="8">
        <f t="shared" si="21"/>
        <v>0</v>
      </c>
      <c r="AE83" s="8">
        <f t="shared" si="21"/>
        <v>0</v>
      </c>
      <c r="AF83" s="8">
        <f t="shared" si="21"/>
        <v>0</v>
      </c>
      <c r="AG83" s="8">
        <f t="shared" si="21"/>
        <v>0</v>
      </c>
      <c r="AH83" s="8">
        <f t="shared" si="21"/>
        <v>0</v>
      </c>
      <c r="AI83" s="8">
        <f t="shared" si="21"/>
        <v>0</v>
      </c>
      <c r="AJ83" s="125">
        <f t="shared" si="16"/>
        <v>0</v>
      </c>
    </row>
    <row r="84" spans="2:36" x14ac:dyDescent="0.25">
      <c r="B84">
        <f>I3</f>
        <v>2023</v>
      </c>
      <c r="C84" s="8"/>
      <c r="D84" s="8"/>
      <c r="E84" s="8"/>
      <c r="F84" s="8"/>
      <c r="G84" s="8"/>
      <c r="H84" s="8"/>
      <c r="I84" s="8">
        <f>IF(I$3-$B84-$C$72&lt;0,SLN($I74,0,$C$72),0)</f>
        <v>0</v>
      </c>
      <c r="J84" s="8">
        <f t="shared" ref="J84:AI84" si="22">IF(J$3-$B84-$C$72&lt;0,SLN($I74,0,$C$72),0)</f>
        <v>0</v>
      </c>
      <c r="K84" s="8">
        <f t="shared" si="22"/>
        <v>0</v>
      </c>
      <c r="L84" s="8">
        <f t="shared" si="22"/>
        <v>0</v>
      </c>
      <c r="M84" s="8">
        <f t="shared" si="22"/>
        <v>0</v>
      </c>
      <c r="N84" s="8">
        <f t="shared" si="22"/>
        <v>0</v>
      </c>
      <c r="O84" s="8">
        <f t="shared" si="22"/>
        <v>0</v>
      </c>
      <c r="P84" s="8">
        <f t="shared" si="22"/>
        <v>0</v>
      </c>
      <c r="Q84" s="8">
        <f t="shared" si="22"/>
        <v>0</v>
      </c>
      <c r="R84" s="8">
        <f t="shared" si="22"/>
        <v>0</v>
      </c>
      <c r="S84" s="8">
        <f t="shared" si="22"/>
        <v>0</v>
      </c>
      <c r="T84" s="8">
        <f t="shared" si="22"/>
        <v>0</v>
      </c>
      <c r="U84" s="8">
        <f t="shared" si="22"/>
        <v>0</v>
      </c>
      <c r="V84" s="8">
        <f t="shared" si="22"/>
        <v>0</v>
      </c>
      <c r="W84" s="8">
        <f t="shared" si="22"/>
        <v>0</v>
      </c>
      <c r="X84" s="8">
        <f t="shared" si="22"/>
        <v>0</v>
      </c>
      <c r="Y84" s="8">
        <f t="shared" si="22"/>
        <v>0</v>
      </c>
      <c r="Z84" s="8">
        <f t="shared" si="22"/>
        <v>0</v>
      </c>
      <c r="AA84" s="8">
        <f t="shared" si="22"/>
        <v>0</v>
      </c>
      <c r="AB84" s="8">
        <f t="shared" si="22"/>
        <v>0</v>
      </c>
      <c r="AC84" s="8">
        <f t="shared" si="22"/>
        <v>0</v>
      </c>
      <c r="AD84" s="8">
        <f t="shared" si="22"/>
        <v>0</v>
      </c>
      <c r="AE84" s="8">
        <f t="shared" si="22"/>
        <v>0</v>
      </c>
      <c r="AF84" s="8">
        <f t="shared" si="22"/>
        <v>0</v>
      </c>
      <c r="AG84" s="8">
        <f t="shared" si="22"/>
        <v>0</v>
      </c>
      <c r="AH84" s="8">
        <f t="shared" si="22"/>
        <v>0</v>
      </c>
      <c r="AI84" s="8">
        <f t="shared" si="22"/>
        <v>0</v>
      </c>
      <c r="AJ84" s="125">
        <f t="shared" si="16"/>
        <v>0</v>
      </c>
    </row>
    <row r="85" spans="2:36" x14ac:dyDescent="0.25">
      <c r="B85">
        <f>J3</f>
        <v>2024</v>
      </c>
      <c r="C85" s="8"/>
      <c r="D85" s="8"/>
      <c r="E85" s="8"/>
      <c r="F85" s="8"/>
      <c r="G85" s="8"/>
      <c r="H85" s="8"/>
      <c r="I85" s="8"/>
      <c r="J85" s="8">
        <f>IF(J$3-$B85-$C$72&lt;0,SLN($J74,0,$C$72),0)</f>
        <v>0</v>
      </c>
      <c r="K85" s="8">
        <f t="shared" ref="K85:AI85" si="23">IF(K$3-$B85-$C$72&lt;0,SLN($J74,0,$C$72),0)</f>
        <v>0</v>
      </c>
      <c r="L85" s="8">
        <f t="shared" si="23"/>
        <v>0</v>
      </c>
      <c r="M85" s="8">
        <f t="shared" si="23"/>
        <v>0</v>
      </c>
      <c r="N85" s="8">
        <f t="shared" si="23"/>
        <v>0</v>
      </c>
      <c r="O85" s="8">
        <f t="shared" si="23"/>
        <v>0</v>
      </c>
      <c r="P85" s="8">
        <f t="shared" si="23"/>
        <v>0</v>
      </c>
      <c r="Q85" s="8">
        <f t="shared" si="23"/>
        <v>0</v>
      </c>
      <c r="R85" s="8">
        <f t="shared" si="23"/>
        <v>0</v>
      </c>
      <c r="S85" s="8">
        <f t="shared" si="23"/>
        <v>0</v>
      </c>
      <c r="T85" s="8">
        <f t="shared" si="23"/>
        <v>0</v>
      </c>
      <c r="U85" s="8">
        <f t="shared" si="23"/>
        <v>0</v>
      </c>
      <c r="V85" s="8">
        <f t="shared" si="23"/>
        <v>0</v>
      </c>
      <c r="W85" s="8">
        <f t="shared" si="23"/>
        <v>0</v>
      </c>
      <c r="X85" s="8">
        <f t="shared" si="23"/>
        <v>0</v>
      </c>
      <c r="Y85" s="8">
        <f t="shared" si="23"/>
        <v>0</v>
      </c>
      <c r="Z85" s="8">
        <f t="shared" si="23"/>
        <v>0</v>
      </c>
      <c r="AA85" s="8">
        <f t="shared" si="23"/>
        <v>0</v>
      </c>
      <c r="AB85" s="8">
        <f t="shared" si="23"/>
        <v>0</v>
      </c>
      <c r="AC85" s="8">
        <f t="shared" si="23"/>
        <v>0</v>
      </c>
      <c r="AD85" s="8">
        <f t="shared" si="23"/>
        <v>0</v>
      </c>
      <c r="AE85" s="8">
        <f t="shared" si="23"/>
        <v>0</v>
      </c>
      <c r="AF85" s="8">
        <f t="shared" si="23"/>
        <v>0</v>
      </c>
      <c r="AG85" s="8">
        <f t="shared" si="23"/>
        <v>0</v>
      </c>
      <c r="AH85" s="8">
        <f t="shared" si="23"/>
        <v>0</v>
      </c>
      <c r="AI85" s="8">
        <f t="shared" si="23"/>
        <v>0</v>
      </c>
      <c r="AJ85" s="125">
        <f t="shared" si="16"/>
        <v>0</v>
      </c>
    </row>
    <row r="86" spans="2:36" x14ac:dyDescent="0.25">
      <c r="B86">
        <f>K3</f>
        <v>2025</v>
      </c>
      <c r="C86" s="8"/>
      <c r="D86" s="8"/>
      <c r="E86" s="8"/>
      <c r="F86" s="8"/>
      <c r="G86" s="8"/>
      <c r="H86" s="8"/>
      <c r="I86" s="8"/>
      <c r="J86" s="8"/>
      <c r="K86" s="8">
        <f>IF(K$3-$B86-$C$72&lt;0,SLN($K74,0,$C$72),0)</f>
        <v>0</v>
      </c>
      <c r="L86" s="8">
        <f t="shared" ref="L86:AI86" si="24">IF(L$3-$B86-$C$72&lt;0,SLN($K74,0,$C$72),0)</f>
        <v>0</v>
      </c>
      <c r="M86" s="8">
        <f t="shared" si="24"/>
        <v>0</v>
      </c>
      <c r="N86" s="8">
        <f t="shared" si="24"/>
        <v>0</v>
      </c>
      <c r="O86" s="8">
        <f t="shared" si="24"/>
        <v>0</v>
      </c>
      <c r="P86" s="8">
        <f t="shared" si="24"/>
        <v>0</v>
      </c>
      <c r="Q86" s="8">
        <f t="shared" si="24"/>
        <v>0</v>
      </c>
      <c r="R86" s="8">
        <f t="shared" si="24"/>
        <v>0</v>
      </c>
      <c r="S86" s="8">
        <f t="shared" si="24"/>
        <v>0</v>
      </c>
      <c r="T86" s="8">
        <f t="shared" si="24"/>
        <v>0</v>
      </c>
      <c r="U86" s="8">
        <f t="shared" si="24"/>
        <v>0</v>
      </c>
      <c r="V86" s="8">
        <f t="shared" si="24"/>
        <v>0</v>
      </c>
      <c r="W86" s="8">
        <f t="shared" si="24"/>
        <v>0</v>
      </c>
      <c r="X86" s="8">
        <f t="shared" si="24"/>
        <v>0</v>
      </c>
      <c r="Y86" s="8">
        <f t="shared" si="24"/>
        <v>0</v>
      </c>
      <c r="Z86" s="8">
        <f t="shared" si="24"/>
        <v>0</v>
      </c>
      <c r="AA86" s="8">
        <f t="shared" si="24"/>
        <v>0</v>
      </c>
      <c r="AB86" s="8">
        <f t="shared" si="24"/>
        <v>0</v>
      </c>
      <c r="AC86" s="8">
        <f t="shared" si="24"/>
        <v>0</v>
      </c>
      <c r="AD86" s="8">
        <f t="shared" si="24"/>
        <v>0</v>
      </c>
      <c r="AE86" s="8">
        <f t="shared" si="24"/>
        <v>0</v>
      </c>
      <c r="AF86" s="8">
        <f t="shared" si="24"/>
        <v>0</v>
      </c>
      <c r="AG86" s="8">
        <f t="shared" si="24"/>
        <v>0</v>
      </c>
      <c r="AH86" s="8">
        <f t="shared" si="24"/>
        <v>0</v>
      </c>
      <c r="AI86" s="8">
        <f t="shared" si="24"/>
        <v>0</v>
      </c>
      <c r="AJ86" s="125">
        <f t="shared" si="16"/>
        <v>0</v>
      </c>
    </row>
    <row r="87" spans="2:36" x14ac:dyDescent="0.25">
      <c r="B87">
        <f>L3</f>
        <v>2026</v>
      </c>
      <c r="C87" s="8"/>
      <c r="D87" s="8"/>
      <c r="E87" s="8"/>
      <c r="F87" s="8"/>
      <c r="G87" s="8"/>
      <c r="H87" s="8"/>
      <c r="I87" s="8"/>
      <c r="J87" s="8"/>
      <c r="K87" s="8"/>
      <c r="L87" s="8">
        <f>IF(L$3-$B87-$C$72&lt;0,SLN($L74,0,$C$72),0)</f>
        <v>0</v>
      </c>
      <c r="M87" s="8">
        <f t="shared" ref="M87:AI87" si="25">IF(M$3-$B87-$C$72&lt;0,SLN($L74,0,$C$72),0)</f>
        <v>0</v>
      </c>
      <c r="N87" s="8">
        <f t="shared" si="25"/>
        <v>0</v>
      </c>
      <c r="O87" s="8">
        <f t="shared" si="25"/>
        <v>0</v>
      </c>
      <c r="P87" s="8">
        <f t="shared" si="25"/>
        <v>0</v>
      </c>
      <c r="Q87" s="8">
        <f t="shared" si="25"/>
        <v>0</v>
      </c>
      <c r="R87" s="8">
        <f t="shared" si="25"/>
        <v>0</v>
      </c>
      <c r="S87" s="8">
        <f t="shared" si="25"/>
        <v>0</v>
      </c>
      <c r="T87" s="8">
        <f t="shared" si="25"/>
        <v>0</v>
      </c>
      <c r="U87" s="8">
        <f t="shared" si="25"/>
        <v>0</v>
      </c>
      <c r="V87" s="8">
        <f t="shared" si="25"/>
        <v>0</v>
      </c>
      <c r="W87" s="8">
        <f t="shared" si="25"/>
        <v>0</v>
      </c>
      <c r="X87" s="8">
        <f t="shared" si="25"/>
        <v>0</v>
      </c>
      <c r="Y87" s="8">
        <f t="shared" si="25"/>
        <v>0</v>
      </c>
      <c r="Z87" s="8">
        <f t="shared" si="25"/>
        <v>0</v>
      </c>
      <c r="AA87" s="8">
        <f t="shared" si="25"/>
        <v>0</v>
      </c>
      <c r="AB87" s="8">
        <f t="shared" si="25"/>
        <v>0</v>
      </c>
      <c r="AC87" s="8">
        <f t="shared" si="25"/>
        <v>0</v>
      </c>
      <c r="AD87" s="8">
        <f t="shared" si="25"/>
        <v>0</v>
      </c>
      <c r="AE87" s="8">
        <f t="shared" si="25"/>
        <v>0</v>
      </c>
      <c r="AF87" s="8">
        <f t="shared" si="25"/>
        <v>0</v>
      </c>
      <c r="AG87" s="8">
        <f t="shared" si="25"/>
        <v>0</v>
      </c>
      <c r="AH87" s="8">
        <f t="shared" si="25"/>
        <v>0</v>
      </c>
      <c r="AI87" s="8">
        <f t="shared" si="25"/>
        <v>0</v>
      </c>
      <c r="AJ87" s="125">
        <f t="shared" si="16"/>
        <v>0</v>
      </c>
    </row>
    <row r="88" spans="2:36" x14ac:dyDescent="0.25">
      <c r="B88">
        <f>M3</f>
        <v>2027</v>
      </c>
      <c r="C88" s="8"/>
      <c r="D88" s="8"/>
      <c r="E88" s="8"/>
      <c r="F88" s="8"/>
      <c r="G88" s="8"/>
      <c r="H88" s="8"/>
      <c r="I88" s="8"/>
      <c r="J88" s="8"/>
      <c r="K88" s="8"/>
      <c r="L88" s="8"/>
      <c r="M88" s="8">
        <f>IF(M$3-$B88-$C$72&lt;0,SLN($M74,0,$C$72),0)</f>
        <v>0</v>
      </c>
      <c r="N88" s="8">
        <f t="shared" ref="N88:AI88" si="26">IF(N$3-$B88-$C$72&lt;0,SLN($M74,0,$C$72),0)</f>
        <v>0</v>
      </c>
      <c r="O88" s="8">
        <f t="shared" si="26"/>
        <v>0</v>
      </c>
      <c r="P88" s="8">
        <f t="shared" si="26"/>
        <v>0</v>
      </c>
      <c r="Q88" s="8">
        <f t="shared" si="26"/>
        <v>0</v>
      </c>
      <c r="R88" s="8">
        <f t="shared" si="26"/>
        <v>0</v>
      </c>
      <c r="S88" s="8">
        <f t="shared" si="26"/>
        <v>0</v>
      </c>
      <c r="T88" s="8">
        <f t="shared" si="26"/>
        <v>0</v>
      </c>
      <c r="U88" s="8">
        <f t="shared" si="26"/>
        <v>0</v>
      </c>
      <c r="V88" s="8">
        <f t="shared" si="26"/>
        <v>0</v>
      </c>
      <c r="W88" s="8">
        <f t="shared" si="26"/>
        <v>0</v>
      </c>
      <c r="X88" s="8">
        <f t="shared" si="26"/>
        <v>0</v>
      </c>
      <c r="Y88" s="8">
        <f t="shared" si="26"/>
        <v>0</v>
      </c>
      <c r="Z88" s="8">
        <f t="shared" si="26"/>
        <v>0</v>
      </c>
      <c r="AA88" s="8">
        <f t="shared" si="26"/>
        <v>0</v>
      </c>
      <c r="AB88" s="8">
        <f t="shared" si="26"/>
        <v>0</v>
      </c>
      <c r="AC88" s="8">
        <f t="shared" si="26"/>
        <v>0</v>
      </c>
      <c r="AD88" s="8">
        <f t="shared" si="26"/>
        <v>0</v>
      </c>
      <c r="AE88" s="8">
        <f t="shared" si="26"/>
        <v>0</v>
      </c>
      <c r="AF88" s="8">
        <f t="shared" si="26"/>
        <v>0</v>
      </c>
      <c r="AG88" s="8">
        <f t="shared" si="26"/>
        <v>0</v>
      </c>
      <c r="AH88" s="8">
        <f t="shared" si="26"/>
        <v>0</v>
      </c>
      <c r="AI88" s="8">
        <f t="shared" si="26"/>
        <v>0</v>
      </c>
      <c r="AJ88" s="125">
        <f t="shared" si="16"/>
        <v>0</v>
      </c>
    </row>
    <row r="89" spans="2:36" x14ac:dyDescent="0.25">
      <c r="B89">
        <f>N3</f>
        <v>2028</v>
      </c>
      <c r="C89" s="8"/>
      <c r="D89" s="8"/>
      <c r="E89" s="8"/>
      <c r="F89" s="8"/>
      <c r="G89" s="8"/>
      <c r="H89" s="8"/>
      <c r="I89" s="8"/>
      <c r="J89" s="8"/>
      <c r="K89" s="8"/>
      <c r="L89" s="8"/>
      <c r="M89" s="8"/>
      <c r="N89" s="8">
        <f>IF(N$3-$B89-$C$72&lt;0,SLN($N74,0,$C$72),0)</f>
        <v>0</v>
      </c>
      <c r="O89" s="8">
        <f t="shared" ref="O89:AI89" si="27">IF(O$3-$B89-$C$72&lt;0,SLN($N74,0,$C$72),0)</f>
        <v>0</v>
      </c>
      <c r="P89" s="8">
        <f t="shared" si="27"/>
        <v>0</v>
      </c>
      <c r="Q89" s="8">
        <f t="shared" si="27"/>
        <v>0</v>
      </c>
      <c r="R89" s="8">
        <f t="shared" si="27"/>
        <v>0</v>
      </c>
      <c r="S89" s="8">
        <f t="shared" si="27"/>
        <v>0</v>
      </c>
      <c r="T89" s="8">
        <f t="shared" si="27"/>
        <v>0</v>
      </c>
      <c r="U89" s="8">
        <f t="shared" si="27"/>
        <v>0</v>
      </c>
      <c r="V89" s="8">
        <f t="shared" si="27"/>
        <v>0</v>
      </c>
      <c r="W89" s="8">
        <f t="shared" si="27"/>
        <v>0</v>
      </c>
      <c r="X89" s="8">
        <f t="shared" si="27"/>
        <v>0</v>
      </c>
      <c r="Y89" s="8">
        <f t="shared" si="27"/>
        <v>0</v>
      </c>
      <c r="Z89" s="8">
        <f t="shared" si="27"/>
        <v>0</v>
      </c>
      <c r="AA89" s="8">
        <f t="shared" si="27"/>
        <v>0</v>
      </c>
      <c r="AB89" s="8">
        <f t="shared" si="27"/>
        <v>0</v>
      </c>
      <c r="AC89" s="8">
        <f t="shared" si="27"/>
        <v>0</v>
      </c>
      <c r="AD89" s="8">
        <f t="shared" si="27"/>
        <v>0</v>
      </c>
      <c r="AE89" s="8">
        <f t="shared" si="27"/>
        <v>0</v>
      </c>
      <c r="AF89" s="8">
        <f t="shared" si="27"/>
        <v>0</v>
      </c>
      <c r="AG89" s="8">
        <f t="shared" si="27"/>
        <v>0</v>
      </c>
      <c r="AH89" s="8">
        <f t="shared" si="27"/>
        <v>0</v>
      </c>
      <c r="AI89" s="8">
        <f t="shared" si="27"/>
        <v>0</v>
      </c>
      <c r="AJ89" s="125">
        <f t="shared" si="16"/>
        <v>0</v>
      </c>
    </row>
    <row r="90" spans="2:36" x14ac:dyDescent="0.25">
      <c r="B90">
        <f>O3</f>
        <v>2029</v>
      </c>
      <c r="C90" s="8"/>
      <c r="D90" s="8"/>
      <c r="E90" s="8"/>
      <c r="F90" s="8"/>
      <c r="G90" s="8"/>
      <c r="H90" s="8"/>
      <c r="I90" s="8"/>
      <c r="J90" s="8"/>
      <c r="K90" s="8"/>
      <c r="L90" s="8"/>
      <c r="M90" s="8"/>
      <c r="N90" s="8"/>
      <c r="O90" s="8">
        <f>IF(O$3-$B90-$C$72&lt;0,SLN($O74,0,$C$72),0)</f>
        <v>0</v>
      </c>
      <c r="P90" s="8">
        <f t="shared" ref="P90:AI90" si="28">IF(P$3-$B90-$C$72&lt;0,SLN($O74,0,$C$72),0)</f>
        <v>0</v>
      </c>
      <c r="Q90" s="8">
        <f t="shared" si="28"/>
        <v>0</v>
      </c>
      <c r="R90" s="8">
        <f t="shared" si="28"/>
        <v>0</v>
      </c>
      <c r="S90" s="8">
        <f t="shared" si="28"/>
        <v>0</v>
      </c>
      <c r="T90" s="8">
        <f t="shared" si="28"/>
        <v>0</v>
      </c>
      <c r="U90" s="8">
        <f t="shared" si="28"/>
        <v>0</v>
      </c>
      <c r="V90" s="8">
        <f t="shared" si="28"/>
        <v>0</v>
      </c>
      <c r="W90" s="8">
        <f t="shared" si="28"/>
        <v>0</v>
      </c>
      <c r="X90" s="8">
        <f t="shared" si="28"/>
        <v>0</v>
      </c>
      <c r="Y90" s="8">
        <f t="shared" si="28"/>
        <v>0</v>
      </c>
      <c r="Z90" s="8">
        <f t="shared" si="28"/>
        <v>0</v>
      </c>
      <c r="AA90" s="8">
        <f t="shared" si="28"/>
        <v>0</v>
      </c>
      <c r="AB90" s="8">
        <f t="shared" si="28"/>
        <v>0</v>
      </c>
      <c r="AC90" s="8">
        <f t="shared" si="28"/>
        <v>0</v>
      </c>
      <c r="AD90" s="8">
        <f t="shared" si="28"/>
        <v>0</v>
      </c>
      <c r="AE90" s="8">
        <f t="shared" si="28"/>
        <v>0</v>
      </c>
      <c r="AF90" s="8">
        <f t="shared" si="28"/>
        <v>0</v>
      </c>
      <c r="AG90" s="8">
        <f t="shared" si="28"/>
        <v>0</v>
      </c>
      <c r="AH90" s="8">
        <f t="shared" si="28"/>
        <v>0</v>
      </c>
      <c r="AI90" s="8">
        <f t="shared" si="28"/>
        <v>0</v>
      </c>
      <c r="AJ90" s="125">
        <f t="shared" si="16"/>
        <v>0</v>
      </c>
    </row>
    <row r="91" spans="2:36" x14ac:dyDescent="0.25">
      <c r="B91">
        <f>P3</f>
        <v>2030</v>
      </c>
      <c r="C91" s="8"/>
      <c r="D91" s="8"/>
      <c r="E91" s="8"/>
      <c r="F91" s="8"/>
      <c r="G91" s="8"/>
      <c r="H91" s="8"/>
      <c r="I91" s="8"/>
      <c r="J91" s="8"/>
      <c r="K91" s="8"/>
      <c r="L91" s="8"/>
      <c r="M91" s="8"/>
      <c r="N91" s="8"/>
      <c r="O91" s="8"/>
      <c r="P91" s="8">
        <f>IF(P$3-$B91-$C$72&lt;0,SLN($P74,0,$C$72),0)</f>
        <v>0</v>
      </c>
      <c r="Q91" s="8">
        <f t="shared" ref="Q91:AI91" si="29">IF(Q$3-$B91-$C$72&lt;0,SLN($P74,0,$C$72),0)</f>
        <v>0</v>
      </c>
      <c r="R91" s="8">
        <f t="shared" si="29"/>
        <v>0</v>
      </c>
      <c r="S91" s="8">
        <f t="shared" si="29"/>
        <v>0</v>
      </c>
      <c r="T91" s="8">
        <f t="shared" si="29"/>
        <v>0</v>
      </c>
      <c r="U91" s="8">
        <f t="shared" si="29"/>
        <v>0</v>
      </c>
      <c r="V91" s="8">
        <f t="shared" si="29"/>
        <v>0</v>
      </c>
      <c r="W91" s="8">
        <f t="shared" si="29"/>
        <v>0</v>
      </c>
      <c r="X91" s="8">
        <f t="shared" si="29"/>
        <v>0</v>
      </c>
      <c r="Y91" s="8">
        <f t="shared" si="29"/>
        <v>0</v>
      </c>
      <c r="Z91" s="8">
        <f t="shared" si="29"/>
        <v>0</v>
      </c>
      <c r="AA91" s="8">
        <f t="shared" si="29"/>
        <v>0</v>
      </c>
      <c r="AB91" s="8">
        <f t="shared" si="29"/>
        <v>0</v>
      </c>
      <c r="AC91" s="8">
        <f t="shared" si="29"/>
        <v>0</v>
      </c>
      <c r="AD91" s="8">
        <f t="shared" si="29"/>
        <v>0</v>
      </c>
      <c r="AE91" s="8">
        <f t="shared" si="29"/>
        <v>0</v>
      </c>
      <c r="AF91" s="8">
        <f t="shared" si="29"/>
        <v>0</v>
      </c>
      <c r="AG91" s="8">
        <f t="shared" si="29"/>
        <v>0</v>
      </c>
      <c r="AH91" s="8">
        <f t="shared" si="29"/>
        <v>0</v>
      </c>
      <c r="AI91" s="8">
        <f t="shared" si="29"/>
        <v>0</v>
      </c>
      <c r="AJ91" s="125">
        <f t="shared" si="16"/>
        <v>0</v>
      </c>
    </row>
    <row r="92" spans="2:36" x14ac:dyDescent="0.25">
      <c r="B92">
        <f>Q3</f>
        <v>2031</v>
      </c>
      <c r="C92" s="8"/>
      <c r="D92" s="8"/>
      <c r="E92" s="8"/>
      <c r="F92" s="8"/>
      <c r="G92" s="8"/>
      <c r="H92" s="8"/>
      <c r="I92" s="8"/>
      <c r="J92" s="8"/>
      <c r="K92" s="8"/>
      <c r="L92" s="8"/>
      <c r="M92" s="8"/>
      <c r="N92" s="8"/>
      <c r="O92" s="8"/>
      <c r="P92" s="8"/>
      <c r="Q92" s="8">
        <f>IF(Q$3-$B92-$C$72&lt;0,SLN($Q74,0,$C$72),0)</f>
        <v>0</v>
      </c>
      <c r="R92" s="8">
        <f t="shared" ref="R92:AI92" si="30">IF(R$3-$B92-$C$72&lt;0,SLN($Q74,0,$C$72),0)</f>
        <v>0</v>
      </c>
      <c r="S92" s="8">
        <f t="shared" si="30"/>
        <v>0</v>
      </c>
      <c r="T92" s="8">
        <f t="shared" si="30"/>
        <v>0</v>
      </c>
      <c r="U92" s="8">
        <f t="shared" si="30"/>
        <v>0</v>
      </c>
      <c r="V92" s="8">
        <f t="shared" si="30"/>
        <v>0</v>
      </c>
      <c r="W92" s="8">
        <f t="shared" si="30"/>
        <v>0</v>
      </c>
      <c r="X92" s="8">
        <f t="shared" si="30"/>
        <v>0</v>
      </c>
      <c r="Y92" s="8">
        <f t="shared" si="30"/>
        <v>0</v>
      </c>
      <c r="Z92" s="8">
        <f t="shared" si="30"/>
        <v>0</v>
      </c>
      <c r="AA92" s="8">
        <f t="shared" si="30"/>
        <v>0</v>
      </c>
      <c r="AB92" s="8">
        <f t="shared" si="30"/>
        <v>0</v>
      </c>
      <c r="AC92" s="8">
        <f t="shared" si="30"/>
        <v>0</v>
      </c>
      <c r="AD92" s="8">
        <f t="shared" si="30"/>
        <v>0</v>
      </c>
      <c r="AE92" s="8">
        <f t="shared" si="30"/>
        <v>0</v>
      </c>
      <c r="AF92" s="8">
        <f t="shared" si="30"/>
        <v>0</v>
      </c>
      <c r="AG92" s="8">
        <f t="shared" si="30"/>
        <v>0</v>
      </c>
      <c r="AH92" s="8">
        <f t="shared" si="30"/>
        <v>0</v>
      </c>
      <c r="AI92" s="8">
        <f t="shared" si="30"/>
        <v>0</v>
      </c>
      <c r="AJ92" s="125">
        <f t="shared" si="16"/>
        <v>0</v>
      </c>
    </row>
    <row r="93" spans="2:36" x14ac:dyDescent="0.25">
      <c r="B93">
        <f>R3</f>
        <v>2032</v>
      </c>
      <c r="C93" s="8"/>
      <c r="D93" s="8"/>
      <c r="E93" s="8"/>
      <c r="F93" s="8"/>
      <c r="G93" s="8"/>
      <c r="H93" s="8"/>
      <c r="I93" s="8"/>
      <c r="J93" s="8"/>
      <c r="K93" s="8"/>
      <c r="L93" s="8"/>
      <c r="M93" s="8"/>
      <c r="N93" s="8"/>
      <c r="O93" s="8"/>
      <c r="P93" s="8"/>
      <c r="Q93" s="8"/>
      <c r="R93" s="8">
        <f>IF(R$3-$B93-$C$72&lt;0,SLN($R74,0,$C$72),0)</f>
        <v>0</v>
      </c>
      <c r="S93" s="8">
        <f t="shared" ref="S93:AI93" si="31">IF(S$3-$B93-$C$72&lt;0,SLN($R74,0,$C$72),0)</f>
        <v>0</v>
      </c>
      <c r="T93" s="8">
        <f t="shared" si="31"/>
        <v>0</v>
      </c>
      <c r="U93" s="8">
        <f t="shared" si="31"/>
        <v>0</v>
      </c>
      <c r="V93" s="8">
        <f t="shared" si="31"/>
        <v>0</v>
      </c>
      <c r="W93" s="8">
        <f t="shared" si="31"/>
        <v>0</v>
      </c>
      <c r="X93" s="8">
        <f t="shared" si="31"/>
        <v>0</v>
      </c>
      <c r="Y93" s="8">
        <f t="shared" si="31"/>
        <v>0</v>
      </c>
      <c r="Z93" s="8">
        <f t="shared" si="31"/>
        <v>0</v>
      </c>
      <c r="AA93" s="8">
        <f t="shared" si="31"/>
        <v>0</v>
      </c>
      <c r="AB93" s="8">
        <f t="shared" si="31"/>
        <v>0</v>
      </c>
      <c r="AC93" s="8">
        <f t="shared" si="31"/>
        <v>0</v>
      </c>
      <c r="AD93" s="8">
        <f t="shared" si="31"/>
        <v>0</v>
      </c>
      <c r="AE93" s="8">
        <f t="shared" si="31"/>
        <v>0</v>
      </c>
      <c r="AF93" s="8">
        <f t="shared" si="31"/>
        <v>0</v>
      </c>
      <c r="AG93" s="8">
        <f t="shared" si="31"/>
        <v>0</v>
      </c>
      <c r="AH93" s="8">
        <f t="shared" si="31"/>
        <v>0</v>
      </c>
      <c r="AI93" s="8">
        <f t="shared" si="31"/>
        <v>0</v>
      </c>
      <c r="AJ93" s="125">
        <f t="shared" si="16"/>
        <v>0</v>
      </c>
    </row>
    <row r="94" spans="2:36" x14ac:dyDescent="0.25">
      <c r="B94">
        <f>S3</f>
        <v>2033</v>
      </c>
      <c r="C94" s="8"/>
      <c r="D94" s="8"/>
      <c r="E94" s="8"/>
      <c r="F94" s="8"/>
      <c r="G94" s="8"/>
      <c r="H94" s="8"/>
      <c r="I94" s="8"/>
      <c r="J94" s="8"/>
      <c r="K94" s="8"/>
      <c r="L94" s="8"/>
      <c r="M94" s="8"/>
      <c r="N94" s="8"/>
      <c r="O94" s="8"/>
      <c r="P94" s="8"/>
      <c r="Q94" s="8"/>
      <c r="R94" s="8"/>
      <c r="S94" s="8">
        <f>IF(S$3-$B94-$C$72&lt;0,SLN($S74,0,$C$72),0)</f>
        <v>0</v>
      </c>
      <c r="T94" s="8">
        <f t="shared" ref="T94:AI94" si="32">IF(T$3-$B94-$C$72&lt;0,SLN($S74,0,$C$72),0)</f>
        <v>0</v>
      </c>
      <c r="U94" s="8">
        <f t="shared" si="32"/>
        <v>0</v>
      </c>
      <c r="V94" s="8">
        <f t="shared" si="32"/>
        <v>0</v>
      </c>
      <c r="W94" s="8">
        <f t="shared" si="32"/>
        <v>0</v>
      </c>
      <c r="X94" s="8">
        <f t="shared" si="32"/>
        <v>0</v>
      </c>
      <c r="Y94" s="8">
        <f t="shared" si="32"/>
        <v>0</v>
      </c>
      <c r="Z94" s="8">
        <f t="shared" si="32"/>
        <v>0</v>
      </c>
      <c r="AA94" s="8">
        <f t="shared" si="32"/>
        <v>0</v>
      </c>
      <c r="AB94" s="8">
        <f t="shared" si="32"/>
        <v>0</v>
      </c>
      <c r="AC94" s="8">
        <f t="shared" si="32"/>
        <v>0</v>
      </c>
      <c r="AD94" s="8">
        <f t="shared" si="32"/>
        <v>0</v>
      </c>
      <c r="AE94" s="8">
        <f t="shared" si="32"/>
        <v>0</v>
      </c>
      <c r="AF94" s="8">
        <f t="shared" si="32"/>
        <v>0</v>
      </c>
      <c r="AG94" s="8">
        <f t="shared" si="32"/>
        <v>0</v>
      </c>
      <c r="AH94" s="8">
        <f t="shared" si="32"/>
        <v>0</v>
      </c>
      <c r="AI94" s="8">
        <f t="shared" si="32"/>
        <v>0</v>
      </c>
      <c r="AJ94" s="125">
        <f t="shared" si="16"/>
        <v>0</v>
      </c>
    </row>
    <row r="95" spans="2:36" x14ac:dyDescent="0.25">
      <c r="B95">
        <f>T3</f>
        <v>2034</v>
      </c>
      <c r="C95" s="8"/>
      <c r="D95" s="8"/>
      <c r="E95" s="8"/>
      <c r="F95" s="8"/>
      <c r="G95" s="8"/>
      <c r="H95" s="8"/>
      <c r="I95" s="8"/>
      <c r="J95" s="8"/>
      <c r="K95" s="8"/>
      <c r="L95" s="8"/>
      <c r="M95" s="8"/>
      <c r="N95" s="8"/>
      <c r="O95" s="8"/>
      <c r="P95" s="8"/>
      <c r="Q95" s="8"/>
      <c r="R95" s="8"/>
      <c r="S95" s="8"/>
      <c r="T95" s="8">
        <f>IF(T$3-$B95-$C$72&lt;0,SLN($T74,0,$C$72),0)</f>
        <v>0</v>
      </c>
      <c r="U95" s="8">
        <f t="shared" ref="U95:AI95" si="33">IF(U$3-$B95-$C$72&lt;0,SLN($T74,0,$C$72),0)</f>
        <v>0</v>
      </c>
      <c r="V95" s="8">
        <f t="shared" si="33"/>
        <v>0</v>
      </c>
      <c r="W95" s="8">
        <f t="shared" si="33"/>
        <v>0</v>
      </c>
      <c r="X95" s="8">
        <f t="shared" si="33"/>
        <v>0</v>
      </c>
      <c r="Y95" s="8">
        <f t="shared" si="33"/>
        <v>0</v>
      </c>
      <c r="Z95" s="8">
        <f t="shared" si="33"/>
        <v>0</v>
      </c>
      <c r="AA95" s="8">
        <f t="shared" si="33"/>
        <v>0</v>
      </c>
      <c r="AB95" s="8">
        <f t="shared" si="33"/>
        <v>0</v>
      </c>
      <c r="AC95" s="8">
        <f t="shared" si="33"/>
        <v>0</v>
      </c>
      <c r="AD95" s="8">
        <f t="shared" si="33"/>
        <v>0</v>
      </c>
      <c r="AE95" s="8">
        <f t="shared" si="33"/>
        <v>0</v>
      </c>
      <c r="AF95" s="8">
        <f t="shared" si="33"/>
        <v>0</v>
      </c>
      <c r="AG95" s="8">
        <f t="shared" si="33"/>
        <v>0</v>
      </c>
      <c r="AH95" s="8">
        <f t="shared" si="33"/>
        <v>0</v>
      </c>
      <c r="AI95" s="8">
        <f t="shared" si="33"/>
        <v>0</v>
      </c>
      <c r="AJ95" s="125">
        <f t="shared" si="16"/>
        <v>0</v>
      </c>
    </row>
    <row r="96" spans="2:36" x14ac:dyDescent="0.25">
      <c r="B96">
        <f>U3</f>
        <v>2035</v>
      </c>
      <c r="C96" s="8"/>
      <c r="D96" s="8"/>
      <c r="E96" s="8"/>
      <c r="F96" s="8"/>
      <c r="G96" s="8"/>
      <c r="H96" s="8"/>
      <c r="I96" s="8"/>
      <c r="J96" s="8"/>
      <c r="K96" s="8"/>
      <c r="L96" s="8"/>
      <c r="M96" s="8"/>
      <c r="N96" s="8"/>
      <c r="O96" s="8"/>
      <c r="P96" s="8"/>
      <c r="Q96" s="8"/>
      <c r="R96" s="8"/>
      <c r="S96" s="8"/>
      <c r="T96" s="8"/>
      <c r="U96" s="8">
        <f>IF(U$3-$B96-$C$72&lt;0,SLN($U74,0,$C$72),0)</f>
        <v>0</v>
      </c>
      <c r="V96" s="8">
        <f t="shared" ref="V96:AI96" si="34">IF(V$3-$B96-$C$72&lt;0,SLN($U74,0,$C$72),0)</f>
        <v>0</v>
      </c>
      <c r="W96" s="8">
        <f t="shared" si="34"/>
        <v>0</v>
      </c>
      <c r="X96" s="8">
        <f t="shared" si="34"/>
        <v>0</v>
      </c>
      <c r="Y96" s="8">
        <f t="shared" si="34"/>
        <v>0</v>
      </c>
      <c r="Z96" s="8">
        <f t="shared" si="34"/>
        <v>0</v>
      </c>
      <c r="AA96" s="8">
        <f t="shared" si="34"/>
        <v>0</v>
      </c>
      <c r="AB96" s="8">
        <f t="shared" si="34"/>
        <v>0</v>
      </c>
      <c r="AC96" s="8">
        <f t="shared" si="34"/>
        <v>0</v>
      </c>
      <c r="AD96" s="8">
        <f t="shared" si="34"/>
        <v>0</v>
      </c>
      <c r="AE96" s="8">
        <f t="shared" si="34"/>
        <v>0</v>
      </c>
      <c r="AF96" s="8">
        <f t="shared" si="34"/>
        <v>0</v>
      </c>
      <c r="AG96" s="8">
        <f t="shared" si="34"/>
        <v>0</v>
      </c>
      <c r="AH96" s="8">
        <f t="shared" si="34"/>
        <v>0</v>
      </c>
      <c r="AI96" s="8">
        <f t="shared" si="34"/>
        <v>0</v>
      </c>
      <c r="AJ96" s="125">
        <f t="shared" si="16"/>
        <v>0</v>
      </c>
    </row>
    <row r="97" spans="1:37" x14ac:dyDescent="0.25">
      <c r="B97">
        <f>V3</f>
        <v>2036</v>
      </c>
      <c r="C97" s="8"/>
      <c r="D97" s="8"/>
      <c r="E97" s="8"/>
      <c r="F97" s="8"/>
      <c r="G97" s="8"/>
      <c r="H97" s="8"/>
      <c r="I97" s="8"/>
      <c r="J97" s="8"/>
      <c r="K97" s="8"/>
      <c r="L97" s="8"/>
      <c r="M97" s="8"/>
      <c r="N97" s="8"/>
      <c r="O97" s="8"/>
      <c r="P97" s="8"/>
      <c r="Q97" s="8"/>
      <c r="R97" s="8"/>
      <c r="S97" s="8"/>
      <c r="T97" s="8"/>
      <c r="U97" s="8"/>
      <c r="V97" s="8">
        <f>IF(V$3-$B97-$C$72&lt;0,SLN($V74,0,$C$72),0)</f>
        <v>0</v>
      </c>
      <c r="W97" s="8">
        <f t="shared" ref="W97:AI97" si="35">IF(W$3-$B97-$C$72&lt;0,SLN($V74,0,$C$72),0)</f>
        <v>0</v>
      </c>
      <c r="X97" s="8">
        <f t="shared" si="35"/>
        <v>0</v>
      </c>
      <c r="Y97" s="8">
        <f t="shared" si="35"/>
        <v>0</v>
      </c>
      <c r="Z97" s="8">
        <f t="shared" si="35"/>
        <v>0</v>
      </c>
      <c r="AA97" s="8">
        <f t="shared" si="35"/>
        <v>0</v>
      </c>
      <c r="AB97" s="8">
        <f t="shared" si="35"/>
        <v>0</v>
      </c>
      <c r="AC97" s="8">
        <f t="shared" si="35"/>
        <v>0</v>
      </c>
      <c r="AD97" s="8">
        <f t="shared" si="35"/>
        <v>0</v>
      </c>
      <c r="AE97" s="8">
        <f t="shared" si="35"/>
        <v>0</v>
      </c>
      <c r="AF97" s="8">
        <f t="shared" si="35"/>
        <v>0</v>
      </c>
      <c r="AG97" s="8">
        <f t="shared" si="35"/>
        <v>0</v>
      </c>
      <c r="AH97" s="8">
        <f t="shared" si="35"/>
        <v>0</v>
      </c>
      <c r="AI97" s="8">
        <f t="shared" si="35"/>
        <v>0</v>
      </c>
      <c r="AJ97" s="125">
        <f t="shared" si="16"/>
        <v>0</v>
      </c>
    </row>
    <row r="98" spans="1:37" x14ac:dyDescent="0.25">
      <c r="B98">
        <f>W3</f>
        <v>2037</v>
      </c>
      <c r="C98" s="8"/>
      <c r="D98" s="8"/>
      <c r="E98" s="8"/>
      <c r="F98" s="8"/>
      <c r="G98" s="8"/>
      <c r="H98" s="8"/>
      <c r="I98" s="8"/>
      <c r="J98" s="8"/>
      <c r="K98" s="8"/>
      <c r="L98" s="8"/>
      <c r="M98" s="8"/>
      <c r="N98" s="8"/>
      <c r="O98" s="8"/>
      <c r="P98" s="8"/>
      <c r="Q98" s="8"/>
      <c r="R98" s="8"/>
      <c r="S98" s="8"/>
      <c r="T98" s="8"/>
      <c r="U98" s="8"/>
      <c r="V98" s="8"/>
      <c r="W98" s="8">
        <f>IF(W$3-$B98-$C$72&lt;0,SLN($W74,0,$C$72),0)</f>
        <v>0</v>
      </c>
      <c r="X98" s="8">
        <f t="shared" ref="X98:AI98" si="36">IF(X$3-$B98-$C$72&lt;0,SLN($W74,0,$C$72),0)</f>
        <v>0</v>
      </c>
      <c r="Y98" s="8">
        <f t="shared" si="36"/>
        <v>0</v>
      </c>
      <c r="Z98" s="8">
        <f t="shared" si="36"/>
        <v>0</v>
      </c>
      <c r="AA98" s="8">
        <f t="shared" si="36"/>
        <v>0</v>
      </c>
      <c r="AB98" s="8">
        <f t="shared" si="36"/>
        <v>0</v>
      </c>
      <c r="AC98" s="8">
        <f t="shared" si="36"/>
        <v>0</v>
      </c>
      <c r="AD98" s="8">
        <f t="shared" si="36"/>
        <v>0</v>
      </c>
      <c r="AE98" s="8">
        <f t="shared" si="36"/>
        <v>0</v>
      </c>
      <c r="AF98" s="8">
        <f t="shared" si="36"/>
        <v>0</v>
      </c>
      <c r="AG98" s="8">
        <f t="shared" si="36"/>
        <v>0</v>
      </c>
      <c r="AH98" s="8">
        <f t="shared" si="36"/>
        <v>0</v>
      </c>
      <c r="AI98" s="8">
        <f t="shared" si="36"/>
        <v>0</v>
      </c>
      <c r="AJ98" s="125">
        <f t="shared" si="16"/>
        <v>0</v>
      </c>
    </row>
    <row r="99" spans="1:37" x14ac:dyDescent="0.25">
      <c r="B99">
        <f>X3</f>
        <v>2038</v>
      </c>
      <c r="C99" s="8"/>
      <c r="D99" s="8"/>
      <c r="E99" s="8"/>
      <c r="F99" s="8"/>
      <c r="G99" s="8"/>
      <c r="H99" s="8"/>
      <c r="I99" s="8"/>
      <c r="J99" s="8"/>
      <c r="K99" s="8"/>
      <c r="L99" s="8"/>
      <c r="M99" s="8"/>
      <c r="N99" s="8"/>
      <c r="O99" s="8"/>
      <c r="P99" s="8"/>
      <c r="Q99" s="8"/>
      <c r="R99" s="8"/>
      <c r="S99" s="8"/>
      <c r="T99" s="8"/>
      <c r="U99" s="8"/>
      <c r="V99" s="8"/>
      <c r="W99" s="8"/>
      <c r="X99" s="8">
        <f>IF(X$3-$B99-$C$72&lt;0,SLN($X74,0,$C$72),0)</f>
        <v>0</v>
      </c>
      <c r="Y99" s="8">
        <f t="shared" ref="Y99:AI99" si="37">IF(Y$3-$B99-$C$72&lt;0,SLN($X74,0,$C$72),0)</f>
        <v>0</v>
      </c>
      <c r="Z99" s="8">
        <f t="shared" si="37"/>
        <v>0</v>
      </c>
      <c r="AA99" s="8">
        <f t="shared" si="37"/>
        <v>0</v>
      </c>
      <c r="AB99" s="8">
        <f t="shared" si="37"/>
        <v>0</v>
      </c>
      <c r="AC99" s="8">
        <f t="shared" si="37"/>
        <v>0</v>
      </c>
      <c r="AD99" s="8">
        <f t="shared" si="37"/>
        <v>0</v>
      </c>
      <c r="AE99" s="8">
        <f t="shared" si="37"/>
        <v>0</v>
      </c>
      <c r="AF99" s="8">
        <f t="shared" si="37"/>
        <v>0</v>
      </c>
      <c r="AG99" s="8">
        <f t="shared" si="37"/>
        <v>0</v>
      </c>
      <c r="AH99" s="8">
        <f t="shared" si="37"/>
        <v>0</v>
      </c>
      <c r="AI99" s="8">
        <f t="shared" si="37"/>
        <v>0</v>
      </c>
      <c r="AJ99" s="125">
        <f t="shared" si="16"/>
        <v>0</v>
      </c>
    </row>
    <row r="100" spans="1:37" x14ac:dyDescent="0.25">
      <c r="B100">
        <f>Y3</f>
        <v>2039</v>
      </c>
      <c r="C100" s="8"/>
      <c r="D100" s="8"/>
      <c r="E100" s="8"/>
      <c r="F100" s="8"/>
      <c r="G100" s="8"/>
      <c r="H100" s="8"/>
      <c r="I100" s="8"/>
      <c r="J100" s="8"/>
      <c r="K100" s="8"/>
      <c r="L100" s="8"/>
      <c r="M100" s="8"/>
      <c r="N100" s="8"/>
      <c r="O100" s="8"/>
      <c r="P100" s="8"/>
      <c r="Q100" s="8"/>
      <c r="R100" s="8"/>
      <c r="S100" s="8"/>
      <c r="T100" s="8"/>
      <c r="U100" s="8"/>
      <c r="V100" s="8"/>
      <c r="W100" s="8"/>
      <c r="X100" s="8"/>
      <c r="Y100" s="8">
        <f>IF(Y$3-$B100-$C$72&lt;0,SLN($Y74,0,$C$72),0)</f>
        <v>0</v>
      </c>
      <c r="Z100" s="8">
        <f t="shared" ref="Z100:AI100" si="38">IF(Z$3-$B100-$C$72&lt;0,SLN($Y74,0,$C$72),0)</f>
        <v>0</v>
      </c>
      <c r="AA100" s="8">
        <f t="shared" si="38"/>
        <v>0</v>
      </c>
      <c r="AB100" s="8">
        <f t="shared" si="38"/>
        <v>0</v>
      </c>
      <c r="AC100" s="8">
        <f t="shared" si="38"/>
        <v>0</v>
      </c>
      <c r="AD100" s="8">
        <f t="shared" si="38"/>
        <v>0</v>
      </c>
      <c r="AE100" s="8">
        <f t="shared" si="38"/>
        <v>0</v>
      </c>
      <c r="AF100" s="8">
        <f t="shared" si="38"/>
        <v>0</v>
      </c>
      <c r="AG100" s="8">
        <f t="shared" si="38"/>
        <v>0</v>
      </c>
      <c r="AH100" s="8">
        <f t="shared" si="38"/>
        <v>0</v>
      </c>
      <c r="AI100" s="8">
        <f t="shared" si="38"/>
        <v>0</v>
      </c>
      <c r="AJ100" s="125">
        <f t="shared" si="16"/>
        <v>0</v>
      </c>
    </row>
    <row r="101" spans="1:37" x14ac:dyDescent="0.25">
      <c r="B101">
        <f>Z3</f>
        <v>2040</v>
      </c>
      <c r="C101" s="8"/>
      <c r="D101" s="8"/>
      <c r="E101" s="8"/>
      <c r="F101" s="8"/>
      <c r="G101" s="8"/>
      <c r="H101" s="8"/>
      <c r="I101" s="8"/>
      <c r="J101" s="8"/>
      <c r="K101" s="8"/>
      <c r="L101" s="8"/>
      <c r="M101" s="8"/>
      <c r="N101" s="8"/>
      <c r="O101" s="8"/>
      <c r="P101" s="8"/>
      <c r="Q101" s="8"/>
      <c r="R101" s="8"/>
      <c r="S101" s="8"/>
      <c r="T101" s="8"/>
      <c r="U101" s="8"/>
      <c r="V101" s="8"/>
      <c r="W101" s="8"/>
      <c r="X101" s="8"/>
      <c r="Y101" s="8"/>
      <c r="Z101" s="8">
        <f>IF(Z$3-$B101-$C$72&lt;0,SLN($Z74,0,$C$72),0)</f>
        <v>0</v>
      </c>
      <c r="AA101" s="8">
        <f t="shared" ref="AA101:AI101" si="39">IF(AA$3-$B101-$C$72&lt;0,SLN($Z74,0,$C$72),0)</f>
        <v>0</v>
      </c>
      <c r="AB101" s="8">
        <f t="shared" si="39"/>
        <v>0</v>
      </c>
      <c r="AC101" s="8">
        <f t="shared" si="39"/>
        <v>0</v>
      </c>
      <c r="AD101" s="8">
        <f t="shared" si="39"/>
        <v>0</v>
      </c>
      <c r="AE101" s="8">
        <f t="shared" si="39"/>
        <v>0</v>
      </c>
      <c r="AF101" s="8">
        <f t="shared" si="39"/>
        <v>0</v>
      </c>
      <c r="AG101" s="8">
        <f t="shared" si="39"/>
        <v>0</v>
      </c>
      <c r="AH101" s="8">
        <f t="shared" si="39"/>
        <v>0</v>
      </c>
      <c r="AI101" s="8">
        <f t="shared" si="39"/>
        <v>0</v>
      </c>
      <c r="AJ101" s="125">
        <f t="shared" si="16"/>
        <v>0</v>
      </c>
    </row>
    <row r="102" spans="1:37" x14ac:dyDescent="0.25">
      <c r="B102">
        <f>AA3</f>
        <v>2041</v>
      </c>
      <c r="C102" s="8"/>
      <c r="D102" s="8"/>
      <c r="E102" s="8"/>
      <c r="F102" s="8"/>
      <c r="G102" s="8"/>
      <c r="H102" s="8"/>
      <c r="I102" s="8"/>
      <c r="J102" s="8"/>
      <c r="K102" s="8"/>
      <c r="L102" s="8"/>
      <c r="M102" s="8"/>
      <c r="N102" s="8"/>
      <c r="O102" s="8"/>
      <c r="P102" s="8"/>
      <c r="Q102" s="8"/>
      <c r="R102" s="8"/>
      <c r="S102" s="8"/>
      <c r="T102" s="8"/>
      <c r="U102" s="8"/>
      <c r="V102" s="8"/>
      <c r="W102" s="8"/>
      <c r="X102" s="8"/>
      <c r="Y102" s="8"/>
      <c r="Z102" s="8"/>
      <c r="AA102" s="8">
        <f>IF(AA$3-$B102-$C$72&lt;0,SLN($AA74,0,$C$72),0)</f>
        <v>0</v>
      </c>
      <c r="AB102" s="8">
        <f t="shared" ref="AB102:AI102" si="40">IF(AB$3-$B102-$C$72&lt;0,SLN($AA74,0,$C$72),0)</f>
        <v>0</v>
      </c>
      <c r="AC102" s="8">
        <f t="shared" si="40"/>
        <v>0</v>
      </c>
      <c r="AD102" s="8">
        <f t="shared" si="40"/>
        <v>0</v>
      </c>
      <c r="AE102" s="8">
        <f t="shared" si="40"/>
        <v>0</v>
      </c>
      <c r="AF102" s="8">
        <f t="shared" si="40"/>
        <v>0</v>
      </c>
      <c r="AG102" s="8">
        <f t="shared" si="40"/>
        <v>0</v>
      </c>
      <c r="AH102" s="8">
        <f t="shared" si="40"/>
        <v>0</v>
      </c>
      <c r="AI102" s="8">
        <f t="shared" si="40"/>
        <v>0</v>
      </c>
      <c r="AJ102" s="125">
        <f t="shared" si="16"/>
        <v>0</v>
      </c>
    </row>
    <row r="103" spans="1:37" x14ac:dyDescent="0.25">
      <c r="B103">
        <f>AB3</f>
        <v>2042</v>
      </c>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f>IF(AB$3-$B103-$C$72&lt;0,SLN($AB74,0,$C$72),0)</f>
        <v>0</v>
      </c>
      <c r="AC103" s="8">
        <f t="shared" ref="AC103:AI103" si="41">IF(AC$3-$B103-$C$72&lt;0,SLN($AB74,0,$C$72),0)</f>
        <v>0</v>
      </c>
      <c r="AD103" s="8">
        <f t="shared" si="41"/>
        <v>0</v>
      </c>
      <c r="AE103" s="8">
        <f t="shared" si="41"/>
        <v>0</v>
      </c>
      <c r="AF103" s="8">
        <f t="shared" si="41"/>
        <v>0</v>
      </c>
      <c r="AG103" s="8">
        <f t="shared" si="41"/>
        <v>0</v>
      </c>
      <c r="AH103" s="8">
        <f t="shared" si="41"/>
        <v>0</v>
      </c>
      <c r="AI103" s="8">
        <f t="shared" si="41"/>
        <v>0</v>
      </c>
      <c r="AJ103" s="125">
        <f t="shared" si="16"/>
        <v>0</v>
      </c>
    </row>
    <row r="104" spans="1:37" x14ac:dyDescent="0.25">
      <c r="B104">
        <f>AC3</f>
        <v>2043</v>
      </c>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f>IF(AC$3-$B104-$C$72&lt;0,SLN($AC74,0,$C$72),0)</f>
        <v>0</v>
      </c>
      <c r="AD104" s="8">
        <f t="shared" ref="AD104:AI104" si="42">IF(AD$3-$B104-$C$72&lt;0,SLN($AC74,0,$C$72),0)</f>
        <v>0</v>
      </c>
      <c r="AE104" s="8">
        <f t="shared" si="42"/>
        <v>0</v>
      </c>
      <c r="AF104" s="8">
        <f t="shared" si="42"/>
        <v>0</v>
      </c>
      <c r="AG104" s="8">
        <f t="shared" si="42"/>
        <v>0</v>
      </c>
      <c r="AH104" s="8">
        <f t="shared" si="42"/>
        <v>0</v>
      </c>
      <c r="AI104" s="8">
        <f t="shared" si="42"/>
        <v>0</v>
      </c>
      <c r="AJ104" s="125">
        <f t="shared" si="16"/>
        <v>0</v>
      </c>
    </row>
    <row r="105" spans="1:37" x14ac:dyDescent="0.25">
      <c r="B105">
        <f>AD3</f>
        <v>2044</v>
      </c>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f>IF(AD$3-$B105-$C$72&lt;0,SLN($AD74,0,$C$72),0)</f>
        <v>0</v>
      </c>
      <c r="AE105" s="8">
        <f t="shared" ref="AE105:AI105" si="43">IF(AE$3-$B105-$C$72&lt;0,SLN($AD74,0,$C$72),0)</f>
        <v>0</v>
      </c>
      <c r="AF105" s="8">
        <f t="shared" si="43"/>
        <v>0</v>
      </c>
      <c r="AG105" s="8">
        <f t="shared" si="43"/>
        <v>0</v>
      </c>
      <c r="AH105" s="8">
        <f t="shared" si="43"/>
        <v>0</v>
      </c>
      <c r="AI105" s="8">
        <f t="shared" si="43"/>
        <v>0</v>
      </c>
      <c r="AJ105" s="125">
        <f t="shared" si="16"/>
        <v>0</v>
      </c>
    </row>
    <row r="106" spans="1:37" x14ac:dyDescent="0.25">
      <c r="B106">
        <f>AE3</f>
        <v>2045</v>
      </c>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f>IF(AE$3-$B106-$C$72&lt;0,SLN($AE74,0,$C$72),0)</f>
        <v>0</v>
      </c>
      <c r="AF106" s="8">
        <f t="shared" ref="AF106:AI106" si="44">IF(AF$3-$B106-$C$72&lt;0,SLN($AE74,0,$C$72),0)</f>
        <v>0</v>
      </c>
      <c r="AG106" s="8">
        <f t="shared" si="44"/>
        <v>0</v>
      </c>
      <c r="AH106" s="8">
        <f t="shared" si="44"/>
        <v>0</v>
      </c>
      <c r="AI106" s="8">
        <f t="shared" si="44"/>
        <v>0</v>
      </c>
      <c r="AJ106" s="125">
        <f t="shared" si="16"/>
        <v>0</v>
      </c>
    </row>
    <row r="107" spans="1:37" x14ac:dyDescent="0.25">
      <c r="B107">
        <f>AF3</f>
        <v>2046</v>
      </c>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f>IF(AF$3-$B107-$C$72&lt;0,SLN($AF74,0,$C$72),0)</f>
        <v>0</v>
      </c>
      <c r="AG107" s="8">
        <f t="shared" ref="AG107:AI107" si="45">IF(AG$3-$B107-$C$72&lt;0,SLN($AF74,0,$C$72),0)</f>
        <v>0</v>
      </c>
      <c r="AH107" s="8">
        <f t="shared" si="45"/>
        <v>0</v>
      </c>
      <c r="AI107" s="8">
        <f t="shared" si="45"/>
        <v>0</v>
      </c>
      <c r="AJ107" s="125">
        <f t="shared" si="16"/>
        <v>0</v>
      </c>
    </row>
    <row r="108" spans="1:37" x14ac:dyDescent="0.25">
      <c r="B108">
        <f>AG3</f>
        <v>2047</v>
      </c>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f>IF(AG$3-$B108-$C$72&lt;0,SLN($AG74,0,$C$72),0)</f>
        <v>0</v>
      </c>
      <c r="AH108" s="8">
        <f t="shared" ref="AH108:AI108" si="46">IF(AH$3-$B108-$C$72&lt;0,SLN($AG74,0,$C$72),0)</f>
        <v>0</v>
      </c>
      <c r="AI108" s="8">
        <f t="shared" si="46"/>
        <v>0</v>
      </c>
      <c r="AJ108" s="125">
        <f t="shared" si="16"/>
        <v>0</v>
      </c>
    </row>
    <row r="109" spans="1:37" x14ac:dyDescent="0.25">
      <c r="B109">
        <f>AH3</f>
        <v>2048</v>
      </c>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f>IF(AH$3-$B109-$C$72&lt;0,SLN($AH74,0,$C$72),0)</f>
        <v>0</v>
      </c>
      <c r="AI109" s="8">
        <f>IF(AI$3-$B109-$C$72&lt;0,SLN($AH74,0,$C$72),0)</f>
        <v>0</v>
      </c>
      <c r="AJ109" s="125">
        <f t="shared" si="16"/>
        <v>0</v>
      </c>
    </row>
    <row r="110" spans="1:37" ht="15.75" thickBot="1" x14ac:dyDescent="0.3">
      <c r="B110">
        <f>AI3</f>
        <v>2049</v>
      </c>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8">
        <f>IF(AI$3-$B110-$C$72&lt;0,SLN($AI74,0,$C$72),0)</f>
        <v>0</v>
      </c>
      <c r="AJ110" s="128">
        <f t="shared" si="16"/>
        <v>0</v>
      </c>
    </row>
    <row r="111" spans="1:37" ht="15.75" thickBot="1" x14ac:dyDescent="0.3">
      <c r="A111" s="105" t="s">
        <v>231</v>
      </c>
      <c r="B111" s="79" t="s">
        <v>99</v>
      </c>
      <c r="C111" s="106">
        <f>SUM(C78:C110)</f>
        <v>2.125</v>
      </c>
      <c r="D111" s="107">
        <f t="shared" ref="D111:AJ111" si="47">SUM(D78:D110)</f>
        <v>484.375</v>
      </c>
      <c r="E111" s="107">
        <f t="shared" si="47"/>
        <v>1217.125</v>
      </c>
      <c r="F111" s="107">
        <f t="shared" si="47"/>
        <v>2096</v>
      </c>
      <c r="G111" s="107">
        <f t="shared" si="47"/>
        <v>2096</v>
      </c>
      <c r="H111" s="107">
        <f t="shared" si="47"/>
        <v>2096</v>
      </c>
      <c r="I111" s="107">
        <f t="shared" si="47"/>
        <v>2096</v>
      </c>
      <c r="J111" s="107">
        <f t="shared" si="47"/>
        <v>2096</v>
      </c>
      <c r="K111" s="107">
        <f t="shared" si="47"/>
        <v>2093.875</v>
      </c>
      <c r="L111" s="107">
        <f t="shared" si="47"/>
        <v>1611.625</v>
      </c>
      <c r="M111" s="107">
        <f t="shared" si="47"/>
        <v>878.875</v>
      </c>
      <c r="N111" s="107">
        <f t="shared" si="47"/>
        <v>0</v>
      </c>
      <c r="O111" s="107">
        <f t="shared" si="47"/>
        <v>0</v>
      </c>
      <c r="P111" s="107">
        <f t="shared" si="47"/>
        <v>0</v>
      </c>
      <c r="Q111" s="107">
        <f t="shared" si="47"/>
        <v>0</v>
      </c>
      <c r="R111" s="107">
        <f t="shared" si="47"/>
        <v>0</v>
      </c>
      <c r="S111" s="107">
        <f t="shared" si="47"/>
        <v>0</v>
      </c>
      <c r="T111" s="107">
        <f t="shared" si="47"/>
        <v>0</v>
      </c>
      <c r="U111" s="107">
        <f t="shared" si="47"/>
        <v>0</v>
      </c>
      <c r="V111" s="107">
        <f t="shared" si="47"/>
        <v>0</v>
      </c>
      <c r="W111" s="107">
        <f t="shared" si="47"/>
        <v>0</v>
      </c>
      <c r="X111" s="107">
        <f t="shared" si="47"/>
        <v>0</v>
      </c>
      <c r="Y111" s="107">
        <f t="shared" si="47"/>
        <v>0</v>
      </c>
      <c r="Z111" s="107">
        <f t="shared" si="47"/>
        <v>0</v>
      </c>
      <c r="AA111" s="107">
        <f t="shared" si="47"/>
        <v>0</v>
      </c>
      <c r="AB111" s="107">
        <f t="shared" si="47"/>
        <v>0</v>
      </c>
      <c r="AC111" s="107">
        <f t="shared" si="47"/>
        <v>0</v>
      </c>
      <c r="AD111" s="107">
        <f t="shared" si="47"/>
        <v>0</v>
      </c>
      <c r="AE111" s="107">
        <f t="shared" si="47"/>
        <v>0</v>
      </c>
      <c r="AF111" s="107">
        <f t="shared" si="47"/>
        <v>0</v>
      </c>
      <c r="AG111" s="107">
        <f t="shared" si="47"/>
        <v>0</v>
      </c>
      <c r="AH111" s="107">
        <f t="shared" si="47"/>
        <v>0</v>
      </c>
      <c r="AI111" s="107">
        <f t="shared" si="47"/>
        <v>0</v>
      </c>
      <c r="AJ111" s="129">
        <f t="shared" si="47"/>
        <v>16768</v>
      </c>
      <c r="AK111" s="108">
        <f>AJ111-AJ74</f>
        <v>0</v>
      </c>
    </row>
    <row r="112" spans="1:37" x14ac:dyDescent="0.25">
      <c r="AJ112" s="124" t="s">
        <v>232</v>
      </c>
      <c r="AK112" s="95" t="str">
        <f>IF(AK111=0,"VALID","ERROR")</f>
        <v>VALID</v>
      </c>
    </row>
  </sheetData>
  <pageMargins left="0.7" right="0.7" top="0.75" bottom="0.75" header="0.3" footer="0.3"/>
  <pageSetup orientation="portrait" horizontalDpi="4294967292" verticalDpi="429496729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theme="1"/>
  </sheetPr>
  <dimension ref="A1:AL46"/>
  <sheetViews>
    <sheetView workbookViewId="0">
      <pane xSplit="1" topLeftCell="X1" activePane="topRight" state="frozen"/>
      <selection pane="topRight" activeCell="AJ8" sqref="AJ8"/>
    </sheetView>
  </sheetViews>
  <sheetFormatPr defaultColWidth="8.85546875" defaultRowHeight="15" x14ac:dyDescent="0.25"/>
  <cols>
    <col min="1" max="1" width="42.140625" customWidth="1"/>
    <col min="3" max="3" width="12.85546875" customWidth="1"/>
    <col min="4" max="4" width="11" customWidth="1"/>
    <col min="5" max="5" width="10.7109375" customWidth="1"/>
    <col min="6" max="6" width="10.140625" customWidth="1"/>
    <col min="7" max="7" width="11.140625" customWidth="1"/>
    <col min="8" max="8" width="9.7109375" customWidth="1"/>
    <col min="9" max="9" width="9.85546875" customWidth="1"/>
    <col min="10" max="10" width="9.140625" customWidth="1"/>
    <col min="11" max="11" width="9.28515625" customWidth="1"/>
    <col min="12" max="12" width="9.140625" customWidth="1"/>
    <col min="13" max="13" width="9.7109375" customWidth="1"/>
    <col min="14" max="14" width="9.140625" customWidth="1"/>
    <col min="15" max="15" width="9.28515625" customWidth="1"/>
    <col min="32" max="32" width="9.85546875" customWidth="1"/>
    <col min="33" max="33" width="10.28515625" customWidth="1"/>
    <col min="36" max="36" width="10.140625" style="124" bestFit="1" customWidth="1"/>
  </cols>
  <sheetData>
    <row r="1" spans="1:36" s="69" customFormat="1" ht="39" customHeight="1" x14ac:dyDescent="0.25">
      <c r="A1" s="197" t="s">
        <v>378</v>
      </c>
      <c r="AJ1" s="132"/>
    </row>
    <row r="2" spans="1:36" ht="21" x14ac:dyDescent="0.25">
      <c r="A2" s="117" t="str">
        <f>IF('Assumptions &amp; Results'!$C$172=2,"VALID","INVALID")</f>
        <v>INVALID</v>
      </c>
      <c r="C2" s="19" t="s">
        <v>571</v>
      </c>
    </row>
    <row r="3" spans="1:36" x14ac:dyDescent="0.2">
      <c r="B3" t="s">
        <v>234</v>
      </c>
      <c r="C3" s="1">
        <f>'Assumptions &amp; Results'!D2</f>
        <v>2017</v>
      </c>
      <c r="D3" s="1">
        <f>'Assumptions &amp; Results'!E2</f>
        <v>2018</v>
      </c>
      <c r="E3" s="1">
        <f>'Assumptions &amp; Results'!F2</f>
        <v>2019</v>
      </c>
      <c r="F3" s="1">
        <f>'Assumptions &amp; Results'!G2</f>
        <v>2020</v>
      </c>
      <c r="G3" s="1">
        <f>'Assumptions &amp; Results'!H2</f>
        <v>2021</v>
      </c>
      <c r="H3" s="1">
        <f>'Assumptions &amp; Results'!I2</f>
        <v>2022</v>
      </c>
      <c r="I3" s="1">
        <f>'Assumptions &amp; Results'!J2</f>
        <v>2023</v>
      </c>
      <c r="J3" s="1">
        <f>'Assumptions &amp; Results'!K2</f>
        <v>2024</v>
      </c>
      <c r="K3" s="1">
        <f>'Assumptions &amp; Results'!L2</f>
        <v>2025</v>
      </c>
      <c r="L3" s="1">
        <f>'Assumptions &amp; Results'!M2</f>
        <v>2026</v>
      </c>
      <c r="M3" s="1">
        <f>'Assumptions &amp; Results'!N2</f>
        <v>2027</v>
      </c>
      <c r="N3" s="1">
        <f>'Assumptions &amp; Results'!O2</f>
        <v>2028</v>
      </c>
      <c r="O3" s="1">
        <f>'Assumptions &amp; Results'!P2</f>
        <v>2029</v>
      </c>
      <c r="P3" s="1">
        <f>'Assumptions &amp; Results'!Q2</f>
        <v>2030</v>
      </c>
      <c r="Q3" s="1">
        <f>'Assumptions &amp; Results'!R2</f>
        <v>2031</v>
      </c>
      <c r="R3" s="1">
        <f>'Assumptions &amp; Results'!S2</f>
        <v>2032</v>
      </c>
      <c r="S3" s="1">
        <f>'Assumptions &amp; Results'!T2</f>
        <v>2033</v>
      </c>
      <c r="T3" s="1">
        <f>'Assumptions &amp; Results'!U2</f>
        <v>2034</v>
      </c>
      <c r="U3" s="1">
        <f>'Assumptions &amp; Results'!V2</f>
        <v>2035</v>
      </c>
      <c r="V3" s="1">
        <f>'Assumptions &amp; Results'!W2</f>
        <v>2036</v>
      </c>
      <c r="W3" s="1">
        <f>'Assumptions &amp; Results'!X2</f>
        <v>2037</v>
      </c>
      <c r="X3" s="1">
        <f>'Assumptions &amp; Results'!Y2</f>
        <v>2038</v>
      </c>
      <c r="Y3" s="1">
        <f>'Assumptions &amp; Results'!Z2</f>
        <v>2039</v>
      </c>
      <c r="Z3" s="1">
        <f>'Assumptions &amp; Results'!AA2</f>
        <v>2040</v>
      </c>
      <c r="AA3" s="1">
        <f>'Assumptions &amp; Results'!AB2</f>
        <v>2041</v>
      </c>
      <c r="AB3" s="1">
        <f>'Assumptions &amp; Results'!AC2</f>
        <v>2042</v>
      </c>
      <c r="AC3" s="1">
        <f>'Assumptions &amp; Results'!AD2</f>
        <v>2043</v>
      </c>
      <c r="AD3" s="1">
        <f>'Assumptions &amp; Results'!AE2</f>
        <v>2044</v>
      </c>
      <c r="AE3" s="1">
        <f>'Assumptions &amp; Results'!AF2</f>
        <v>2045</v>
      </c>
      <c r="AF3" s="1">
        <f>'Assumptions &amp; Results'!AG2</f>
        <v>2046</v>
      </c>
      <c r="AG3" s="1">
        <f>'Assumptions &amp; Results'!AH2</f>
        <v>2047</v>
      </c>
      <c r="AH3" s="1">
        <f>'Assumptions &amp; Results'!AI2</f>
        <v>2048</v>
      </c>
      <c r="AI3" s="1">
        <f>'Assumptions &amp; Results'!AJ2</f>
        <v>2049</v>
      </c>
      <c r="AJ3" s="123" t="s">
        <v>63</v>
      </c>
    </row>
    <row r="4" spans="1:36" x14ac:dyDescent="0.2">
      <c r="A4" s="37" t="s">
        <v>379</v>
      </c>
      <c r="B4" t="s">
        <v>99</v>
      </c>
      <c r="C4" s="8">
        <f>'LNG Equity '!C34+'Field 1 Investor'!C16+'Field 1 Investor'!C17+'Field 2 Investor'!C16+'Field 2 Investor'!C17+'Field 3 Investor'!C16+'Field 3 Investor'!C17</f>
        <v>0</v>
      </c>
      <c r="D4" s="8">
        <f>'LNG Equity '!D34+'Field 1 Investor'!D16+'Field 1 Investor'!D17+'Field 2 Investor'!D16+'Field 2 Investor'!D17+'Field 3 Investor'!D16+'Field 3 Investor'!D17</f>
        <v>0</v>
      </c>
      <c r="E4" s="8">
        <f>'LNG Equity '!E34+'Field 1 Investor'!E16+'Field 1 Investor'!E17+'Field 2 Investor'!E16+'Field 2 Investor'!E17+'Field 3 Investor'!E16+'Field 3 Investor'!E17</f>
        <v>0</v>
      </c>
      <c r="F4" s="8">
        <f>'LNG Equity '!F34+'Field 1 Investor'!F16+'Field 1 Investor'!F17+'Field 2 Investor'!F16+'Field 2 Investor'!F17+'Field 3 Investor'!F16+'Field 3 Investor'!F17</f>
        <v>0</v>
      </c>
      <c r="G4" s="8">
        <f>'LNG Equity '!G34+'Field 1 Investor'!G16+'Field 1 Investor'!G17+'Field 2 Investor'!G16+'Field 2 Investor'!G17+'Field 3 Investor'!G16+'Field 3 Investor'!G17</f>
        <v>4677.9768750000003</v>
      </c>
      <c r="H4" s="8">
        <f>'LNG Equity '!H34+'Field 1 Investor'!H16+'Field 1 Investor'!H17+'Field 2 Investor'!H16+'Field 2 Investor'!H17+'Field 3 Investor'!H16+'Field 3 Investor'!H17</f>
        <v>9355.9537500000006</v>
      </c>
      <c r="I4" s="8">
        <f>'LNG Equity '!I34+'Field 1 Investor'!I16+'Field 1 Investor'!I17+'Field 2 Investor'!I16+'Field 2 Investor'!I17+'Field 3 Investor'!I16+'Field 3 Investor'!I17</f>
        <v>9355.9537500000006</v>
      </c>
      <c r="J4" s="8">
        <f>'LNG Equity '!J34+'Field 1 Investor'!J16+'Field 1 Investor'!J17+'Field 2 Investor'!J16+'Field 2 Investor'!J17+'Field 3 Investor'!J16+'Field 3 Investor'!J17</f>
        <v>8891.1673124999979</v>
      </c>
      <c r="K4" s="8">
        <f>'LNG Equity '!K34+'Field 1 Investor'!K16+'Field 1 Investor'!K17+'Field 2 Investor'!K16+'Field 2 Investor'!K17+'Field 3 Investor'!K16+'Field 3 Investor'!K17</f>
        <v>9355.9537500000006</v>
      </c>
      <c r="L4" s="8">
        <f>'LNG Equity '!L34+'Field 1 Investor'!L16+'Field 1 Investor'!L17+'Field 2 Investor'!L16+'Field 2 Investor'!L17+'Field 3 Investor'!L16+'Field 3 Investor'!L17</f>
        <v>9355.9537500000006</v>
      </c>
      <c r="M4" s="8">
        <f>'LNG Equity '!M34+'Field 1 Investor'!M16+'Field 1 Investor'!M17+'Field 2 Investor'!M16+'Field 2 Investor'!M17+'Field 3 Investor'!M16+'Field 3 Investor'!M17</f>
        <v>9355.9537500000006</v>
      </c>
      <c r="N4" s="8">
        <f>'LNG Equity '!N34+'Field 1 Investor'!N16+'Field 1 Investor'!N17+'Field 2 Investor'!N16+'Field 2 Investor'!N17+'Field 3 Investor'!N16+'Field 3 Investor'!N17</f>
        <v>9355.9537500000006</v>
      </c>
      <c r="O4" s="8">
        <f>'LNG Equity '!O34+'Field 1 Investor'!O16+'Field 1 Investor'!O17+'Field 2 Investor'!O16+'Field 2 Investor'!O17+'Field 3 Investor'!O16+'Field 3 Investor'!O17</f>
        <v>8891.1673124999979</v>
      </c>
      <c r="P4" s="8">
        <f>'LNG Equity '!P34+'Field 1 Investor'!P16+'Field 1 Investor'!P17+'Field 2 Investor'!P16+'Field 2 Investor'!P17+'Field 3 Investor'!P16+'Field 3 Investor'!P17</f>
        <v>9355.9537500000006</v>
      </c>
      <c r="Q4" s="8">
        <f>'LNG Equity '!Q34+'Field 1 Investor'!Q16+'Field 1 Investor'!Q17+'Field 2 Investor'!Q16+'Field 2 Investor'!Q17+'Field 3 Investor'!Q16+'Field 3 Investor'!Q17</f>
        <v>9355.9537500000006</v>
      </c>
      <c r="R4" s="8">
        <f>'LNG Equity '!R34+'Field 1 Investor'!R16+'Field 1 Investor'!R17+'Field 2 Investor'!R16+'Field 2 Investor'!R17+'Field 3 Investor'!R16+'Field 3 Investor'!R17</f>
        <v>9355.9537500000006</v>
      </c>
      <c r="S4" s="8">
        <f>'LNG Equity '!S34+'Field 1 Investor'!S16+'Field 1 Investor'!S17+'Field 2 Investor'!S16+'Field 2 Investor'!S17+'Field 3 Investor'!S16+'Field 3 Investor'!S17</f>
        <v>9355.9537500000006</v>
      </c>
      <c r="T4" s="8">
        <f>'LNG Equity '!T34+'Field 1 Investor'!T16+'Field 1 Investor'!T17+'Field 2 Investor'!T16+'Field 2 Investor'!T17+'Field 3 Investor'!T16+'Field 3 Investor'!T17</f>
        <v>8891.1673124999979</v>
      </c>
      <c r="U4" s="8">
        <f>'LNG Equity '!U34+'Field 1 Investor'!U16+'Field 1 Investor'!U17+'Field 2 Investor'!U16+'Field 2 Investor'!U17+'Field 3 Investor'!U16+'Field 3 Investor'!U17</f>
        <v>9355.9537500000006</v>
      </c>
      <c r="V4" s="8">
        <f>'LNG Equity '!V34+'Field 1 Investor'!V16+'Field 1 Investor'!V17+'Field 2 Investor'!V16+'Field 2 Investor'!V17+'Field 3 Investor'!V16+'Field 3 Investor'!V17</f>
        <v>9355.9537500000006</v>
      </c>
      <c r="W4" s="8">
        <f>'LNG Equity '!W34+'Field 1 Investor'!W16+'Field 1 Investor'!W17+'Field 2 Investor'!W16+'Field 2 Investor'!W17+'Field 3 Investor'!W16+'Field 3 Investor'!W17</f>
        <v>9355.9537500000006</v>
      </c>
      <c r="X4" s="8">
        <f>'LNG Equity '!X34+'Field 1 Investor'!X16+'Field 1 Investor'!X17+'Field 2 Investor'!X16+'Field 2 Investor'!X17+'Field 3 Investor'!X16+'Field 3 Investor'!X17</f>
        <v>9355.9537500000006</v>
      </c>
      <c r="Y4" s="8">
        <f>'LNG Equity '!Y34+'Field 1 Investor'!Y16+'Field 1 Investor'!Y17+'Field 2 Investor'!Y16+'Field 2 Investor'!Y17+'Field 3 Investor'!Y16+'Field 3 Investor'!Y17</f>
        <v>8891.1673124999979</v>
      </c>
      <c r="Z4" s="8">
        <f>'LNG Equity '!Z34+'Field 1 Investor'!Z16+'Field 1 Investor'!Z17+'Field 2 Investor'!Z16+'Field 2 Investor'!Z17+'Field 3 Investor'!Z16+'Field 3 Investor'!Z17</f>
        <v>9355.9537500000006</v>
      </c>
      <c r="AA4" s="8">
        <f>'LNG Equity '!AA34+'Field 1 Investor'!AA16+'Field 1 Investor'!AA17+'Field 2 Investor'!AA16+'Field 2 Investor'!AA17+'Field 3 Investor'!AA16+'Field 3 Investor'!AA17</f>
        <v>9355.9537500000006</v>
      </c>
      <c r="AB4" s="8">
        <f>'LNG Equity '!AB34+'Field 1 Investor'!AB16+'Field 1 Investor'!AB17+'Field 2 Investor'!AB16+'Field 2 Investor'!AB17+'Field 3 Investor'!AB16+'Field 3 Investor'!AB17</f>
        <v>9355.9537500000006</v>
      </c>
      <c r="AC4" s="8">
        <f>'LNG Equity '!AC34+'Field 1 Investor'!AC16+'Field 1 Investor'!AC17+'Field 2 Investor'!AC16+'Field 2 Investor'!AC17+'Field 3 Investor'!AC16+'Field 3 Investor'!AC17</f>
        <v>9355.9537500000006</v>
      </c>
      <c r="AD4" s="8">
        <f>'LNG Equity '!AD34+'Field 1 Investor'!AD16+'Field 1 Investor'!AD17+'Field 2 Investor'!AD16+'Field 2 Investor'!AD17+'Field 3 Investor'!AD16+'Field 3 Investor'!AD17</f>
        <v>8891.1673124999979</v>
      </c>
      <c r="AE4" s="8">
        <f>'LNG Equity '!AE34+'Field 1 Investor'!AE16+'Field 1 Investor'!AE17+'Field 2 Investor'!AE16+'Field 2 Investor'!AE17+'Field 3 Investor'!AE16+'Field 3 Investor'!AE17</f>
        <v>9355.9537500000006</v>
      </c>
      <c r="AF4" s="8">
        <f>'LNG Equity '!AF34+'Field 1 Investor'!AF16+'Field 1 Investor'!AF17+'Field 2 Investor'!AF16+'Field 2 Investor'!AF17+'Field 3 Investor'!AF16+'Field 3 Investor'!AF17</f>
        <v>9355.9537500000006</v>
      </c>
      <c r="AG4" s="8">
        <f>'LNG Equity '!AG34+'Field 1 Investor'!AG16+'Field 1 Investor'!AG17+'Field 2 Investor'!AG16+'Field 2 Investor'!AG17+'Field 3 Investor'!AG16+'Field 3 Investor'!AG17</f>
        <v>9355.9537500000006</v>
      </c>
      <c r="AH4" s="8">
        <f>'LNG Equity '!AH34+'Field 1 Investor'!AH16+'Field 1 Investor'!AH17+'Field 2 Investor'!AH16+'Field 2 Investor'!AH17+'Field 3 Investor'!AH16+'Field 3 Investor'!AH17</f>
        <v>9355.9537500000006</v>
      </c>
      <c r="AI4" s="8">
        <f>'LNG Equity '!AI34+'Field 1 Investor'!AI16+'Field 1 Investor'!AI17+'Field 2 Investor'!AI16+'Field 2 Investor'!AI17+'Field 3 Investor'!AI16+'Field 3 Investor'!AI17</f>
        <v>9355.9537500000006</v>
      </c>
      <c r="AJ4" s="135">
        <f>SUM(C4:AI4)</f>
        <v>264320.74968749983</v>
      </c>
    </row>
    <row r="5" spans="1:36" x14ac:dyDescent="0.2">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row>
    <row r="6" spans="1:36" x14ac:dyDescent="0.2">
      <c r="A6" s="37" t="s">
        <v>380</v>
      </c>
      <c r="B6" t="s">
        <v>99</v>
      </c>
      <c r="C6" s="8">
        <f>-('Assumptions &amp; Results'!D105+'LNG Equity '!C14+'LNG Equity '!C15+'Gas PL'!C14+'Gas PL'!C15+'Field 1 Investor'!C23+'Field 1 Investor'!C24+'Field 1 Investor'!C27+'Field 1 Investor'!C28+'Field 2 Investor'!C23+'Field 2 Investor'!C24+'Field 2 Investor'!C27+'Field 2 Investor'!C28+'Field 3 Investor'!C23+'Field 3 Investor'!C24+'Field 3 Investor'!C27+'Field 3 Investor'!C28)</f>
        <v>0</v>
      </c>
      <c r="D6" s="8">
        <f>-('Assumptions &amp; Results'!E105+'LNG Equity '!D14+'LNG Equity '!D15+'Gas PL'!D14+'Gas PL'!D15+'Field 1 Investor'!D23+'Field 1 Investor'!D24+'Field 1 Investor'!D27+'Field 1 Investor'!D28+'Field 2 Investor'!D23+'Field 2 Investor'!D24+'Field 2 Investor'!D27+'Field 2 Investor'!D28+'Field 3 Investor'!D23+'Field 3 Investor'!D24+'Field 3 Investor'!D27+'Field 3 Investor'!D28)</f>
        <v>0</v>
      </c>
      <c r="E6" s="8">
        <f>-('Assumptions &amp; Results'!F105+'LNG Equity '!E14+'LNG Equity '!E15+'Gas PL'!E14+'Gas PL'!E15+'Field 1 Investor'!E23+'Field 1 Investor'!E24+'Field 1 Investor'!E27+'Field 1 Investor'!E28+'Field 2 Investor'!E23+'Field 2 Investor'!E24+'Field 2 Investor'!E27+'Field 2 Investor'!E28+'Field 3 Investor'!E23+'Field 3 Investor'!E24+'Field 3 Investor'!E27+'Field 3 Investor'!E28)</f>
        <v>0</v>
      </c>
      <c r="F6" s="8">
        <f>-('Assumptions &amp; Results'!G105+'LNG Equity '!F14+'LNG Equity '!F15+'Gas PL'!F14+'Gas PL'!F15+'Field 1 Investor'!F23+'Field 1 Investor'!F24+'Field 1 Investor'!F27+'Field 1 Investor'!F28+'Field 2 Investor'!F23+'Field 2 Investor'!F24+'Field 2 Investor'!F27+'Field 2 Investor'!F28+'Field 3 Investor'!F23+'Field 3 Investor'!F24+'Field 3 Investor'!F27+'Field 3 Investor'!F28)</f>
        <v>0</v>
      </c>
      <c r="G6" s="8">
        <f>-('Assumptions &amp; Results'!H105+'LNG Equity '!G14+'LNG Equity '!G15+'Gas PL'!G14+'Gas PL'!G15+'Field 1 Investor'!G23+'Field 1 Investor'!G24+'Field 1 Investor'!G27+'Field 1 Investor'!G28+'Field 2 Investor'!G23+'Field 2 Investor'!G24+'Field 2 Investor'!G27+'Field 2 Investor'!G28+'Field 3 Investor'!G23+'Field 3 Investor'!G24+'Field 3 Investor'!G27+'Field 3 Investor'!G28)</f>
        <v>-1139.3486</v>
      </c>
      <c r="H6" s="8">
        <f>-('Assumptions &amp; Results'!I105+'LNG Equity '!H14+'LNG Equity '!H15+'Gas PL'!H14+'Gas PL'!H15+'Field 1 Investor'!H23+'Field 1 Investor'!H24+'Field 1 Investor'!H27+'Field 1 Investor'!H28+'Field 2 Investor'!H23+'Field 2 Investor'!H24+'Field 2 Investor'!H27+'Field 2 Investor'!H28+'Field 3 Investor'!H23+'Field 3 Investor'!H24+'Field 3 Investor'!H27+'Field 3 Investor'!H28)</f>
        <v>-2278.6972000000001</v>
      </c>
      <c r="I6" s="8">
        <f>-('Assumptions &amp; Results'!J105+'LNG Equity '!I14+'LNG Equity '!I15+'Gas PL'!I14+'Gas PL'!I15+'Field 1 Investor'!I23+'Field 1 Investor'!I24+'Field 1 Investor'!I27+'Field 1 Investor'!I28+'Field 2 Investor'!I23+'Field 2 Investor'!I24+'Field 2 Investor'!I27+'Field 2 Investor'!I28+'Field 3 Investor'!I23+'Field 3 Investor'!I24+'Field 3 Investor'!I27+'Field 3 Investor'!I28)</f>
        <v>-2278.6972000000001</v>
      </c>
      <c r="J6" s="8">
        <f>-('Assumptions &amp; Results'!K105+'LNG Equity '!J14+'LNG Equity '!J15+'Gas PL'!J14+'Gas PL'!J15+'Field 1 Investor'!J23+'Field 1 Investor'!J24+'Field 1 Investor'!J27+'Field 1 Investor'!J28+'Field 2 Investor'!J23+'Field 2 Investor'!J24+'Field 2 Investor'!J27+'Field 2 Investor'!J28+'Field 3 Investor'!J23+'Field 3 Investor'!J24+'Field 3 Investor'!J27+'Field 3 Investor'!J28)</f>
        <v>-2390.0837000000001</v>
      </c>
      <c r="K6" s="8">
        <f>-('Assumptions &amp; Results'!L105+'LNG Equity '!K14+'LNG Equity '!K15+'Gas PL'!K14+'Gas PL'!K15+'Field 1 Investor'!K23+'Field 1 Investor'!K24+'Field 1 Investor'!K27+'Field 1 Investor'!K28+'Field 2 Investor'!K23+'Field 2 Investor'!K24+'Field 2 Investor'!K27+'Field 2 Investor'!K28+'Field 3 Investor'!K23+'Field 3 Investor'!K24+'Field 3 Investor'!K27+'Field 3 Investor'!K28)</f>
        <v>-2278.6972000000001</v>
      </c>
      <c r="L6" s="8">
        <f>-('Assumptions &amp; Results'!M105+'LNG Equity '!L14+'LNG Equity '!L15+'Gas PL'!L14+'Gas PL'!L15+'Field 1 Investor'!L23+'Field 1 Investor'!L24+'Field 1 Investor'!L27+'Field 1 Investor'!L28+'Field 2 Investor'!L23+'Field 2 Investor'!L24+'Field 2 Investor'!L27+'Field 2 Investor'!L28+'Field 3 Investor'!L23+'Field 3 Investor'!L24+'Field 3 Investor'!L27+'Field 3 Investor'!L28)</f>
        <v>-2278.6972000000001</v>
      </c>
      <c r="M6" s="8">
        <f>-('Assumptions &amp; Results'!N105+'LNG Equity '!M14+'LNG Equity '!M15+'Gas PL'!M14+'Gas PL'!M15+'Field 1 Investor'!M23+'Field 1 Investor'!M24+'Field 1 Investor'!M27+'Field 1 Investor'!M28+'Field 2 Investor'!M23+'Field 2 Investor'!M24+'Field 2 Investor'!M27+'Field 2 Investor'!M28+'Field 3 Investor'!M23+'Field 3 Investor'!M24+'Field 3 Investor'!M27+'Field 3 Investor'!M28)</f>
        <v>-2278.6972000000001</v>
      </c>
      <c r="N6" s="8">
        <f>-('Assumptions &amp; Results'!O105+'LNG Equity '!N14+'LNG Equity '!N15+'Gas PL'!N14+'Gas PL'!N15+'Field 1 Investor'!N23+'Field 1 Investor'!N24+'Field 1 Investor'!N27+'Field 1 Investor'!N28+'Field 2 Investor'!N23+'Field 2 Investor'!N24+'Field 2 Investor'!N27+'Field 2 Investor'!N28+'Field 3 Investor'!N23+'Field 3 Investor'!N24+'Field 3 Investor'!N27+'Field 3 Investor'!N28)</f>
        <v>-2278.6972000000001</v>
      </c>
      <c r="O6" s="8">
        <f>-('Assumptions &amp; Results'!P105+'LNG Equity '!O14+'LNG Equity '!O15+'Gas PL'!O14+'Gas PL'!O15+'Field 1 Investor'!O23+'Field 1 Investor'!O24+'Field 1 Investor'!O27+'Field 1 Investor'!O28+'Field 2 Investor'!O23+'Field 2 Investor'!O24+'Field 2 Investor'!O27+'Field 2 Investor'!O28+'Field 3 Investor'!O23+'Field 3 Investor'!O24+'Field 3 Investor'!O27+'Field 3 Investor'!O28)</f>
        <v>-2390.0837000000001</v>
      </c>
      <c r="P6" s="8">
        <f>-('Assumptions &amp; Results'!Q105+'LNG Equity '!P14+'LNG Equity '!P15+'Gas PL'!P14+'Gas PL'!P15+'Field 1 Investor'!P23+'Field 1 Investor'!P24+'Field 1 Investor'!P27+'Field 1 Investor'!P28+'Field 2 Investor'!P23+'Field 2 Investor'!P24+'Field 2 Investor'!P27+'Field 2 Investor'!P28+'Field 3 Investor'!P23+'Field 3 Investor'!P24+'Field 3 Investor'!P27+'Field 3 Investor'!P28)</f>
        <v>-2278.6972000000001</v>
      </c>
      <c r="Q6" s="8">
        <f>-('Assumptions &amp; Results'!R105+'LNG Equity '!Q14+'LNG Equity '!Q15+'Gas PL'!Q14+'Gas PL'!Q15+'Field 1 Investor'!Q23+'Field 1 Investor'!Q24+'Field 1 Investor'!Q27+'Field 1 Investor'!Q28+'Field 2 Investor'!Q23+'Field 2 Investor'!Q24+'Field 2 Investor'!Q27+'Field 2 Investor'!Q28+'Field 3 Investor'!Q23+'Field 3 Investor'!Q24+'Field 3 Investor'!Q27+'Field 3 Investor'!Q28)</f>
        <v>-2278.6972000000001</v>
      </c>
      <c r="R6" s="8">
        <f>-('Assumptions &amp; Results'!S105+'LNG Equity '!R14+'LNG Equity '!R15+'Gas PL'!R14+'Gas PL'!R15+'Field 1 Investor'!R23+'Field 1 Investor'!R24+'Field 1 Investor'!R27+'Field 1 Investor'!R28+'Field 2 Investor'!R23+'Field 2 Investor'!R24+'Field 2 Investor'!R27+'Field 2 Investor'!R28+'Field 3 Investor'!R23+'Field 3 Investor'!R24+'Field 3 Investor'!R27+'Field 3 Investor'!R28)</f>
        <v>-2278.6972000000001</v>
      </c>
      <c r="S6" s="8">
        <f>-('Assumptions &amp; Results'!T105+'LNG Equity '!S14+'LNG Equity '!S15+'Gas PL'!S14+'Gas PL'!S15+'Field 1 Investor'!S23+'Field 1 Investor'!S24+'Field 1 Investor'!S27+'Field 1 Investor'!S28+'Field 2 Investor'!S23+'Field 2 Investor'!S24+'Field 2 Investor'!S27+'Field 2 Investor'!S28+'Field 3 Investor'!S23+'Field 3 Investor'!S24+'Field 3 Investor'!S27+'Field 3 Investor'!S28)</f>
        <v>-2278.6972000000001</v>
      </c>
      <c r="T6" s="8">
        <f>-('Assumptions &amp; Results'!U105+'LNG Equity '!T14+'LNG Equity '!T15+'Gas PL'!T14+'Gas PL'!T15+'Field 1 Investor'!T23+'Field 1 Investor'!T24+'Field 1 Investor'!T27+'Field 1 Investor'!T28+'Field 2 Investor'!T23+'Field 2 Investor'!T24+'Field 2 Investor'!T27+'Field 2 Investor'!T28+'Field 3 Investor'!T23+'Field 3 Investor'!T24+'Field 3 Investor'!T27+'Field 3 Investor'!T28)</f>
        <v>-2390.0837000000001</v>
      </c>
      <c r="U6" s="8">
        <f>-('Assumptions &amp; Results'!V105+'LNG Equity '!U14+'LNG Equity '!U15+'Gas PL'!U14+'Gas PL'!U15+'Field 1 Investor'!U23+'Field 1 Investor'!U24+'Field 1 Investor'!U27+'Field 1 Investor'!U28+'Field 2 Investor'!U23+'Field 2 Investor'!U24+'Field 2 Investor'!U27+'Field 2 Investor'!U28+'Field 3 Investor'!U23+'Field 3 Investor'!U24+'Field 3 Investor'!U27+'Field 3 Investor'!U28)</f>
        <v>-2278.6972000000001</v>
      </c>
      <c r="V6" s="8">
        <f>-('Assumptions &amp; Results'!W105+'LNG Equity '!V14+'LNG Equity '!V15+'Gas PL'!V14+'Gas PL'!V15+'Field 1 Investor'!V23+'Field 1 Investor'!V24+'Field 1 Investor'!V27+'Field 1 Investor'!V28+'Field 2 Investor'!V23+'Field 2 Investor'!V24+'Field 2 Investor'!V27+'Field 2 Investor'!V28+'Field 3 Investor'!V23+'Field 3 Investor'!V24+'Field 3 Investor'!V27+'Field 3 Investor'!V28)</f>
        <v>-2278.6972000000001</v>
      </c>
      <c r="W6" s="8">
        <f>-('Assumptions &amp; Results'!X105+'LNG Equity '!W14+'LNG Equity '!W15+'Gas PL'!W14+'Gas PL'!W15+'Field 1 Investor'!W23+'Field 1 Investor'!W24+'Field 1 Investor'!W27+'Field 1 Investor'!W28+'Field 2 Investor'!W23+'Field 2 Investor'!W24+'Field 2 Investor'!W27+'Field 2 Investor'!W28+'Field 3 Investor'!W23+'Field 3 Investor'!W24+'Field 3 Investor'!W27+'Field 3 Investor'!W28)</f>
        <v>-2278.6972000000001</v>
      </c>
      <c r="X6" s="8">
        <f>-('Assumptions &amp; Results'!Y105+'LNG Equity '!X14+'LNG Equity '!X15+'Gas PL'!X14+'Gas PL'!X15+'Field 1 Investor'!X23+'Field 1 Investor'!X24+'Field 1 Investor'!X27+'Field 1 Investor'!X28+'Field 2 Investor'!X23+'Field 2 Investor'!X24+'Field 2 Investor'!X27+'Field 2 Investor'!X28+'Field 3 Investor'!X23+'Field 3 Investor'!X24+'Field 3 Investor'!X27+'Field 3 Investor'!X28)</f>
        <v>-2278.6972000000001</v>
      </c>
      <c r="Y6" s="8">
        <f>-('Assumptions &amp; Results'!Z105+'LNG Equity '!Y14+'LNG Equity '!Y15+'Gas PL'!Y14+'Gas PL'!Y15+'Field 1 Investor'!Y23+'Field 1 Investor'!Y24+'Field 1 Investor'!Y27+'Field 1 Investor'!Y28+'Field 2 Investor'!Y23+'Field 2 Investor'!Y24+'Field 2 Investor'!Y27+'Field 2 Investor'!Y28+'Field 3 Investor'!Y23+'Field 3 Investor'!Y24+'Field 3 Investor'!Y27+'Field 3 Investor'!Y28)</f>
        <v>-2390.0837000000001</v>
      </c>
      <c r="Z6" s="8">
        <f>-('Assumptions &amp; Results'!AA105+'LNG Equity '!Z14+'LNG Equity '!Z15+'Gas PL'!Z14+'Gas PL'!Z15+'Field 1 Investor'!Z23+'Field 1 Investor'!Z24+'Field 1 Investor'!Z27+'Field 1 Investor'!Z28+'Field 2 Investor'!Z23+'Field 2 Investor'!Z24+'Field 2 Investor'!Z27+'Field 2 Investor'!Z28+'Field 3 Investor'!Z23+'Field 3 Investor'!Z24+'Field 3 Investor'!Z27+'Field 3 Investor'!Z28)</f>
        <v>-2278.6972000000001</v>
      </c>
      <c r="AA6" s="8">
        <f>-('Assumptions &amp; Results'!AB105+'LNG Equity '!AA14+'LNG Equity '!AA15+'Gas PL'!AA14+'Gas PL'!AA15+'Field 1 Investor'!AA23+'Field 1 Investor'!AA24+'Field 1 Investor'!AA27+'Field 1 Investor'!AA28+'Field 2 Investor'!AA23+'Field 2 Investor'!AA24+'Field 2 Investor'!AA27+'Field 2 Investor'!AA28+'Field 3 Investor'!AA23+'Field 3 Investor'!AA24+'Field 3 Investor'!AA27+'Field 3 Investor'!AA28)</f>
        <v>-2278.6972000000001</v>
      </c>
      <c r="AB6" s="8">
        <f>-('Assumptions &amp; Results'!AC105+'LNG Equity '!AB14+'LNG Equity '!AB15+'Gas PL'!AB14+'Gas PL'!AB15+'Field 1 Investor'!AB23+'Field 1 Investor'!AB24+'Field 1 Investor'!AB27+'Field 1 Investor'!AB28+'Field 2 Investor'!AB23+'Field 2 Investor'!AB24+'Field 2 Investor'!AB27+'Field 2 Investor'!AB28+'Field 3 Investor'!AB23+'Field 3 Investor'!AB24+'Field 3 Investor'!AB27+'Field 3 Investor'!AB28)</f>
        <v>-2278.6972000000001</v>
      </c>
      <c r="AC6" s="8">
        <f>-('Assumptions &amp; Results'!AD105+'LNG Equity '!AC14+'LNG Equity '!AC15+'Gas PL'!AC14+'Gas PL'!AC15+'Field 1 Investor'!AC23+'Field 1 Investor'!AC24+'Field 1 Investor'!AC27+'Field 1 Investor'!AC28+'Field 2 Investor'!AC23+'Field 2 Investor'!AC24+'Field 2 Investor'!AC27+'Field 2 Investor'!AC28+'Field 3 Investor'!AC23+'Field 3 Investor'!AC24+'Field 3 Investor'!AC27+'Field 3 Investor'!AC28)</f>
        <v>-2278.6972000000001</v>
      </c>
      <c r="AD6" s="8">
        <f>-('Assumptions &amp; Results'!AE105+'LNG Equity '!AD14+'LNG Equity '!AD15+'Gas PL'!AD14+'Gas PL'!AD15+'Field 1 Investor'!AD23+'Field 1 Investor'!AD24+'Field 1 Investor'!AD27+'Field 1 Investor'!AD28+'Field 2 Investor'!AD23+'Field 2 Investor'!AD24+'Field 2 Investor'!AD27+'Field 2 Investor'!AD28+'Field 3 Investor'!AD23+'Field 3 Investor'!AD24+'Field 3 Investor'!AD27+'Field 3 Investor'!AD28)</f>
        <v>-2390.0837000000001</v>
      </c>
      <c r="AE6" s="8">
        <f>-('Assumptions &amp; Results'!AF105+'LNG Equity '!AE14+'LNG Equity '!AE15+'Gas PL'!AE14+'Gas PL'!AE15+'Field 1 Investor'!AE23+'Field 1 Investor'!AE24+'Field 1 Investor'!AE27+'Field 1 Investor'!AE28+'Field 2 Investor'!AE23+'Field 2 Investor'!AE24+'Field 2 Investor'!AE27+'Field 2 Investor'!AE28+'Field 3 Investor'!AE23+'Field 3 Investor'!AE24+'Field 3 Investor'!AE27+'Field 3 Investor'!AE28)</f>
        <v>-2278.6972000000001</v>
      </c>
      <c r="AF6" s="8">
        <f>-('Assumptions &amp; Results'!AG105+'LNG Equity '!AF14+'LNG Equity '!AF15+'Gas PL'!AF14+'Gas PL'!AF15+'Field 1 Investor'!AF23+'Field 1 Investor'!AF24+'Field 1 Investor'!AF27+'Field 1 Investor'!AF28+'Field 2 Investor'!AF23+'Field 2 Investor'!AF24+'Field 2 Investor'!AF27+'Field 2 Investor'!AF28+'Field 3 Investor'!AF23+'Field 3 Investor'!AF24+'Field 3 Investor'!AF27+'Field 3 Investor'!AF28)</f>
        <v>-2278.6972000000001</v>
      </c>
      <c r="AG6" s="8">
        <f>-('Assumptions &amp; Results'!AH105+'LNG Equity '!AG14+'LNG Equity '!AG15+'Gas PL'!AG14+'Gas PL'!AG15+'Field 1 Investor'!AG23+'Field 1 Investor'!AG24+'Field 1 Investor'!AG27+'Field 1 Investor'!AG28+'Field 2 Investor'!AG23+'Field 2 Investor'!AG24+'Field 2 Investor'!AG27+'Field 2 Investor'!AG28+'Field 3 Investor'!AG23+'Field 3 Investor'!AG24+'Field 3 Investor'!AG27+'Field 3 Investor'!AG28)</f>
        <v>-2878.6972000000001</v>
      </c>
      <c r="AH6" s="8">
        <f>-('Assumptions &amp; Results'!AI105+'LNG Equity '!AH14+'LNG Equity '!AH15+'Gas PL'!AH14+'Gas PL'!AH15+'Field 1 Investor'!AH23+'Field 1 Investor'!AH24+'Field 1 Investor'!AH27+'Field 1 Investor'!AH28+'Field 2 Investor'!AH23+'Field 2 Investor'!AH24+'Field 2 Investor'!AH27+'Field 2 Investor'!AH28+'Field 3 Investor'!AH23+'Field 3 Investor'!AH24+'Field 3 Investor'!AH27+'Field 3 Investor'!AH28)</f>
        <v>-2878.6972000000001</v>
      </c>
      <c r="AI6" s="8">
        <f>-('Assumptions &amp; Results'!AJ105+'LNG Equity '!AI14+'LNG Equity '!AI15+'Gas PL'!AI14+'Gas PL'!AI15+'Field 1 Investor'!AI23+'Field 1 Investor'!AI24+'Field 1 Investor'!AI27+'Field 1 Investor'!AI28+'Field 2 Investor'!AI23+'Field 2 Investor'!AI24+'Field 2 Investor'!AI27+'Field 2 Investor'!AI28+'Field 3 Investor'!AI23+'Field 3 Investor'!AI24+'Field 3 Investor'!AI27+'Field 3 Investor'!AI28)</f>
        <v>-3478.6972000000001</v>
      </c>
      <c r="AJ6" s="135">
        <f>SUM(C6:AI6)</f>
        <v>-67899.802700000029</v>
      </c>
    </row>
    <row r="7" spans="1:36" x14ac:dyDescent="0.2">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row>
    <row r="8" spans="1:36" x14ac:dyDescent="0.2">
      <c r="A8" s="37" t="s">
        <v>381</v>
      </c>
      <c r="B8" t="s">
        <v>99</v>
      </c>
      <c r="C8" s="8">
        <f>-('LNG Equity '!C5+'Assumptions &amp; Results'!D65+'Field 1 Investor'!C4+'Field 2 Investor'!C4+'Field 3 Investor'!C4)</f>
        <v>-417</v>
      </c>
      <c r="D8" s="8">
        <f>-('LNG Equity '!D5+'Assumptions &amp; Results'!E65+'Field 1 Investor'!D4+'Field 2 Investor'!D4+'Field 3 Investor'!D4)</f>
        <v>-5243</v>
      </c>
      <c r="E8" s="8">
        <f>-('LNG Equity '!E5+'Assumptions &amp; Results'!F65+'Field 1 Investor'!E4+'Field 2 Investor'!E4+'Field 3 Investor'!E4)</f>
        <v>-8207</v>
      </c>
      <c r="F8" s="8">
        <f>-('LNG Equity '!F5+'Assumptions &amp; Results'!G65+'Field 1 Investor'!F4+'Field 2 Investor'!F4+'Field 3 Investor'!F4)</f>
        <v>-10831</v>
      </c>
      <c r="G8" s="8">
        <f>-('LNG Equity '!G5+'Assumptions &amp; Results'!H65+'Field 1 Investor'!G4+'Field 2 Investor'!G4+'Field 3 Investor'!G4)</f>
        <v>-3300</v>
      </c>
      <c r="H8" s="8">
        <f>-('LNG Equity '!H5+'Assumptions &amp; Results'!I65+'Field 1 Investor'!H4+'Field 2 Investor'!H4+'Field 3 Investor'!H4)</f>
        <v>-540</v>
      </c>
      <c r="I8" s="8">
        <f>-('LNG Equity '!I5+'Assumptions &amp; Results'!J65+'Field 1 Investor'!I4+'Field 2 Investor'!I4+'Field 3 Investor'!I4)</f>
        <v>0</v>
      </c>
      <c r="J8" s="8">
        <f>-('LNG Equity '!J5+'Assumptions &amp; Results'!K65+'Field 1 Investor'!J4+'Field 2 Investor'!J4+'Field 3 Investor'!J4)</f>
        <v>0</v>
      </c>
      <c r="K8" s="8">
        <f>-('LNG Equity '!K5+'Assumptions &amp; Results'!L65+'Field 1 Investor'!K4+'Field 2 Investor'!K4+'Field 3 Investor'!K4)</f>
        <v>0</v>
      </c>
      <c r="L8" s="8">
        <f>-('LNG Equity '!L5+'Assumptions &amp; Results'!M65+'Field 1 Investor'!L4+'Field 2 Investor'!L4+'Field 3 Investor'!L4)</f>
        <v>0</v>
      </c>
      <c r="M8" s="8">
        <f>-('LNG Equity '!M5+'Assumptions &amp; Results'!N65+'Field 1 Investor'!M4+'Field 2 Investor'!M4+'Field 3 Investor'!M4)</f>
        <v>0</v>
      </c>
      <c r="N8" s="8">
        <f>-('LNG Equity '!N5+'Assumptions &amp; Results'!O65+'Field 1 Investor'!N4+'Field 2 Investor'!N4+'Field 3 Investor'!N4)</f>
        <v>0</v>
      </c>
      <c r="O8" s="8">
        <f>-('LNG Equity '!O5+'Assumptions &amp; Results'!P65+'Field 1 Investor'!O4+'Field 2 Investor'!O4+'Field 3 Investor'!O4)</f>
        <v>0</v>
      </c>
      <c r="P8" s="8">
        <f>-('LNG Equity '!P5+'Assumptions &amp; Results'!Q65+'Field 1 Investor'!P4+'Field 2 Investor'!P4+'Field 3 Investor'!P4)</f>
        <v>0</v>
      </c>
      <c r="Q8" s="8">
        <f>-('LNG Equity '!Q5+'Assumptions &amp; Results'!R65+'Field 1 Investor'!Q4+'Field 2 Investor'!Q4+'Field 3 Investor'!Q4)</f>
        <v>0</v>
      </c>
      <c r="R8" s="8">
        <f>-('LNG Equity '!R5+'Assumptions &amp; Results'!S65+'Field 1 Investor'!R4+'Field 2 Investor'!R4+'Field 3 Investor'!R4)</f>
        <v>0</v>
      </c>
      <c r="S8" s="8">
        <f>-('LNG Equity '!S5+'Assumptions &amp; Results'!T65+'Field 1 Investor'!S4+'Field 2 Investor'!S4+'Field 3 Investor'!S4)</f>
        <v>0</v>
      </c>
      <c r="T8" s="8">
        <f>-('LNG Equity '!T5+'Assumptions &amp; Results'!U65+'Field 1 Investor'!T4+'Field 2 Investor'!T4+'Field 3 Investor'!T4)</f>
        <v>0</v>
      </c>
      <c r="U8" s="8">
        <f>-('LNG Equity '!U5+'Assumptions &amp; Results'!V65+'Field 1 Investor'!U4+'Field 2 Investor'!U4+'Field 3 Investor'!U4)</f>
        <v>0</v>
      </c>
      <c r="V8" s="8">
        <f>-('LNG Equity '!V5+'Assumptions &amp; Results'!W65+'Field 1 Investor'!V4+'Field 2 Investor'!V4+'Field 3 Investor'!V4)</f>
        <v>0</v>
      </c>
      <c r="W8" s="8">
        <f>-('LNG Equity '!W5+'Assumptions &amp; Results'!X65+'Field 1 Investor'!W4+'Field 2 Investor'!W4+'Field 3 Investor'!W4)</f>
        <v>0</v>
      </c>
      <c r="X8" s="8">
        <f>-('LNG Equity '!X5+'Assumptions &amp; Results'!Y65+'Field 1 Investor'!X4+'Field 2 Investor'!X4+'Field 3 Investor'!X4)</f>
        <v>0</v>
      </c>
      <c r="Y8" s="8">
        <f>-('LNG Equity '!Y5+'Assumptions &amp; Results'!Z65+'Field 1 Investor'!Y4+'Field 2 Investor'!Y4+'Field 3 Investor'!Y4)</f>
        <v>0</v>
      </c>
      <c r="Z8" s="8">
        <f>-('LNG Equity '!Z5+'Assumptions &amp; Results'!AA65+'Field 1 Investor'!Z4+'Field 2 Investor'!Z4+'Field 3 Investor'!Z4)</f>
        <v>0</v>
      </c>
      <c r="AA8" s="8">
        <f>-('LNG Equity '!AA5+'Assumptions &amp; Results'!AB65+'Field 1 Investor'!AA4+'Field 2 Investor'!AA4+'Field 3 Investor'!AA4)</f>
        <v>0</v>
      </c>
      <c r="AB8" s="8">
        <f>-('LNG Equity '!AB5+'Assumptions &amp; Results'!AC65+'Field 1 Investor'!AB4+'Field 2 Investor'!AB4+'Field 3 Investor'!AB4)</f>
        <v>0</v>
      </c>
      <c r="AC8" s="8">
        <f>-('LNG Equity '!AC5+'Assumptions &amp; Results'!AD65+'Field 1 Investor'!AC4+'Field 2 Investor'!AC4+'Field 3 Investor'!AC4)</f>
        <v>0</v>
      </c>
      <c r="AD8" s="8">
        <f>-('LNG Equity '!AD5+'Assumptions &amp; Results'!AE65+'Field 1 Investor'!AD4+'Field 2 Investor'!AD4+'Field 3 Investor'!AD4)</f>
        <v>0</v>
      </c>
      <c r="AE8" s="8">
        <f>-('LNG Equity '!AE5+'Assumptions &amp; Results'!AF65+'Field 1 Investor'!AE4+'Field 2 Investor'!AE4+'Field 3 Investor'!AE4)</f>
        <v>0</v>
      </c>
      <c r="AF8" s="8">
        <f>-('LNG Equity '!AF5+'Assumptions &amp; Results'!AG65+'Field 1 Investor'!AF4+'Field 2 Investor'!AF4+'Field 3 Investor'!AF4)</f>
        <v>0</v>
      </c>
      <c r="AG8" s="8">
        <f>-('LNG Equity '!AG5+'Assumptions &amp; Results'!AH65+'Field 1 Investor'!AG4+'Field 2 Investor'!AG4+'Field 3 Investor'!AG4)</f>
        <v>0</v>
      </c>
      <c r="AH8" s="8">
        <f>-('LNG Equity '!AH5+'Assumptions &amp; Results'!AI65+'Field 1 Investor'!AH4+'Field 2 Investor'!AH4+'Field 3 Investor'!AH4)</f>
        <v>0</v>
      </c>
      <c r="AI8" s="8">
        <f>-('LNG Equity '!AI5+'Assumptions &amp; Results'!AJ65+'Field 1 Investor'!AI4+'Field 2 Investor'!AI4+'Field 3 Investor'!AI4)</f>
        <v>0</v>
      </c>
      <c r="AJ8" s="135">
        <f>SUM(C8:AI8)</f>
        <v>-28538</v>
      </c>
    </row>
    <row r="9" spans="1:36" x14ac:dyDescent="0.2">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row>
    <row r="10" spans="1:36" x14ac:dyDescent="0.2">
      <c r="A10" t="s">
        <v>382</v>
      </c>
      <c r="B10" t="s">
        <v>99</v>
      </c>
      <c r="C10" s="8">
        <f>C4+C6+C8</f>
        <v>-417</v>
      </c>
      <c r="D10" s="8">
        <f t="shared" ref="D10:AJ10" si="0">D4+D6+D8</f>
        <v>-5243</v>
      </c>
      <c r="E10" s="8">
        <f t="shared" si="0"/>
        <v>-8207</v>
      </c>
      <c r="F10" s="8">
        <f t="shared" si="0"/>
        <v>-10831</v>
      </c>
      <c r="G10" s="8">
        <f t="shared" si="0"/>
        <v>238.62827500000003</v>
      </c>
      <c r="H10" s="8">
        <f t="shared" si="0"/>
        <v>6537.2565500000001</v>
      </c>
      <c r="I10" s="8">
        <f t="shared" si="0"/>
        <v>7077.2565500000001</v>
      </c>
      <c r="J10" s="8">
        <f t="shared" si="0"/>
        <v>6501.0836124999978</v>
      </c>
      <c r="K10" s="8">
        <f t="shared" si="0"/>
        <v>7077.2565500000001</v>
      </c>
      <c r="L10" s="8">
        <f t="shared" si="0"/>
        <v>7077.2565500000001</v>
      </c>
      <c r="M10" s="8">
        <f t="shared" si="0"/>
        <v>7077.2565500000001</v>
      </c>
      <c r="N10" s="8">
        <f t="shared" si="0"/>
        <v>7077.2565500000001</v>
      </c>
      <c r="O10" s="8">
        <f t="shared" si="0"/>
        <v>6501.0836124999978</v>
      </c>
      <c r="P10" s="8">
        <f t="shared" si="0"/>
        <v>7077.2565500000001</v>
      </c>
      <c r="Q10" s="8">
        <f t="shared" si="0"/>
        <v>7077.2565500000001</v>
      </c>
      <c r="R10" s="8">
        <f t="shared" si="0"/>
        <v>7077.2565500000001</v>
      </c>
      <c r="S10" s="8">
        <f t="shared" si="0"/>
        <v>7077.2565500000001</v>
      </c>
      <c r="T10" s="8">
        <f t="shared" si="0"/>
        <v>6501.0836124999978</v>
      </c>
      <c r="U10" s="8">
        <f t="shared" si="0"/>
        <v>7077.2565500000001</v>
      </c>
      <c r="V10" s="8">
        <f t="shared" si="0"/>
        <v>7077.2565500000001</v>
      </c>
      <c r="W10" s="8">
        <f t="shared" si="0"/>
        <v>7077.2565500000001</v>
      </c>
      <c r="X10" s="8">
        <f t="shared" si="0"/>
        <v>7077.2565500000001</v>
      </c>
      <c r="Y10" s="8">
        <f t="shared" si="0"/>
        <v>6501.0836124999978</v>
      </c>
      <c r="Z10" s="8">
        <f t="shared" si="0"/>
        <v>7077.2565500000001</v>
      </c>
      <c r="AA10" s="8">
        <f t="shared" si="0"/>
        <v>7077.2565500000001</v>
      </c>
      <c r="AB10" s="8">
        <f t="shared" si="0"/>
        <v>7077.2565500000001</v>
      </c>
      <c r="AC10" s="8">
        <f t="shared" si="0"/>
        <v>7077.2565500000001</v>
      </c>
      <c r="AD10" s="8">
        <f t="shared" si="0"/>
        <v>6501.0836124999978</v>
      </c>
      <c r="AE10" s="8">
        <f t="shared" si="0"/>
        <v>7077.2565500000001</v>
      </c>
      <c r="AF10" s="8">
        <f t="shared" si="0"/>
        <v>7077.2565500000001</v>
      </c>
      <c r="AG10" s="8">
        <f t="shared" si="0"/>
        <v>6477.2565500000001</v>
      </c>
      <c r="AH10" s="8">
        <f t="shared" si="0"/>
        <v>6477.2565500000001</v>
      </c>
      <c r="AI10" s="8">
        <f t="shared" si="0"/>
        <v>5877.2565500000001</v>
      </c>
      <c r="AJ10" s="125">
        <f t="shared" si="0"/>
        <v>167882.9469874998</v>
      </c>
    </row>
    <row r="11" spans="1:36" x14ac:dyDescent="0.2">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row>
    <row r="12" spans="1:36" x14ac:dyDescent="0.2">
      <c r="A12" s="37" t="s">
        <v>383</v>
      </c>
      <c r="B12" t="s">
        <v>99</v>
      </c>
      <c r="C12" s="8">
        <f>'Field 1 Fiscal'!C45+'Field 2 Fiscal'!C45+'Field 3 Fiscal'!C45</f>
        <v>0</v>
      </c>
      <c r="D12" s="8">
        <f>'Field 1 Fiscal'!D45+'Field 2 Fiscal'!D45+'Field 3 Fiscal'!D45</f>
        <v>0</v>
      </c>
      <c r="E12" s="8">
        <f>'Field 1 Fiscal'!E45+'Field 2 Fiscal'!E45+'Field 3 Fiscal'!E45</f>
        <v>0</v>
      </c>
      <c r="F12" s="8">
        <f>'Field 1 Fiscal'!F45+'Field 2 Fiscal'!F45+'Field 3 Fiscal'!F45</f>
        <v>0</v>
      </c>
      <c r="G12" s="8">
        <f>'Field 1 Fiscal'!G45+'Field 2 Fiscal'!G45+'Field 3 Fiscal'!G45</f>
        <v>80.067631875000032</v>
      </c>
      <c r="H12" s="8">
        <f>'Field 1 Fiscal'!H45+'Field 2 Fiscal'!H45+'Field 3 Fiscal'!H45</f>
        <v>160.13526375000006</v>
      </c>
      <c r="I12" s="8">
        <f>'Field 1 Fiscal'!I45+'Field 2 Fiscal'!I45+'Field 3 Fiscal'!I45</f>
        <v>160.13526375000006</v>
      </c>
      <c r="J12" s="8">
        <f>'Field 1 Fiscal'!J45+'Field 2 Fiscal'!J45+'Field 3 Fiscal'!J45</f>
        <v>160.18174239375</v>
      </c>
      <c r="K12" s="8">
        <f>'Field 1 Fiscal'!K45+'Field 2 Fiscal'!K45+'Field 3 Fiscal'!K45</f>
        <v>320.27052750000013</v>
      </c>
      <c r="L12" s="8">
        <f>'Field 1 Fiscal'!L45+'Field 2 Fiscal'!L45+'Field 3 Fiscal'!L45</f>
        <v>320.27052750000013</v>
      </c>
      <c r="M12" s="8">
        <f>'Field 1 Fiscal'!M45+'Field 2 Fiscal'!M45+'Field 3 Fiscal'!M45</f>
        <v>320.27052750000013</v>
      </c>
      <c r="N12" s="8">
        <f>'Field 1 Fiscal'!N45+'Field 2 Fiscal'!N45+'Field 3 Fiscal'!N45</f>
        <v>455.71328121250082</v>
      </c>
      <c r="O12" s="8">
        <f>'Field 1 Fiscal'!O45+'Field 2 Fiscal'!O45+'Field 3 Fiscal'!O45</f>
        <v>1011.0582033749998</v>
      </c>
      <c r="P12" s="8">
        <f>'Field 1 Fiscal'!P45+'Field 2 Fiscal'!P45+'Field 3 Fiscal'!P45</f>
        <v>1010.6598150000004</v>
      </c>
      <c r="Q12" s="8">
        <f>'Field 1 Fiscal'!Q45+'Field 2 Fiscal'!Q45+'Field 3 Fiscal'!Q45</f>
        <v>1010.6598150000004</v>
      </c>
      <c r="R12" s="8">
        <f>'Field 1 Fiscal'!R45+'Field 2 Fiscal'!R45+'Field 3 Fiscal'!R45</f>
        <v>1010.6598150000004</v>
      </c>
      <c r="S12" s="8">
        <f>'Field 1 Fiscal'!S45+'Field 2 Fiscal'!S45+'Field 3 Fiscal'!S45</f>
        <v>1684.4330250000007</v>
      </c>
      <c r="T12" s="8">
        <f>'Field 1 Fiscal'!T45+'Field 2 Fiscal'!T45+'Field 3 Fiscal'!T45</f>
        <v>1685.0970056249998</v>
      </c>
      <c r="U12" s="8">
        <f>'Field 1 Fiscal'!U45+'Field 2 Fiscal'!U45+'Field 3 Fiscal'!U45</f>
        <v>1684.4330250000007</v>
      </c>
      <c r="V12" s="8">
        <f>'Field 1 Fiscal'!V45+'Field 2 Fiscal'!V45+'Field 3 Fiscal'!V45</f>
        <v>1684.4330250000007</v>
      </c>
      <c r="W12" s="8">
        <f>'Field 1 Fiscal'!W45+'Field 2 Fiscal'!W45+'Field 3 Fiscal'!W45</f>
        <v>1684.4330250000007</v>
      </c>
      <c r="X12" s="8">
        <f>'Field 1 Fiscal'!X45+'Field 2 Fiscal'!X45+'Field 3 Fiscal'!X45</f>
        <v>1684.4330250000007</v>
      </c>
      <c r="Y12" s="8">
        <f>'Field 1 Fiscal'!Y45+'Field 2 Fiscal'!Y45+'Field 3 Fiscal'!Y45</f>
        <v>2022.1164067499997</v>
      </c>
      <c r="Z12" s="8">
        <f>'Field 1 Fiscal'!Z45+'Field 2 Fiscal'!Z45+'Field 3 Fiscal'!Z45</f>
        <v>2021.3196300000009</v>
      </c>
      <c r="AA12" s="8">
        <f>'Field 1 Fiscal'!AA45+'Field 2 Fiscal'!AA45+'Field 3 Fiscal'!AA45</f>
        <v>2021.3196300000009</v>
      </c>
      <c r="AB12" s="8">
        <f>'Field 1 Fiscal'!AB45+'Field 2 Fiscal'!AB45+'Field 3 Fiscal'!AB45</f>
        <v>2021.3196300000009</v>
      </c>
      <c r="AC12" s="8">
        <f>'Field 1 Fiscal'!AC45+'Field 2 Fiscal'!AC45+'Field 3 Fiscal'!AC45</f>
        <v>2021.3196300000009</v>
      </c>
      <c r="AD12" s="8">
        <f>'Field 1 Fiscal'!AD45+'Field 2 Fiscal'!AD45+'Field 3 Fiscal'!AD45</f>
        <v>2022.1164067499997</v>
      </c>
      <c r="AE12" s="8">
        <f>'Field 1 Fiscal'!AE45+'Field 2 Fiscal'!AE45+'Field 3 Fiscal'!AE45</f>
        <v>2021.3196300000009</v>
      </c>
      <c r="AF12" s="8">
        <f>'Field 1 Fiscal'!AF45+'Field 2 Fiscal'!AF45+'Field 3 Fiscal'!AF45</f>
        <v>2021.3196300000009</v>
      </c>
      <c r="AG12" s="8">
        <f>'Field 1 Fiscal'!AG45+'Field 2 Fiscal'!AG45+'Field 3 Fiscal'!AG45</f>
        <v>1661.3196300000009</v>
      </c>
      <c r="AH12" s="8">
        <f>'Field 1 Fiscal'!AH45+'Field 2 Fiscal'!AH45+'Field 3 Fiscal'!AH45</f>
        <v>1661.3196300000009</v>
      </c>
      <c r="AI12" s="8">
        <f>'Field 1 Fiscal'!AI45+'Field 2 Fiscal'!AI45+'Field 3 Fiscal'!AI45</f>
        <v>1301.3196300000009</v>
      </c>
      <c r="AJ12" s="135">
        <f>SUM(C12:AI12)</f>
        <v>36923.454027981257</v>
      </c>
    </row>
    <row r="13" spans="1:36" x14ac:dyDescent="0.2">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row>
    <row r="14" spans="1:36" x14ac:dyDescent="0.2">
      <c r="A14" s="37" t="s">
        <v>384</v>
      </c>
      <c r="B14" t="s">
        <v>99</v>
      </c>
      <c r="C14" s="8">
        <f>'LNG Equity '!C36+'Field 1 Fiscal'!C26+'Field 2 Fiscal'!C26+'Field 3 Fiscal'!C26</f>
        <v>0</v>
      </c>
      <c r="D14" s="8">
        <f>'LNG Equity '!D36+'Field 1 Fiscal'!D26+'Field 2 Fiscal'!D26+'Field 3 Fiscal'!D26</f>
        <v>0</v>
      </c>
      <c r="E14" s="8">
        <f>'LNG Equity '!E36+'Field 1 Fiscal'!E26+'Field 2 Fiscal'!E26+'Field 3 Fiscal'!E26</f>
        <v>0</v>
      </c>
      <c r="F14" s="8">
        <f>'LNG Equity '!F36+'Field 1 Fiscal'!F26+'Field 2 Fiscal'!F26+'Field 3 Fiscal'!F26</f>
        <v>0</v>
      </c>
      <c r="G14" s="8">
        <f>'LNG Equity '!G36+'Field 1 Fiscal'!G26+'Field 2 Fiscal'!G26+'Field 3 Fiscal'!G26</f>
        <v>140.33930625000002</v>
      </c>
      <c r="H14" s="8">
        <f>'LNG Equity '!H36+'Field 1 Fiscal'!H26+'Field 2 Fiscal'!H26+'Field 3 Fiscal'!H26</f>
        <v>280.67861250000004</v>
      </c>
      <c r="I14" s="8">
        <f>'LNG Equity '!I36+'Field 1 Fiscal'!I26+'Field 2 Fiscal'!I26+'Field 3 Fiscal'!I26</f>
        <v>280.67861250000004</v>
      </c>
      <c r="J14" s="8">
        <f>'LNG Equity '!J36+'Field 1 Fiscal'!J26+'Field 2 Fiscal'!J26+'Field 3 Fiscal'!J26</f>
        <v>266.73501937499998</v>
      </c>
      <c r="K14" s="8">
        <f>'LNG Equity '!K36+'Field 1 Fiscal'!K26+'Field 2 Fiscal'!K26+'Field 3 Fiscal'!K26</f>
        <v>280.67861250000004</v>
      </c>
      <c r="L14" s="8">
        <f>'LNG Equity '!L36+'Field 1 Fiscal'!L26+'Field 2 Fiscal'!L26+'Field 3 Fiscal'!L26</f>
        <v>280.67861250000004</v>
      </c>
      <c r="M14" s="8">
        <f>'LNG Equity '!M36+'Field 1 Fiscal'!M26+'Field 2 Fiscal'!M26+'Field 3 Fiscal'!M26</f>
        <v>280.67861250000004</v>
      </c>
      <c r="N14" s="8">
        <f>'LNG Equity '!N36+'Field 1 Fiscal'!N26+'Field 2 Fiscal'!N26+'Field 3 Fiscal'!N26</f>
        <v>280.67861250000004</v>
      </c>
      <c r="O14" s="8">
        <f>'LNG Equity '!O36+'Field 1 Fiscal'!O26+'Field 2 Fiscal'!O26+'Field 3 Fiscal'!O26</f>
        <v>266.73501937499998</v>
      </c>
      <c r="P14" s="8">
        <f>'LNG Equity '!P36+'Field 1 Fiscal'!P26+'Field 2 Fiscal'!P26+'Field 3 Fiscal'!P26</f>
        <v>280.67861250000004</v>
      </c>
      <c r="Q14" s="8">
        <f>'LNG Equity '!Q36+'Field 1 Fiscal'!Q26+'Field 2 Fiscal'!Q26+'Field 3 Fiscal'!Q26</f>
        <v>280.67861250000004</v>
      </c>
      <c r="R14" s="8">
        <f>'LNG Equity '!R36+'Field 1 Fiscal'!R26+'Field 2 Fiscal'!R26+'Field 3 Fiscal'!R26</f>
        <v>280.67861250000004</v>
      </c>
      <c r="S14" s="8">
        <f>'LNG Equity '!S36+'Field 1 Fiscal'!S26+'Field 2 Fiscal'!S26+'Field 3 Fiscal'!S26</f>
        <v>280.67861250000004</v>
      </c>
      <c r="T14" s="8">
        <f>'LNG Equity '!T36+'Field 1 Fiscal'!T26+'Field 2 Fiscal'!T26+'Field 3 Fiscal'!T26</f>
        <v>266.73501937499998</v>
      </c>
      <c r="U14" s="8">
        <f>'LNG Equity '!U36+'Field 1 Fiscal'!U26+'Field 2 Fiscal'!U26+'Field 3 Fiscal'!U26</f>
        <v>280.67861250000004</v>
      </c>
      <c r="V14" s="8">
        <f>'LNG Equity '!V36+'Field 1 Fiscal'!V26+'Field 2 Fiscal'!V26+'Field 3 Fiscal'!V26</f>
        <v>280.67861250000004</v>
      </c>
      <c r="W14" s="8">
        <f>'LNG Equity '!W36+'Field 1 Fiscal'!W26+'Field 2 Fiscal'!W26+'Field 3 Fiscal'!W26</f>
        <v>280.67861250000004</v>
      </c>
      <c r="X14" s="8">
        <f>'LNG Equity '!X36+'Field 1 Fiscal'!X26+'Field 2 Fiscal'!X26+'Field 3 Fiscal'!X26</f>
        <v>280.67861250000004</v>
      </c>
      <c r="Y14" s="8">
        <f>'LNG Equity '!Y36+'Field 1 Fiscal'!Y26+'Field 2 Fiscal'!Y26+'Field 3 Fiscal'!Y26</f>
        <v>266.73501937499998</v>
      </c>
      <c r="Z14" s="8">
        <f>'LNG Equity '!Z36+'Field 1 Fiscal'!Z26+'Field 2 Fiscal'!Z26+'Field 3 Fiscal'!Z26</f>
        <v>280.67861250000004</v>
      </c>
      <c r="AA14" s="8">
        <f>'LNG Equity '!AA36+'Field 1 Fiscal'!AA26+'Field 2 Fiscal'!AA26+'Field 3 Fiscal'!AA26</f>
        <v>280.67861250000004</v>
      </c>
      <c r="AB14" s="8">
        <f>'LNG Equity '!AB36+'Field 1 Fiscal'!AB26+'Field 2 Fiscal'!AB26+'Field 3 Fiscal'!AB26</f>
        <v>280.67861250000004</v>
      </c>
      <c r="AC14" s="8">
        <f>'LNG Equity '!AC36+'Field 1 Fiscal'!AC26+'Field 2 Fiscal'!AC26+'Field 3 Fiscal'!AC26</f>
        <v>280.67861250000004</v>
      </c>
      <c r="AD14" s="8">
        <f>'LNG Equity '!AD36+'Field 1 Fiscal'!AD26+'Field 2 Fiscal'!AD26+'Field 3 Fiscal'!AD26</f>
        <v>266.73501937499998</v>
      </c>
      <c r="AE14" s="8">
        <f>'LNG Equity '!AE36+'Field 1 Fiscal'!AE26+'Field 2 Fiscal'!AE26+'Field 3 Fiscal'!AE26</f>
        <v>280.67861250000004</v>
      </c>
      <c r="AF14" s="8">
        <f>'LNG Equity '!AF36+'Field 1 Fiscal'!AF26+'Field 2 Fiscal'!AF26+'Field 3 Fiscal'!AF26</f>
        <v>280.67861250000004</v>
      </c>
      <c r="AG14" s="8">
        <f>'LNG Equity '!AG36+'Field 1 Fiscal'!AG26+'Field 2 Fiscal'!AG26+'Field 3 Fiscal'!AG26</f>
        <v>280.67861250000004</v>
      </c>
      <c r="AH14" s="8">
        <f>'LNG Equity '!AH36+'Field 1 Fiscal'!AH26+'Field 2 Fiscal'!AH26+'Field 3 Fiscal'!AH26</f>
        <v>280.67861250000004</v>
      </c>
      <c r="AI14" s="8">
        <f>'LNG Equity '!AI36+'Field 1 Fiscal'!AI26+'Field 2 Fiscal'!AI26+'Field 3 Fiscal'!AI26</f>
        <v>280.67861250000004</v>
      </c>
      <c r="AJ14" s="135">
        <f>SUM(C14:AI14)</f>
        <v>7929.6224906249981</v>
      </c>
    </row>
    <row r="15" spans="1:36" x14ac:dyDescent="0.2">
      <c r="A15" s="148" t="s">
        <v>582</v>
      </c>
      <c r="B15" t="s">
        <v>99</v>
      </c>
      <c r="C15" s="8">
        <f>+'Field 1 Fiscal'!C26+'Field 2 Fiscal'!C26+'Field 3 Fiscal'!C26</f>
        <v>0</v>
      </c>
      <c r="D15" s="8">
        <f>+'Field 1 Fiscal'!D26+'Field 2 Fiscal'!D26+'Field 3 Fiscal'!D26</f>
        <v>0</v>
      </c>
      <c r="E15" s="8">
        <f>+'Field 1 Fiscal'!E26+'Field 2 Fiscal'!E26+'Field 3 Fiscal'!E26</f>
        <v>0</v>
      </c>
      <c r="F15" s="8">
        <f>+'Field 1 Fiscal'!F26+'Field 2 Fiscal'!F26+'Field 3 Fiscal'!F26</f>
        <v>0</v>
      </c>
      <c r="G15" s="8">
        <f>+'Field 1 Fiscal'!G26+'Field 2 Fiscal'!G26+'Field 3 Fiscal'!G26</f>
        <v>140.33930625000002</v>
      </c>
      <c r="H15" s="8">
        <f>+'Field 1 Fiscal'!H26+'Field 2 Fiscal'!H26+'Field 3 Fiscal'!H26</f>
        <v>280.67861250000004</v>
      </c>
      <c r="I15" s="8">
        <f>+'Field 1 Fiscal'!I26+'Field 2 Fiscal'!I26+'Field 3 Fiscal'!I26</f>
        <v>280.67861250000004</v>
      </c>
      <c r="J15" s="8">
        <f>+'Field 1 Fiscal'!J26+'Field 2 Fiscal'!J26+'Field 3 Fiscal'!J26</f>
        <v>266.73501937499998</v>
      </c>
      <c r="K15" s="8">
        <f>+'Field 1 Fiscal'!K26+'Field 2 Fiscal'!K26+'Field 3 Fiscal'!K26</f>
        <v>280.67861250000004</v>
      </c>
      <c r="L15" s="8">
        <f>+'Field 1 Fiscal'!L26+'Field 2 Fiscal'!L26+'Field 3 Fiscal'!L26</f>
        <v>280.67861250000004</v>
      </c>
      <c r="M15" s="8">
        <f>+'Field 1 Fiscal'!M26+'Field 2 Fiscal'!M26+'Field 3 Fiscal'!M26</f>
        <v>280.67861250000004</v>
      </c>
      <c r="N15" s="8">
        <f>+'Field 1 Fiscal'!N26+'Field 2 Fiscal'!N26+'Field 3 Fiscal'!N26</f>
        <v>280.67861250000004</v>
      </c>
      <c r="O15" s="8">
        <f>+'Field 1 Fiscal'!O26+'Field 2 Fiscal'!O26+'Field 3 Fiscal'!O26</f>
        <v>266.73501937499998</v>
      </c>
      <c r="P15" s="8">
        <f>+'Field 1 Fiscal'!P26+'Field 2 Fiscal'!P26+'Field 3 Fiscal'!P26</f>
        <v>280.67861250000004</v>
      </c>
      <c r="Q15" s="8">
        <f>+'Field 1 Fiscal'!Q26+'Field 2 Fiscal'!Q26+'Field 3 Fiscal'!Q26</f>
        <v>280.67861250000004</v>
      </c>
      <c r="R15" s="8">
        <f>+'Field 1 Fiscal'!R26+'Field 2 Fiscal'!R26+'Field 3 Fiscal'!R26</f>
        <v>280.67861250000004</v>
      </c>
      <c r="S15" s="8">
        <f>+'Field 1 Fiscal'!S26+'Field 2 Fiscal'!S26+'Field 3 Fiscal'!S26</f>
        <v>280.67861250000004</v>
      </c>
      <c r="T15" s="8">
        <f>+'Field 1 Fiscal'!T26+'Field 2 Fiscal'!T26+'Field 3 Fiscal'!T26</f>
        <v>266.73501937499998</v>
      </c>
      <c r="U15" s="8">
        <f>+'Field 1 Fiscal'!U26+'Field 2 Fiscal'!U26+'Field 3 Fiscal'!U26</f>
        <v>280.67861250000004</v>
      </c>
      <c r="V15" s="8">
        <f>+'Field 1 Fiscal'!V26+'Field 2 Fiscal'!V26+'Field 3 Fiscal'!V26</f>
        <v>280.67861250000004</v>
      </c>
      <c r="W15" s="8">
        <f>+'Field 1 Fiscal'!W26+'Field 2 Fiscal'!W26+'Field 3 Fiscal'!W26</f>
        <v>280.67861250000004</v>
      </c>
      <c r="X15" s="8">
        <f>+'Field 1 Fiscal'!X26+'Field 2 Fiscal'!X26+'Field 3 Fiscal'!X26</f>
        <v>280.67861250000004</v>
      </c>
      <c r="Y15" s="8">
        <f>+'Field 1 Fiscal'!Y26+'Field 2 Fiscal'!Y26+'Field 3 Fiscal'!Y26</f>
        <v>266.73501937499998</v>
      </c>
      <c r="Z15" s="8">
        <f>+'Field 1 Fiscal'!Z26+'Field 2 Fiscal'!Z26+'Field 3 Fiscal'!Z26</f>
        <v>280.67861250000004</v>
      </c>
      <c r="AA15" s="8">
        <f>+'Field 1 Fiscal'!AA26+'Field 2 Fiscal'!AA26+'Field 3 Fiscal'!AA26</f>
        <v>280.67861250000004</v>
      </c>
      <c r="AB15" s="8">
        <f>+'Field 1 Fiscal'!AB26+'Field 2 Fiscal'!AB26+'Field 3 Fiscal'!AB26</f>
        <v>280.67861250000004</v>
      </c>
      <c r="AC15" s="8">
        <f>+'Field 1 Fiscal'!AC26+'Field 2 Fiscal'!AC26+'Field 3 Fiscal'!AC26</f>
        <v>280.67861250000004</v>
      </c>
      <c r="AD15" s="8">
        <f>+'Field 1 Fiscal'!AD26+'Field 2 Fiscal'!AD26+'Field 3 Fiscal'!AD26</f>
        <v>266.73501937499998</v>
      </c>
      <c r="AE15" s="8">
        <f>+'Field 1 Fiscal'!AE26+'Field 2 Fiscal'!AE26+'Field 3 Fiscal'!AE26</f>
        <v>280.67861250000004</v>
      </c>
      <c r="AF15" s="8">
        <f>+'Field 1 Fiscal'!AF26+'Field 2 Fiscal'!AF26+'Field 3 Fiscal'!AF26</f>
        <v>280.67861250000004</v>
      </c>
      <c r="AG15" s="8">
        <f>+'Field 1 Fiscal'!AG26+'Field 2 Fiscal'!AG26+'Field 3 Fiscal'!AG26</f>
        <v>280.67861250000004</v>
      </c>
      <c r="AH15" s="8">
        <f>+'Field 1 Fiscal'!AH26+'Field 2 Fiscal'!AH26+'Field 3 Fiscal'!AH26</f>
        <v>280.67861250000004</v>
      </c>
      <c r="AI15" s="8">
        <f>+'Field 1 Fiscal'!AI26+'Field 2 Fiscal'!AI26+'Field 3 Fiscal'!AI26</f>
        <v>280.67861250000004</v>
      </c>
      <c r="AJ15" s="135">
        <f>SUM(C15:AI15)</f>
        <v>7929.6224906249981</v>
      </c>
    </row>
    <row r="16" spans="1:36" x14ac:dyDescent="0.2">
      <c r="A16" s="148" t="s">
        <v>197</v>
      </c>
      <c r="B16" t="s">
        <v>99</v>
      </c>
      <c r="C16" s="8">
        <f>'LNG Equity '!C36</f>
        <v>0</v>
      </c>
      <c r="D16" s="8">
        <f>'LNG Equity '!D36</f>
        <v>0</v>
      </c>
      <c r="E16" s="8">
        <f>'LNG Equity '!E36</f>
        <v>0</v>
      </c>
      <c r="F16" s="8">
        <f>'LNG Equity '!F36</f>
        <v>0</v>
      </c>
      <c r="G16" s="8">
        <f>'LNG Equity '!G36</f>
        <v>0</v>
      </c>
      <c r="H16" s="8">
        <f>'LNG Equity '!H36</f>
        <v>0</v>
      </c>
      <c r="I16" s="8">
        <f>'LNG Equity '!I36</f>
        <v>0</v>
      </c>
      <c r="J16" s="8">
        <f>'LNG Equity '!J36</f>
        <v>0</v>
      </c>
      <c r="K16" s="8">
        <f>'LNG Equity '!K36</f>
        <v>0</v>
      </c>
      <c r="L16" s="8">
        <f>'LNG Equity '!L36</f>
        <v>0</v>
      </c>
      <c r="M16" s="8">
        <f>'LNG Equity '!M36</f>
        <v>0</v>
      </c>
      <c r="N16" s="8">
        <f>'LNG Equity '!N36</f>
        <v>0</v>
      </c>
      <c r="O16" s="8">
        <f>'LNG Equity '!O36</f>
        <v>0</v>
      </c>
      <c r="P16" s="8">
        <f>'LNG Equity '!P36</f>
        <v>0</v>
      </c>
      <c r="Q16" s="8">
        <f>'LNG Equity '!Q36</f>
        <v>0</v>
      </c>
      <c r="R16" s="8">
        <f>'LNG Equity '!R36</f>
        <v>0</v>
      </c>
      <c r="S16" s="8">
        <f>'LNG Equity '!S36</f>
        <v>0</v>
      </c>
      <c r="T16" s="8">
        <f>'LNG Equity '!T36</f>
        <v>0</v>
      </c>
      <c r="U16" s="8">
        <f>'LNG Equity '!U36</f>
        <v>0</v>
      </c>
      <c r="V16" s="8">
        <f>'LNG Equity '!V36</f>
        <v>0</v>
      </c>
      <c r="W16" s="8">
        <f>'LNG Equity '!W36</f>
        <v>0</v>
      </c>
      <c r="X16" s="8">
        <f>'LNG Equity '!X36</f>
        <v>0</v>
      </c>
      <c r="Y16" s="8">
        <f>'LNG Equity '!Y36</f>
        <v>0</v>
      </c>
      <c r="Z16" s="8">
        <f>'LNG Equity '!Z36</f>
        <v>0</v>
      </c>
      <c r="AA16" s="8">
        <f>'LNG Equity '!AA36</f>
        <v>0</v>
      </c>
      <c r="AB16" s="8">
        <f>'LNG Equity '!AB36</f>
        <v>0</v>
      </c>
      <c r="AC16" s="8">
        <f>'LNG Equity '!AC36</f>
        <v>0</v>
      </c>
      <c r="AD16" s="8">
        <f>'LNG Equity '!AD36</f>
        <v>0</v>
      </c>
      <c r="AE16" s="8">
        <f>'LNG Equity '!AE36</f>
        <v>0</v>
      </c>
      <c r="AF16" s="8">
        <f>'LNG Equity '!AF36</f>
        <v>0</v>
      </c>
      <c r="AG16" s="8">
        <f>'LNG Equity '!AG36</f>
        <v>0</v>
      </c>
      <c r="AH16" s="8">
        <f>'LNG Equity '!AH36</f>
        <v>0</v>
      </c>
      <c r="AI16" s="8">
        <f>'LNG Equity '!AI36</f>
        <v>0</v>
      </c>
      <c r="AJ16" s="135">
        <f>SUM(C16:AI16)</f>
        <v>0</v>
      </c>
    </row>
    <row r="17" spans="1:38" x14ac:dyDescent="0.2">
      <c r="A17" s="37"/>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row>
    <row r="18" spans="1:38" x14ac:dyDescent="0.2">
      <c r="A18" s="37" t="s">
        <v>385</v>
      </c>
      <c r="B18" t="s">
        <v>99</v>
      </c>
      <c r="C18" s="8">
        <f>'Field 1 Fiscal'!C51+'Field 2 Fiscal'!C51+'Field 3 Fiscal'!C51+'Gas PL'!C35+'LNG Equity '!C45</f>
        <v>0</v>
      </c>
      <c r="D18" s="8">
        <f>'Field 1 Fiscal'!D51+'Field 2 Fiscal'!D51+'Field 3 Fiscal'!D51+'Gas PL'!D35+'LNG Equity '!D45</f>
        <v>0</v>
      </c>
      <c r="E18" s="8">
        <f>'Field 1 Fiscal'!E51+'Field 2 Fiscal'!E51+'Field 3 Fiscal'!E51+'Gas PL'!E35+'LNG Equity '!E45</f>
        <v>0</v>
      </c>
      <c r="F18" s="8">
        <f>'Field 1 Fiscal'!F51+'Field 2 Fiscal'!F51+'Field 3 Fiscal'!F51+'Gas PL'!F35+'LNG Equity '!F45</f>
        <v>0</v>
      </c>
      <c r="G18" s="8">
        <f>'Field 1 Fiscal'!G51+'Field 2 Fiscal'!G51+'Field 3 Fiscal'!G51+'Gas PL'!G35+'LNG Equity '!G45</f>
        <v>0</v>
      </c>
      <c r="H18" s="8">
        <f>'Field 1 Fiscal'!H51+'Field 2 Fiscal'!H51+'Field 3 Fiscal'!H51+'Gas PL'!H35+'LNG Equity '!H45</f>
        <v>1308.9978000000012</v>
      </c>
      <c r="I18" s="8">
        <f>'Field 1 Fiscal'!I51+'Field 2 Fiscal'!I51+'Field 3 Fiscal'!I51+'Gas PL'!I35+'LNG Equity '!I45</f>
        <v>1906.8252000000009</v>
      </c>
      <c r="J18" s="8">
        <f>'Field 1 Fiscal'!J51+'Field 2 Fiscal'!J51+'Field 3 Fiscal'!J51+'Gas PL'!J35+'LNG Equity '!J45</f>
        <v>1729.94794</v>
      </c>
      <c r="K18" s="8">
        <f>'Field 1 Fiscal'!K51+'Field 2 Fiscal'!K51+'Field 3 Fiscal'!K51+'Gas PL'!K35+'LNG Equity '!K45</f>
        <v>2051.9290700340021</v>
      </c>
      <c r="L18" s="8">
        <f>'Field 1 Fiscal'!L51+'Field 2 Fiscal'!L51+'Field 3 Fiscal'!L51+'Gas PL'!L35+'LNG Equity '!L45</f>
        <v>2947.558611200001</v>
      </c>
      <c r="M18" s="8">
        <f>'Field 1 Fiscal'!M51+'Field 2 Fiscal'!M51+'Field 3 Fiscal'!M51+'Gas PL'!M35+'LNG Equity '!M45</f>
        <v>3182.0386112000015</v>
      </c>
      <c r="N18" s="8">
        <f>'Field 1 Fiscal'!N51+'Field 2 Fiscal'!N51+'Field 3 Fiscal'!N51+'Gas PL'!N35+'LNG Equity '!N45</f>
        <v>3436.350850012001</v>
      </c>
      <c r="O18" s="8">
        <f>'Field 1 Fiscal'!O51+'Field 2 Fiscal'!O51+'Field 3 Fiscal'!O51+'Gas PL'!O35+'LNG Equity '!O45</f>
        <v>3116.6997123199999</v>
      </c>
      <c r="P18" s="8">
        <f>'Field 1 Fiscal'!P51+'Field 2 Fiscal'!P51+'Field 3 Fiscal'!P51+'Gas PL'!P35+'LNG Equity '!P45</f>
        <v>3296.3156392000014</v>
      </c>
      <c r="Q18" s="8">
        <f>'Field 1 Fiscal'!Q51+'Field 2 Fiscal'!Q51+'Field 3 Fiscal'!Q51+'Gas PL'!Q35+'LNG Equity '!Q45</f>
        <v>3296.3156392000014</v>
      </c>
      <c r="R18" s="8">
        <f>'Field 1 Fiscal'!R51+'Field 2 Fiscal'!R51+'Field 3 Fiscal'!R51+'Gas PL'!R35+'LNG Equity '!R45</f>
        <v>3296.3156392000014</v>
      </c>
      <c r="S18" s="8">
        <f>'Field 1 Fiscal'!S51+'Field 2 Fiscal'!S51+'Field 3 Fiscal'!S51+'Gas PL'!S35+'LNG Equity '!S45</f>
        <v>3080.7082120000014</v>
      </c>
      <c r="T18" s="8">
        <f>'Field 1 Fiscal'!T51+'Field 2 Fiscal'!T51+'Field 3 Fiscal'!T51+'Gas PL'!T35+'LNG Equity '!T45</f>
        <v>2901.0072955999999</v>
      </c>
      <c r="U18" s="8">
        <f>'Field 1 Fiscal'!U51+'Field 2 Fiscal'!U51+'Field 3 Fiscal'!U51+'Gas PL'!U35+'LNG Equity '!U45</f>
        <v>3080.7082120000014</v>
      </c>
      <c r="V18" s="8">
        <f>'Field 1 Fiscal'!V51+'Field 2 Fiscal'!V51+'Field 3 Fiscal'!V51+'Gas PL'!V35+'LNG Equity '!V45</f>
        <v>3080.7082120000014</v>
      </c>
      <c r="W18" s="8">
        <f>'Field 1 Fiscal'!W51+'Field 2 Fiscal'!W51+'Field 3 Fiscal'!W51+'Gas PL'!W35+'LNG Equity '!W45</f>
        <v>3080.7082120000014</v>
      </c>
      <c r="X18" s="8">
        <f>'Field 1 Fiscal'!X51+'Field 2 Fiscal'!X51+'Field 3 Fiscal'!X51+'Gas PL'!X35+'LNG Equity '!X45</f>
        <v>3080.7082120000014</v>
      </c>
      <c r="Y18" s="8">
        <f>'Field 1 Fiscal'!Y51+'Field 2 Fiscal'!Y51+'Field 3 Fiscal'!Y51+'Gas PL'!Y35+'LNG Equity '!Y45</f>
        <v>2793.1610872400001</v>
      </c>
      <c r="Z18" s="8">
        <f>'Field 1 Fiscal'!Z51+'Field 2 Fiscal'!Z51+'Field 3 Fiscal'!Z51+'Gas PL'!Z35+'LNG Equity '!Z45</f>
        <v>2972.9044984000011</v>
      </c>
      <c r="AA18" s="8">
        <f>'Field 1 Fiscal'!AA51+'Field 2 Fiscal'!AA51+'Field 3 Fiscal'!AA51+'Gas PL'!AA35+'LNG Equity '!AA45</f>
        <v>2972.9044984000011</v>
      </c>
      <c r="AB18" s="8">
        <f>'Field 1 Fiscal'!AB51+'Field 2 Fiscal'!AB51+'Field 3 Fiscal'!AB51+'Gas PL'!AB35+'LNG Equity '!AB45</f>
        <v>2972.9044984000011</v>
      </c>
      <c r="AC18" s="8">
        <f>'Field 1 Fiscal'!AC51+'Field 2 Fiscal'!AC51+'Field 3 Fiscal'!AC51+'Gas PL'!AC35+'LNG Equity '!AC45</f>
        <v>2972.9044984000011</v>
      </c>
      <c r="AD18" s="8">
        <f>'Field 1 Fiscal'!AD51+'Field 2 Fiscal'!AD51+'Field 3 Fiscal'!AD51+'Gas PL'!AD35+'LNG Equity '!AD45</f>
        <v>2793.1610872400001</v>
      </c>
      <c r="AE18" s="8">
        <f>'Field 1 Fiscal'!AE51+'Field 2 Fiscal'!AE51+'Field 3 Fiscal'!AE51+'Gas PL'!AE35+'LNG Equity '!AE45</f>
        <v>2972.9044984000011</v>
      </c>
      <c r="AF18" s="8">
        <f>'Field 1 Fiscal'!AF51+'Field 2 Fiscal'!AF51+'Field 3 Fiscal'!AF51+'Gas PL'!AF35+'LNG Equity '!AF45</f>
        <v>2972.9044984000011</v>
      </c>
      <c r="AG18" s="8">
        <f>'Field 1 Fiscal'!AG51+'Field 2 Fiscal'!AG51+'Field 3 Fiscal'!AG51+'Gas PL'!AG35+'LNG Equity '!AG45</f>
        <v>2896.1044984000009</v>
      </c>
      <c r="AH18" s="8">
        <f>'Field 1 Fiscal'!AH51+'Field 2 Fiscal'!AH51+'Field 3 Fiscal'!AH51+'Gas PL'!AH35+'LNG Equity '!AH45</f>
        <v>2896.1044984000009</v>
      </c>
      <c r="AI18" s="8">
        <f>'Field 1 Fiscal'!AI51+'Field 2 Fiscal'!AI51+'Field 3 Fiscal'!AI51+'Gas PL'!AI35+'LNG Equity '!AI45</f>
        <v>2819.3044984000012</v>
      </c>
      <c r="AJ18" s="135">
        <f>SUM(C18:AI18)</f>
        <v>79909.105728046023</v>
      </c>
    </row>
    <row r="19" spans="1:38" x14ac:dyDescent="0.2">
      <c r="A19" s="148" t="s">
        <v>193</v>
      </c>
      <c r="B19" t="s">
        <v>99</v>
      </c>
      <c r="C19" s="8">
        <f>'Field 1 Fiscal'!C51+'Field 2 Fiscal'!C51+'Field 3 Fiscal'!C51</f>
        <v>0</v>
      </c>
      <c r="D19" s="8">
        <f>'Field 1 Fiscal'!D51+'Field 2 Fiscal'!D51+'Field 3 Fiscal'!D51</f>
        <v>0</v>
      </c>
      <c r="E19" s="8">
        <f>'Field 1 Fiscal'!E51+'Field 2 Fiscal'!E51+'Field 3 Fiscal'!E51</f>
        <v>0</v>
      </c>
      <c r="F19" s="8">
        <f>'Field 1 Fiscal'!F51+'Field 2 Fiscal'!F51+'Field 3 Fiscal'!F51</f>
        <v>0</v>
      </c>
      <c r="G19" s="8">
        <f>'Field 1 Fiscal'!G51+'Field 2 Fiscal'!G51+'Field 3 Fiscal'!G51</f>
        <v>0</v>
      </c>
      <c r="H19" s="8">
        <f>'Field 1 Fiscal'!H51+'Field 2 Fiscal'!H51+'Field 3 Fiscal'!H51</f>
        <v>0</v>
      </c>
      <c r="I19" s="8">
        <f>'Field 1 Fiscal'!I51+'Field 2 Fiscal'!I51+'Field 3 Fiscal'!I51</f>
        <v>0</v>
      </c>
      <c r="J19" s="8">
        <f>'Field 1 Fiscal'!J51+'Field 2 Fiscal'!J51+'Field 3 Fiscal'!J51</f>
        <v>0</v>
      </c>
      <c r="K19" s="8">
        <f>'Field 1 Fiscal'!K51+'Field 2 Fiscal'!K51+'Field 3 Fiscal'!K51</f>
        <v>144.42387003400131</v>
      </c>
      <c r="L19" s="8">
        <f>'Field 1 Fiscal'!L51+'Field 2 Fiscal'!L51+'Field 3 Fiscal'!L51</f>
        <v>885.73341120000055</v>
      </c>
      <c r="M19" s="8">
        <f>'Field 1 Fiscal'!M51+'Field 2 Fiscal'!M51+'Field 3 Fiscal'!M51</f>
        <v>885.73341120000055</v>
      </c>
      <c r="N19" s="8">
        <f>'Field 1 Fiscal'!N51+'Field 2 Fiscal'!N51+'Field 3 Fiscal'!N51</f>
        <v>842.39173001200015</v>
      </c>
      <c r="O19" s="8">
        <f>'Field 1 Fiscal'!O51+'Field 2 Fiscal'!O51+'Field 3 Fiscal'!O51</f>
        <v>669.56825232000006</v>
      </c>
      <c r="P19" s="8">
        <f>'Field 1 Fiscal'!P51+'Field 2 Fiscal'!P51+'Field 3 Fiscal'!P51</f>
        <v>664.80883920000042</v>
      </c>
      <c r="Q19" s="8">
        <f>'Field 1 Fiscal'!Q51+'Field 2 Fiscal'!Q51+'Field 3 Fiscal'!Q51</f>
        <v>664.80883920000042</v>
      </c>
      <c r="R19" s="8">
        <f>'Field 1 Fiscal'!R51+'Field 2 Fiscal'!R51+'Field 3 Fiscal'!R51</f>
        <v>664.80883920000042</v>
      </c>
      <c r="S19" s="8">
        <f>'Field 1 Fiscal'!S51+'Field 2 Fiscal'!S51+'Field 3 Fiscal'!S51</f>
        <v>449.20141200000023</v>
      </c>
      <c r="T19" s="8">
        <f>'Field 1 Fiscal'!T51+'Field 2 Fiscal'!T51+'Field 3 Fiscal'!T51</f>
        <v>453.87583560000002</v>
      </c>
      <c r="U19" s="8">
        <f>'Field 1 Fiscal'!U51+'Field 2 Fiscal'!U51+'Field 3 Fiscal'!U51</f>
        <v>449.20141200000023</v>
      </c>
      <c r="V19" s="8">
        <f>'Field 1 Fiscal'!V51+'Field 2 Fiscal'!V51+'Field 3 Fiscal'!V51</f>
        <v>449.20141200000023</v>
      </c>
      <c r="W19" s="8">
        <f>'Field 1 Fiscal'!W51+'Field 2 Fiscal'!W51+'Field 3 Fiscal'!W51</f>
        <v>449.20141200000023</v>
      </c>
      <c r="X19" s="8">
        <f>'Field 1 Fiscal'!X51+'Field 2 Fiscal'!X51+'Field 3 Fiscal'!X51</f>
        <v>449.20141200000023</v>
      </c>
      <c r="Y19" s="8">
        <f>'Field 1 Fiscal'!Y51+'Field 2 Fiscal'!Y51+'Field 3 Fiscal'!Y51</f>
        <v>346.02962724000014</v>
      </c>
      <c r="Z19" s="8">
        <f>'Field 1 Fiscal'!Z51+'Field 2 Fiscal'!Z51+'Field 3 Fiscal'!Z51</f>
        <v>341.39769840000014</v>
      </c>
      <c r="AA19" s="8">
        <f>'Field 1 Fiscal'!AA51+'Field 2 Fiscal'!AA51+'Field 3 Fiscal'!AA51</f>
        <v>341.39769840000014</v>
      </c>
      <c r="AB19" s="8">
        <f>'Field 1 Fiscal'!AB51+'Field 2 Fiscal'!AB51+'Field 3 Fiscal'!AB51</f>
        <v>341.39769840000014</v>
      </c>
      <c r="AC19" s="8">
        <f>'Field 1 Fiscal'!AC51+'Field 2 Fiscal'!AC51+'Field 3 Fiscal'!AC51</f>
        <v>341.39769840000014</v>
      </c>
      <c r="AD19" s="8">
        <f>'Field 1 Fiscal'!AD51+'Field 2 Fiscal'!AD51+'Field 3 Fiscal'!AD51</f>
        <v>346.02962724000014</v>
      </c>
      <c r="AE19" s="8">
        <f>'Field 1 Fiscal'!AE51+'Field 2 Fiscal'!AE51+'Field 3 Fiscal'!AE51</f>
        <v>341.39769840000014</v>
      </c>
      <c r="AF19" s="8">
        <f>'Field 1 Fiscal'!AF51+'Field 2 Fiscal'!AF51+'Field 3 Fiscal'!AF51</f>
        <v>341.39769840000014</v>
      </c>
      <c r="AG19" s="8">
        <f>'Field 1 Fiscal'!AG51+'Field 2 Fiscal'!AG51+'Field 3 Fiscal'!AG51</f>
        <v>264.59769840000018</v>
      </c>
      <c r="AH19" s="8">
        <f>'Field 1 Fiscal'!AH51+'Field 2 Fiscal'!AH51+'Field 3 Fiscal'!AH51</f>
        <v>264.59769840000018</v>
      </c>
      <c r="AI19" s="8">
        <f>'Field 1 Fiscal'!AI51+'Field 2 Fiscal'!AI51+'Field 3 Fiscal'!AI51</f>
        <v>187.79769840000014</v>
      </c>
      <c r="AJ19" s="135">
        <f>SUM(C19:AI19)</f>
        <v>11579.598628046009</v>
      </c>
    </row>
    <row r="20" spans="1:38" x14ac:dyDescent="0.2">
      <c r="A20" s="148" t="s">
        <v>194</v>
      </c>
      <c r="B20" t="s">
        <v>99</v>
      </c>
      <c r="C20" s="8">
        <f>+'Gas PL'!C35</f>
        <v>0</v>
      </c>
      <c r="D20" s="8">
        <f>+'Gas PL'!D35</f>
        <v>0</v>
      </c>
      <c r="E20" s="8">
        <f>+'Gas PL'!E35</f>
        <v>0</v>
      </c>
      <c r="F20" s="8">
        <f>+'Gas PL'!F35</f>
        <v>0</v>
      </c>
      <c r="G20" s="8">
        <f>+'Gas PL'!G35</f>
        <v>0</v>
      </c>
      <c r="H20" s="8">
        <f>+'Gas PL'!H35</f>
        <v>0</v>
      </c>
      <c r="I20" s="8">
        <f>+'Gas PL'!I35</f>
        <v>0</v>
      </c>
      <c r="J20" s="8">
        <f>+'Gas PL'!J35</f>
        <v>0</v>
      </c>
      <c r="K20" s="8">
        <f>+'Gas PL'!K35</f>
        <v>0</v>
      </c>
      <c r="L20" s="8">
        <f>+'Gas PL'!L35</f>
        <v>0</v>
      </c>
      <c r="M20" s="8">
        <f>+'Gas PL'!M35</f>
        <v>0</v>
      </c>
      <c r="N20" s="8">
        <f>+'Gas PL'!N35</f>
        <v>16.41391999999999</v>
      </c>
      <c r="O20" s="8">
        <f>+'Gas PL'!O35</f>
        <v>46.463520000000003</v>
      </c>
      <c r="P20" s="8">
        <f>+'Gas PL'!P35</f>
        <v>53.961599999999997</v>
      </c>
      <c r="Q20" s="8">
        <f>+'Gas PL'!Q35</f>
        <v>53.961599999999997</v>
      </c>
      <c r="R20" s="8">
        <f>+'Gas PL'!R35</f>
        <v>53.961599999999997</v>
      </c>
      <c r="S20" s="8">
        <f>+'Gas PL'!S35</f>
        <v>53.961599999999997</v>
      </c>
      <c r="T20" s="8">
        <f>+'Gas PL'!T35</f>
        <v>46.463520000000003</v>
      </c>
      <c r="U20" s="8">
        <f>+'Gas PL'!U35</f>
        <v>53.961599999999997</v>
      </c>
      <c r="V20" s="8">
        <f>+'Gas PL'!V35</f>
        <v>53.961599999999997</v>
      </c>
      <c r="W20" s="8">
        <f>+'Gas PL'!W35</f>
        <v>53.961599999999997</v>
      </c>
      <c r="X20" s="8">
        <f>+'Gas PL'!X35</f>
        <v>53.961599999999997</v>
      </c>
      <c r="Y20" s="8">
        <f>+'Gas PL'!Y35</f>
        <v>46.463520000000003</v>
      </c>
      <c r="Z20" s="8">
        <f>+'Gas PL'!Z35</f>
        <v>53.961599999999997</v>
      </c>
      <c r="AA20" s="8">
        <f>+'Gas PL'!AA35</f>
        <v>53.961599999999997</v>
      </c>
      <c r="AB20" s="8">
        <f>+'Gas PL'!AB35</f>
        <v>53.961599999999997</v>
      </c>
      <c r="AC20" s="8">
        <f>+'Gas PL'!AC35</f>
        <v>53.961599999999997</v>
      </c>
      <c r="AD20" s="8">
        <f>+'Gas PL'!AD35</f>
        <v>46.463520000000003</v>
      </c>
      <c r="AE20" s="8">
        <f>+'Gas PL'!AE35</f>
        <v>53.961599999999997</v>
      </c>
      <c r="AF20" s="8">
        <f>+'Gas PL'!AF35</f>
        <v>53.961599999999997</v>
      </c>
      <c r="AG20" s="8">
        <f>+'Gas PL'!AG35</f>
        <v>53.961599999999997</v>
      </c>
      <c r="AH20" s="8">
        <f>+'Gas PL'!AH35</f>
        <v>53.961599999999997</v>
      </c>
      <c r="AI20" s="8">
        <f>+'Gas PL'!AI35</f>
        <v>53.961599999999997</v>
      </c>
      <c r="AJ20" s="135">
        <f>SUM(C20:AI20)</f>
        <v>1119.6152</v>
      </c>
    </row>
    <row r="21" spans="1:38" x14ac:dyDescent="0.2">
      <c r="A21" s="148" t="s">
        <v>195</v>
      </c>
      <c r="B21" t="s">
        <v>99</v>
      </c>
      <c r="C21" s="8">
        <f>+'LNG Equity '!C45</f>
        <v>0</v>
      </c>
      <c r="D21" s="8">
        <f>+'LNG Equity '!D45</f>
        <v>0</v>
      </c>
      <c r="E21" s="8">
        <f>+'LNG Equity '!E45</f>
        <v>0</v>
      </c>
      <c r="F21" s="8">
        <f>+'LNG Equity '!F45</f>
        <v>0</v>
      </c>
      <c r="G21" s="8">
        <f>+'LNG Equity '!G45</f>
        <v>0</v>
      </c>
      <c r="H21" s="8">
        <f>+'LNG Equity '!H45</f>
        <v>1308.9978000000012</v>
      </c>
      <c r="I21" s="8">
        <f>+'LNG Equity '!I45</f>
        <v>1906.8252000000009</v>
      </c>
      <c r="J21" s="8">
        <f>+'LNG Equity '!J45</f>
        <v>1729.94794</v>
      </c>
      <c r="K21" s="8">
        <f>+'LNG Equity '!K45</f>
        <v>1907.5052000000007</v>
      </c>
      <c r="L21" s="8">
        <f>+'LNG Equity '!L45</f>
        <v>2061.8252000000007</v>
      </c>
      <c r="M21" s="8">
        <f>+'LNG Equity '!M45</f>
        <v>2296.3052000000007</v>
      </c>
      <c r="N21" s="8">
        <f>+'LNG Equity '!N45</f>
        <v>2577.5452000000009</v>
      </c>
      <c r="O21" s="8">
        <f>+'LNG Equity '!O45</f>
        <v>2400.6679399999998</v>
      </c>
      <c r="P21" s="8">
        <f>+'LNG Equity '!P45</f>
        <v>2577.5452000000009</v>
      </c>
      <c r="Q21" s="8">
        <f>+'LNG Equity '!Q45</f>
        <v>2577.5452000000009</v>
      </c>
      <c r="R21" s="8">
        <f>+'LNG Equity '!R45</f>
        <v>2577.5452000000009</v>
      </c>
      <c r="S21" s="8">
        <f>+'LNG Equity '!S45</f>
        <v>2577.5452000000009</v>
      </c>
      <c r="T21" s="8">
        <f>+'LNG Equity '!T45</f>
        <v>2400.6679399999998</v>
      </c>
      <c r="U21" s="8">
        <f>+'LNG Equity '!U45</f>
        <v>2577.5452000000009</v>
      </c>
      <c r="V21" s="8">
        <f>+'LNG Equity '!V45</f>
        <v>2577.5452000000009</v>
      </c>
      <c r="W21" s="8">
        <f>+'LNG Equity '!W45</f>
        <v>2577.5452000000009</v>
      </c>
      <c r="X21" s="8">
        <f>+'LNG Equity '!X45</f>
        <v>2577.5452000000009</v>
      </c>
      <c r="Y21" s="8">
        <f>+'LNG Equity '!Y45</f>
        <v>2400.6679399999998</v>
      </c>
      <c r="Z21" s="8">
        <f>+'LNG Equity '!Z45</f>
        <v>2577.5452000000009</v>
      </c>
      <c r="AA21" s="8">
        <f>+'LNG Equity '!AA45</f>
        <v>2577.5452000000009</v>
      </c>
      <c r="AB21" s="8">
        <f>+'LNG Equity '!AB45</f>
        <v>2577.5452000000009</v>
      </c>
      <c r="AC21" s="8">
        <f>+'LNG Equity '!AC45</f>
        <v>2577.5452000000009</v>
      </c>
      <c r="AD21" s="8">
        <f>+'LNG Equity '!AD45</f>
        <v>2400.6679399999998</v>
      </c>
      <c r="AE21" s="8">
        <f>+'LNG Equity '!AE45</f>
        <v>2577.5452000000009</v>
      </c>
      <c r="AF21" s="8">
        <f>+'LNG Equity '!AF45</f>
        <v>2577.5452000000009</v>
      </c>
      <c r="AG21" s="8">
        <f>+'LNG Equity '!AG45</f>
        <v>2577.5452000000009</v>
      </c>
      <c r="AH21" s="8">
        <f>+'LNG Equity '!AH45</f>
        <v>2577.5452000000009</v>
      </c>
      <c r="AI21" s="8">
        <f>+'LNG Equity '!AI45</f>
        <v>2577.5452000000009</v>
      </c>
      <c r="AJ21" s="135">
        <f>SUM(C21:AI21)</f>
        <v>67209.891900000017</v>
      </c>
    </row>
    <row r="22" spans="1:38" x14ac:dyDescent="0.2">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135"/>
      <c r="AL22" s="10"/>
    </row>
    <row r="23" spans="1:38" ht="18" x14ac:dyDescent="0.35">
      <c r="A23" t="s">
        <v>304</v>
      </c>
      <c r="B23" t="s">
        <v>99</v>
      </c>
      <c r="C23" s="27">
        <f>C12+C14+C18</f>
        <v>0</v>
      </c>
      <c r="D23" s="27">
        <f t="shared" ref="D23:AI23" si="1">D12+D14+D18</f>
        <v>0</v>
      </c>
      <c r="E23" s="27">
        <f t="shared" si="1"/>
        <v>0</v>
      </c>
      <c r="F23" s="27">
        <f t="shared" si="1"/>
        <v>0</v>
      </c>
      <c r="G23" s="27">
        <f t="shared" si="1"/>
        <v>220.40693812500007</v>
      </c>
      <c r="H23" s="27">
        <f t="shared" si="1"/>
        <v>1749.8116762500013</v>
      </c>
      <c r="I23" s="27">
        <f t="shared" si="1"/>
        <v>2347.6390762500009</v>
      </c>
      <c r="J23" s="27">
        <f t="shared" si="1"/>
        <v>2156.8647017687499</v>
      </c>
      <c r="K23" s="27">
        <f t="shared" si="1"/>
        <v>2652.8782100340022</v>
      </c>
      <c r="L23" s="27">
        <f t="shared" si="1"/>
        <v>3548.5077512000012</v>
      </c>
      <c r="M23" s="27">
        <f t="shared" si="1"/>
        <v>3782.9877512000016</v>
      </c>
      <c r="N23" s="27">
        <f t="shared" si="1"/>
        <v>4172.7427437245024</v>
      </c>
      <c r="O23" s="27">
        <f t="shared" si="1"/>
        <v>4394.4929350699995</v>
      </c>
      <c r="P23" s="27">
        <f t="shared" si="1"/>
        <v>4587.6540667000017</v>
      </c>
      <c r="Q23" s="27">
        <f t="shared" si="1"/>
        <v>4587.6540667000017</v>
      </c>
      <c r="R23" s="27">
        <f t="shared" si="1"/>
        <v>4587.6540667000017</v>
      </c>
      <c r="S23" s="27">
        <f t="shared" si="1"/>
        <v>5045.8198495000024</v>
      </c>
      <c r="T23" s="27">
        <f t="shared" si="1"/>
        <v>4852.8393206000001</v>
      </c>
      <c r="U23" s="27">
        <f t="shared" si="1"/>
        <v>5045.8198495000024</v>
      </c>
      <c r="V23" s="27">
        <f t="shared" si="1"/>
        <v>5045.8198495000024</v>
      </c>
      <c r="W23" s="27">
        <f t="shared" si="1"/>
        <v>5045.8198495000024</v>
      </c>
      <c r="X23" s="27">
        <f t="shared" si="1"/>
        <v>5045.8198495000024</v>
      </c>
      <c r="Y23" s="27">
        <f t="shared" si="1"/>
        <v>5082.0125133649999</v>
      </c>
      <c r="Z23" s="27">
        <f t="shared" si="1"/>
        <v>5274.9027409000018</v>
      </c>
      <c r="AA23" s="27">
        <f t="shared" si="1"/>
        <v>5274.9027409000018</v>
      </c>
      <c r="AB23" s="27">
        <f t="shared" si="1"/>
        <v>5274.9027409000018</v>
      </c>
      <c r="AC23" s="27">
        <f t="shared" si="1"/>
        <v>5274.9027409000018</v>
      </c>
      <c r="AD23" s="27">
        <f t="shared" si="1"/>
        <v>5082.0125133649999</v>
      </c>
      <c r="AE23" s="27">
        <f t="shared" si="1"/>
        <v>5274.9027409000018</v>
      </c>
      <c r="AF23" s="27">
        <f t="shared" si="1"/>
        <v>5274.9027409000018</v>
      </c>
      <c r="AG23" s="27">
        <f t="shared" si="1"/>
        <v>4838.1027409000017</v>
      </c>
      <c r="AH23" s="27">
        <f t="shared" si="1"/>
        <v>4838.1027409000017</v>
      </c>
      <c r="AI23" s="27">
        <f t="shared" si="1"/>
        <v>4401.3027409000024</v>
      </c>
      <c r="AJ23" s="126">
        <f>AJ12+AJ14+AJ18</f>
        <v>124762.18224665229</v>
      </c>
      <c r="AL23" s="10"/>
    </row>
    <row r="24" spans="1:38" x14ac:dyDescent="0.2">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row>
    <row r="25" spans="1:38" x14ac:dyDescent="0.2">
      <c r="A25" s="37" t="s">
        <v>386</v>
      </c>
      <c r="B25" t="s">
        <v>99</v>
      </c>
      <c r="C25" s="8">
        <f>'Field 1 Investor'!C38+'Field 2 Investor'!C38+'Field 3 Investor'!C38+'Gas PL'!C38+'LNG Equity '!C48</f>
        <v>-417</v>
      </c>
      <c r="D25" s="8">
        <f>'Field 1 Investor'!D38+'Field 2 Investor'!D38+'Field 3 Investor'!D38+'Gas PL'!D38+'LNG Equity '!D48</f>
        <v>-5243</v>
      </c>
      <c r="E25" s="8">
        <f>'Field 1 Investor'!E38+'Field 2 Investor'!E38+'Field 3 Investor'!E38+'Gas PL'!E38+'LNG Equity '!E48</f>
        <v>-8207</v>
      </c>
      <c r="F25" s="8">
        <f>'Field 1 Investor'!F38+'Field 2 Investor'!F38+'Field 3 Investor'!F38+'Gas PL'!F38+'LNG Equity '!F48</f>
        <v>-10831</v>
      </c>
      <c r="G25" s="8">
        <f>'Field 1 Investor'!G38+'Field 2 Investor'!G38+'Field 3 Investor'!G38+'Gas PL'!G38+'LNG Equity '!G48</f>
        <v>2275.7554618750019</v>
      </c>
      <c r="H25" s="8">
        <f>'Field 1 Investor'!H38+'Field 2 Investor'!H38+'Field 3 Investor'!H38+'Gas PL'!H38+'LNG Equity '!H48</f>
        <v>9302.5131237500027</v>
      </c>
      <c r="I25" s="8">
        <f>'Field 1 Investor'!I38+'Field 2 Investor'!I38+'Field 3 Investor'!I38+'Gas PL'!I38+'LNG Equity '!I48</f>
        <v>9244.6857237500026</v>
      </c>
      <c r="J25" s="8">
        <f>'Field 1 Investor'!J38+'Field 2 Investor'!J38+'Field 3 Investor'!J38+'Gas PL'!J38+'LNG Equity '!J48</f>
        <v>8860.6151219812491</v>
      </c>
      <c r="K25" s="8">
        <f>'Field 1 Investor'!K38+'Field 2 Investor'!K38+'Field 3 Investor'!K38+'Gas PL'!K38+'LNG Equity '!K48</f>
        <v>8939.4465899660026</v>
      </c>
      <c r="L25" s="8">
        <f>'Field 1 Investor'!L38+'Field 2 Investor'!L38+'Field 3 Investor'!L38+'Gas PL'!L38+'LNG Equity '!L48</f>
        <v>8043.8170488000014</v>
      </c>
      <c r="M25" s="8">
        <f>'Field 1 Investor'!M38+'Field 2 Investor'!M38+'Field 3 Investor'!M38+'Gas PL'!M38+'LNG Equity '!M48</f>
        <v>7809.3370488000019</v>
      </c>
      <c r="N25" s="8">
        <f>'Field 1 Investor'!N38+'Field 2 Investor'!N38+'Field 3 Investor'!N38+'Gas PL'!N38+'LNG Equity '!N48</f>
        <v>7419.5820562755025</v>
      </c>
      <c r="O25" s="8">
        <f>'Field 1 Investor'!O38+'Field 2 Investor'!O38+'Field 3 Investor'!O38+'Gas PL'!O38+'LNG Equity '!O48</f>
        <v>6622.9868886800004</v>
      </c>
      <c r="P25" s="8">
        <f>'Field 1 Investor'!P38+'Field 2 Investor'!P38+'Field 3 Investor'!P38+'Gas PL'!P38+'LNG Equity '!P48</f>
        <v>7004.6707333000022</v>
      </c>
      <c r="Q25" s="8">
        <f>'Field 1 Investor'!Q38+'Field 2 Investor'!Q38+'Field 3 Investor'!Q38+'Gas PL'!Q38+'LNG Equity '!Q48</f>
        <v>7004.6707333000022</v>
      </c>
      <c r="R25" s="8">
        <f>'Field 1 Investor'!R38+'Field 2 Investor'!R38+'Field 3 Investor'!R38+'Gas PL'!R38+'LNG Equity '!R48</f>
        <v>7004.6707333000022</v>
      </c>
      <c r="S25" s="8">
        <f>'Field 1 Investor'!S38+'Field 2 Investor'!S38+'Field 3 Investor'!S38+'Gas PL'!S38+'LNG Equity '!S48</f>
        <v>6546.5049505000025</v>
      </c>
      <c r="T25" s="8">
        <f>'Field 1 Investor'!T38+'Field 2 Investor'!T38+'Field 3 Investor'!T38+'Gas PL'!T38+'LNG Equity '!T48</f>
        <v>6164.6405031500008</v>
      </c>
      <c r="U25" s="8">
        <f>'Field 1 Investor'!U38+'Field 2 Investor'!U38+'Field 3 Investor'!U38+'Gas PL'!U38+'LNG Equity '!U48</f>
        <v>6546.5049505000025</v>
      </c>
      <c r="V25" s="8">
        <f>'Field 1 Investor'!V38+'Field 2 Investor'!V38+'Field 3 Investor'!V38+'Gas PL'!V38+'LNG Equity '!V48</f>
        <v>6546.5049505000025</v>
      </c>
      <c r="W25" s="8">
        <f>'Field 1 Investor'!W38+'Field 2 Investor'!W38+'Field 3 Investor'!W38+'Gas PL'!W38+'LNG Equity '!W48</f>
        <v>6546.5049505000025</v>
      </c>
      <c r="X25" s="8">
        <f>'Field 1 Investor'!X38+'Field 2 Investor'!X38+'Field 3 Investor'!X38+'Gas PL'!X38+'LNG Equity '!X48</f>
        <v>6546.5049505000025</v>
      </c>
      <c r="Y25" s="8">
        <f>'Field 1 Investor'!Y38+'Field 2 Investor'!Y38+'Field 3 Investor'!Y38+'Gas PL'!Y38+'LNG Equity '!Y48</f>
        <v>5935.467310385</v>
      </c>
      <c r="Z25" s="8">
        <f>'Field 1 Investor'!Z38+'Field 2 Investor'!Z38+'Field 3 Investor'!Z38+'Gas PL'!Z38+'LNG Equity '!Z48</f>
        <v>6317.422059100003</v>
      </c>
      <c r="AA25" s="8">
        <f>'Field 1 Investor'!AA38+'Field 2 Investor'!AA38+'Field 3 Investor'!AA38+'Gas PL'!AA38+'LNG Equity '!AA48</f>
        <v>6317.422059100003</v>
      </c>
      <c r="AB25" s="8">
        <f>'Field 1 Investor'!AB38+'Field 2 Investor'!AB38+'Field 3 Investor'!AB38+'Gas PL'!AB38+'LNG Equity '!AB48</f>
        <v>6317.422059100003</v>
      </c>
      <c r="AC25" s="8">
        <f>'Field 1 Investor'!AC38+'Field 2 Investor'!AC38+'Field 3 Investor'!AC38+'Gas PL'!AC38+'LNG Equity '!AC48</f>
        <v>6317.422059100003</v>
      </c>
      <c r="AD25" s="8">
        <f>'Field 1 Investor'!AD38+'Field 2 Investor'!AD38+'Field 3 Investor'!AD38+'Gas PL'!AD38+'LNG Equity '!AD48</f>
        <v>5935.467310385</v>
      </c>
      <c r="AE25" s="8">
        <f>'Field 1 Investor'!AE38+'Field 2 Investor'!AE38+'Field 3 Investor'!AE38+'Gas PL'!AE38+'LNG Equity '!AE48</f>
        <v>6317.422059100003</v>
      </c>
      <c r="AF25" s="8">
        <f>'Field 1 Investor'!AF38+'Field 2 Investor'!AF38+'Field 3 Investor'!AF38+'Gas PL'!AF38+'LNG Equity '!AF48</f>
        <v>6317.422059100003</v>
      </c>
      <c r="AG25" s="8">
        <f>'Field 1 Investor'!AG38+'Field 2 Investor'!AG38+'Field 3 Investor'!AG38+'Gas PL'!AG38+'LNG Equity '!AG48</f>
        <v>6154.2220591000023</v>
      </c>
      <c r="AH25" s="8">
        <f>'Field 1 Investor'!AH38+'Field 2 Investor'!AH38+'Field 3 Investor'!AH38+'Gas PL'!AH38+'LNG Equity '!AH48</f>
        <v>6154.2220591000023</v>
      </c>
      <c r="AI25" s="8">
        <f>'Field 1 Investor'!AI38+'Field 2 Investor'!AI38+'Field 3 Investor'!AI38+'Gas PL'!AI38+'LNG Equity '!AI48</f>
        <v>5991.0220591000025</v>
      </c>
      <c r="AJ25" s="135">
        <f>SUM(C25:AI25)</f>
        <v>171806.84967209783</v>
      </c>
    </row>
    <row r="26" spans="1:38" x14ac:dyDescent="0.2">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row>
    <row r="27" spans="1:38" s="116" customFormat="1" x14ac:dyDescent="0.2">
      <c r="A27" s="116" t="s">
        <v>232</v>
      </c>
      <c r="B27" s="116" t="s">
        <v>99</v>
      </c>
      <c r="C27" s="115">
        <f>C10-C23</f>
        <v>-417</v>
      </c>
      <c r="D27" s="115">
        <f>D10-D23</f>
        <v>-5243</v>
      </c>
      <c r="E27" s="115">
        <f>E10-E23</f>
        <v>-8207</v>
      </c>
      <c r="F27" s="115">
        <f>F10-F23</f>
        <v>-10831</v>
      </c>
      <c r="G27" s="115">
        <f t="shared" ref="G27:AI27" si="2">G10-G23</f>
        <v>18.221336874999963</v>
      </c>
      <c r="H27" s="115">
        <f t="shared" si="2"/>
        <v>4787.4448737499988</v>
      </c>
      <c r="I27" s="115">
        <f t="shared" si="2"/>
        <v>4729.6174737499987</v>
      </c>
      <c r="J27" s="115">
        <f t="shared" si="2"/>
        <v>4344.2189107312479</v>
      </c>
      <c r="K27" s="115">
        <f t="shared" si="2"/>
        <v>4424.3783399659978</v>
      </c>
      <c r="L27" s="115">
        <f t="shared" si="2"/>
        <v>3528.7487987999989</v>
      </c>
      <c r="M27" s="115">
        <f t="shared" si="2"/>
        <v>3294.2687987999984</v>
      </c>
      <c r="N27" s="115">
        <f t="shared" si="2"/>
        <v>2904.5138062754977</v>
      </c>
      <c r="O27" s="115">
        <f t="shared" si="2"/>
        <v>2106.5906774299983</v>
      </c>
      <c r="P27" s="115">
        <f t="shared" si="2"/>
        <v>2489.6024832999983</v>
      </c>
      <c r="Q27" s="115">
        <f t="shared" si="2"/>
        <v>2489.6024832999983</v>
      </c>
      <c r="R27" s="115">
        <f t="shared" si="2"/>
        <v>2489.6024832999983</v>
      </c>
      <c r="S27" s="115">
        <f t="shared" si="2"/>
        <v>2031.4367004999976</v>
      </c>
      <c r="T27" s="115">
        <f t="shared" si="2"/>
        <v>1648.2442918999977</v>
      </c>
      <c r="U27" s="115">
        <f t="shared" si="2"/>
        <v>2031.4367004999976</v>
      </c>
      <c r="V27" s="115">
        <f t="shared" si="2"/>
        <v>2031.4367004999976</v>
      </c>
      <c r="W27" s="115">
        <f t="shared" si="2"/>
        <v>2031.4367004999976</v>
      </c>
      <c r="X27" s="115">
        <f t="shared" si="2"/>
        <v>2031.4367004999976</v>
      </c>
      <c r="Y27" s="115">
        <f t="shared" si="2"/>
        <v>1419.0710991349979</v>
      </c>
      <c r="Z27" s="115">
        <f t="shared" si="2"/>
        <v>1802.3538090999982</v>
      </c>
      <c r="AA27" s="115">
        <f t="shared" si="2"/>
        <v>1802.3538090999982</v>
      </c>
      <c r="AB27" s="115">
        <f t="shared" si="2"/>
        <v>1802.3538090999982</v>
      </c>
      <c r="AC27" s="115">
        <f t="shared" si="2"/>
        <v>1802.3538090999982</v>
      </c>
      <c r="AD27" s="115">
        <f t="shared" si="2"/>
        <v>1419.0710991349979</v>
      </c>
      <c r="AE27" s="115">
        <f t="shared" si="2"/>
        <v>1802.3538090999982</v>
      </c>
      <c r="AF27" s="115">
        <f t="shared" si="2"/>
        <v>1802.3538090999982</v>
      </c>
      <c r="AG27" s="115">
        <f t="shared" si="2"/>
        <v>1639.1538090999984</v>
      </c>
      <c r="AH27" s="115">
        <f t="shared" si="2"/>
        <v>1639.1538090999984</v>
      </c>
      <c r="AI27" s="115">
        <f t="shared" si="2"/>
        <v>1475.9538090999977</v>
      </c>
      <c r="AJ27" s="203">
        <f>SUM(C27:AI27)</f>
        <v>43120.764740847706</v>
      </c>
      <c r="AK27" s="116" t="str">
        <f>IF(ROUND(AJ27,3)=ROUND(AJ25,3),"","ERROR")</f>
        <v>ERROR</v>
      </c>
    </row>
    <row r="29" spans="1:38" x14ac:dyDescent="0.2">
      <c r="A29" t="s">
        <v>387</v>
      </c>
      <c r="B29" t="s">
        <v>69</v>
      </c>
      <c r="C29" s="7">
        <f>C23/C10</f>
        <v>0</v>
      </c>
      <c r="D29" s="7">
        <f t="shared" ref="D29:AJ29" si="3">D23/D10</f>
        <v>0</v>
      </c>
      <c r="E29" s="7">
        <f t="shared" si="3"/>
        <v>0</v>
      </c>
      <c r="F29" s="7">
        <f t="shared" si="3"/>
        <v>0</v>
      </c>
      <c r="G29" s="7">
        <f t="shared" si="3"/>
        <v>0.92364133347148425</v>
      </c>
      <c r="H29" s="7">
        <f t="shared" si="3"/>
        <v>0.26766758545677716</v>
      </c>
      <c r="I29" s="7">
        <f t="shared" si="3"/>
        <v>0.33171597774705525</v>
      </c>
      <c r="J29" s="7">
        <f t="shared" si="3"/>
        <v>0.33177002947964324</v>
      </c>
      <c r="K29" s="7">
        <f t="shared" si="3"/>
        <v>0.37484556215981774</v>
      </c>
      <c r="L29" s="7">
        <f t="shared" si="3"/>
        <v>0.50139594716260516</v>
      </c>
      <c r="M29" s="7">
        <f t="shared" si="3"/>
        <v>0.53452742944580711</v>
      </c>
      <c r="N29" s="7">
        <f t="shared" si="3"/>
        <v>0.58959890944245941</v>
      </c>
      <c r="O29" s="7">
        <f t="shared" si="3"/>
        <v>0.67596314660843027</v>
      </c>
      <c r="P29" s="7">
        <f t="shared" si="3"/>
        <v>0.64822492081341909</v>
      </c>
      <c r="Q29" s="7">
        <f t="shared" si="3"/>
        <v>0.64822492081341909</v>
      </c>
      <c r="R29" s="7">
        <f t="shared" si="3"/>
        <v>0.64822492081341909</v>
      </c>
      <c r="S29" s="7">
        <f t="shared" si="3"/>
        <v>0.71296268742723512</v>
      </c>
      <c r="T29" s="7">
        <f t="shared" si="3"/>
        <v>0.74646622161099019</v>
      </c>
      <c r="U29" s="7">
        <f t="shared" si="3"/>
        <v>0.71296268742723512</v>
      </c>
      <c r="V29" s="7">
        <f t="shared" si="3"/>
        <v>0.71296268742723512</v>
      </c>
      <c r="W29" s="7">
        <f t="shared" si="3"/>
        <v>0.71296268742723512</v>
      </c>
      <c r="X29" s="7">
        <f t="shared" si="3"/>
        <v>0.71296268742723512</v>
      </c>
      <c r="Y29" s="7">
        <f t="shared" si="3"/>
        <v>0.78171775911227004</v>
      </c>
      <c r="Z29" s="7">
        <f t="shared" si="3"/>
        <v>0.74533157073414302</v>
      </c>
      <c r="AA29" s="7">
        <f t="shared" si="3"/>
        <v>0.74533157073414302</v>
      </c>
      <c r="AB29" s="7">
        <f t="shared" si="3"/>
        <v>0.74533157073414302</v>
      </c>
      <c r="AC29" s="7">
        <f t="shared" si="3"/>
        <v>0.74533157073414302</v>
      </c>
      <c r="AD29" s="7">
        <f t="shared" si="3"/>
        <v>0.78171775911227004</v>
      </c>
      <c r="AE29" s="7">
        <f t="shared" si="3"/>
        <v>0.74533157073414302</v>
      </c>
      <c r="AF29" s="7">
        <f t="shared" si="3"/>
        <v>0.74533157073414302</v>
      </c>
      <c r="AG29" s="7">
        <f t="shared" si="3"/>
        <v>0.74693702550657837</v>
      </c>
      <c r="AH29" s="7">
        <f t="shared" si="3"/>
        <v>0.74693702550657837</v>
      </c>
      <c r="AI29" s="7">
        <f t="shared" si="3"/>
        <v>0.74887027705128895</v>
      </c>
      <c r="AJ29" s="133">
        <f t="shared" si="3"/>
        <v>0.74314982245303218</v>
      </c>
    </row>
    <row r="30" spans="1:38" ht="15.95" thickBot="1" x14ac:dyDescent="0.25"/>
    <row r="31" spans="1:38" ht="15.95" thickBot="1" x14ac:dyDescent="0.25">
      <c r="A31" t="s">
        <v>388</v>
      </c>
      <c r="B31" s="7">
        <f>'Assumptions &amp; Results'!C154</f>
        <v>0.1</v>
      </c>
      <c r="C31" s="378">
        <f>NPV(B31,C25:AI25)</f>
        <v>27301.15229825503</v>
      </c>
    </row>
    <row r="32" spans="1:38" ht="15.95" thickBot="1" x14ac:dyDescent="0.25">
      <c r="A32" t="s">
        <v>301</v>
      </c>
      <c r="B32" s="7"/>
      <c r="C32" s="368">
        <f>IRR(C25:AI25)</f>
        <v>0.23908021259125678</v>
      </c>
    </row>
    <row r="33" spans="1:36" ht="15.95" thickBot="1" x14ac:dyDescent="0.25"/>
    <row r="34" spans="1:36" ht="15.95" thickBot="1" x14ac:dyDescent="0.25">
      <c r="A34" t="s">
        <v>306</v>
      </c>
      <c r="C34" s="367">
        <f>AJ23</f>
        <v>124762.18224665229</v>
      </c>
    </row>
    <row r="35" spans="1:36" ht="15.95" thickBot="1" x14ac:dyDescent="0.25">
      <c r="A35" t="s">
        <v>307</v>
      </c>
      <c r="B35" s="201">
        <f>'Assumptions &amp; Results'!C154</f>
        <v>0.1</v>
      </c>
      <c r="C35" s="367">
        <f>NPV(B35,C23:AI23)</f>
        <v>21902.504171223743</v>
      </c>
    </row>
    <row r="36" spans="1:36" ht="15.95" thickBot="1" x14ac:dyDescent="0.25">
      <c r="A36" t="s">
        <v>308</v>
      </c>
      <c r="C36" s="369">
        <f>AJ23/AJ10</f>
        <v>0.74314982245303218</v>
      </c>
    </row>
    <row r="37" spans="1:36" ht="15.95" thickBot="1" x14ac:dyDescent="0.25">
      <c r="A37" t="s">
        <v>309</v>
      </c>
      <c r="C37" s="369">
        <f>(NPV('Assumptions &amp; Results'!C154,C23:AI23))/(NPV('Assumptions &amp; Results'!C154,C10:AI10))</f>
        <v>1.0088929688935984</v>
      </c>
    </row>
    <row r="38" spans="1:36" x14ac:dyDescent="0.2">
      <c r="C38" s="15"/>
    </row>
    <row r="39" spans="1:36" ht="21" x14ac:dyDescent="0.25">
      <c r="A39" s="306" t="s">
        <v>486</v>
      </c>
      <c r="B39" s="117" t="str">
        <f>IF('Assumptions &amp; Results'!$C$172=2,"VALID","INVALID")</f>
        <v>INVALID</v>
      </c>
      <c r="D39" s="19" t="s">
        <v>573</v>
      </c>
    </row>
    <row r="40" spans="1:36" x14ac:dyDescent="0.2">
      <c r="A40" t="s">
        <v>481</v>
      </c>
      <c r="B40" t="s">
        <v>99</v>
      </c>
      <c r="C40" s="8">
        <f>'NOC &amp; IOC Shares'!C72</f>
        <v>-375.3</v>
      </c>
      <c r="D40" s="8">
        <f>'NOC &amp; IOC Shares'!D72</f>
        <v>-4718.7</v>
      </c>
      <c r="E40" s="8">
        <f>'NOC &amp; IOC Shares'!E72</f>
        <v>-7386.3</v>
      </c>
      <c r="F40" s="8">
        <f>'NOC &amp; IOC Shares'!F72</f>
        <v>-9747.9</v>
      </c>
      <c r="G40" s="8">
        <f>'NOC &amp; IOC Shares'!G72</f>
        <v>16.399203187500802</v>
      </c>
      <c r="H40" s="8">
        <f>'NOC &amp; IOC Shares'!H72</f>
        <v>5486.7984063750009</v>
      </c>
      <c r="I40" s="8">
        <f>'NOC &amp; IOC Shares'!I72</f>
        <v>5972.7984063750009</v>
      </c>
      <c r="J40" s="8">
        <f>'NOC &amp; IOC Shares'!J72</f>
        <v>5466.7501656581253</v>
      </c>
      <c r="K40" s="8">
        <f>'NOC &amp; IOC Shares'!K72</f>
        <v>5382.6575648093994</v>
      </c>
      <c r="L40" s="8">
        <f>'NOC &amp; IOC Shares'!L72</f>
        <v>4476.2135749200006</v>
      </c>
      <c r="M40" s="8">
        <f>'NOC &amp; IOC Shares'!M72</f>
        <v>4265.1815749200005</v>
      </c>
      <c r="N40" s="8">
        <f>'NOC &amp; IOC Shares'!N72</f>
        <v>3914.4020816479506</v>
      </c>
      <c r="O40" s="8">
        <f>'NOC &amp; IOC Shares'!O72</f>
        <v>3196.6537185269999</v>
      </c>
      <c r="P40" s="8">
        <f>'NOC &amp; IOC Shares'!P72</f>
        <v>3540.9818909700007</v>
      </c>
      <c r="Q40" s="8">
        <f>'NOC &amp; IOC Shares'!Q72</f>
        <v>3540.9818909700007</v>
      </c>
      <c r="R40" s="8">
        <f>'NOC &amp; IOC Shares'!R72</f>
        <v>3540.9818909700007</v>
      </c>
      <c r="S40" s="8">
        <f>'NOC &amp; IOC Shares'!S72</f>
        <v>3128.6326864500006</v>
      </c>
      <c r="T40" s="8">
        <f>'NOC &amp; IOC Shares'!T72</f>
        <v>2784.1419715500006</v>
      </c>
      <c r="U40" s="8">
        <f>'NOC &amp; IOC Shares'!U72</f>
        <v>3128.6326864500006</v>
      </c>
      <c r="V40" s="8">
        <f>'NOC &amp; IOC Shares'!V72</f>
        <v>3128.6326864500006</v>
      </c>
      <c r="W40" s="8">
        <f>'NOC &amp; IOC Shares'!W72</f>
        <v>3128.6326864500006</v>
      </c>
      <c r="X40" s="8">
        <f>'NOC &amp; IOC Shares'!X72</f>
        <v>3128.6326864500006</v>
      </c>
      <c r="Y40" s="8">
        <f>'NOC &amp; IOC Shares'!Y72</f>
        <v>2577.8860980615</v>
      </c>
      <c r="Z40" s="8">
        <f>'NOC &amp; IOC Shares'!Z72</f>
        <v>2922.4580841900001</v>
      </c>
      <c r="AA40" s="8">
        <f>'NOC &amp; IOC Shares'!AA72</f>
        <v>2922.4580841900001</v>
      </c>
      <c r="AB40" s="8">
        <f>'NOC &amp; IOC Shares'!AB72</f>
        <v>2922.4580841900001</v>
      </c>
      <c r="AC40" s="8">
        <f>'NOC &amp; IOC Shares'!AC72</f>
        <v>2922.4580841900001</v>
      </c>
      <c r="AD40" s="8">
        <f>'NOC &amp; IOC Shares'!AD72</f>
        <v>2577.8860980615</v>
      </c>
      <c r="AE40" s="8">
        <f>'NOC &amp; IOC Shares'!AE72</f>
        <v>2922.4580841900001</v>
      </c>
      <c r="AF40" s="8">
        <f>'NOC &amp; IOC Shares'!AF72</f>
        <v>2922.4580841900001</v>
      </c>
      <c r="AG40" s="8">
        <f>'NOC &amp; IOC Shares'!AG72</f>
        <v>2775.57808419</v>
      </c>
      <c r="AH40" s="8">
        <f>'NOC &amp; IOC Shares'!AH72</f>
        <v>2775.57808419</v>
      </c>
      <c r="AI40" s="8">
        <f>'NOC &amp; IOC Shares'!AI72</f>
        <v>2628.6980841900004</v>
      </c>
      <c r="AJ40" s="135">
        <f t="shared" ref="AJ40:AJ46" si="4">SUM(C40:AI40)</f>
        <v>75870.280726962985</v>
      </c>
    </row>
    <row r="41" spans="1:36" ht="18" x14ac:dyDescent="0.35">
      <c r="A41" t="s">
        <v>482</v>
      </c>
      <c r="B41" t="s">
        <v>99</v>
      </c>
      <c r="C41" s="27">
        <f>'NOC &amp; IOC Shares'!C74+'NOC &amp; IOC Shares'!C76</f>
        <v>-40</v>
      </c>
      <c r="D41" s="27">
        <f>'NOC &amp; IOC Shares'!D74+'NOC &amp; IOC Shares'!D76</f>
        <v>-84</v>
      </c>
      <c r="E41" s="27">
        <f>'NOC &amp; IOC Shares'!E74+'NOC &amp; IOC Shares'!E76</f>
        <v>-170</v>
      </c>
      <c r="F41" s="27">
        <f>'NOC &amp; IOC Shares'!F74+'NOC &amp; IOC Shares'!F76</f>
        <v>-380</v>
      </c>
      <c r="G41" s="27">
        <f>'NOC &amp; IOC Shares'!G74+'NOC &amp; IOC Shares'!G76</f>
        <v>-181.30296937499995</v>
      </c>
      <c r="H41" s="27">
        <f>'NOC &amp; IOC Shares'!H74+'NOC &amp; IOC Shares'!H76</f>
        <v>243.39406125000011</v>
      </c>
      <c r="I41" s="27">
        <f>'NOC &amp; IOC Shares'!I74+'NOC &amp; IOC Shares'!I76</f>
        <v>297.39406125000011</v>
      </c>
      <c r="J41" s="27">
        <f>'NOC &amp; IOC Shares'!J74+'NOC &amp; IOC Shares'!J76</f>
        <v>297.48037873125003</v>
      </c>
      <c r="K41" s="27">
        <f>'NOC &amp; IOC Shares'!K74+'NOC &amp; IOC Shares'!K76</f>
        <v>297.39406125000011</v>
      </c>
      <c r="L41" s="27">
        <f>'NOC &amp; IOC Shares'!L74+'NOC &amp; IOC Shares'!L76</f>
        <v>22.261733621312342</v>
      </c>
      <c r="M41" s="27">
        <f>'NOC &amp; IOC Shares'!M74+'NOC &amp; IOC Shares'!M76</f>
        <v>0</v>
      </c>
      <c r="N41" s="27">
        <f>'NOC &amp; IOC Shares'!N74+'NOC &amp; IOC Shares'!N76</f>
        <v>0</v>
      </c>
      <c r="O41" s="27">
        <f>'NOC &amp; IOC Shares'!O74+'NOC &amp; IOC Shares'!O76</f>
        <v>0</v>
      </c>
      <c r="P41" s="27">
        <f>'NOC &amp; IOC Shares'!P74+'NOC &amp; IOC Shares'!P76</f>
        <v>0</v>
      </c>
      <c r="Q41" s="27">
        <f>'NOC &amp; IOC Shares'!Q74+'NOC &amp; IOC Shares'!Q76</f>
        <v>0</v>
      </c>
      <c r="R41" s="27">
        <f>'NOC &amp; IOC Shares'!R74+'NOC &amp; IOC Shares'!R76</f>
        <v>0</v>
      </c>
      <c r="S41" s="27">
        <f>'NOC &amp; IOC Shares'!S74+'NOC &amp; IOC Shares'!S76</f>
        <v>0</v>
      </c>
      <c r="T41" s="27">
        <f>'NOC &amp; IOC Shares'!T74+'NOC &amp; IOC Shares'!T76</f>
        <v>0</v>
      </c>
      <c r="U41" s="27">
        <f>'NOC &amp; IOC Shares'!U74+'NOC &amp; IOC Shares'!U76</f>
        <v>0</v>
      </c>
      <c r="V41" s="27">
        <f>'NOC &amp; IOC Shares'!V74+'NOC &amp; IOC Shares'!V76</f>
        <v>0</v>
      </c>
      <c r="W41" s="27">
        <f>'NOC &amp; IOC Shares'!W74+'NOC &amp; IOC Shares'!W76</f>
        <v>0</v>
      </c>
      <c r="X41" s="27">
        <f>'NOC &amp; IOC Shares'!X74+'NOC &amp; IOC Shares'!X76</f>
        <v>0</v>
      </c>
      <c r="Y41" s="27">
        <f>'NOC &amp; IOC Shares'!Y74+'NOC &amp; IOC Shares'!Y76</f>
        <v>0</v>
      </c>
      <c r="Z41" s="27">
        <f>'NOC &amp; IOC Shares'!Z74+'NOC &amp; IOC Shares'!Z76</f>
        <v>0</v>
      </c>
      <c r="AA41" s="27">
        <f>'NOC &amp; IOC Shares'!AA74+'NOC &amp; IOC Shares'!AA76</f>
        <v>0</v>
      </c>
      <c r="AB41" s="27">
        <f>'NOC &amp; IOC Shares'!AB74+'NOC &amp; IOC Shares'!AB76</f>
        <v>0</v>
      </c>
      <c r="AC41" s="27">
        <f>'NOC &amp; IOC Shares'!AC74+'NOC &amp; IOC Shares'!AC76</f>
        <v>0</v>
      </c>
      <c r="AD41" s="27">
        <f>'NOC &amp; IOC Shares'!AD74+'NOC &amp; IOC Shares'!AD76</f>
        <v>0</v>
      </c>
      <c r="AE41" s="27">
        <f>'NOC &amp; IOC Shares'!AE74+'NOC &amp; IOC Shares'!AE76</f>
        <v>0</v>
      </c>
      <c r="AF41" s="27">
        <f>'NOC &amp; IOC Shares'!AF74+'NOC &amp; IOC Shares'!AF76</f>
        <v>0</v>
      </c>
      <c r="AG41" s="27">
        <f>'NOC &amp; IOC Shares'!AG74+'NOC &amp; IOC Shares'!AG76</f>
        <v>0</v>
      </c>
      <c r="AH41" s="27">
        <f>'NOC &amp; IOC Shares'!AH74+'NOC &amp; IOC Shares'!AH76</f>
        <v>0</v>
      </c>
      <c r="AI41" s="27">
        <f>'NOC &amp; IOC Shares'!AI74+'NOC &amp; IOC Shares'!AI76</f>
        <v>0</v>
      </c>
      <c r="AJ41" s="135">
        <f t="shared" si="4"/>
        <v>302.62132672756263</v>
      </c>
    </row>
    <row r="42" spans="1:36" x14ac:dyDescent="0.25">
      <c r="A42" t="s">
        <v>483</v>
      </c>
      <c r="B42" t="s">
        <v>99</v>
      </c>
      <c r="C42" s="8">
        <f>C40+C41</f>
        <v>-415.3</v>
      </c>
      <c r="D42" s="8">
        <f t="shared" ref="D42:AI42" si="5">D40+D41</f>
        <v>-4802.7</v>
      </c>
      <c r="E42" s="8">
        <f t="shared" si="5"/>
        <v>-7556.3</v>
      </c>
      <c r="F42" s="8">
        <f t="shared" si="5"/>
        <v>-10127.9</v>
      </c>
      <c r="G42" s="8">
        <f t="shared" si="5"/>
        <v>-164.90376618749914</v>
      </c>
      <c r="H42" s="8">
        <f t="shared" si="5"/>
        <v>5730.192467625001</v>
      </c>
      <c r="I42" s="8">
        <f t="shared" si="5"/>
        <v>6270.192467625001</v>
      </c>
      <c r="J42" s="8">
        <f t="shared" si="5"/>
        <v>5764.2305443893756</v>
      </c>
      <c r="K42" s="8">
        <f t="shared" si="5"/>
        <v>5680.0516260593995</v>
      </c>
      <c r="L42" s="8">
        <f t="shared" si="5"/>
        <v>4498.4753085413131</v>
      </c>
      <c r="M42" s="8">
        <f t="shared" si="5"/>
        <v>4265.1815749200005</v>
      </c>
      <c r="N42" s="8">
        <f t="shared" si="5"/>
        <v>3914.4020816479506</v>
      </c>
      <c r="O42" s="8">
        <f t="shared" si="5"/>
        <v>3196.6537185269999</v>
      </c>
      <c r="P42" s="8">
        <f t="shared" si="5"/>
        <v>3540.9818909700007</v>
      </c>
      <c r="Q42" s="8">
        <f t="shared" si="5"/>
        <v>3540.9818909700007</v>
      </c>
      <c r="R42" s="8">
        <f t="shared" si="5"/>
        <v>3540.9818909700007</v>
      </c>
      <c r="S42" s="8">
        <f t="shared" si="5"/>
        <v>3128.6326864500006</v>
      </c>
      <c r="T42" s="8">
        <f t="shared" si="5"/>
        <v>2784.1419715500006</v>
      </c>
      <c r="U42" s="8">
        <f t="shared" si="5"/>
        <v>3128.6326864500006</v>
      </c>
      <c r="V42" s="8">
        <f t="shared" si="5"/>
        <v>3128.6326864500006</v>
      </c>
      <c r="W42" s="8">
        <f t="shared" si="5"/>
        <v>3128.6326864500006</v>
      </c>
      <c r="X42" s="8">
        <f t="shared" si="5"/>
        <v>3128.6326864500006</v>
      </c>
      <c r="Y42" s="8">
        <f t="shared" si="5"/>
        <v>2577.8860980615</v>
      </c>
      <c r="Z42" s="8">
        <f t="shared" si="5"/>
        <v>2922.4580841900001</v>
      </c>
      <c r="AA42" s="8">
        <f t="shared" si="5"/>
        <v>2922.4580841900001</v>
      </c>
      <c r="AB42" s="8">
        <f t="shared" si="5"/>
        <v>2922.4580841900001</v>
      </c>
      <c r="AC42" s="8">
        <f t="shared" si="5"/>
        <v>2922.4580841900001</v>
      </c>
      <c r="AD42" s="8">
        <f t="shared" si="5"/>
        <v>2577.8860980615</v>
      </c>
      <c r="AE42" s="8">
        <f t="shared" si="5"/>
        <v>2922.4580841900001</v>
      </c>
      <c r="AF42" s="8">
        <f t="shared" si="5"/>
        <v>2922.4580841900001</v>
      </c>
      <c r="AG42" s="8">
        <f t="shared" si="5"/>
        <v>2775.57808419</v>
      </c>
      <c r="AH42" s="8">
        <f t="shared" si="5"/>
        <v>2775.57808419</v>
      </c>
      <c r="AI42" s="8">
        <f t="shared" si="5"/>
        <v>2628.6980841900004</v>
      </c>
      <c r="AJ42" s="135">
        <f t="shared" si="4"/>
        <v>76172.902053690545</v>
      </c>
    </row>
    <row r="43" spans="1:36" x14ac:dyDescent="0.25">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135"/>
    </row>
    <row r="44" spans="1:36" x14ac:dyDescent="0.25">
      <c r="A44" t="s">
        <v>484</v>
      </c>
      <c r="B44" t="s">
        <v>99</v>
      </c>
      <c r="C44" s="8">
        <f>'NOC &amp; IOC Shares'!C41</f>
        <v>-41.7</v>
      </c>
      <c r="D44" s="8">
        <f>'NOC &amp; IOC Shares'!D41</f>
        <v>-524.30000000000007</v>
      </c>
      <c r="E44" s="8">
        <f>'NOC &amp; IOC Shares'!E41</f>
        <v>-820.7</v>
      </c>
      <c r="F44" s="8">
        <f>'NOC &amp; IOC Shares'!F41</f>
        <v>-1083.1000000000001</v>
      </c>
      <c r="G44" s="8">
        <f>'NOC &amp; IOC Shares'!G41</f>
        <v>1.8221336875000862</v>
      </c>
      <c r="H44" s="8">
        <f>'NOC &amp; IOC Shares'!H41</f>
        <v>609.64426737500025</v>
      </c>
      <c r="I44" s="8">
        <f>'NOC &amp; IOC Shares'!I41</f>
        <v>663.64426737500025</v>
      </c>
      <c r="J44" s="8">
        <f>'NOC &amp; IOC Shares'!J41</f>
        <v>607.41668507312511</v>
      </c>
      <c r="K44" s="8">
        <f>'NOC &amp; IOC Shares'!K41</f>
        <v>598.07306275659994</v>
      </c>
      <c r="L44" s="8">
        <f>'NOC &amp; IOC Shares'!L41</f>
        <v>497.35706388000006</v>
      </c>
      <c r="M44" s="8">
        <f>'NOC &amp; IOC Shares'!M41</f>
        <v>473.90906388000008</v>
      </c>
      <c r="N44" s="8">
        <f>'NOC &amp; IOC Shares'!N41</f>
        <v>434.93356462755014</v>
      </c>
      <c r="O44" s="8">
        <f>'NOC &amp; IOC Shares'!O41</f>
        <v>355.18374650300007</v>
      </c>
      <c r="P44" s="8">
        <f>'NOC &amp; IOC Shares'!P41</f>
        <v>393.44243233000014</v>
      </c>
      <c r="Q44" s="8">
        <f>'NOC &amp; IOC Shares'!Q41</f>
        <v>393.44243233000014</v>
      </c>
      <c r="R44" s="8">
        <f>'NOC &amp; IOC Shares'!R41</f>
        <v>393.44243233000014</v>
      </c>
      <c r="S44" s="8">
        <f>'NOC &amp; IOC Shares'!S41</f>
        <v>347.62585405000004</v>
      </c>
      <c r="T44" s="8">
        <f>'NOC &amp; IOC Shares'!T41</f>
        <v>309.34910794999996</v>
      </c>
      <c r="U44" s="8">
        <f>'NOC &amp; IOC Shares'!U41</f>
        <v>347.62585405000004</v>
      </c>
      <c r="V44" s="8">
        <f>'NOC &amp; IOC Shares'!V41</f>
        <v>347.62585405000004</v>
      </c>
      <c r="W44" s="8">
        <f>'NOC &amp; IOC Shares'!W41</f>
        <v>347.62585405000004</v>
      </c>
      <c r="X44" s="8">
        <f>'NOC &amp; IOC Shares'!X41</f>
        <v>347.62585405000004</v>
      </c>
      <c r="Y44" s="8">
        <f>'NOC &amp; IOC Shares'!Y41</f>
        <v>286.43178867350002</v>
      </c>
      <c r="Z44" s="8">
        <f>'NOC &amp; IOC Shares'!Z41</f>
        <v>324.71756491000002</v>
      </c>
      <c r="AA44" s="8">
        <f>'NOC &amp; IOC Shares'!AA41</f>
        <v>324.71756491000002</v>
      </c>
      <c r="AB44" s="8">
        <f>'NOC &amp; IOC Shares'!AB41</f>
        <v>324.71756491000002</v>
      </c>
      <c r="AC44" s="8">
        <f>'NOC &amp; IOC Shares'!AC41</f>
        <v>324.71756491000002</v>
      </c>
      <c r="AD44" s="8">
        <f>'NOC &amp; IOC Shares'!AD41</f>
        <v>286.43178867350002</v>
      </c>
      <c r="AE44" s="8">
        <f>'NOC &amp; IOC Shares'!AE41</f>
        <v>324.71756491000002</v>
      </c>
      <c r="AF44" s="8">
        <f>'NOC &amp; IOC Shares'!AF41</f>
        <v>324.71756491000002</v>
      </c>
      <c r="AG44" s="8">
        <f>'NOC &amp; IOC Shares'!AG41</f>
        <v>308.39756491000003</v>
      </c>
      <c r="AH44" s="8">
        <f>'NOC &amp; IOC Shares'!AH41</f>
        <v>308.39756491000003</v>
      </c>
      <c r="AI44" s="8">
        <f>'NOC &amp; IOC Shares'!AI41</f>
        <v>292.07756491000004</v>
      </c>
      <c r="AJ44" s="135">
        <f t="shared" si="4"/>
        <v>8430.0311918847765</v>
      </c>
    </row>
    <row r="45" spans="1:36" ht="17.25" x14ac:dyDescent="0.4">
      <c r="A45" t="s">
        <v>482</v>
      </c>
      <c r="B45" t="s">
        <v>99</v>
      </c>
      <c r="C45" s="27">
        <f>'NOC &amp; IOC Shares'!C43+'NOC &amp; IOC Shares'!C45</f>
        <v>40</v>
      </c>
      <c r="D45" s="27">
        <f>'NOC &amp; IOC Shares'!D43+'NOC &amp; IOC Shares'!D45</f>
        <v>84</v>
      </c>
      <c r="E45" s="27">
        <f>'NOC &amp; IOC Shares'!E43+'NOC &amp; IOC Shares'!E45</f>
        <v>170</v>
      </c>
      <c r="F45" s="27">
        <f>'NOC &amp; IOC Shares'!F43+'NOC &amp; IOC Shares'!F45</f>
        <v>380</v>
      </c>
      <c r="G45" s="27">
        <f>'NOC &amp; IOC Shares'!G43+'NOC &amp; IOC Shares'!G45</f>
        <v>181.30296937499995</v>
      </c>
      <c r="H45" s="27">
        <f>'NOC &amp; IOC Shares'!H43+'NOC &amp; IOC Shares'!H45</f>
        <v>-243.39406125000011</v>
      </c>
      <c r="I45" s="27">
        <f>'NOC &amp; IOC Shares'!I43+'NOC &amp; IOC Shares'!I45</f>
        <v>-297.39406125000011</v>
      </c>
      <c r="J45" s="27">
        <f>'NOC &amp; IOC Shares'!J43+'NOC &amp; IOC Shares'!J45</f>
        <v>-297.48037873125003</v>
      </c>
      <c r="K45" s="27">
        <f>'NOC &amp; IOC Shares'!K43+'NOC &amp; IOC Shares'!K45</f>
        <v>-297.39406125000011</v>
      </c>
      <c r="L45" s="27">
        <f>'NOC &amp; IOC Shares'!L43+'NOC &amp; IOC Shares'!L45</f>
        <v>-22.261733621312342</v>
      </c>
      <c r="M45" s="27">
        <f>'NOC &amp; IOC Shares'!M43+'NOC &amp; IOC Shares'!M45</f>
        <v>0</v>
      </c>
      <c r="N45" s="27">
        <f>'NOC &amp; IOC Shares'!N43+'NOC &amp; IOC Shares'!N45</f>
        <v>0</v>
      </c>
      <c r="O45" s="27">
        <f>'NOC &amp; IOC Shares'!O43+'NOC &amp; IOC Shares'!O45</f>
        <v>0</v>
      </c>
      <c r="P45" s="27">
        <f>'NOC &amp; IOC Shares'!P43+'NOC &amp; IOC Shares'!P45</f>
        <v>0</v>
      </c>
      <c r="Q45" s="27">
        <f>'NOC &amp; IOC Shares'!Q43+'NOC &amp; IOC Shares'!Q45</f>
        <v>0</v>
      </c>
      <c r="R45" s="27">
        <f>'NOC &amp; IOC Shares'!R43+'NOC &amp; IOC Shares'!R45</f>
        <v>0</v>
      </c>
      <c r="S45" s="27">
        <f>'NOC &amp; IOC Shares'!S43+'NOC &amp; IOC Shares'!S45</f>
        <v>0</v>
      </c>
      <c r="T45" s="27">
        <f>'NOC &amp; IOC Shares'!T43+'NOC &amp; IOC Shares'!T45</f>
        <v>0</v>
      </c>
      <c r="U45" s="27">
        <f>'NOC &amp; IOC Shares'!U43+'NOC &amp; IOC Shares'!U45</f>
        <v>0</v>
      </c>
      <c r="V45" s="27">
        <f>'NOC &amp; IOC Shares'!V43+'NOC &amp; IOC Shares'!V45</f>
        <v>0</v>
      </c>
      <c r="W45" s="27">
        <f>'NOC &amp; IOC Shares'!W43+'NOC &amp; IOC Shares'!W45</f>
        <v>0</v>
      </c>
      <c r="X45" s="27">
        <f>'NOC &amp; IOC Shares'!X43+'NOC &amp; IOC Shares'!X45</f>
        <v>0</v>
      </c>
      <c r="Y45" s="27">
        <f>'NOC &amp; IOC Shares'!Y43+'NOC &amp; IOC Shares'!Y45</f>
        <v>0</v>
      </c>
      <c r="Z45" s="27">
        <f>'NOC &amp; IOC Shares'!Z43+'NOC &amp; IOC Shares'!Z45</f>
        <v>0</v>
      </c>
      <c r="AA45" s="27">
        <f>'NOC &amp; IOC Shares'!AA43+'NOC &amp; IOC Shares'!AA45</f>
        <v>0</v>
      </c>
      <c r="AB45" s="27">
        <f>'NOC &amp; IOC Shares'!AB43+'NOC &amp; IOC Shares'!AB45</f>
        <v>0</v>
      </c>
      <c r="AC45" s="27">
        <f>'NOC &amp; IOC Shares'!AC43+'NOC &amp; IOC Shares'!AC45</f>
        <v>0</v>
      </c>
      <c r="AD45" s="27">
        <f>'NOC &amp; IOC Shares'!AD43+'NOC &amp; IOC Shares'!AD45</f>
        <v>0</v>
      </c>
      <c r="AE45" s="27">
        <f>'NOC &amp; IOC Shares'!AE43+'NOC &amp; IOC Shares'!AE45</f>
        <v>0</v>
      </c>
      <c r="AF45" s="27">
        <f>'NOC &amp; IOC Shares'!AF43+'NOC &amp; IOC Shares'!AF45</f>
        <v>0</v>
      </c>
      <c r="AG45" s="27">
        <f>'NOC &amp; IOC Shares'!AG43+'NOC &amp; IOC Shares'!AG45</f>
        <v>0</v>
      </c>
      <c r="AH45" s="27">
        <f>'NOC &amp; IOC Shares'!AH43+'NOC &amp; IOC Shares'!AH45</f>
        <v>0</v>
      </c>
      <c r="AI45" s="27">
        <f>'NOC &amp; IOC Shares'!AI43+'NOC &amp; IOC Shares'!AI45</f>
        <v>0</v>
      </c>
      <c r="AJ45" s="135">
        <f t="shared" si="4"/>
        <v>-302.62132672756263</v>
      </c>
    </row>
    <row r="46" spans="1:36" x14ac:dyDescent="0.25">
      <c r="A46" t="s">
        <v>485</v>
      </c>
      <c r="B46" t="s">
        <v>99</v>
      </c>
      <c r="C46" s="8">
        <f>C44+C45</f>
        <v>-1.7000000000000028</v>
      </c>
      <c r="D46" s="8">
        <f t="shared" ref="D46:AI46" si="6">D44+D45</f>
        <v>-440.30000000000007</v>
      </c>
      <c r="E46" s="8">
        <f t="shared" si="6"/>
        <v>-650.70000000000005</v>
      </c>
      <c r="F46" s="8">
        <f t="shared" si="6"/>
        <v>-703.10000000000014</v>
      </c>
      <c r="G46" s="8">
        <f t="shared" si="6"/>
        <v>183.12510306250005</v>
      </c>
      <c r="H46" s="8">
        <f t="shared" si="6"/>
        <v>366.25020612500015</v>
      </c>
      <c r="I46" s="8">
        <f t="shared" si="6"/>
        <v>366.25020612500015</v>
      </c>
      <c r="J46" s="8">
        <f t="shared" si="6"/>
        <v>309.93630634187508</v>
      </c>
      <c r="K46" s="8">
        <f t="shared" si="6"/>
        <v>300.67900150659983</v>
      </c>
      <c r="L46" s="8">
        <f t="shared" si="6"/>
        <v>475.09533025868774</v>
      </c>
      <c r="M46" s="8">
        <f t="shared" si="6"/>
        <v>473.90906388000008</v>
      </c>
      <c r="N46" s="8">
        <f t="shared" si="6"/>
        <v>434.93356462755014</v>
      </c>
      <c r="O46" s="8">
        <f t="shared" si="6"/>
        <v>355.18374650300007</v>
      </c>
      <c r="P46" s="8">
        <f t="shared" si="6"/>
        <v>393.44243233000014</v>
      </c>
      <c r="Q46" s="8">
        <f t="shared" si="6"/>
        <v>393.44243233000014</v>
      </c>
      <c r="R46" s="8">
        <f t="shared" si="6"/>
        <v>393.44243233000014</v>
      </c>
      <c r="S46" s="8">
        <f t="shared" si="6"/>
        <v>347.62585405000004</v>
      </c>
      <c r="T46" s="8">
        <f t="shared" si="6"/>
        <v>309.34910794999996</v>
      </c>
      <c r="U46" s="8">
        <f t="shared" si="6"/>
        <v>347.62585405000004</v>
      </c>
      <c r="V46" s="8">
        <f t="shared" si="6"/>
        <v>347.62585405000004</v>
      </c>
      <c r="W46" s="8">
        <f t="shared" si="6"/>
        <v>347.62585405000004</v>
      </c>
      <c r="X46" s="8">
        <f t="shared" si="6"/>
        <v>347.62585405000004</v>
      </c>
      <c r="Y46" s="8">
        <f t="shared" si="6"/>
        <v>286.43178867350002</v>
      </c>
      <c r="Z46" s="8">
        <f t="shared" si="6"/>
        <v>324.71756491000002</v>
      </c>
      <c r="AA46" s="8">
        <f t="shared" si="6"/>
        <v>324.71756491000002</v>
      </c>
      <c r="AB46" s="8">
        <f t="shared" si="6"/>
        <v>324.71756491000002</v>
      </c>
      <c r="AC46" s="8">
        <f t="shared" si="6"/>
        <v>324.71756491000002</v>
      </c>
      <c r="AD46" s="8">
        <f t="shared" si="6"/>
        <v>286.43178867350002</v>
      </c>
      <c r="AE46" s="8">
        <f t="shared" si="6"/>
        <v>324.71756491000002</v>
      </c>
      <c r="AF46" s="8">
        <f t="shared" si="6"/>
        <v>324.71756491000002</v>
      </c>
      <c r="AG46" s="8">
        <f t="shared" si="6"/>
        <v>308.39756491000003</v>
      </c>
      <c r="AH46" s="8">
        <f t="shared" si="6"/>
        <v>308.39756491000003</v>
      </c>
      <c r="AI46" s="8">
        <f t="shared" si="6"/>
        <v>292.07756491000004</v>
      </c>
      <c r="AJ46" s="135">
        <f t="shared" si="4"/>
        <v>8127.409865157214</v>
      </c>
    </row>
  </sheetData>
  <pageMargins left="0.7" right="0.7" top="0.75" bottom="0.75" header="0.3" footer="0.3"/>
  <pageSetup orientation="portrait" horizontalDpi="4294967292" verticalDpi="429496729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theme="1"/>
  </sheetPr>
  <dimension ref="A1:AK45"/>
  <sheetViews>
    <sheetView workbookViewId="0">
      <pane xSplit="1" topLeftCell="B1" activePane="topRight" state="frozen"/>
      <selection pane="topRight" activeCell="E14" sqref="E14"/>
    </sheetView>
  </sheetViews>
  <sheetFormatPr defaultColWidth="8.85546875" defaultRowHeight="15" x14ac:dyDescent="0.25"/>
  <cols>
    <col min="1" max="1" width="37.140625" customWidth="1"/>
    <col min="2" max="2" width="6" customWidth="1"/>
    <col min="3" max="3" width="12.85546875" customWidth="1"/>
    <col min="4" max="4" width="12.28515625" customWidth="1"/>
    <col min="5" max="5" width="10.85546875" customWidth="1"/>
    <col min="6" max="7" width="10.42578125" customWidth="1"/>
    <col min="17" max="17" width="8.7109375" customWidth="1"/>
    <col min="36" max="36" width="13.140625" customWidth="1"/>
    <col min="39" max="39" width="10.28515625" customWidth="1"/>
  </cols>
  <sheetData>
    <row r="1" spans="1:36" s="69" customFormat="1" ht="33.950000000000003" customHeight="1" x14ac:dyDescent="0.25">
      <c r="A1" s="197" t="s">
        <v>389</v>
      </c>
    </row>
    <row r="2" spans="1:36" ht="21" x14ac:dyDescent="0.25">
      <c r="A2" s="117" t="str">
        <f>IF('Assumptions &amp; Results'!$C$172=1,"VALID","INVALID")</f>
        <v>VALID</v>
      </c>
      <c r="C2" s="19" t="s">
        <v>572</v>
      </c>
    </row>
    <row r="3" spans="1:36" x14ac:dyDescent="0.2">
      <c r="B3" t="s">
        <v>234</v>
      </c>
      <c r="C3" s="1">
        <f>'Assumptions &amp; Results'!D2</f>
        <v>2017</v>
      </c>
      <c r="D3" s="1">
        <f>'Assumptions &amp; Results'!E2</f>
        <v>2018</v>
      </c>
      <c r="E3" s="1">
        <f>'Assumptions &amp; Results'!F2</f>
        <v>2019</v>
      </c>
      <c r="F3" s="1">
        <f>'Assumptions &amp; Results'!G2</f>
        <v>2020</v>
      </c>
      <c r="G3" s="1">
        <f>'Assumptions &amp; Results'!H2</f>
        <v>2021</v>
      </c>
      <c r="H3" s="1">
        <f>'Assumptions &amp; Results'!I2</f>
        <v>2022</v>
      </c>
      <c r="I3" s="1">
        <f>'Assumptions &amp; Results'!J2</f>
        <v>2023</v>
      </c>
      <c r="J3" s="1">
        <f>'Assumptions &amp; Results'!K2</f>
        <v>2024</v>
      </c>
      <c r="K3" s="1">
        <f>'Assumptions &amp; Results'!L2</f>
        <v>2025</v>
      </c>
      <c r="L3" s="1">
        <f>'Assumptions &amp; Results'!M2</f>
        <v>2026</v>
      </c>
      <c r="M3" s="1">
        <f>'Assumptions &amp; Results'!N2</f>
        <v>2027</v>
      </c>
      <c r="N3" s="1">
        <f>'Assumptions &amp; Results'!O2</f>
        <v>2028</v>
      </c>
      <c r="O3" s="1">
        <f>'Assumptions &amp; Results'!P2</f>
        <v>2029</v>
      </c>
      <c r="P3" s="1">
        <f>'Assumptions &amp; Results'!Q2</f>
        <v>2030</v>
      </c>
      <c r="Q3" s="1">
        <f>'Assumptions &amp; Results'!R2</f>
        <v>2031</v>
      </c>
      <c r="R3" s="1">
        <f>'Assumptions &amp; Results'!S2</f>
        <v>2032</v>
      </c>
      <c r="S3" s="1">
        <f>'Assumptions &amp; Results'!T2</f>
        <v>2033</v>
      </c>
      <c r="T3" s="1">
        <f>'Assumptions &amp; Results'!U2</f>
        <v>2034</v>
      </c>
      <c r="U3" s="1">
        <f>'Assumptions &amp; Results'!V2</f>
        <v>2035</v>
      </c>
      <c r="V3" s="1">
        <f>'Assumptions &amp; Results'!W2</f>
        <v>2036</v>
      </c>
      <c r="W3" s="1">
        <f>'Assumptions &amp; Results'!X2</f>
        <v>2037</v>
      </c>
      <c r="X3" s="1">
        <f>'Assumptions &amp; Results'!Y2</f>
        <v>2038</v>
      </c>
      <c r="Y3" s="1">
        <f>'Assumptions &amp; Results'!Z2</f>
        <v>2039</v>
      </c>
      <c r="Z3" s="1">
        <f>'Assumptions &amp; Results'!AA2</f>
        <v>2040</v>
      </c>
      <c r="AA3" s="1">
        <f>'Assumptions &amp; Results'!AB2</f>
        <v>2041</v>
      </c>
      <c r="AB3" s="1">
        <f>'Assumptions &amp; Results'!AC2</f>
        <v>2042</v>
      </c>
      <c r="AC3" s="1">
        <f>'Assumptions &amp; Results'!AD2</f>
        <v>2043</v>
      </c>
      <c r="AD3" s="1">
        <f>'Assumptions &amp; Results'!AE2</f>
        <v>2044</v>
      </c>
      <c r="AE3" s="1">
        <f>'Assumptions &amp; Results'!AF2</f>
        <v>2045</v>
      </c>
      <c r="AF3" s="1">
        <f>'Assumptions &amp; Results'!AG2</f>
        <v>2046</v>
      </c>
      <c r="AG3" s="1">
        <f>'Assumptions &amp; Results'!AH2</f>
        <v>2047</v>
      </c>
      <c r="AH3" s="1">
        <f>'Assumptions &amp; Results'!AI2</f>
        <v>2048</v>
      </c>
      <c r="AI3" s="1">
        <f>'Assumptions &amp; Results'!AJ2</f>
        <v>2049</v>
      </c>
      <c r="AJ3" s="1" t="s">
        <v>63</v>
      </c>
    </row>
    <row r="4" spans="1:36" x14ac:dyDescent="0.2">
      <c r="A4" t="s">
        <v>379</v>
      </c>
      <c r="B4" t="s">
        <v>99</v>
      </c>
      <c r="C4" s="8">
        <f>'Field 1 Investor'!C20+'Field 2 Investor'!C20+'Field 3 Investor'!C20</f>
        <v>0</v>
      </c>
      <c r="D4" s="8">
        <f>'Field 1 Investor'!D20+'Field 2 Investor'!D20+'Field 3 Investor'!D20</f>
        <v>0</v>
      </c>
      <c r="E4" s="8">
        <f>'Field 1 Investor'!E20+'Field 2 Investor'!E20+'Field 3 Investor'!E20</f>
        <v>0</v>
      </c>
      <c r="F4" s="8">
        <f>'Field 1 Investor'!F20+'Field 2 Investor'!F20+'Field 3 Investor'!F20</f>
        <v>0</v>
      </c>
      <c r="G4" s="8">
        <f>'Field 1 Investor'!G20+'Field 2 Investor'!G20+'Field 3 Investor'!G20</f>
        <v>4677.9768750000012</v>
      </c>
      <c r="H4" s="8">
        <f>'Field 1 Investor'!H20+'Field 2 Investor'!H20+'Field 3 Investor'!H20</f>
        <v>9355.9537500000024</v>
      </c>
      <c r="I4" s="8">
        <f>'Field 1 Investor'!I20+'Field 2 Investor'!I20+'Field 3 Investor'!I20</f>
        <v>9355.9537500000024</v>
      </c>
      <c r="J4" s="8">
        <f>'Field 1 Investor'!J20+'Field 2 Investor'!J20+'Field 3 Investor'!J20</f>
        <v>8891.1673124999998</v>
      </c>
      <c r="K4" s="8">
        <f>'Field 1 Investor'!K20+'Field 2 Investor'!K20+'Field 3 Investor'!K20</f>
        <v>9355.9537500000024</v>
      </c>
      <c r="L4" s="8">
        <f>'Field 1 Investor'!L20+'Field 2 Investor'!L20+'Field 3 Investor'!L20</f>
        <v>9355.9537500000024</v>
      </c>
      <c r="M4" s="8">
        <f>'Field 1 Investor'!M20+'Field 2 Investor'!M20+'Field 3 Investor'!M20</f>
        <v>9355.9537500000024</v>
      </c>
      <c r="N4" s="8">
        <f>'Field 1 Investor'!N20+'Field 2 Investor'!N20+'Field 3 Investor'!N20</f>
        <v>9355.9537500000024</v>
      </c>
      <c r="O4" s="8">
        <f>'Field 1 Investor'!O20+'Field 2 Investor'!O20+'Field 3 Investor'!O20</f>
        <v>8891.1673124999998</v>
      </c>
      <c r="P4" s="8">
        <f>'Field 1 Investor'!P20+'Field 2 Investor'!P20+'Field 3 Investor'!P20</f>
        <v>9355.9537500000024</v>
      </c>
      <c r="Q4" s="8">
        <f>'Field 1 Investor'!Q20+'Field 2 Investor'!Q20+'Field 3 Investor'!Q20</f>
        <v>9355.9537500000024</v>
      </c>
      <c r="R4" s="8">
        <f>'Field 1 Investor'!R20+'Field 2 Investor'!R20+'Field 3 Investor'!R20</f>
        <v>9355.9537500000024</v>
      </c>
      <c r="S4" s="8">
        <f>'Field 1 Investor'!S20+'Field 2 Investor'!S20+'Field 3 Investor'!S20</f>
        <v>9355.9537500000024</v>
      </c>
      <c r="T4" s="8">
        <f>'Field 1 Investor'!T20+'Field 2 Investor'!T20+'Field 3 Investor'!T20</f>
        <v>8891.1673124999998</v>
      </c>
      <c r="U4" s="8">
        <f>'Field 1 Investor'!U20+'Field 2 Investor'!U20+'Field 3 Investor'!U20</f>
        <v>9355.9537500000024</v>
      </c>
      <c r="V4" s="8">
        <f>'Field 1 Investor'!V20+'Field 2 Investor'!V20+'Field 3 Investor'!V20</f>
        <v>9355.9537500000024</v>
      </c>
      <c r="W4" s="8">
        <f>'Field 1 Investor'!W20+'Field 2 Investor'!W20+'Field 3 Investor'!W20</f>
        <v>9355.9537500000024</v>
      </c>
      <c r="X4" s="8">
        <f>'Field 1 Investor'!X20+'Field 2 Investor'!X20+'Field 3 Investor'!X20</f>
        <v>9355.9537500000024</v>
      </c>
      <c r="Y4" s="8">
        <f>'Field 1 Investor'!Y20+'Field 2 Investor'!Y20+'Field 3 Investor'!Y20</f>
        <v>8891.1673124999998</v>
      </c>
      <c r="Z4" s="8">
        <f>'Field 1 Investor'!Z20+'Field 2 Investor'!Z20+'Field 3 Investor'!Z20</f>
        <v>9355.9537500000024</v>
      </c>
      <c r="AA4" s="8">
        <f>'Field 1 Investor'!AA20+'Field 2 Investor'!AA20+'Field 3 Investor'!AA20</f>
        <v>9355.9537500000024</v>
      </c>
      <c r="AB4" s="8">
        <f>'Field 1 Investor'!AB20+'Field 2 Investor'!AB20+'Field 3 Investor'!AB20</f>
        <v>9355.9537500000024</v>
      </c>
      <c r="AC4" s="8">
        <f>'Field 1 Investor'!AC20+'Field 2 Investor'!AC20+'Field 3 Investor'!AC20</f>
        <v>9355.9537500000024</v>
      </c>
      <c r="AD4" s="8">
        <f>'Field 1 Investor'!AD20+'Field 2 Investor'!AD20+'Field 3 Investor'!AD20</f>
        <v>8891.1673124999998</v>
      </c>
      <c r="AE4" s="8">
        <f>'Field 1 Investor'!AE20+'Field 2 Investor'!AE20+'Field 3 Investor'!AE20</f>
        <v>9355.9537500000024</v>
      </c>
      <c r="AF4" s="8">
        <f>'Field 1 Investor'!AF20+'Field 2 Investor'!AF20+'Field 3 Investor'!AF20</f>
        <v>9355.9537500000024</v>
      </c>
      <c r="AG4" s="8">
        <f>'Field 1 Investor'!AG20+'Field 2 Investor'!AG20+'Field 3 Investor'!AG20</f>
        <v>9355.9537500000024</v>
      </c>
      <c r="AH4" s="8">
        <f>'Field 1 Investor'!AH20+'Field 2 Investor'!AH20+'Field 3 Investor'!AH20</f>
        <v>9355.9537500000024</v>
      </c>
      <c r="AI4" s="8">
        <f>'Field 1 Investor'!AI20+'Field 2 Investor'!AI20+'Field 3 Investor'!AI20</f>
        <v>9355.9537500000024</v>
      </c>
      <c r="AJ4" s="10">
        <f>SUM(C4:AI4)</f>
        <v>264320.74968750018</v>
      </c>
    </row>
    <row r="5" spans="1:36" x14ac:dyDescent="0.2">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row>
    <row r="6" spans="1:36" x14ac:dyDescent="0.2">
      <c r="A6" t="s">
        <v>390</v>
      </c>
      <c r="B6" t="s">
        <v>99</v>
      </c>
      <c r="C6" s="8">
        <f>-('LNG Tolling'!C11+'LNG Tolling'!C12+'LNG Tolling'!C14+'Gas PL'!C14+'Gas PL'!C15+'Field 1 Investor'!C23+'Field 1 Investor'!C24+'Field 1 Investor'!C27+'Field 1 Investor'!C28+'Field 2 Investor'!C23+'Field 2 Investor'!C24+'Field 2 Investor'!C27+'Field 2 Investor'!C28+'Field 3 Investor'!C23+'Field 3 Investor'!C24+'Field 3 Investor'!C27+'Field 3 Investor'!C28)</f>
        <v>0</v>
      </c>
      <c r="D6" s="8">
        <f>-('LNG Tolling'!D11+'LNG Tolling'!D12+'LNG Tolling'!D14+'Gas PL'!D14+'Gas PL'!D15+'Field 1 Investor'!D23+'Field 1 Investor'!D24+'Field 1 Investor'!D27+'Field 1 Investor'!D28+'Field 2 Investor'!D23+'Field 2 Investor'!D24+'Field 2 Investor'!D27+'Field 2 Investor'!D28+'Field 3 Investor'!D23+'Field 3 Investor'!D24+'Field 3 Investor'!D27+'Field 3 Investor'!D28)</f>
        <v>0</v>
      </c>
      <c r="E6" s="8">
        <f>-('LNG Tolling'!E11+'LNG Tolling'!E12+'LNG Tolling'!E14+'Gas PL'!E14+'Gas PL'!E15+'Field 1 Investor'!E23+'Field 1 Investor'!E24+'Field 1 Investor'!E27+'Field 1 Investor'!E28+'Field 2 Investor'!E23+'Field 2 Investor'!E24+'Field 2 Investor'!E27+'Field 2 Investor'!E28+'Field 3 Investor'!E23+'Field 3 Investor'!E24+'Field 3 Investor'!E27+'Field 3 Investor'!E28)</f>
        <v>0</v>
      </c>
      <c r="F6" s="8">
        <f>-('LNG Tolling'!F11+'LNG Tolling'!F12+'LNG Tolling'!F14+'Gas PL'!F14+'Gas PL'!F15+'Field 1 Investor'!F23+'Field 1 Investor'!F24+'Field 1 Investor'!F27+'Field 1 Investor'!F28+'Field 2 Investor'!F23+'Field 2 Investor'!F24+'Field 2 Investor'!F27+'Field 2 Investor'!F28+'Field 3 Investor'!F23+'Field 3 Investor'!F24+'Field 3 Investor'!F27+'Field 3 Investor'!F28)</f>
        <v>0</v>
      </c>
      <c r="G6" s="8">
        <f>-('LNG Tolling'!G11+'LNG Tolling'!G12+'LNG Tolling'!G14+'Gas PL'!G14+'Gas PL'!G15+'Field 1 Investor'!G23+'Field 1 Investor'!G24+'Field 1 Investor'!G27+'Field 1 Investor'!G28+'Field 2 Investor'!G23+'Field 2 Investor'!G24+'Field 2 Investor'!G27+'Field 2 Investor'!G28+'Field 3 Investor'!G23+'Field 3 Investor'!G24+'Field 3 Investor'!G27+'Field 3 Investor'!G28)</f>
        <v>-1139.3486</v>
      </c>
      <c r="H6" s="8">
        <f>-('LNG Tolling'!H11+'LNG Tolling'!H12+'LNG Tolling'!H14+'Gas PL'!H14+'Gas PL'!H15+'Field 1 Investor'!H23+'Field 1 Investor'!H24+'Field 1 Investor'!H27+'Field 1 Investor'!H28+'Field 2 Investor'!H23+'Field 2 Investor'!H24+'Field 2 Investor'!H27+'Field 2 Investor'!H28+'Field 3 Investor'!H23+'Field 3 Investor'!H24+'Field 3 Investor'!H27+'Field 3 Investor'!H28)</f>
        <v>-2278.6972000000001</v>
      </c>
      <c r="I6" s="8">
        <f>-('LNG Tolling'!I11+'LNG Tolling'!I12+'LNG Tolling'!I14+'Gas PL'!I14+'Gas PL'!I15+'Field 1 Investor'!I23+'Field 1 Investor'!I24+'Field 1 Investor'!I27+'Field 1 Investor'!I28+'Field 2 Investor'!I23+'Field 2 Investor'!I24+'Field 2 Investor'!I27+'Field 2 Investor'!I28+'Field 3 Investor'!I23+'Field 3 Investor'!I24+'Field 3 Investor'!I27+'Field 3 Investor'!I28)</f>
        <v>-2278.6972000000001</v>
      </c>
      <c r="J6" s="8">
        <f>-('LNG Tolling'!J11+'LNG Tolling'!J12+'LNG Tolling'!J14+'Gas PL'!J14+'Gas PL'!J15+'Field 1 Investor'!J23+'Field 1 Investor'!J24+'Field 1 Investor'!J27+'Field 1 Investor'!J28+'Field 2 Investor'!J23+'Field 2 Investor'!J24+'Field 2 Investor'!J27+'Field 2 Investor'!J28+'Field 3 Investor'!J23+'Field 3 Investor'!J24+'Field 3 Investor'!J27+'Field 3 Investor'!J28)</f>
        <v>-2390.0837000000001</v>
      </c>
      <c r="K6" s="8">
        <f>-('LNG Tolling'!K11+'LNG Tolling'!K12+'LNG Tolling'!K14+'Gas PL'!K14+'Gas PL'!K15+'Field 1 Investor'!K23+'Field 1 Investor'!K24+'Field 1 Investor'!K27+'Field 1 Investor'!K28+'Field 2 Investor'!K23+'Field 2 Investor'!K24+'Field 2 Investor'!K27+'Field 2 Investor'!K28+'Field 3 Investor'!K23+'Field 3 Investor'!K24+'Field 3 Investor'!K27+'Field 3 Investor'!K28)</f>
        <v>-2278.6972000000001</v>
      </c>
      <c r="L6" s="8">
        <f>-('LNG Tolling'!L11+'LNG Tolling'!L12+'LNG Tolling'!L14+'Gas PL'!L14+'Gas PL'!L15+'Field 1 Investor'!L23+'Field 1 Investor'!L24+'Field 1 Investor'!L27+'Field 1 Investor'!L28+'Field 2 Investor'!L23+'Field 2 Investor'!L24+'Field 2 Investor'!L27+'Field 2 Investor'!L28+'Field 3 Investor'!L23+'Field 3 Investor'!L24+'Field 3 Investor'!L27+'Field 3 Investor'!L28)</f>
        <v>-2278.6972000000001</v>
      </c>
      <c r="M6" s="8">
        <f>-('LNG Tolling'!M11+'LNG Tolling'!M12+'LNG Tolling'!M14+'Gas PL'!M14+'Gas PL'!M15+'Field 1 Investor'!M23+'Field 1 Investor'!M24+'Field 1 Investor'!M27+'Field 1 Investor'!M28+'Field 2 Investor'!M23+'Field 2 Investor'!M24+'Field 2 Investor'!M27+'Field 2 Investor'!M28+'Field 3 Investor'!M23+'Field 3 Investor'!M24+'Field 3 Investor'!M27+'Field 3 Investor'!M28)</f>
        <v>-2278.6972000000001</v>
      </c>
      <c r="N6" s="8">
        <f>-('LNG Tolling'!N11+'LNG Tolling'!N12+'LNG Tolling'!N14+'Gas PL'!N14+'Gas PL'!N15+'Field 1 Investor'!N23+'Field 1 Investor'!N24+'Field 1 Investor'!N27+'Field 1 Investor'!N28+'Field 2 Investor'!N23+'Field 2 Investor'!N24+'Field 2 Investor'!N27+'Field 2 Investor'!N28+'Field 3 Investor'!N23+'Field 3 Investor'!N24+'Field 3 Investor'!N27+'Field 3 Investor'!N28)</f>
        <v>-2278.6972000000001</v>
      </c>
      <c r="O6" s="8">
        <f>-('LNG Tolling'!O11+'LNG Tolling'!O12+'LNG Tolling'!O14+'Gas PL'!O14+'Gas PL'!O15+'Field 1 Investor'!O23+'Field 1 Investor'!O24+'Field 1 Investor'!O27+'Field 1 Investor'!O28+'Field 2 Investor'!O23+'Field 2 Investor'!O24+'Field 2 Investor'!O27+'Field 2 Investor'!O28+'Field 3 Investor'!O23+'Field 3 Investor'!O24+'Field 3 Investor'!O27+'Field 3 Investor'!O28)</f>
        <v>-2390.0837000000001</v>
      </c>
      <c r="P6" s="8">
        <f>-('LNG Tolling'!P11+'LNG Tolling'!P12+'LNG Tolling'!P14+'Gas PL'!P14+'Gas PL'!P15+'Field 1 Investor'!P23+'Field 1 Investor'!P24+'Field 1 Investor'!P27+'Field 1 Investor'!P28+'Field 2 Investor'!P23+'Field 2 Investor'!P24+'Field 2 Investor'!P27+'Field 2 Investor'!P28+'Field 3 Investor'!P23+'Field 3 Investor'!P24+'Field 3 Investor'!P27+'Field 3 Investor'!P28)</f>
        <v>-2278.6972000000001</v>
      </c>
      <c r="Q6" s="8">
        <f>-('LNG Tolling'!Q11+'LNG Tolling'!Q12+'LNG Tolling'!Q14+'Gas PL'!Q14+'Gas PL'!Q15+'Field 1 Investor'!Q23+'Field 1 Investor'!Q24+'Field 1 Investor'!Q27+'Field 1 Investor'!Q28+'Field 2 Investor'!Q23+'Field 2 Investor'!Q24+'Field 2 Investor'!Q27+'Field 2 Investor'!Q28+'Field 3 Investor'!Q23+'Field 3 Investor'!Q24+'Field 3 Investor'!Q27+'Field 3 Investor'!Q28)</f>
        <v>-2278.6972000000001</v>
      </c>
      <c r="R6" s="8">
        <f>-('LNG Tolling'!R11+'LNG Tolling'!R12+'LNG Tolling'!R14+'Gas PL'!R14+'Gas PL'!R15+'Field 1 Investor'!R23+'Field 1 Investor'!R24+'Field 1 Investor'!R27+'Field 1 Investor'!R28+'Field 2 Investor'!R23+'Field 2 Investor'!R24+'Field 2 Investor'!R27+'Field 2 Investor'!R28+'Field 3 Investor'!R23+'Field 3 Investor'!R24+'Field 3 Investor'!R27+'Field 3 Investor'!R28)</f>
        <v>-2278.6972000000001</v>
      </c>
      <c r="S6" s="8">
        <f>-('LNG Tolling'!S11+'LNG Tolling'!S12+'LNG Tolling'!S14+'Gas PL'!S14+'Gas PL'!S15+'Field 1 Investor'!S23+'Field 1 Investor'!S24+'Field 1 Investor'!S27+'Field 1 Investor'!S28+'Field 2 Investor'!S23+'Field 2 Investor'!S24+'Field 2 Investor'!S27+'Field 2 Investor'!S28+'Field 3 Investor'!S23+'Field 3 Investor'!S24+'Field 3 Investor'!S27+'Field 3 Investor'!S28)</f>
        <v>-2278.6972000000001</v>
      </c>
      <c r="T6" s="8">
        <f>-('LNG Tolling'!T11+'LNG Tolling'!T12+'LNG Tolling'!T14+'Gas PL'!T14+'Gas PL'!T15+'Field 1 Investor'!T23+'Field 1 Investor'!T24+'Field 1 Investor'!T27+'Field 1 Investor'!T28+'Field 2 Investor'!T23+'Field 2 Investor'!T24+'Field 2 Investor'!T27+'Field 2 Investor'!T28+'Field 3 Investor'!T23+'Field 3 Investor'!T24+'Field 3 Investor'!T27+'Field 3 Investor'!T28)</f>
        <v>-2390.0837000000001</v>
      </c>
      <c r="U6" s="8">
        <f>-('LNG Tolling'!U11+'LNG Tolling'!U12+'LNG Tolling'!U14+'Gas PL'!U14+'Gas PL'!U15+'Field 1 Investor'!U23+'Field 1 Investor'!U24+'Field 1 Investor'!U27+'Field 1 Investor'!U28+'Field 2 Investor'!U23+'Field 2 Investor'!U24+'Field 2 Investor'!U27+'Field 2 Investor'!U28+'Field 3 Investor'!U23+'Field 3 Investor'!U24+'Field 3 Investor'!U27+'Field 3 Investor'!U28)</f>
        <v>-2278.6972000000001</v>
      </c>
      <c r="V6" s="8">
        <f>-('LNG Tolling'!V11+'LNG Tolling'!V12+'LNG Tolling'!V14+'Gas PL'!V14+'Gas PL'!V15+'Field 1 Investor'!V23+'Field 1 Investor'!V24+'Field 1 Investor'!V27+'Field 1 Investor'!V28+'Field 2 Investor'!V23+'Field 2 Investor'!V24+'Field 2 Investor'!V27+'Field 2 Investor'!V28+'Field 3 Investor'!V23+'Field 3 Investor'!V24+'Field 3 Investor'!V27+'Field 3 Investor'!V28)</f>
        <v>-2278.6972000000001</v>
      </c>
      <c r="W6" s="8">
        <f>-('LNG Tolling'!W11+'LNG Tolling'!W12+'LNG Tolling'!W14+'Gas PL'!W14+'Gas PL'!W15+'Field 1 Investor'!W23+'Field 1 Investor'!W24+'Field 1 Investor'!W27+'Field 1 Investor'!W28+'Field 2 Investor'!W23+'Field 2 Investor'!W24+'Field 2 Investor'!W27+'Field 2 Investor'!W28+'Field 3 Investor'!W23+'Field 3 Investor'!W24+'Field 3 Investor'!W27+'Field 3 Investor'!W28)</f>
        <v>-2278.6972000000001</v>
      </c>
      <c r="X6" s="8">
        <f>-('LNG Tolling'!X11+'LNG Tolling'!X12+'LNG Tolling'!X14+'Gas PL'!X14+'Gas PL'!X15+'Field 1 Investor'!X23+'Field 1 Investor'!X24+'Field 1 Investor'!X27+'Field 1 Investor'!X28+'Field 2 Investor'!X23+'Field 2 Investor'!X24+'Field 2 Investor'!X27+'Field 2 Investor'!X28+'Field 3 Investor'!X23+'Field 3 Investor'!X24+'Field 3 Investor'!X27+'Field 3 Investor'!X28)</f>
        <v>-2278.6972000000001</v>
      </c>
      <c r="Y6" s="8">
        <f>-('LNG Tolling'!Y11+'LNG Tolling'!Y12+'LNG Tolling'!Y14+'Gas PL'!Y14+'Gas PL'!Y15+'Field 1 Investor'!Y23+'Field 1 Investor'!Y24+'Field 1 Investor'!Y27+'Field 1 Investor'!Y28+'Field 2 Investor'!Y23+'Field 2 Investor'!Y24+'Field 2 Investor'!Y27+'Field 2 Investor'!Y28+'Field 3 Investor'!Y23+'Field 3 Investor'!Y24+'Field 3 Investor'!Y27+'Field 3 Investor'!Y28)</f>
        <v>-2390.0837000000001</v>
      </c>
      <c r="Z6" s="8">
        <f>-('LNG Tolling'!Z11+'LNG Tolling'!Z12+'LNG Tolling'!Z14+'Gas PL'!Z14+'Gas PL'!Z15+'Field 1 Investor'!Z23+'Field 1 Investor'!Z24+'Field 1 Investor'!Z27+'Field 1 Investor'!Z28+'Field 2 Investor'!Z23+'Field 2 Investor'!Z24+'Field 2 Investor'!Z27+'Field 2 Investor'!Z28+'Field 3 Investor'!Z23+'Field 3 Investor'!Z24+'Field 3 Investor'!Z27+'Field 3 Investor'!Z28)</f>
        <v>-2278.6972000000001</v>
      </c>
      <c r="AA6" s="8">
        <f>-('LNG Tolling'!AA11+'LNG Tolling'!AA12+'LNG Tolling'!AA14+'Gas PL'!AA14+'Gas PL'!AA15+'Field 1 Investor'!AA23+'Field 1 Investor'!AA24+'Field 1 Investor'!AA27+'Field 1 Investor'!AA28+'Field 2 Investor'!AA23+'Field 2 Investor'!AA24+'Field 2 Investor'!AA27+'Field 2 Investor'!AA28+'Field 3 Investor'!AA23+'Field 3 Investor'!AA24+'Field 3 Investor'!AA27+'Field 3 Investor'!AA28)</f>
        <v>-2278.6972000000001</v>
      </c>
      <c r="AB6" s="8">
        <f>-('LNG Tolling'!AB11+'LNG Tolling'!AB12+'LNG Tolling'!AB14+'Gas PL'!AB14+'Gas PL'!AB15+'Field 1 Investor'!AB23+'Field 1 Investor'!AB24+'Field 1 Investor'!AB27+'Field 1 Investor'!AB28+'Field 2 Investor'!AB23+'Field 2 Investor'!AB24+'Field 2 Investor'!AB27+'Field 2 Investor'!AB28+'Field 3 Investor'!AB23+'Field 3 Investor'!AB24+'Field 3 Investor'!AB27+'Field 3 Investor'!AB28)</f>
        <v>-2278.6972000000001</v>
      </c>
      <c r="AC6" s="8">
        <f>-('LNG Tolling'!AC11+'LNG Tolling'!AC12+'LNG Tolling'!AC14+'Gas PL'!AC14+'Gas PL'!AC15+'Field 1 Investor'!AC23+'Field 1 Investor'!AC24+'Field 1 Investor'!AC27+'Field 1 Investor'!AC28+'Field 2 Investor'!AC23+'Field 2 Investor'!AC24+'Field 2 Investor'!AC27+'Field 2 Investor'!AC28+'Field 3 Investor'!AC23+'Field 3 Investor'!AC24+'Field 3 Investor'!AC27+'Field 3 Investor'!AC28)</f>
        <v>-2278.6972000000001</v>
      </c>
      <c r="AD6" s="8">
        <f>-('LNG Tolling'!AD11+'LNG Tolling'!AD12+'LNG Tolling'!AD14+'Gas PL'!AD14+'Gas PL'!AD15+'Field 1 Investor'!AD23+'Field 1 Investor'!AD24+'Field 1 Investor'!AD27+'Field 1 Investor'!AD28+'Field 2 Investor'!AD23+'Field 2 Investor'!AD24+'Field 2 Investor'!AD27+'Field 2 Investor'!AD28+'Field 3 Investor'!AD23+'Field 3 Investor'!AD24+'Field 3 Investor'!AD27+'Field 3 Investor'!AD28)</f>
        <v>-2390.0837000000001</v>
      </c>
      <c r="AE6" s="8">
        <f>-('LNG Tolling'!AE11+'LNG Tolling'!AE12+'LNG Tolling'!AE14+'Gas PL'!AE14+'Gas PL'!AE15+'Field 1 Investor'!AE23+'Field 1 Investor'!AE24+'Field 1 Investor'!AE27+'Field 1 Investor'!AE28+'Field 2 Investor'!AE23+'Field 2 Investor'!AE24+'Field 2 Investor'!AE27+'Field 2 Investor'!AE28+'Field 3 Investor'!AE23+'Field 3 Investor'!AE24+'Field 3 Investor'!AE27+'Field 3 Investor'!AE28)</f>
        <v>-2278.6972000000001</v>
      </c>
      <c r="AF6" s="8">
        <f>-('LNG Tolling'!AF11+'LNG Tolling'!AF12+'LNG Tolling'!AF14+'Gas PL'!AF14+'Gas PL'!AF15+'Field 1 Investor'!AF23+'Field 1 Investor'!AF24+'Field 1 Investor'!AF27+'Field 1 Investor'!AF28+'Field 2 Investor'!AF23+'Field 2 Investor'!AF24+'Field 2 Investor'!AF27+'Field 2 Investor'!AF28+'Field 3 Investor'!AF23+'Field 3 Investor'!AF24+'Field 3 Investor'!AF27+'Field 3 Investor'!AF28)</f>
        <v>-2278.6972000000001</v>
      </c>
      <c r="AG6" s="8">
        <f>-('LNG Tolling'!AG11+'LNG Tolling'!AG12+'LNG Tolling'!AG14+'Gas PL'!AG14+'Gas PL'!AG15+'Field 1 Investor'!AG23+'Field 1 Investor'!AG24+'Field 1 Investor'!AG27+'Field 1 Investor'!AG28+'Field 2 Investor'!AG23+'Field 2 Investor'!AG24+'Field 2 Investor'!AG27+'Field 2 Investor'!AG28+'Field 3 Investor'!AG23+'Field 3 Investor'!AG24+'Field 3 Investor'!AG27+'Field 3 Investor'!AG28)</f>
        <v>-2878.6972000000001</v>
      </c>
      <c r="AH6" s="8">
        <f>-('LNG Tolling'!AH11+'LNG Tolling'!AH12+'LNG Tolling'!AH14+'Gas PL'!AH14+'Gas PL'!AH15+'Field 1 Investor'!AH23+'Field 1 Investor'!AH24+'Field 1 Investor'!AH27+'Field 1 Investor'!AH28+'Field 2 Investor'!AH23+'Field 2 Investor'!AH24+'Field 2 Investor'!AH27+'Field 2 Investor'!AH28+'Field 3 Investor'!AH23+'Field 3 Investor'!AH24+'Field 3 Investor'!AH27+'Field 3 Investor'!AH28)</f>
        <v>-2878.6972000000001</v>
      </c>
      <c r="AI6" s="8">
        <f>-('LNG Tolling'!AI11+'LNG Tolling'!AI12+'LNG Tolling'!AI14+'Gas PL'!AI14+'Gas PL'!AI15+'Field 1 Investor'!AI23+'Field 1 Investor'!AI24+'Field 1 Investor'!AI27+'Field 1 Investor'!AI28+'Field 2 Investor'!AI23+'Field 2 Investor'!AI24+'Field 2 Investor'!AI27+'Field 2 Investor'!AI28+'Field 3 Investor'!AI23+'Field 3 Investor'!AI24+'Field 3 Investor'!AI27+'Field 3 Investor'!AI28)</f>
        <v>-3478.6972000000001</v>
      </c>
      <c r="AJ6" s="10">
        <f>SUM(C6:AI6)</f>
        <v>-67899.802700000029</v>
      </c>
    </row>
    <row r="7" spans="1:36" x14ac:dyDescent="0.2">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row>
    <row r="8" spans="1:36" x14ac:dyDescent="0.2">
      <c r="A8" s="37" t="s">
        <v>381</v>
      </c>
      <c r="B8" t="s">
        <v>99</v>
      </c>
      <c r="C8" s="8">
        <f>-('LNG Tolling'!C8+'Assumptions &amp; Results'!D65+'Field 1 Investor'!C4+'Field 2 Investor'!C4+'Field 3 Investor'!C4)</f>
        <v>-417</v>
      </c>
      <c r="D8" s="8">
        <f>-('LNG Tolling'!D8+'Assumptions &amp; Results'!E65+'Field 1 Investor'!D4+'Field 2 Investor'!D4+'Field 3 Investor'!D4)</f>
        <v>-5243</v>
      </c>
      <c r="E8" s="8">
        <f>-('LNG Tolling'!E8+'Assumptions &amp; Results'!F65+'Field 1 Investor'!E4+'Field 2 Investor'!E4+'Field 3 Investor'!E4)</f>
        <v>-8207</v>
      </c>
      <c r="F8" s="8">
        <f>-('LNG Tolling'!F8+'Assumptions &amp; Results'!G65+'Field 1 Investor'!F4+'Field 2 Investor'!F4+'Field 3 Investor'!F4)</f>
        <v>-10831</v>
      </c>
      <c r="G8" s="8">
        <f>-('LNG Tolling'!G8+'Assumptions &amp; Results'!H65+'Field 1 Investor'!G4+'Field 2 Investor'!G4+'Field 3 Investor'!G4)</f>
        <v>-3300</v>
      </c>
      <c r="H8" s="8">
        <f>-('LNG Tolling'!H8+'Assumptions &amp; Results'!I65+'Field 1 Investor'!H4+'Field 2 Investor'!H4+'Field 3 Investor'!H4)</f>
        <v>-540</v>
      </c>
      <c r="I8" s="8">
        <f>-('LNG Tolling'!I8+'Assumptions &amp; Results'!J65+'Field 1 Investor'!I4+'Field 2 Investor'!I4+'Field 3 Investor'!I4)</f>
        <v>0</v>
      </c>
      <c r="J8" s="8">
        <f>-('LNG Tolling'!J8+'Assumptions &amp; Results'!K65+'Field 1 Investor'!J4+'Field 2 Investor'!J4+'Field 3 Investor'!J4)</f>
        <v>0</v>
      </c>
      <c r="K8" s="8">
        <f>-('LNG Tolling'!K8+'Assumptions &amp; Results'!L65+'Field 1 Investor'!K4+'Field 2 Investor'!K4+'Field 3 Investor'!K4)</f>
        <v>0</v>
      </c>
      <c r="L8" s="8">
        <f>-('LNG Tolling'!L8+'Assumptions &amp; Results'!M65+'Field 1 Investor'!L4+'Field 2 Investor'!L4+'Field 3 Investor'!L4)</f>
        <v>0</v>
      </c>
      <c r="M8" s="8">
        <f>-('LNG Tolling'!M8+'Assumptions &amp; Results'!N65+'Field 1 Investor'!M4+'Field 2 Investor'!M4+'Field 3 Investor'!M4)</f>
        <v>0</v>
      </c>
      <c r="N8" s="8">
        <f>-('LNG Tolling'!N8+'Assumptions &amp; Results'!O65+'Field 1 Investor'!N4+'Field 2 Investor'!N4+'Field 3 Investor'!N4)</f>
        <v>0</v>
      </c>
      <c r="O8" s="8">
        <f>-('LNG Tolling'!O8+'Assumptions &amp; Results'!P65+'Field 1 Investor'!O4+'Field 2 Investor'!O4+'Field 3 Investor'!O4)</f>
        <v>0</v>
      </c>
      <c r="P8" s="8">
        <f>-('LNG Tolling'!P8+'Assumptions &amp; Results'!Q65+'Field 1 Investor'!P4+'Field 2 Investor'!P4+'Field 3 Investor'!P4)</f>
        <v>0</v>
      </c>
      <c r="Q8" s="8">
        <f>-('LNG Tolling'!Q8+'Assumptions &amp; Results'!R65+'Field 1 Investor'!Q4+'Field 2 Investor'!Q4+'Field 3 Investor'!Q4)</f>
        <v>0</v>
      </c>
      <c r="R8" s="8">
        <f>-('LNG Tolling'!R8+'Assumptions &amp; Results'!S65+'Field 1 Investor'!R4+'Field 2 Investor'!R4+'Field 3 Investor'!R4)</f>
        <v>0</v>
      </c>
      <c r="S8" s="8">
        <f>-('LNG Tolling'!S8+'Assumptions &amp; Results'!T65+'Field 1 Investor'!S4+'Field 2 Investor'!S4+'Field 3 Investor'!S4)</f>
        <v>0</v>
      </c>
      <c r="T8" s="8">
        <f>-('LNG Tolling'!T8+'Assumptions &amp; Results'!U65+'Field 1 Investor'!T4+'Field 2 Investor'!T4+'Field 3 Investor'!T4)</f>
        <v>0</v>
      </c>
      <c r="U8" s="8">
        <f>-('LNG Tolling'!U8+'Assumptions &amp; Results'!V65+'Field 1 Investor'!U4+'Field 2 Investor'!U4+'Field 3 Investor'!U4)</f>
        <v>0</v>
      </c>
      <c r="V8" s="8">
        <f>-('LNG Tolling'!V8+'Assumptions &amp; Results'!W65+'Field 1 Investor'!V4+'Field 2 Investor'!V4+'Field 3 Investor'!V4)</f>
        <v>0</v>
      </c>
      <c r="W8" s="8">
        <f>-('LNG Tolling'!W8+'Assumptions &amp; Results'!X65+'Field 1 Investor'!W4+'Field 2 Investor'!W4+'Field 3 Investor'!W4)</f>
        <v>0</v>
      </c>
      <c r="X8" s="8">
        <f>-('LNG Tolling'!X8+'Assumptions &amp; Results'!Y65+'Field 1 Investor'!X4+'Field 2 Investor'!X4+'Field 3 Investor'!X4)</f>
        <v>0</v>
      </c>
      <c r="Y8" s="8">
        <f>-('LNG Tolling'!Y8+'Assumptions &amp; Results'!Z65+'Field 1 Investor'!Y4+'Field 2 Investor'!Y4+'Field 3 Investor'!Y4)</f>
        <v>0</v>
      </c>
      <c r="Z8" s="8">
        <f>-('LNG Tolling'!Z8+'Assumptions &amp; Results'!AA65+'Field 1 Investor'!Z4+'Field 2 Investor'!Z4+'Field 3 Investor'!Z4)</f>
        <v>0</v>
      </c>
      <c r="AA8" s="8">
        <f>-('LNG Tolling'!AA8+'Assumptions &amp; Results'!AB65+'Field 1 Investor'!AA4+'Field 2 Investor'!AA4+'Field 3 Investor'!AA4)</f>
        <v>0</v>
      </c>
      <c r="AB8" s="8">
        <f>-('LNG Tolling'!AB8+'Assumptions &amp; Results'!AC65+'Field 1 Investor'!AB4+'Field 2 Investor'!AB4+'Field 3 Investor'!AB4)</f>
        <v>0</v>
      </c>
      <c r="AC8" s="8">
        <f>-('LNG Tolling'!AC8+'Assumptions &amp; Results'!AD65+'Field 1 Investor'!AC4+'Field 2 Investor'!AC4+'Field 3 Investor'!AC4)</f>
        <v>0</v>
      </c>
      <c r="AD8" s="8">
        <f>-('LNG Tolling'!AD8+'Assumptions &amp; Results'!AE65+'Field 1 Investor'!AD4+'Field 2 Investor'!AD4+'Field 3 Investor'!AD4)</f>
        <v>0</v>
      </c>
      <c r="AE8" s="8">
        <f>-('LNG Tolling'!AE8+'Assumptions &amp; Results'!AF65+'Field 1 Investor'!AE4+'Field 2 Investor'!AE4+'Field 3 Investor'!AE4)</f>
        <v>0</v>
      </c>
      <c r="AF8" s="8">
        <f>-('LNG Tolling'!AF8+'Assumptions &amp; Results'!AG65+'Field 1 Investor'!AF4+'Field 2 Investor'!AF4+'Field 3 Investor'!AF4)</f>
        <v>0</v>
      </c>
      <c r="AG8" s="8">
        <f>-('LNG Tolling'!AG8+'Assumptions &amp; Results'!AH65+'Field 1 Investor'!AG4+'Field 2 Investor'!AG4+'Field 3 Investor'!AG4)</f>
        <v>0</v>
      </c>
      <c r="AH8" s="8">
        <f>-('LNG Tolling'!AH8+'Assumptions &amp; Results'!AI65+'Field 1 Investor'!AH4+'Field 2 Investor'!AH4+'Field 3 Investor'!AH4)</f>
        <v>0</v>
      </c>
      <c r="AI8" s="8">
        <f>-('LNG Tolling'!AI8+'Assumptions &amp; Results'!AJ65+'Field 1 Investor'!AI4+'Field 2 Investor'!AI4+'Field 3 Investor'!AI4)</f>
        <v>0</v>
      </c>
      <c r="AJ8" s="10">
        <f>SUM(C8:AI8)</f>
        <v>-28538</v>
      </c>
    </row>
    <row r="9" spans="1:36" x14ac:dyDescent="0.2">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row>
    <row r="10" spans="1:36" x14ac:dyDescent="0.2">
      <c r="A10" t="s">
        <v>382</v>
      </c>
      <c r="B10" t="s">
        <v>99</v>
      </c>
      <c r="C10" s="8">
        <f>C4+C6+C8</f>
        <v>-417</v>
      </c>
      <c r="D10" s="8">
        <f t="shared" ref="D10:AI10" si="0">D4+D6+D8</f>
        <v>-5243</v>
      </c>
      <c r="E10" s="8">
        <f t="shared" si="0"/>
        <v>-8207</v>
      </c>
      <c r="F10" s="8">
        <f t="shared" si="0"/>
        <v>-10831</v>
      </c>
      <c r="G10" s="8">
        <f t="shared" si="0"/>
        <v>238.62827500000094</v>
      </c>
      <c r="H10" s="8">
        <f t="shared" si="0"/>
        <v>6537.2565500000019</v>
      </c>
      <c r="I10" s="8">
        <f t="shared" si="0"/>
        <v>7077.2565500000019</v>
      </c>
      <c r="J10" s="8">
        <f t="shared" si="0"/>
        <v>6501.0836124999996</v>
      </c>
      <c r="K10" s="8">
        <f t="shared" si="0"/>
        <v>7077.2565500000019</v>
      </c>
      <c r="L10" s="8">
        <f t="shared" si="0"/>
        <v>7077.2565500000019</v>
      </c>
      <c r="M10" s="8">
        <f t="shared" si="0"/>
        <v>7077.2565500000019</v>
      </c>
      <c r="N10" s="8">
        <f t="shared" si="0"/>
        <v>7077.2565500000019</v>
      </c>
      <c r="O10" s="8">
        <f t="shared" si="0"/>
        <v>6501.0836124999996</v>
      </c>
      <c r="P10" s="8">
        <f t="shared" si="0"/>
        <v>7077.2565500000019</v>
      </c>
      <c r="Q10" s="8">
        <f t="shared" si="0"/>
        <v>7077.2565500000019</v>
      </c>
      <c r="R10" s="8">
        <f t="shared" si="0"/>
        <v>7077.2565500000019</v>
      </c>
      <c r="S10" s="8">
        <f t="shared" si="0"/>
        <v>7077.2565500000019</v>
      </c>
      <c r="T10" s="8">
        <f t="shared" si="0"/>
        <v>6501.0836124999996</v>
      </c>
      <c r="U10" s="8">
        <f t="shared" si="0"/>
        <v>7077.2565500000019</v>
      </c>
      <c r="V10" s="8">
        <f t="shared" si="0"/>
        <v>7077.2565500000019</v>
      </c>
      <c r="W10" s="8">
        <f t="shared" si="0"/>
        <v>7077.2565500000019</v>
      </c>
      <c r="X10" s="8">
        <f t="shared" si="0"/>
        <v>7077.2565500000019</v>
      </c>
      <c r="Y10" s="8">
        <f t="shared" si="0"/>
        <v>6501.0836124999996</v>
      </c>
      <c r="Z10" s="8">
        <f t="shared" si="0"/>
        <v>7077.2565500000019</v>
      </c>
      <c r="AA10" s="8">
        <f t="shared" si="0"/>
        <v>7077.2565500000019</v>
      </c>
      <c r="AB10" s="8">
        <f t="shared" si="0"/>
        <v>7077.2565500000019</v>
      </c>
      <c r="AC10" s="8">
        <f t="shared" si="0"/>
        <v>7077.2565500000019</v>
      </c>
      <c r="AD10" s="8">
        <f t="shared" si="0"/>
        <v>6501.0836124999996</v>
      </c>
      <c r="AE10" s="8">
        <f t="shared" si="0"/>
        <v>7077.2565500000019</v>
      </c>
      <c r="AF10" s="8">
        <f t="shared" si="0"/>
        <v>7077.2565500000019</v>
      </c>
      <c r="AG10" s="8">
        <f t="shared" si="0"/>
        <v>6477.2565500000019</v>
      </c>
      <c r="AH10" s="8">
        <f t="shared" si="0"/>
        <v>6477.2565500000019</v>
      </c>
      <c r="AI10" s="8">
        <f t="shared" si="0"/>
        <v>5877.2565500000019</v>
      </c>
      <c r="AJ10" s="10">
        <f>SUM(C10:AI10)</f>
        <v>167882.94698750004</v>
      </c>
    </row>
    <row r="11" spans="1:36" x14ac:dyDescent="0.2">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row>
    <row r="12" spans="1:36" x14ac:dyDescent="0.2">
      <c r="A12" t="s">
        <v>383</v>
      </c>
      <c r="B12" t="s">
        <v>99</v>
      </c>
      <c r="C12" s="8">
        <f>'Field 1 Fiscal'!C45+'Field 2 Fiscal'!C45+'Field 3 Fiscal'!C45</f>
        <v>0</v>
      </c>
      <c r="D12" s="8">
        <f>'Field 1 Fiscal'!D45+'Field 2 Fiscal'!D45+'Field 3 Fiscal'!D45</f>
        <v>0</v>
      </c>
      <c r="E12" s="8">
        <f>'Field 1 Fiscal'!E45+'Field 2 Fiscal'!E45+'Field 3 Fiscal'!E45</f>
        <v>0</v>
      </c>
      <c r="F12" s="8">
        <f>'Field 1 Fiscal'!F45+'Field 2 Fiscal'!F45+'Field 3 Fiscal'!F45</f>
        <v>0</v>
      </c>
      <c r="G12" s="8">
        <f>'Field 1 Fiscal'!G45+'Field 2 Fiscal'!G45+'Field 3 Fiscal'!G45</f>
        <v>80.067631875000032</v>
      </c>
      <c r="H12" s="8">
        <f>'Field 1 Fiscal'!H45+'Field 2 Fiscal'!H45+'Field 3 Fiscal'!H45</f>
        <v>160.13526375000006</v>
      </c>
      <c r="I12" s="8">
        <f>'Field 1 Fiscal'!I45+'Field 2 Fiscal'!I45+'Field 3 Fiscal'!I45</f>
        <v>160.13526375000006</v>
      </c>
      <c r="J12" s="8">
        <f>'Field 1 Fiscal'!J45+'Field 2 Fiscal'!J45+'Field 3 Fiscal'!J45</f>
        <v>160.18174239375</v>
      </c>
      <c r="K12" s="8">
        <f>'Field 1 Fiscal'!K45+'Field 2 Fiscal'!K45+'Field 3 Fiscal'!K45</f>
        <v>320.27052750000013</v>
      </c>
      <c r="L12" s="8">
        <f>'Field 1 Fiscal'!L45+'Field 2 Fiscal'!L45+'Field 3 Fiscal'!L45</f>
        <v>320.27052750000013</v>
      </c>
      <c r="M12" s="8">
        <f>'Field 1 Fiscal'!M45+'Field 2 Fiscal'!M45+'Field 3 Fiscal'!M45</f>
        <v>320.27052750000013</v>
      </c>
      <c r="N12" s="8">
        <f>'Field 1 Fiscal'!N45+'Field 2 Fiscal'!N45+'Field 3 Fiscal'!N45</f>
        <v>455.71328121250082</v>
      </c>
      <c r="O12" s="8">
        <f>'Field 1 Fiscal'!O45+'Field 2 Fiscal'!O45+'Field 3 Fiscal'!O45</f>
        <v>1011.0582033749998</v>
      </c>
      <c r="P12" s="8">
        <f>'Field 1 Fiscal'!P45+'Field 2 Fiscal'!P45+'Field 3 Fiscal'!P45</f>
        <v>1010.6598150000004</v>
      </c>
      <c r="Q12" s="8">
        <f>'Field 1 Fiscal'!Q45+'Field 2 Fiscal'!Q45+'Field 3 Fiscal'!Q45</f>
        <v>1010.6598150000004</v>
      </c>
      <c r="R12" s="8">
        <f>'Field 1 Fiscal'!R45+'Field 2 Fiscal'!R45+'Field 3 Fiscal'!R45</f>
        <v>1010.6598150000004</v>
      </c>
      <c r="S12" s="8">
        <f>'Field 1 Fiscal'!S45+'Field 2 Fiscal'!S45+'Field 3 Fiscal'!S45</f>
        <v>1684.4330250000007</v>
      </c>
      <c r="T12" s="8">
        <f>'Field 1 Fiscal'!T45+'Field 2 Fiscal'!T45+'Field 3 Fiscal'!T45</f>
        <v>1685.0970056249998</v>
      </c>
      <c r="U12" s="8">
        <f>'Field 1 Fiscal'!U45+'Field 2 Fiscal'!U45+'Field 3 Fiscal'!U45</f>
        <v>1684.4330250000007</v>
      </c>
      <c r="V12" s="8">
        <f>'Field 1 Fiscal'!V45+'Field 2 Fiscal'!V45+'Field 3 Fiscal'!V45</f>
        <v>1684.4330250000007</v>
      </c>
      <c r="W12" s="8">
        <f>'Field 1 Fiscal'!W45+'Field 2 Fiscal'!W45+'Field 3 Fiscal'!W45</f>
        <v>1684.4330250000007</v>
      </c>
      <c r="X12" s="8">
        <f>'Field 1 Fiscal'!X45+'Field 2 Fiscal'!X45+'Field 3 Fiscal'!X45</f>
        <v>1684.4330250000007</v>
      </c>
      <c r="Y12" s="8">
        <f>'Field 1 Fiscal'!Y45+'Field 2 Fiscal'!Y45+'Field 3 Fiscal'!Y45</f>
        <v>2022.1164067499997</v>
      </c>
      <c r="Z12" s="8">
        <f>'Field 1 Fiscal'!Z45+'Field 2 Fiscal'!Z45+'Field 3 Fiscal'!Z45</f>
        <v>2021.3196300000009</v>
      </c>
      <c r="AA12" s="8">
        <f>'Field 1 Fiscal'!AA45+'Field 2 Fiscal'!AA45+'Field 3 Fiscal'!AA45</f>
        <v>2021.3196300000009</v>
      </c>
      <c r="AB12" s="8">
        <f>'Field 1 Fiscal'!AB45+'Field 2 Fiscal'!AB45+'Field 3 Fiscal'!AB45</f>
        <v>2021.3196300000009</v>
      </c>
      <c r="AC12" s="8">
        <f>'Field 1 Fiscal'!AC45+'Field 2 Fiscal'!AC45+'Field 3 Fiscal'!AC45</f>
        <v>2021.3196300000009</v>
      </c>
      <c r="AD12" s="8">
        <f>'Field 1 Fiscal'!AD45+'Field 2 Fiscal'!AD45+'Field 3 Fiscal'!AD45</f>
        <v>2022.1164067499997</v>
      </c>
      <c r="AE12" s="8">
        <f>'Field 1 Fiscal'!AE45+'Field 2 Fiscal'!AE45+'Field 3 Fiscal'!AE45</f>
        <v>2021.3196300000009</v>
      </c>
      <c r="AF12" s="8">
        <f>'Field 1 Fiscal'!AF45+'Field 2 Fiscal'!AF45+'Field 3 Fiscal'!AF45</f>
        <v>2021.3196300000009</v>
      </c>
      <c r="AG12" s="8">
        <f>'Field 1 Fiscal'!AG45+'Field 2 Fiscal'!AG45+'Field 3 Fiscal'!AG45</f>
        <v>1661.3196300000009</v>
      </c>
      <c r="AH12" s="8">
        <f>'Field 1 Fiscal'!AH45+'Field 2 Fiscal'!AH45+'Field 3 Fiscal'!AH45</f>
        <v>1661.3196300000009</v>
      </c>
      <c r="AI12" s="8">
        <f>'Field 1 Fiscal'!AI45+'Field 2 Fiscal'!AI45+'Field 3 Fiscal'!AI45</f>
        <v>1301.3196300000009</v>
      </c>
      <c r="AJ12" s="10">
        <f>SUM(C12:AI12)</f>
        <v>36923.454027981257</v>
      </c>
    </row>
    <row r="13" spans="1:36" x14ac:dyDescent="0.2">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row>
    <row r="14" spans="1:36" x14ac:dyDescent="0.2">
      <c r="A14" s="37" t="s">
        <v>583</v>
      </c>
      <c r="B14" t="s">
        <v>99</v>
      </c>
      <c r="C14" s="8">
        <f>'Field 1 Fiscal'!C26+'Field 2 Fiscal'!C26+'Field 3 Fiscal'!C26</f>
        <v>0</v>
      </c>
      <c r="D14" s="8">
        <f>'Field 1 Fiscal'!D26+'Field 2 Fiscal'!D26+'Field 3 Fiscal'!D26</f>
        <v>0</v>
      </c>
      <c r="E14" s="8">
        <f>'Field 1 Fiscal'!E26+'Field 2 Fiscal'!E26+'Field 3 Fiscal'!E26</f>
        <v>0</v>
      </c>
      <c r="F14" s="8">
        <f>'Field 1 Fiscal'!F26+'Field 2 Fiscal'!F26+'Field 3 Fiscal'!F26</f>
        <v>0</v>
      </c>
      <c r="G14" s="8">
        <f>'Field 1 Fiscal'!G26+'Field 2 Fiscal'!G26+'Field 3 Fiscal'!G26</f>
        <v>140.33930625000002</v>
      </c>
      <c r="H14" s="8">
        <f>'Field 1 Fiscal'!H26+'Field 2 Fiscal'!H26+'Field 3 Fiscal'!H26</f>
        <v>280.67861250000004</v>
      </c>
      <c r="I14" s="8">
        <f>'Field 1 Fiscal'!I26+'Field 2 Fiscal'!I26+'Field 3 Fiscal'!I26</f>
        <v>280.67861250000004</v>
      </c>
      <c r="J14" s="8">
        <f>'Field 1 Fiscal'!J26+'Field 2 Fiscal'!J26+'Field 3 Fiscal'!J26</f>
        <v>266.73501937499998</v>
      </c>
      <c r="K14" s="8">
        <f>'Field 1 Fiscal'!K26+'Field 2 Fiscal'!K26+'Field 3 Fiscal'!K26</f>
        <v>280.67861250000004</v>
      </c>
      <c r="L14" s="8">
        <f>'Field 1 Fiscal'!L26+'Field 2 Fiscal'!L26+'Field 3 Fiscal'!L26</f>
        <v>280.67861250000004</v>
      </c>
      <c r="M14" s="8">
        <f>'Field 1 Fiscal'!M26+'Field 2 Fiscal'!M26+'Field 3 Fiscal'!M26</f>
        <v>280.67861250000004</v>
      </c>
      <c r="N14" s="8">
        <f>'Field 1 Fiscal'!N26+'Field 2 Fiscal'!N26+'Field 3 Fiscal'!N26</f>
        <v>280.67861250000004</v>
      </c>
      <c r="O14" s="8">
        <f>'Field 1 Fiscal'!O26+'Field 2 Fiscal'!O26+'Field 3 Fiscal'!O26</f>
        <v>266.73501937499998</v>
      </c>
      <c r="P14" s="8">
        <f>'Field 1 Fiscal'!P26+'Field 2 Fiscal'!P26+'Field 3 Fiscal'!P26</f>
        <v>280.67861250000004</v>
      </c>
      <c r="Q14" s="8">
        <f>'Field 1 Fiscal'!Q26+'Field 2 Fiscal'!Q26+'Field 3 Fiscal'!Q26</f>
        <v>280.67861250000004</v>
      </c>
      <c r="R14" s="8">
        <f>'Field 1 Fiscal'!R26+'Field 2 Fiscal'!R26+'Field 3 Fiscal'!R26</f>
        <v>280.67861250000004</v>
      </c>
      <c r="S14" s="8">
        <f>'Field 1 Fiscal'!S26+'Field 2 Fiscal'!S26+'Field 3 Fiscal'!S26</f>
        <v>280.67861250000004</v>
      </c>
      <c r="T14" s="8">
        <f>'Field 1 Fiscal'!T26+'Field 2 Fiscal'!T26+'Field 3 Fiscal'!T26</f>
        <v>266.73501937499998</v>
      </c>
      <c r="U14" s="8">
        <f>'Field 1 Fiscal'!U26+'Field 2 Fiscal'!U26+'Field 3 Fiscal'!U26</f>
        <v>280.67861250000004</v>
      </c>
      <c r="V14" s="8">
        <f>'Field 1 Fiscal'!V26+'Field 2 Fiscal'!V26+'Field 3 Fiscal'!V26</f>
        <v>280.67861250000004</v>
      </c>
      <c r="W14" s="8">
        <f>'Field 1 Fiscal'!W26+'Field 2 Fiscal'!W26+'Field 3 Fiscal'!W26</f>
        <v>280.67861250000004</v>
      </c>
      <c r="X14" s="8">
        <f>'Field 1 Fiscal'!X26+'Field 2 Fiscal'!X26+'Field 3 Fiscal'!X26</f>
        <v>280.67861250000004</v>
      </c>
      <c r="Y14" s="8">
        <f>'Field 1 Fiscal'!Y26+'Field 2 Fiscal'!Y26+'Field 3 Fiscal'!Y26</f>
        <v>266.73501937499998</v>
      </c>
      <c r="Z14" s="8">
        <f>'Field 1 Fiscal'!Z26+'Field 2 Fiscal'!Z26+'Field 3 Fiscal'!Z26</f>
        <v>280.67861250000004</v>
      </c>
      <c r="AA14" s="8">
        <f>'Field 1 Fiscal'!AA26+'Field 2 Fiscal'!AA26+'Field 3 Fiscal'!AA26</f>
        <v>280.67861250000004</v>
      </c>
      <c r="AB14" s="8">
        <f>'Field 1 Fiscal'!AB26+'Field 2 Fiscal'!AB26+'Field 3 Fiscal'!AB26</f>
        <v>280.67861250000004</v>
      </c>
      <c r="AC14" s="8">
        <f>'Field 1 Fiscal'!AC26+'Field 2 Fiscal'!AC26+'Field 3 Fiscal'!AC26</f>
        <v>280.67861250000004</v>
      </c>
      <c r="AD14" s="8">
        <f>'Field 1 Fiscal'!AD26+'Field 2 Fiscal'!AD26+'Field 3 Fiscal'!AD26</f>
        <v>266.73501937499998</v>
      </c>
      <c r="AE14" s="8">
        <f>'Field 1 Fiscal'!AE26+'Field 2 Fiscal'!AE26+'Field 3 Fiscal'!AE26</f>
        <v>280.67861250000004</v>
      </c>
      <c r="AF14" s="8">
        <f>'Field 1 Fiscal'!AF26+'Field 2 Fiscal'!AF26+'Field 3 Fiscal'!AF26</f>
        <v>280.67861250000004</v>
      </c>
      <c r="AG14" s="8">
        <f>'Field 1 Fiscal'!AG26+'Field 2 Fiscal'!AG26+'Field 3 Fiscal'!AG26</f>
        <v>280.67861250000004</v>
      </c>
      <c r="AH14" s="8">
        <f>'Field 1 Fiscal'!AH26+'Field 2 Fiscal'!AH26+'Field 3 Fiscal'!AH26</f>
        <v>280.67861250000004</v>
      </c>
      <c r="AI14" s="8">
        <f>'Field 1 Fiscal'!AI26+'Field 2 Fiscal'!AI26+'Field 3 Fiscal'!AI26</f>
        <v>280.67861250000004</v>
      </c>
      <c r="AJ14" s="10">
        <f>SUM(C14:AI14)</f>
        <v>7929.6224906249981</v>
      </c>
    </row>
    <row r="15" spans="1:36" x14ac:dyDescent="0.2">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row>
    <row r="16" spans="1:36" x14ac:dyDescent="0.2">
      <c r="A16" s="37" t="s">
        <v>385</v>
      </c>
      <c r="B16" t="s">
        <v>99</v>
      </c>
      <c r="C16" s="8">
        <f>'Field 1 Fiscal'!C51+'Field 2 Fiscal'!C51+'Field 3 Fiscal'!C51+'Gas PL'!C35+'LNG Tolling'!C35</f>
        <v>0</v>
      </c>
      <c r="D16" s="8">
        <f>'Field 1 Fiscal'!D51+'Field 2 Fiscal'!D51+'Field 3 Fiscal'!D51+'Gas PL'!D35+'LNG Tolling'!D35</f>
        <v>0</v>
      </c>
      <c r="E16" s="8">
        <f>'Field 1 Fiscal'!E51+'Field 2 Fiscal'!E51+'Field 3 Fiscal'!E51+'Gas PL'!E35+'LNG Tolling'!E35</f>
        <v>0</v>
      </c>
      <c r="F16" s="8">
        <f>'Field 1 Fiscal'!F51+'Field 2 Fiscal'!F51+'Field 3 Fiscal'!F51+'Gas PL'!F35+'LNG Tolling'!F35</f>
        <v>0</v>
      </c>
      <c r="G16" s="8">
        <f>'Field 1 Fiscal'!G51+'Field 2 Fiscal'!G51+'Field 3 Fiscal'!G51+'Gas PL'!G35+'LNG Tolling'!G35</f>
        <v>0</v>
      </c>
      <c r="H16" s="8">
        <f>'Field 1 Fiscal'!H51+'Field 2 Fiscal'!H51+'Field 3 Fiscal'!H51+'Gas PL'!H35+'LNG Tolling'!H35</f>
        <v>0</v>
      </c>
      <c r="I16" s="8">
        <f>'Field 1 Fiscal'!I51+'Field 2 Fiscal'!I51+'Field 3 Fiscal'!I51+'Gas PL'!I35+'LNG Tolling'!I35</f>
        <v>0</v>
      </c>
      <c r="J16" s="8">
        <f>'Field 1 Fiscal'!J51+'Field 2 Fiscal'!J51+'Field 3 Fiscal'!J51+'Gas PL'!J35+'LNG Tolling'!J35</f>
        <v>0</v>
      </c>
      <c r="K16" s="8">
        <f>'Field 1 Fiscal'!K51+'Field 2 Fiscal'!K51+'Field 3 Fiscal'!K51+'Gas PL'!K35+'LNG Tolling'!K35</f>
        <v>495.5767824340021</v>
      </c>
      <c r="L16" s="8">
        <f>'Field 1 Fiscal'!L51+'Field 2 Fiscal'!L51+'Field 3 Fiscal'!L51+'Gas PL'!L35+'LNG Tolling'!L35</f>
        <v>1502.7367712000009</v>
      </c>
      <c r="M16" s="8">
        <f>'Field 1 Fiscal'!M51+'Field 2 Fiscal'!M51+'Field 3 Fiscal'!M51+'Gas PL'!M35+'LNG Tolling'!M35</f>
        <v>1737.2167712000009</v>
      </c>
      <c r="N16" s="8">
        <f>'Field 1 Fiscal'!N51+'Field 2 Fiscal'!N51+'Field 3 Fiscal'!N51+'Gas PL'!N35+'LNG Tolling'!N35</f>
        <v>1991.5290100120003</v>
      </c>
      <c r="O16" s="8">
        <f>'Field 1 Fiscal'!O51+'Field 2 Fiscal'!O51+'Field 3 Fiscal'!O51+'Gas PL'!O35+'LNG Tolling'!O35</f>
        <v>1671.4529247200001</v>
      </c>
      <c r="P16" s="8">
        <f>'Field 1 Fiscal'!P51+'Field 2 Fiscal'!P51+'Field 3 Fiscal'!P51+'Gas PL'!P35+'LNG Tolling'!P35</f>
        <v>1851.4937992000005</v>
      </c>
      <c r="Q16" s="8">
        <f>'Field 1 Fiscal'!Q51+'Field 2 Fiscal'!Q51+'Field 3 Fiscal'!Q51+'Gas PL'!Q35+'LNG Tolling'!Q35</f>
        <v>1851.4937992000005</v>
      </c>
      <c r="R16" s="8">
        <f>'Field 1 Fiscal'!R51+'Field 2 Fiscal'!R51+'Field 3 Fiscal'!R51+'Gas PL'!R35+'LNG Tolling'!R35</f>
        <v>1851.4937992000005</v>
      </c>
      <c r="S16" s="8">
        <f>'Field 1 Fiscal'!S51+'Field 2 Fiscal'!S51+'Field 3 Fiscal'!S51+'Gas PL'!S35+'LNG Tolling'!S35</f>
        <v>1635.8863720000004</v>
      </c>
      <c r="T16" s="8">
        <f>'Field 1 Fiscal'!T51+'Field 2 Fiscal'!T51+'Field 3 Fiscal'!T51+'Gas PL'!T35+'LNG Tolling'!T35</f>
        <v>1455.7605080000001</v>
      </c>
      <c r="U16" s="8">
        <f>'Field 1 Fiscal'!U51+'Field 2 Fiscal'!U51+'Field 3 Fiscal'!U51+'Gas PL'!U35+'LNG Tolling'!U35</f>
        <v>1635.8863720000004</v>
      </c>
      <c r="V16" s="8">
        <f>'Field 1 Fiscal'!V51+'Field 2 Fiscal'!V51+'Field 3 Fiscal'!V51+'Gas PL'!V35+'LNG Tolling'!V35</f>
        <v>1635.8863720000004</v>
      </c>
      <c r="W16" s="8">
        <f>'Field 1 Fiscal'!W51+'Field 2 Fiscal'!W51+'Field 3 Fiscal'!W51+'Gas PL'!W35+'LNG Tolling'!W35</f>
        <v>1635.8863720000004</v>
      </c>
      <c r="X16" s="8">
        <f>'Field 1 Fiscal'!X51+'Field 2 Fiscal'!X51+'Field 3 Fiscal'!X51+'Gas PL'!X35+'LNG Tolling'!X35</f>
        <v>1635.8863720000004</v>
      </c>
      <c r="Y16" s="8">
        <f>'Field 1 Fiscal'!Y51+'Field 2 Fiscal'!Y51+'Field 3 Fiscal'!Y51+'Gas PL'!Y35+'LNG Tolling'!Y35</f>
        <v>1347.9142996400001</v>
      </c>
      <c r="Z16" s="8">
        <f>'Field 1 Fiscal'!Z51+'Field 2 Fiscal'!Z51+'Field 3 Fiscal'!Z51+'Gas PL'!Z35+'LNG Tolling'!Z35</f>
        <v>1528.0826584000004</v>
      </c>
      <c r="AA16" s="8">
        <f>'Field 1 Fiscal'!AA51+'Field 2 Fiscal'!AA51+'Field 3 Fiscal'!AA51+'Gas PL'!AA35+'LNG Tolling'!AA35</f>
        <v>1528.0826584000004</v>
      </c>
      <c r="AB16" s="8">
        <f>'Field 1 Fiscal'!AB51+'Field 2 Fiscal'!AB51+'Field 3 Fiscal'!AB51+'Gas PL'!AB35+'LNG Tolling'!AB35</f>
        <v>1528.0826584000004</v>
      </c>
      <c r="AC16" s="8">
        <f>'Field 1 Fiscal'!AC51+'Field 2 Fiscal'!AC51+'Field 3 Fiscal'!AC51+'Gas PL'!AC35+'LNG Tolling'!AC35</f>
        <v>1528.0826584000004</v>
      </c>
      <c r="AD16" s="8">
        <f>'Field 1 Fiscal'!AD51+'Field 2 Fiscal'!AD51+'Field 3 Fiscal'!AD51+'Gas PL'!AD35+'LNG Tolling'!AD35</f>
        <v>1347.9142996400001</v>
      </c>
      <c r="AE16" s="8">
        <f>'Field 1 Fiscal'!AE51+'Field 2 Fiscal'!AE51+'Field 3 Fiscal'!AE51+'Gas PL'!AE35+'LNG Tolling'!AE35</f>
        <v>1528.0826584000004</v>
      </c>
      <c r="AF16" s="8">
        <f>'Field 1 Fiscal'!AF51+'Field 2 Fiscal'!AF51+'Field 3 Fiscal'!AF51+'Gas PL'!AF35+'LNG Tolling'!AF35</f>
        <v>1528.0826584000004</v>
      </c>
      <c r="AG16" s="8">
        <f>'Field 1 Fiscal'!AG51+'Field 2 Fiscal'!AG51+'Field 3 Fiscal'!AG51+'Gas PL'!AG35+'LNG Tolling'!AG35</f>
        <v>1451.2826584000004</v>
      </c>
      <c r="AH16" s="8">
        <f>'Field 1 Fiscal'!AH51+'Field 2 Fiscal'!AH51+'Field 3 Fiscal'!AH51+'Gas PL'!AH35+'LNG Tolling'!AH35</f>
        <v>1451.2826584000004</v>
      </c>
      <c r="AI16" s="8">
        <f>'Field 1 Fiscal'!AI51+'Field 2 Fiscal'!AI51+'Field 3 Fiscal'!AI51+'Gas PL'!AI35+'LNG Tolling'!AI35</f>
        <v>1374.4826584000002</v>
      </c>
      <c r="AJ16" s="10">
        <f>SUM(C16:AI16)</f>
        <v>38729.558550046015</v>
      </c>
    </row>
    <row r="17" spans="1:37" x14ac:dyDescent="0.2">
      <c r="A17" s="148" t="s">
        <v>156</v>
      </c>
      <c r="B17" t="s">
        <v>99</v>
      </c>
      <c r="C17" s="8">
        <f>'Field 1 Fiscal'!C51+'Field 2 Fiscal'!C51+'Field 3 Fiscal'!C51</f>
        <v>0</v>
      </c>
      <c r="D17" s="8">
        <f>'Field 1 Fiscal'!D51+'Field 2 Fiscal'!D51+'Field 3 Fiscal'!D51</f>
        <v>0</v>
      </c>
      <c r="E17" s="8">
        <f>'Field 1 Fiscal'!E51+'Field 2 Fiscal'!E51+'Field 3 Fiscal'!E51</f>
        <v>0</v>
      </c>
      <c r="F17" s="8">
        <f>'Field 1 Fiscal'!F51+'Field 2 Fiscal'!F51+'Field 3 Fiscal'!F51</f>
        <v>0</v>
      </c>
      <c r="G17" s="8">
        <f>'Field 1 Fiscal'!G51+'Field 2 Fiscal'!G51+'Field 3 Fiscal'!G51</f>
        <v>0</v>
      </c>
      <c r="H17" s="8">
        <f>'Field 1 Fiscal'!H51+'Field 2 Fiscal'!H51+'Field 3 Fiscal'!H51</f>
        <v>0</v>
      </c>
      <c r="I17" s="8">
        <f>'Field 1 Fiscal'!I51+'Field 2 Fiscal'!I51+'Field 3 Fiscal'!I51</f>
        <v>0</v>
      </c>
      <c r="J17" s="8">
        <f>'Field 1 Fiscal'!J51+'Field 2 Fiscal'!J51+'Field 3 Fiscal'!J51</f>
        <v>0</v>
      </c>
      <c r="K17" s="8">
        <f>'Field 1 Fiscal'!K51+'Field 2 Fiscal'!K51+'Field 3 Fiscal'!K51</f>
        <v>144.42387003400131</v>
      </c>
      <c r="L17" s="8">
        <f>'Field 1 Fiscal'!L51+'Field 2 Fiscal'!L51+'Field 3 Fiscal'!L51</f>
        <v>885.73341120000055</v>
      </c>
      <c r="M17" s="8">
        <f>'Field 1 Fiscal'!M51+'Field 2 Fiscal'!M51+'Field 3 Fiscal'!M51</f>
        <v>885.73341120000055</v>
      </c>
      <c r="N17" s="8">
        <f>'Field 1 Fiscal'!N51+'Field 2 Fiscal'!N51+'Field 3 Fiscal'!N51</f>
        <v>842.39173001200015</v>
      </c>
      <c r="O17" s="8">
        <f>'Field 1 Fiscal'!O51+'Field 2 Fiscal'!O51+'Field 3 Fiscal'!O51</f>
        <v>669.56825232000006</v>
      </c>
      <c r="P17" s="8">
        <f>'Field 1 Fiscal'!P51+'Field 2 Fiscal'!P51+'Field 3 Fiscal'!P51</f>
        <v>664.80883920000042</v>
      </c>
      <c r="Q17" s="8">
        <f>'Field 1 Fiscal'!Q51+'Field 2 Fiscal'!Q51+'Field 3 Fiscal'!Q51</f>
        <v>664.80883920000042</v>
      </c>
      <c r="R17" s="8">
        <f>'Field 1 Fiscal'!R51+'Field 2 Fiscal'!R51+'Field 3 Fiscal'!R51</f>
        <v>664.80883920000042</v>
      </c>
      <c r="S17" s="8">
        <f>'Field 1 Fiscal'!S51+'Field 2 Fiscal'!S51+'Field 3 Fiscal'!S51</f>
        <v>449.20141200000023</v>
      </c>
      <c r="T17" s="8">
        <f>'Field 1 Fiscal'!T51+'Field 2 Fiscal'!T51+'Field 3 Fiscal'!T51</f>
        <v>453.87583560000002</v>
      </c>
      <c r="U17" s="8">
        <f>'Field 1 Fiscal'!U51+'Field 2 Fiscal'!U51+'Field 3 Fiscal'!U51</f>
        <v>449.20141200000023</v>
      </c>
      <c r="V17" s="8">
        <f>'Field 1 Fiscal'!V51+'Field 2 Fiscal'!V51+'Field 3 Fiscal'!V51</f>
        <v>449.20141200000023</v>
      </c>
      <c r="W17" s="8">
        <f>'Field 1 Fiscal'!W51+'Field 2 Fiscal'!W51+'Field 3 Fiscal'!W51</f>
        <v>449.20141200000023</v>
      </c>
      <c r="X17" s="8">
        <f>'Field 1 Fiscal'!X51+'Field 2 Fiscal'!X51+'Field 3 Fiscal'!X51</f>
        <v>449.20141200000023</v>
      </c>
      <c r="Y17" s="8">
        <f>'Field 1 Fiscal'!Y51+'Field 2 Fiscal'!Y51+'Field 3 Fiscal'!Y51</f>
        <v>346.02962724000014</v>
      </c>
      <c r="Z17" s="8">
        <f>'Field 1 Fiscal'!Z51+'Field 2 Fiscal'!Z51+'Field 3 Fiscal'!Z51</f>
        <v>341.39769840000014</v>
      </c>
      <c r="AA17" s="8">
        <f>'Field 1 Fiscal'!AA51+'Field 2 Fiscal'!AA51+'Field 3 Fiscal'!AA51</f>
        <v>341.39769840000014</v>
      </c>
      <c r="AB17" s="8">
        <f>'Field 1 Fiscal'!AB51+'Field 2 Fiscal'!AB51+'Field 3 Fiscal'!AB51</f>
        <v>341.39769840000014</v>
      </c>
      <c r="AC17" s="8">
        <f>'Field 1 Fiscal'!AC51+'Field 2 Fiscal'!AC51+'Field 3 Fiscal'!AC51</f>
        <v>341.39769840000014</v>
      </c>
      <c r="AD17" s="8">
        <f>'Field 1 Fiscal'!AD51+'Field 2 Fiscal'!AD51+'Field 3 Fiscal'!AD51</f>
        <v>346.02962724000014</v>
      </c>
      <c r="AE17" s="8">
        <f>'Field 1 Fiscal'!AE51+'Field 2 Fiscal'!AE51+'Field 3 Fiscal'!AE51</f>
        <v>341.39769840000014</v>
      </c>
      <c r="AF17" s="8">
        <f>'Field 1 Fiscal'!AF51+'Field 2 Fiscal'!AF51+'Field 3 Fiscal'!AF51</f>
        <v>341.39769840000014</v>
      </c>
      <c r="AG17" s="8">
        <f>'Field 1 Fiscal'!AG51+'Field 2 Fiscal'!AG51+'Field 3 Fiscal'!AG51</f>
        <v>264.59769840000018</v>
      </c>
      <c r="AH17" s="8">
        <f>'Field 1 Fiscal'!AH51+'Field 2 Fiscal'!AH51+'Field 3 Fiscal'!AH51</f>
        <v>264.59769840000018</v>
      </c>
      <c r="AI17" s="8">
        <f>'Field 1 Fiscal'!AI51+'Field 2 Fiscal'!AI51+'Field 3 Fiscal'!AI51</f>
        <v>187.79769840000014</v>
      </c>
      <c r="AJ17" s="10">
        <f>SUM(C17:AI17)</f>
        <v>11579.598628046009</v>
      </c>
    </row>
    <row r="18" spans="1:37" x14ac:dyDescent="0.2">
      <c r="A18" s="148" t="s">
        <v>392</v>
      </c>
      <c r="B18" t="s">
        <v>99</v>
      </c>
      <c r="C18" s="8">
        <f>+'Gas PL'!C35</f>
        <v>0</v>
      </c>
      <c r="D18" s="8">
        <f>+'Gas PL'!D35</f>
        <v>0</v>
      </c>
      <c r="E18" s="8">
        <f>+'Gas PL'!E35</f>
        <v>0</v>
      </c>
      <c r="F18" s="8">
        <f>+'Gas PL'!F35</f>
        <v>0</v>
      </c>
      <c r="G18" s="8">
        <f>+'Gas PL'!G35</f>
        <v>0</v>
      </c>
      <c r="H18" s="8">
        <f>+'Gas PL'!H35</f>
        <v>0</v>
      </c>
      <c r="I18" s="8">
        <f>+'Gas PL'!I35</f>
        <v>0</v>
      </c>
      <c r="J18" s="8">
        <f>+'Gas PL'!J35</f>
        <v>0</v>
      </c>
      <c r="K18" s="8">
        <f>+'Gas PL'!K35</f>
        <v>0</v>
      </c>
      <c r="L18" s="8">
        <f>+'Gas PL'!L35</f>
        <v>0</v>
      </c>
      <c r="M18" s="8">
        <f>+'Gas PL'!M35</f>
        <v>0</v>
      </c>
      <c r="N18" s="8">
        <f>+'Gas PL'!N35</f>
        <v>16.41391999999999</v>
      </c>
      <c r="O18" s="8">
        <f>+'Gas PL'!O35</f>
        <v>46.463520000000003</v>
      </c>
      <c r="P18" s="8">
        <f>+'Gas PL'!P35</f>
        <v>53.961599999999997</v>
      </c>
      <c r="Q18" s="8">
        <f>+'Gas PL'!Q35</f>
        <v>53.961599999999997</v>
      </c>
      <c r="R18" s="8">
        <f>+'Gas PL'!R35</f>
        <v>53.961599999999997</v>
      </c>
      <c r="S18" s="8">
        <f>+'Gas PL'!S35</f>
        <v>53.961599999999997</v>
      </c>
      <c r="T18" s="8">
        <f>+'Gas PL'!T35</f>
        <v>46.463520000000003</v>
      </c>
      <c r="U18" s="8">
        <f>+'Gas PL'!U35</f>
        <v>53.961599999999997</v>
      </c>
      <c r="V18" s="8">
        <f>+'Gas PL'!V35</f>
        <v>53.961599999999997</v>
      </c>
      <c r="W18" s="8">
        <f>+'Gas PL'!W35</f>
        <v>53.961599999999997</v>
      </c>
      <c r="X18" s="8">
        <f>+'Gas PL'!X35</f>
        <v>53.961599999999997</v>
      </c>
      <c r="Y18" s="8">
        <f>+'Gas PL'!Y35</f>
        <v>46.463520000000003</v>
      </c>
      <c r="Z18" s="8">
        <f>+'Gas PL'!Z35</f>
        <v>53.961599999999997</v>
      </c>
      <c r="AA18" s="8">
        <f>+'Gas PL'!AA35</f>
        <v>53.961599999999997</v>
      </c>
      <c r="AB18" s="8">
        <f>+'Gas PL'!AB35</f>
        <v>53.961599999999997</v>
      </c>
      <c r="AC18" s="8">
        <f>+'Gas PL'!AC35</f>
        <v>53.961599999999997</v>
      </c>
      <c r="AD18" s="8">
        <f>+'Gas PL'!AD35</f>
        <v>46.463520000000003</v>
      </c>
      <c r="AE18" s="8">
        <f>+'Gas PL'!AE35</f>
        <v>53.961599999999997</v>
      </c>
      <c r="AF18" s="8">
        <f>+'Gas PL'!AF35</f>
        <v>53.961599999999997</v>
      </c>
      <c r="AG18" s="8">
        <f>+'Gas PL'!AG35</f>
        <v>53.961599999999997</v>
      </c>
      <c r="AH18" s="8">
        <f>+'Gas PL'!AH35</f>
        <v>53.961599999999997</v>
      </c>
      <c r="AI18" s="8">
        <f>+'Gas PL'!AI35</f>
        <v>53.961599999999997</v>
      </c>
      <c r="AJ18" s="10">
        <f>SUM(C18:AI18)</f>
        <v>1119.6152</v>
      </c>
    </row>
    <row r="19" spans="1:37" x14ac:dyDescent="0.2">
      <c r="A19" s="148" t="s">
        <v>393</v>
      </c>
      <c r="B19" t="s">
        <v>99</v>
      </c>
      <c r="C19" s="8">
        <f>+'LNG Tolling'!C35</f>
        <v>0</v>
      </c>
      <c r="D19" s="8">
        <f>+'LNG Tolling'!D35</f>
        <v>0</v>
      </c>
      <c r="E19" s="8">
        <f>+'LNG Tolling'!E35</f>
        <v>0</v>
      </c>
      <c r="F19" s="8">
        <f>+'LNG Tolling'!F35</f>
        <v>0</v>
      </c>
      <c r="G19" s="8">
        <f>+'LNG Tolling'!G35</f>
        <v>0</v>
      </c>
      <c r="H19" s="8">
        <f>+'LNG Tolling'!H35</f>
        <v>0</v>
      </c>
      <c r="I19" s="8">
        <f>+'LNG Tolling'!I35</f>
        <v>0</v>
      </c>
      <c r="J19" s="8">
        <f>+'LNG Tolling'!J35</f>
        <v>0</v>
      </c>
      <c r="K19" s="8">
        <f>+'LNG Tolling'!K35</f>
        <v>351.15291240000079</v>
      </c>
      <c r="L19" s="8">
        <f>+'LNG Tolling'!L35</f>
        <v>617.00336000000027</v>
      </c>
      <c r="M19" s="8">
        <f>+'LNG Tolling'!M35</f>
        <v>851.48336000000029</v>
      </c>
      <c r="N19" s="8">
        <f>+'LNG Tolling'!N35</f>
        <v>1132.7233600000002</v>
      </c>
      <c r="O19" s="8">
        <f>+'LNG Tolling'!O35</f>
        <v>955.42115239999998</v>
      </c>
      <c r="P19" s="8">
        <f>+'LNG Tolling'!P35</f>
        <v>1132.7233600000002</v>
      </c>
      <c r="Q19" s="8">
        <f>+'LNG Tolling'!Q35</f>
        <v>1132.7233600000002</v>
      </c>
      <c r="R19" s="8">
        <f>+'LNG Tolling'!R35</f>
        <v>1132.7233600000002</v>
      </c>
      <c r="S19" s="8">
        <f>+'LNG Tolling'!S35</f>
        <v>1132.7233600000002</v>
      </c>
      <c r="T19" s="8">
        <f>+'LNG Tolling'!T35</f>
        <v>955.42115239999998</v>
      </c>
      <c r="U19" s="8">
        <f>+'LNG Tolling'!U35</f>
        <v>1132.7233600000002</v>
      </c>
      <c r="V19" s="8">
        <f>+'LNG Tolling'!V35</f>
        <v>1132.7233600000002</v>
      </c>
      <c r="W19" s="8">
        <f>+'LNG Tolling'!W35</f>
        <v>1132.7233600000002</v>
      </c>
      <c r="X19" s="8">
        <f>+'LNG Tolling'!X35</f>
        <v>1132.7233600000002</v>
      </c>
      <c r="Y19" s="8">
        <f>+'LNG Tolling'!Y35</f>
        <v>955.42115239999998</v>
      </c>
      <c r="Z19" s="8">
        <f>+'LNG Tolling'!Z35</f>
        <v>1132.7233600000002</v>
      </c>
      <c r="AA19" s="8">
        <f>+'LNG Tolling'!AA35</f>
        <v>1132.7233600000002</v>
      </c>
      <c r="AB19" s="8">
        <f>+'LNG Tolling'!AB35</f>
        <v>1132.7233600000002</v>
      </c>
      <c r="AC19" s="8">
        <f>+'LNG Tolling'!AC35</f>
        <v>1132.7233600000002</v>
      </c>
      <c r="AD19" s="8">
        <f>+'LNG Tolling'!AD35</f>
        <v>955.42115239999998</v>
      </c>
      <c r="AE19" s="8">
        <f>+'LNG Tolling'!AE35</f>
        <v>1132.7233600000002</v>
      </c>
      <c r="AF19" s="8">
        <f>+'LNG Tolling'!AF35</f>
        <v>1132.7233600000002</v>
      </c>
      <c r="AG19" s="8">
        <f>+'LNG Tolling'!AG35</f>
        <v>1132.7233600000002</v>
      </c>
      <c r="AH19" s="8">
        <f>+'LNG Tolling'!AH35</f>
        <v>1132.7233600000002</v>
      </c>
      <c r="AI19" s="8">
        <f>+'LNG Tolling'!AI35</f>
        <v>1132.7233600000002</v>
      </c>
      <c r="AJ19" s="10">
        <f>SUM(C19:AI19)</f>
        <v>26030.344722000002</v>
      </c>
    </row>
    <row r="20" spans="1:37" x14ac:dyDescent="0.2">
      <c r="A20" s="37"/>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10"/>
    </row>
    <row r="21" spans="1:37" ht="18" x14ac:dyDescent="0.35">
      <c r="A21" t="s">
        <v>304</v>
      </c>
      <c r="B21" t="s">
        <v>99</v>
      </c>
      <c r="C21" s="27">
        <f t="shared" ref="C21:AJ21" si="1">C12+C14+C16</f>
        <v>0</v>
      </c>
      <c r="D21" s="27">
        <f t="shared" si="1"/>
        <v>0</v>
      </c>
      <c r="E21" s="27">
        <f t="shared" si="1"/>
        <v>0</v>
      </c>
      <c r="F21" s="27">
        <f t="shared" si="1"/>
        <v>0</v>
      </c>
      <c r="G21" s="27">
        <f t="shared" si="1"/>
        <v>220.40693812500007</v>
      </c>
      <c r="H21" s="27">
        <f t="shared" si="1"/>
        <v>440.81387625000013</v>
      </c>
      <c r="I21" s="27">
        <f t="shared" si="1"/>
        <v>440.81387625000013</v>
      </c>
      <c r="J21" s="27">
        <f t="shared" si="1"/>
        <v>426.91676176875001</v>
      </c>
      <c r="K21" s="27">
        <f t="shared" si="1"/>
        <v>1096.5259224340023</v>
      </c>
      <c r="L21" s="27">
        <f t="shared" si="1"/>
        <v>2103.6859112000011</v>
      </c>
      <c r="M21" s="27">
        <f t="shared" si="1"/>
        <v>2338.1659112000011</v>
      </c>
      <c r="N21" s="27">
        <f t="shared" si="1"/>
        <v>2727.9209037245009</v>
      </c>
      <c r="O21" s="27">
        <f t="shared" si="1"/>
        <v>2949.2461474699999</v>
      </c>
      <c r="P21" s="27">
        <f t="shared" si="1"/>
        <v>3142.8322267000012</v>
      </c>
      <c r="Q21" s="27">
        <f t="shared" si="1"/>
        <v>3142.8322267000012</v>
      </c>
      <c r="R21" s="27">
        <f t="shared" si="1"/>
        <v>3142.8322267000012</v>
      </c>
      <c r="S21" s="27">
        <f t="shared" si="1"/>
        <v>3600.998009500001</v>
      </c>
      <c r="T21" s="27">
        <f t="shared" si="1"/>
        <v>3407.592533</v>
      </c>
      <c r="U21" s="27">
        <f t="shared" si="1"/>
        <v>3600.998009500001</v>
      </c>
      <c r="V21" s="27">
        <f t="shared" si="1"/>
        <v>3600.998009500001</v>
      </c>
      <c r="W21" s="27">
        <f t="shared" si="1"/>
        <v>3600.998009500001</v>
      </c>
      <c r="X21" s="27">
        <f t="shared" si="1"/>
        <v>3600.998009500001</v>
      </c>
      <c r="Y21" s="27">
        <f t="shared" si="1"/>
        <v>3636.7657257649998</v>
      </c>
      <c r="Z21" s="27">
        <f t="shared" si="1"/>
        <v>3830.0809009000013</v>
      </c>
      <c r="AA21" s="27">
        <f t="shared" si="1"/>
        <v>3830.0809009000013</v>
      </c>
      <c r="AB21" s="27">
        <f t="shared" si="1"/>
        <v>3830.0809009000013</v>
      </c>
      <c r="AC21" s="27">
        <f t="shared" si="1"/>
        <v>3830.0809009000013</v>
      </c>
      <c r="AD21" s="27">
        <f t="shared" si="1"/>
        <v>3636.7657257649998</v>
      </c>
      <c r="AE21" s="27">
        <f t="shared" si="1"/>
        <v>3830.0809009000013</v>
      </c>
      <c r="AF21" s="27">
        <f t="shared" si="1"/>
        <v>3830.0809009000013</v>
      </c>
      <c r="AG21" s="27">
        <f t="shared" si="1"/>
        <v>3393.2809009000011</v>
      </c>
      <c r="AH21" s="27">
        <f t="shared" si="1"/>
        <v>3393.2809009000011</v>
      </c>
      <c r="AI21" s="27">
        <f t="shared" si="1"/>
        <v>2956.480900900001</v>
      </c>
      <c r="AJ21" s="27">
        <f t="shared" si="1"/>
        <v>83582.635068652278</v>
      </c>
    </row>
    <row r="22" spans="1:37" x14ac:dyDescent="0.2">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row>
    <row r="23" spans="1:37" x14ac:dyDescent="0.2">
      <c r="A23" s="37" t="s">
        <v>386</v>
      </c>
      <c r="B23" t="s">
        <v>99</v>
      </c>
      <c r="C23" s="8">
        <f>'Field 1 Investor'!C38+'Field 2 Investor'!C38+'Field 3 Investor'!C38+'Gas PL'!C38+'LNG Tolling'!C38</f>
        <v>-417</v>
      </c>
      <c r="D23" s="8">
        <f>'Field 1 Investor'!D38+'Field 2 Investor'!D38+'Field 3 Investor'!D38+'Gas PL'!D38+'LNG Tolling'!D38</f>
        <v>-5243</v>
      </c>
      <c r="E23" s="8">
        <f>'Field 1 Investor'!E38+'Field 2 Investor'!E38+'Field 3 Investor'!E38+'Gas PL'!E38+'LNG Tolling'!E38</f>
        <v>-8207</v>
      </c>
      <c r="F23" s="8">
        <f>'Field 1 Investor'!F38+'Field 2 Investor'!F38+'Field 3 Investor'!F38+'Gas PL'!F38+'LNG Tolling'!F38</f>
        <v>-10831</v>
      </c>
      <c r="G23" s="8">
        <f>'Field 1 Investor'!G38+'Field 2 Investor'!G38+'Field 3 Investor'!G38+'Gas PL'!G38+'LNG Tolling'!G38</f>
        <v>18.221336875001043</v>
      </c>
      <c r="H23" s="8">
        <f>'Field 1 Investor'!H38+'Field 2 Investor'!H38+'Field 3 Investor'!H38+'Gas PL'!H38+'LNG Tolling'!H38</f>
        <v>6096.4426737500016</v>
      </c>
      <c r="I23" s="8">
        <f>'Field 1 Investor'!I38+'Field 2 Investor'!I38+'Field 3 Investor'!I38+'Gas PL'!I38+'LNG Tolling'!I38</f>
        <v>6636.4426737500016</v>
      </c>
      <c r="J23" s="8">
        <f>'Field 1 Investor'!J38+'Field 2 Investor'!J38+'Field 3 Investor'!J38+'Gas PL'!J38+'LNG Tolling'!J38</f>
        <v>6074.1668507312497</v>
      </c>
      <c r="K23" s="8">
        <f>'Field 1 Investor'!K38+'Field 2 Investor'!K38+'Field 3 Investor'!K38+'Gas PL'!K38+'LNG Tolling'!K38</f>
        <v>5980.7306275659994</v>
      </c>
      <c r="L23" s="8">
        <f>'Field 1 Investor'!L38+'Field 2 Investor'!L38+'Field 3 Investor'!L38+'Gas PL'!L38+'LNG Tolling'!L38</f>
        <v>4973.5706388000017</v>
      </c>
      <c r="M23" s="8">
        <f>'Field 1 Investor'!M38+'Field 2 Investor'!M38+'Field 3 Investor'!M38+'Gas PL'!M38+'LNG Tolling'!M38</f>
        <v>4739.0906388000012</v>
      </c>
      <c r="N23" s="8">
        <f>'Field 1 Investor'!N38+'Field 2 Investor'!N38+'Field 3 Investor'!N38+'Gas PL'!N38+'LNG Tolling'!N38</f>
        <v>4349.3356462755009</v>
      </c>
      <c r="O23" s="8">
        <f>'Field 1 Investor'!O38+'Field 2 Investor'!O38+'Field 3 Investor'!O38+'Gas PL'!O38+'LNG Tolling'!O38</f>
        <v>3551.8374650299997</v>
      </c>
      <c r="P23" s="8">
        <f>'Field 1 Investor'!P38+'Field 2 Investor'!P38+'Field 3 Investor'!P38+'Gas PL'!P38+'LNG Tolling'!P38</f>
        <v>3934.4243233000007</v>
      </c>
      <c r="Q23" s="8">
        <f>'Field 1 Investor'!Q38+'Field 2 Investor'!Q38+'Field 3 Investor'!Q38+'Gas PL'!Q38+'LNG Tolling'!Q38</f>
        <v>3934.4243233000007</v>
      </c>
      <c r="R23" s="8">
        <f>'Field 1 Investor'!R38+'Field 2 Investor'!R38+'Field 3 Investor'!R38+'Gas PL'!R38+'LNG Tolling'!R38</f>
        <v>3934.4243233000007</v>
      </c>
      <c r="S23" s="8">
        <f>'Field 1 Investor'!S38+'Field 2 Investor'!S38+'Field 3 Investor'!S38+'Gas PL'!S38+'LNG Tolling'!S38</f>
        <v>3476.2585405000009</v>
      </c>
      <c r="T23" s="8">
        <f>'Field 1 Investor'!T38+'Field 2 Investor'!T38+'Field 3 Investor'!T38+'Gas PL'!T38+'LNG Tolling'!T38</f>
        <v>3093.4910795000001</v>
      </c>
      <c r="U23" s="8">
        <f>'Field 1 Investor'!U38+'Field 2 Investor'!U38+'Field 3 Investor'!U38+'Gas PL'!U38+'LNG Tolling'!U38</f>
        <v>3476.2585405000009</v>
      </c>
      <c r="V23" s="8">
        <f>'Field 1 Investor'!V38+'Field 2 Investor'!V38+'Field 3 Investor'!V38+'Gas PL'!V38+'LNG Tolling'!V38</f>
        <v>3476.2585405000009</v>
      </c>
      <c r="W23" s="8">
        <f>'Field 1 Investor'!W38+'Field 2 Investor'!W38+'Field 3 Investor'!W38+'Gas PL'!W38+'LNG Tolling'!W38</f>
        <v>3476.2585405000009</v>
      </c>
      <c r="X23" s="8">
        <f>'Field 1 Investor'!X38+'Field 2 Investor'!X38+'Field 3 Investor'!X38+'Gas PL'!X38+'LNG Tolling'!X38</f>
        <v>3476.2585405000009</v>
      </c>
      <c r="Y23" s="8">
        <f>'Field 1 Investor'!Y38+'Field 2 Investor'!Y38+'Field 3 Investor'!Y38+'Gas PL'!Y38+'LNG Tolling'!Y38</f>
        <v>2864.3178867349998</v>
      </c>
      <c r="Z23" s="8">
        <f>'Field 1 Investor'!Z38+'Field 2 Investor'!Z38+'Field 3 Investor'!Z38+'Gas PL'!Z38+'LNG Tolling'!Z38</f>
        <v>3247.175649100001</v>
      </c>
      <c r="AA23" s="8">
        <f>'Field 1 Investor'!AA38+'Field 2 Investor'!AA38+'Field 3 Investor'!AA38+'Gas PL'!AA38+'LNG Tolling'!AA38</f>
        <v>3247.175649100001</v>
      </c>
      <c r="AB23" s="8">
        <f>'Field 1 Investor'!AB38+'Field 2 Investor'!AB38+'Field 3 Investor'!AB38+'Gas PL'!AB38+'LNG Tolling'!AB38</f>
        <v>3247.175649100001</v>
      </c>
      <c r="AC23" s="8">
        <f>'Field 1 Investor'!AC38+'Field 2 Investor'!AC38+'Field 3 Investor'!AC38+'Gas PL'!AC38+'LNG Tolling'!AC38</f>
        <v>3247.175649100001</v>
      </c>
      <c r="AD23" s="8">
        <f>'Field 1 Investor'!AD38+'Field 2 Investor'!AD38+'Field 3 Investor'!AD38+'Gas PL'!AD38+'LNG Tolling'!AD38</f>
        <v>2864.3178867349998</v>
      </c>
      <c r="AE23" s="8">
        <f>'Field 1 Investor'!AE38+'Field 2 Investor'!AE38+'Field 3 Investor'!AE38+'Gas PL'!AE38+'LNG Tolling'!AE38</f>
        <v>3247.175649100001</v>
      </c>
      <c r="AF23" s="8">
        <f>'Field 1 Investor'!AF38+'Field 2 Investor'!AF38+'Field 3 Investor'!AF38+'Gas PL'!AF38+'LNG Tolling'!AF38</f>
        <v>3247.175649100001</v>
      </c>
      <c r="AG23" s="8">
        <f>'Field 1 Investor'!AG38+'Field 2 Investor'!AG38+'Field 3 Investor'!AG38+'Gas PL'!AG38+'LNG Tolling'!AG38</f>
        <v>3083.9756491000007</v>
      </c>
      <c r="AH23" s="8">
        <f>'Field 1 Investor'!AH38+'Field 2 Investor'!AH38+'Field 3 Investor'!AH38+'Gas PL'!AH38+'LNG Tolling'!AH38</f>
        <v>3083.9756491000007</v>
      </c>
      <c r="AI23" s="8">
        <f>'Field 1 Investor'!AI38+'Field 2 Investor'!AI38+'Field 3 Investor'!AI38+'Gas PL'!AI38+'LNG Tolling'!AI38</f>
        <v>2920.7756491000009</v>
      </c>
      <c r="AJ23" s="10">
        <f>SUM(C23:AI23)</f>
        <v>84300.311918847772</v>
      </c>
    </row>
    <row r="24" spans="1:37" x14ac:dyDescent="0.2">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row>
    <row r="25" spans="1:37" s="116" customFormat="1" x14ac:dyDescent="0.2">
      <c r="A25" s="116" t="s">
        <v>232</v>
      </c>
      <c r="B25" s="116" t="s">
        <v>99</v>
      </c>
      <c r="C25" s="115">
        <f t="shared" ref="C25:AI25" si="2">C10-C21</f>
        <v>-417</v>
      </c>
      <c r="D25" s="115">
        <f t="shared" si="2"/>
        <v>-5243</v>
      </c>
      <c r="E25" s="115">
        <f t="shared" si="2"/>
        <v>-8207</v>
      </c>
      <c r="F25" s="115">
        <f t="shared" si="2"/>
        <v>-10831</v>
      </c>
      <c r="G25" s="115">
        <f t="shared" si="2"/>
        <v>18.221336875000873</v>
      </c>
      <c r="H25" s="115">
        <f t="shared" si="2"/>
        <v>6096.4426737500016</v>
      </c>
      <c r="I25" s="115">
        <f t="shared" si="2"/>
        <v>6636.4426737500016</v>
      </c>
      <c r="J25" s="115">
        <f t="shared" si="2"/>
        <v>6074.1668507312497</v>
      </c>
      <c r="K25" s="115">
        <f t="shared" si="2"/>
        <v>5980.7306275659994</v>
      </c>
      <c r="L25" s="115">
        <f t="shared" si="2"/>
        <v>4973.5706388000008</v>
      </c>
      <c r="M25" s="115">
        <f t="shared" si="2"/>
        <v>4739.0906388000003</v>
      </c>
      <c r="N25" s="115">
        <f t="shared" si="2"/>
        <v>4349.3356462755009</v>
      </c>
      <c r="O25" s="115">
        <f t="shared" si="2"/>
        <v>3551.8374650299997</v>
      </c>
      <c r="P25" s="115">
        <f t="shared" si="2"/>
        <v>3934.4243233000007</v>
      </c>
      <c r="Q25" s="115">
        <f t="shared" si="2"/>
        <v>3934.4243233000007</v>
      </c>
      <c r="R25" s="115">
        <f t="shared" si="2"/>
        <v>3934.4243233000007</v>
      </c>
      <c r="S25" s="115">
        <f t="shared" si="2"/>
        <v>3476.2585405000009</v>
      </c>
      <c r="T25" s="115">
        <f t="shared" si="2"/>
        <v>3093.4910794999996</v>
      </c>
      <c r="U25" s="115">
        <f t="shared" si="2"/>
        <v>3476.2585405000009</v>
      </c>
      <c r="V25" s="115">
        <f t="shared" si="2"/>
        <v>3476.2585405000009</v>
      </c>
      <c r="W25" s="115">
        <f t="shared" si="2"/>
        <v>3476.2585405000009</v>
      </c>
      <c r="X25" s="115">
        <f t="shared" si="2"/>
        <v>3476.2585405000009</v>
      </c>
      <c r="Y25" s="115">
        <f t="shared" si="2"/>
        <v>2864.3178867349998</v>
      </c>
      <c r="Z25" s="115">
        <f t="shared" si="2"/>
        <v>3247.1756491000006</v>
      </c>
      <c r="AA25" s="115">
        <f t="shared" si="2"/>
        <v>3247.1756491000006</v>
      </c>
      <c r="AB25" s="115">
        <f t="shared" si="2"/>
        <v>3247.1756491000006</v>
      </c>
      <c r="AC25" s="115">
        <f t="shared" si="2"/>
        <v>3247.1756491000006</v>
      </c>
      <c r="AD25" s="115">
        <f t="shared" si="2"/>
        <v>2864.3178867349998</v>
      </c>
      <c r="AE25" s="115">
        <f t="shared" si="2"/>
        <v>3247.1756491000006</v>
      </c>
      <c r="AF25" s="115">
        <f t="shared" si="2"/>
        <v>3247.1756491000006</v>
      </c>
      <c r="AG25" s="115">
        <f t="shared" si="2"/>
        <v>3083.9756491000007</v>
      </c>
      <c r="AH25" s="115">
        <f t="shared" si="2"/>
        <v>3083.9756491000007</v>
      </c>
      <c r="AI25" s="115">
        <f t="shared" si="2"/>
        <v>2920.7756491000009</v>
      </c>
      <c r="AJ25" s="121">
        <f>SUM(C25:AI25)</f>
        <v>84300.311918847743</v>
      </c>
      <c r="AK25" s="116" t="str">
        <f>IF(ROUND(AJ25,3)=ROUND(AJ23,3),"","ERROR")</f>
        <v/>
      </c>
    </row>
    <row r="27" spans="1:37" x14ac:dyDescent="0.2">
      <c r="A27" t="s">
        <v>387</v>
      </c>
      <c r="B27" t="s">
        <v>69</v>
      </c>
      <c r="C27" s="7">
        <f t="shared" ref="C27:AJ27" si="3">C21/C10</f>
        <v>0</v>
      </c>
      <c r="D27" s="7">
        <f t="shared" si="3"/>
        <v>0</v>
      </c>
      <c r="E27" s="7">
        <f t="shared" si="3"/>
        <v>0</v>
      </c>
      <c r="F27" s="7">
        <f t="shared" si="3"/>
        <v>0</v>
      </c>
      <c r="G27" s="7">
        <f t="shared" si="3"/>
        <v>0.9236413334714807</v>
      </c>
      <c r="H27" s="7">
        <f t="shared" si="3"/>
        <v>6.7431019859546429E-2</v>
      </c>
      <c r="I27" s="7">
        <f t="shared" si="3"/>
        <v>6.2285982306237012E-2</v>
      </c>
      <c r="J27" s="7">
        <f t="shared" si="3"/>
        <v>6.5668554231158194E-2</v>
      </c>
      <c r="K27" s="7">
        <f t="shared" si="3"/>
        <v>0.15493657954705656</v>
      </c>
      <c r="L27" s="7">
        <f t="shared" si="3"/>
        <v>0.29724595912804669</v>
      </c>
      <c r="M27" s="7">
        <f t="shared" si="3"/>
        <v>0.33037744141124864</v>
      </c>
      <c r="N27" s="7">
        <f t="shared" si="3"/>
        <v>0.38544892140790066</v>
      </c>
      <c r="O27" s="7">
        <f t="shared" si="3"/>
        <v>0.45365454795863852</v>
      </c>
      <c r="P27" s="7">
        <f t="shared" si="3"/>
        <v>0.44407493277886051</v>
      </c>
      <c r="Q27" s="7">
        <f t="shared" si="3"/>
        <v>0.44407493277886051</v>
      </c>
      <c r="R27" s="7">
        <f t="shared" si="3"/>
        <v>0.44407493277886051</v>
      </c>
      <c r="S27" s="7">
        <f t="shared" si="3"/>
        <v>0.50881269939267637</v>
      </c>
      <c r="T27" s="7">
        <f t="shared" si="3"/>
        <v>0.52415762296119828</v>
      </c>
      <c r="U27" s="7">
        <f t="shared" si="3"/>
        <v>0.50881269939267637</v>
      </c>
      <c r="V27" s="7">
        <f t="shared" si="3"/>
        <v>0.50881269939267637</v>
      </c>
      <c r="W27" s="7">
        <f t="shared" si="3"/>
        <v>0.50881269939267637</v>
      </c>
      <c r="X27" s="7">
        <f t="shared" si="3"/>
        <v>0.50881269939267637</v>
      </c>
      <c r="Y27" s="7">
        <f t="shared" si="3"/>
        <v>0.55940916046247824</v>
      </c>
      <c r="Z27" s="7">
        <f t="shared" si="3"/>
        <v>0.54118158269958438</v>
      </c>
      <c r="AA27" s="7">
        <f t="shared" si="3"/>
        <v>0.54118158269958438</v>
      </c>
      <c r="AB27" s="7">
        <f t="shared" si="3"/>
        <v>0.54118158269958438</v>
      </c>
      <c r="AC27" s="7">
        <f t="shared" si="3"/>
        <v>0.54118158269958438</v>
      </c>
      <c r="AD27" s="7">
        <f t="shared" si="3"/>
        <v>0.55940916046247824</v>
      </c>
      <c r="AE27" s="7">
        <f t="shared" si="3"/>
        <v>0.54118158269958438</v>
      </c>
      <c r="AF27" s="7">
        <f t="shared" si="3"/>
        <v>0.54118158269958438</v>
      </c>
      <c r="AG27" s="7">
        <f t="shared" si="3"/>
        <v>0.5238762545077823</v>
      </c>
      <c r="AH27" s="7">
        <f t="shared" si="3"/>
        <v>0.5238762545077823</v>
      </c>
      <c r="AI27" s="7">
        <f t="shared" si="3"/>
        <v>0.50303757811967553</v>
      </c>
      <c r="AJ27" s="7">
        <f t="shared" si="3"/>
        <v>0.49786256775010951</v>
      </c>
    </row>
    <row r="28" spans="1:37" ht="15.95" thickBot="1" x14ac:dyDescent="0.25"/>
    <row r="29" spans="1:37" ht="15.95" thickBot="1" x14ac:dyDescent="0.25">
      <c r="A29" t="s">
        <v>388</v>
      </c>
      <c r="B29" s="15">
        <f>'Assumptions &amp; Results'!C154</f>
        <v>0.1</v>
      </c>
      <c r="C29" s="379">
        <f>NPV(B29,C23:AI23)</f>
        <v>8497.053270831635</v>
      </c>
    </row>
    <row r="30" spans="1:37" ht="15.95" thickBot="1" x14ac:dyDescent="0.25">
      <c r="A30" t="s">
        <v>301</v>
      </c>
      <c r="C30" s="380">
        <f>IRR(C23:AI23)</f>
        <v>0.1512861269408301</v>
      </c>
    </row>
    <row r="31" spans="1:37" ht="15.95" thickBot="1" x14ac:dyDescent="0.25">
      <c r="C31" s="7"/>
      <c r="D31" s="120"/>
    </row>
    <row r="32" spans="1:37" ht="15.95" thickBot="1" x14ac:dyDescent="0.25">
      <c r="A32" t="s">
        <v>306</v>
      </c>
      <c r="C32" s="367">
        <f>AJ21</f>
        <v>83582.635068652278</v>
      </c>
      <c r="D32" s="120"/>
    </row>
    <row r="33" spans="1:36" ht="15.95" thickBot="1" x14ac:dyDescent="0.25">
      <c r="A33" t="s">
        <v>307</v>
      </c>
      <c r="B33" s="201">
        <f>'Assumptions &amp; Results'!C154</f>
        <v>0.1</v>
      </c>
      <c r="C33" s="367">
        <f>NPV(B33,C21:AI21)</f>
        <v>13212.389501123767</v>
      </c>
      <c r="D33" s="120"/>
    </row>
    <row r="34" spans="1:36" ht="15.95" thickBot="1" x14ac:dyDescent="0.25">
      <c r="A34" t="s">
        <v>308</v>
      </c>
      <c r="C34" s="369">
        <f>AJ21/AJ10</f>
        <v>0.49786256775010951</v>
      </c>
    </row>
    <row r="35" spans="1:36" ht="15.95" thickBot="1" x14ac:dyDescent="0.25">
      <c r="A35" t="s">
        <v>309</v>
      </c>
      <c r="C35" s="369">
        <f>(NPV('Assumptions &amp; Results'!C154,C21:AI21))/(NPV('Assumptions &amp; Results'!C154,C10:AI10))</f>
        <v>0.60860104240868584</v>
      </c>
    </row>
    <row r="37" spans="1:36" ht="21" x14ac:dyDescent="0.25">
      <c r="A37" s="117" t="str">
        <f>IF('Assumptions &amp; Results'!$C$172=1,"VALID","INVALID")</f>
        <v>VALID</v>
      </c>
      <c r="C37" s="19" t="s">
        <v>574</v>
      </c>
    </row>
    <row r="38" spans="1:36" ht="15.95" x14ac:dyDescent="0.2">
      <c r="A38" s="306" t="s">
        <v>486</v>
      </c>
    </row>
    <row r="39" spans="1:36" x14ac:dyDescent="0.2">
      <c r="A39" t="s">
        <v>481</v>
      </c>
      <c r="B39" t="s">
        <v>99</v>
      </c>
      <c r="C39" s="10">
        <f>'NOC &amp; IOC Shares'!C72</f>
        <v>-375.3</v>
      </c>
      <c r="D39" s="10">
        <f>'NOC &amp; IOC Shares'!D72</f>
        <v>-4718.7</v>
      </c>
      <c r="E39" s="10">
        <f>'NOC &amp; IOC Shares'!E72</f>
        <v>-7386.3</v>
      </c>
      <c r="F39" s="10">
        <f>'NOC &amp; IOC Shares'!F72</f>
        <v>-9747.9</v>
      </c>
      <c r="G39" s="10">
        <f>'NOC &amp; IOC Shares'!G72</f>
        <v>16.399203187500802</v>
      </c>
      <c r="H39" s="10">
        <f>'NOC &amp; IOC Shares'!H72</f>
        <v>5486.7984063750009</v>
      </c>
      <c r="I39" s="10">
        <f>'NOC &amp; IOC Shares'!I72</f>
        <v>5972.7984063750009</v>
      </c>
      <c r="J39" s="10">
        <f>'NOC &amp; IOC Shares'!J72</f>
        <v>5466.7501656581253</v>
      </c>
      <c r="K39" s="10">
        <f>'NOC &amp; IOC Shares'!K72</f>
        <v>5382.6575648093994</v>
      </c>
      <c r="L39" s="10">
        <f>'NOC &amp; IOC Shares'!L72</f>
        <v>4476.2135749200006</v>
      </c>
      <c r="M39" s="10">
        <f>'NOC &amp; IOC Shares'!M72</f>
        <v>4265.1815749200005</v>
      </c>
      <c r="N39" s="10">
        <f>'NOC &amp; IOC Shares'!N72</f>
        <v>3914.4020816479506</v>
      </c>
      <c r="O39" s="10">
        <f>'NOC &amp; IOC Shares'!O72</f>
        <v>3196.6537185269999</v>
      </c>
      <c r="P39" s="10">
        <f>'NOC &amp; IOC Shares'!P72</f>
        <v>3540.9818909700007</v>
      </c>
      <c r="Q39" s="10">
        <f>'NOC &amp; IOC Shares'!Q72</f>
        <v>3540.9818909700007</v>
      </c>
      <c r="R39" s="10">
        <f>'NOC &amp; IOC Shares'!R72</f>
        <v>3540.9818909700007</v>
      </c>
      <c r="S39" s="10">
        <f>'NOC &amp; IOC Shares'!S72</f>
        <v>3128.6326864500006</v>
      </c>
      <c r="T39" s="10">
        <f>'NOC &amp; IOC Shares'!T72</f>
        <v>2784.1419715500006</v>
      </c>
      <c r="U39" s="10">
        <f>'NOC &amp; IOC Shares'!U72</f>
        <v>3128.6326864500006</v>
      </c>
      <c r="V39" s="10">
        <f>'NOC &amp; IOC Shares'!V72</f>
        <v>3128.6326864500006</v>
      </c>
      <c r="W39" s="10">
        <f>'NOC &amp; IOC Shares'!W72</f>
        <v>3128.6326864500006</v>
      </c>
      <c r="X39" s="10">
        <f>'NOC &amp; IOC Shares'!X72</f>
        <v>3128.6326864500006</v>
      </c>
      <c r="Y39" s="10">
        <f>'NOC &amp; IOC Shares'!Y72</f>
        <v>2577.8860980615</v>
      </c>
      <c r="Z39" s="10">
        <f>'NOC &amp; IOC Shares'!Z72</f>
        <v>2922.4580841900001</v>
      </c>
      <c r="AA39" s="10">
        <f>'NOC &amp; IOC Shares'!AA72</f>
        <v>2922.4580841900001</v>
      </c>
      <c r="AB39" s="10">
        <f>'NOC &amp; IOC Shares'!AB72</f>
        <v>2922.4580841900001</v>
      </c>
      <c r="AC39" s="10">
        <f>'NOC &amp; IOC Shares'!AC72</f>
        <v>2922.4580841900001</v>
      </c>
      <c r="AD39" s="10">
        <f>'NOC &amp; IOC Shares'!AD72</f>
        <v>2577.8860980615</v>
      </c>
      <c r="AE39" s="10">
        <f>'NOC &amp; IOC Shares'!AE72</f>
        <v>2922.4580841900001</v>
      </c>
      <c r="AF39" s="10">
        <f>'NOC &amp; IOC Shares'!AF72</f>
        <v>2922.4580841900001</v>
      </c>
      <c r="AG39" s="10">
        <f>'NOC &amp; IOC Shares'!AG72</f>
        <v>2775.57808419</v>
      </c>
      <c r="AH39" s="10">
        <f>'NOC &amp; IOC Shares'!AH72</f>
        <v>2775.57808419</v>
      </c>
      <c r="AI39" s="10">
        <f>'NOC &amp; IOC Shares'!AI72</f>
        <v>2628.6980841900004</v>
      </c>
      <c r="AJ39" s="10">
        <f t="shared" ref="AJ39:AJ45" si="4">SUM(C39:AI39)</f>
        <v>75870.280726962985</v>
      </c>
    </row>
    <row r="40" spans="1:36" ht="18" x14ac:dyDescent="0.35">
      <c r="A40" t="s">
        <v>482</v>
      </c>
      <c r="B40" t="s">
        <v>99</v>
      </c>
      <c r="C40" s="307">
        <f>'NOC &amp; IOC Shares'!C74+'NOC &amp; IOC Shares'!C76</f>
        <v>-40</v>
      </c>
      <c r="D40" s="307">
        <f>'NOC &amp; IOC Shares'!D74+'NOC &amp; IOC Shares'!D76</f>
        <v>-84</v>
      </c>
      <c r="E40" s="307">
        <f>'NOC &amp; IOC Shares'!E74+'NOC &amp; IOC Shares'!E76</f>
        <v>-170</v>
      </c>
      <c r="F40" s="307">
        <f>'NOC &amp; IOC Shares'!F74+'NOC &amp; IOC Shares'!F76</f>
        <v>-380</v>
      </c>
      <c r="G40" s="307">
        <f>'NOC &amp; IOC Shares'!G74+'NOC &amp; IOC Shares'!G76</f>
        <v>-181.30296937499995</v>
      </c>
      <c r="H40" s="307">
        <f>'NOC &amp; IOC Shares'!H74+'NOC &amp; IOC Shares'!H76</f>
        <v>243.39406125000011</v>
      </c>
      <c r="I40" s="307">
        <f>'NOC &amp; IOC Shares'!I74+'NOC &amp; IOC Shares'!I76</f>
        <v>297.39406125000011</v>
      </c>
      <c r="J40" s="307">
        <f>'NOC &amp; IOC Shares'!J74+'NOC &amp; IOC Shares'!J76</f>
        <v>297.48037873125003</v>
      </c>
      <c r="K40" s="307">
        <f>'NOC &amp; IOC Shares'!K74+'NOC &amp; IOC Shares'!K76</f>
        <v>297.39406125000011</v>
      </c>
      <c r="L40" s="307">
        <f>'NOC &amp; IOC Shares'!L74+'NOC &amp; IOC Shares'!L76</f>
        <v>22.261733621312342</v>
      </c>
      <c r="M40" s="307">
        <f>'NOC &amp; IOC Shares'!M74+'NOC &amp; IOC Shares'!M76</f>
        <v>0</v>
      </c>
      <c r="N40" s="307">
        <f>'NOC &amp; IOC Shares'!N74+'NOC &amp; IOC Shares'!N76</f>
        <v>0</v>
      </c>
      <c r="O40" s="307">
        <f>'NOC &amp; IOC Shares'!O74+'NOC &amp; IOC Shares'!O76</f>
        <v>0</v>
      </c>
      <c r="P40" s="307">
        <f>'NOC &amp; IOC Shares'!P74+'NOC &amp; IOC Shares'!P76</f>
        <v>0</v>
      </c>
      <c r="Q40" s="307">
        <f>'NOC &amp; IOC Shares'!Q74+'NOC &amp; IOC Shares'!Q76</f>
        <v>0</v>
      </c>
      <c r="R40" s="307">
        <f>'NOC &amp; IOC Shares'!R74+'NOC &amp; IOC Shares'!R76</f>
        <v>0</v>
      </c>
      <c r="S40" s="307">
        <f>'NOC &amp; IOC Shares'!S74+'NOC &amp; IOC Shares'!S76</f>
        <v>0</v>
      </c>
      <c r="T40" s="307">
        <f>'NOC &amp; IOC Shares'!T74+'NOC &amp; IOC Shares'!T76</f>
        <v>0</v>
      </c>
      <c r="U40" s="307">
        <f>'NOC &amp; IOC Shares'!U74+'NOC &amp; IOC Shares'!U76</f>
        <v>0</v>
      </c>
      <c r="V40" s="307">
        <f>'NOC &amp; IOC Shares'!V74+'NOC &amp; IOC Shares'!V76</f>
        <v>0</v>
      </c>
      <c r="W40" s="307">
        <f>'NOC &amp; IOC Shares'!W74+'NOC &amp; IOC Shares'!W76</f>
        <v>0</v>
      </c>
      <c r="X40" s="307">
        <f>'NOC &amp; IOC Shares'!X74+'NOC &amp; IOC Shares'!X76</f>
        <v>0</v>
      </c>
      <c r="Y40" s="307">
        <f>'NOC &amp; IOC Shares'!Y74+'NOC &amp; IOC Shares'!Y76</f>
        <v>0</v>
      </c>
      <c r="Z40" s="307">
        <f>'NOC &amp; IOC Shares'!Z74+'NOC &amp; IOC Shares'!Z76</f>
        <v>0</v>
      </c>
      <c r="AA40" s="307">
        <f>'NOC &amp; IOC Shares'!AA74+'NOC &amp; IOC Shares'!AA76</f>
        <v>0</v>
      </c>
      <c r="AB40" s="307">
        <f>'NOC &amp; IOC Shares'!AB74+'NOC &amp; IOC Shares'!AB76</f>
        <v>0</v>
      </c>
      <c r="AC40" s="307">
        <f>'NOC &amp; IOC Shares'!AC74+'NOC &amp; IOC Shares'!AC76</f>
        <v>0</v>
      </c>
      <c r="AD40" s="307">
        <f>'NOC &amp; IOC Shares'!AD74+'NOC &amp; IOC Shares'!AD76</f>
        <v>0</v>
      </c>
      <c r="AE40" s="307">
        <f>'NOC &amp; IOC Shares'!AE74+'NOC &amp; IOC Shares'!AE76</f>
        <v>0</v>
      </c>
      <c r="AF40" s="307">
        <f>'NOC &amp; IOC Shares'!AF74+'NOC &amp; IOC Shares'!AF76</f>
        <v>0</v>
      </c>
      <c r="AG40" s="307">
        <f>'NOC &amp; IOC Shares'!AG74+'NOC &amp; IOC Shares'!AG76</f>
        <v>0</v>
      </c>
      <c r="AH40" s="307">
        <f>'NOC &amp; IOC Shares'!AH74+'NOC &amp; IOC Shares'!AH76</f>
        <v>0</v>
      </c>
      <c r="AI40" s="307">
        <f>'NOC &amp; IOC Shares'!AI74+'NOC &amp; IOC Shares'!AI76</f>
        <v>0</v>
      </c>
      <c r="AJ40" s="307">
        <f t="shared" si="4"/>
        <v>302.62132672756263</v>
      </c>
    </row>
    <row r="41" spans="1:36" x14ac:dyDescent="0.2">
      <c r="A41" t="s">
        <v>483</v>
      </c>
      <c r="B41" t="s">
        <v>99</v>
      </c>
      <c r="C41" s="10">
        <f>C39+C40</f>
        <v>-415.3</v>
      </c>
      <c r="D41" s="10">
        <f t="shared" ref="D41:AI41" si="5">D39+D40</f>
        <v>-4802.7</v>
      </c>
      <c r="E41" s="10">
        <f t="shared" si="5"/>
        <v>-7556.3</v>
      </c>
      <c r="F41" s="10">
        <f t="shared" si="5"/>
        <v>-10127.9</v>
      </c>
      <c r="G41" s="10">
        <f t="shared" si="5"/>
        <v>-164.90376618749914</v>
      </c>
      <c r="H41" s="10">
        <f t="shared" si="5"/>
        <v>5730.192467625001</v>
      </c>
      <c r="I41" s="10">
        <f t="shared" si="5"/>
        <v>6270.192467625001</v>
      </c>
      <c r="J41" s="10">
        <f t="shared" si="5"/>
        <v>5764.2305443893756</v>
      </c>
      <c r="K41" s="10">
        <f t="shared" si="5"/>
        <v>5680.0516260593995</v>
      </c>
      <c r="L41" s="10">
        <f t="shared" si="5"/>
        <v>4498.4753085413131</v>
      </c>
      <c r="M41" s="10">
        <f t="shared" si="5"/>
        <v>4265.1815749200005</v>
      </c>
      <c r="N41" s="10">
        <f t="shared" si="5"/>
        <v>3914.4020816479506</v>
      </c>
      <c r="O41" s="10">
        <f t="shared" si="5"/>
        <v>3196.6537185269999</v>
      </c>
      <c r="P41" s="10">
        <f t="shared" si="5"/>
        <v>3540.9818909700007</v>
      </c>
      <c r="Q41" s="10">
        <f t="shared" si="5"/>
        <v>3540.9818909700007</v>
      </c>
      <c r="R41" s="10">
        <f t="shared" si="5"/>
        <v>3540.9818909700007</v>
      </c>
      <c r="S41" s="10">
        <f t="shared" si="5"/>
        <v>3128.6326864500006</v>
      </c>
      <c r="T41" s="10">
        <f t="shared" si="5"/>
        <v>2784.1419715500006</v>
      </c>
      <c r="U41" s="10">
        <f t="shared" si="5"/>
        <v>3128.6326864500006</v>
      </c>
      <c r="V41" s="10">
        <f t="shared" si="5"/>
        <v>3128.6326864500006</v>
      </c>
      <c r="W41" s="10">
        <f t="shared" si="5"/>
        <v>3128.6326864500006</v>
      </c>
      <c r="X41" s="10">
        <f t="shared" si="5"/>
        <v>3128.6326864500006</v>
      </c>
      <c r="Y41" s="10">
        <f t="shared" si="5"/>
        <v>2577.8860980615</v>
      </c>
      <c r="Z41" s="10">
        <f t="shared" si="5"/>
        <v>2922.4580841900001</v>
      </c>
      <c r="AA41" s="10">
        <f t="shared" si="5"/>
        <v>2922.4580841900001</v>
      </c>
      <c r="AB41" s="10">
        <f t="shared" si="5"/>
        <v>2922.4580841900001</v>
      </c>
      <c r="AC41" s="10">
        <f t="shared" si="5"/>
        <v>2922.4580841900001</v>
      </c>
      <c r="AD41" s="10">
        <f t="shared" si="5"/>
        <v>2577.8860980615</v>
      </c>
      <c r="AE41" s="10">
        <f t="shared" si="5"/>
        <v>2922.4580841900001</v>
      </c>
      <c r="AF41" s="10">
        <f t="shared" si="5"/>
        <v>2922.4580841900001</v>
      </c>
      <c r="AG41" s="10">
        <f t="shared" si="5"/>
        <v>2775.57808419</v>
      </c>
      <c r="AH41" s="10">
        <f t="shared" si="5"/>
        <v>2775.57808419</v>
      </c>
      <c r="AI41" s="10">
        <f t="shared" si="5"/>
        <v>2628.6980841900004</v>
      </c>
      <c r="AJ41" s="10">
        <f t="shared" si="4"/>
        <v>76172.902053690545</v>
      </c>
    </row>
    <row r="42" spans="1:36" x14ac:dyDescent="0.25">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row>
    <row r="43" spans="1:36" x14ac:dyDescent="0.25">
      <c r="A43" t="s">
        <v>484</v>
      </c>
      <c r="B43" t="s">
        <v>99</v>
      </c>
      <c r="C43" s="10">
        <f>'NOC &amp; IOC Shares'!C41</f>
        <v>-41.7</v>
      </c>
      <c r="D43" s="10">
        <f>'NOC &amp; IOC Shares'!D41</f>
        <v>-524.30000000000007</v>
      </c>
      <c r="E43" s="10">
        <f>'NOC &amp; IOC Shares'!E41</f>
        <v>-820.7</v>
      </c>
      <c r="F43" s="10">
        <f>'NOC &amp; IOC Shares'!F41</f>
        <v>-1083.1000000000001</v>
      </c>
      <c r="G43" s="10">
        <f>'NOC &amp; IOC Shares'!G41</f>
        <v>1.8221336875000862</v>
      </c>
      <c r="H43" s="10">
        <f>'NOC &amp; IOC Shares'!H41</f>
        <v>609.64426737500025</v>
      </c>
      <c r="I43" s="10">
        <f>'NOC &amp; IOC Shares'!I41</f>
        <v>663.64426737500025</v>
      </c>
      <c r="J43" s="10">
        <f>'NOC &amp; IOC Shares'!J41</f>
        <v>607.41668507312511</v>
      </c>
      <c r="K43" s="10">
        <f>'NOC &amp; IOC Shares'!K41</f>
        <v>598.07306275659994</v>
      </c>
      <c r="L43" s="10">
        <f>'NOC &amp; IOC Shares'!L41</f>
        <v>497.35706388000006</v>
      </c>
      <c r="M43" s="10">
        <f>'NOC &amp; IOC Shares'!M41</f>
        <v>473.90906388000008</v>
      </c>
      <c r="N43" s="10">
        <f>'NOC &amp; IOC Shares'!N41</f>
        <v>434.93356462755014</v>
      </c>
      <c r="O43" s="10">
        <f>'NOC &amp; IOC Shares'!O41</f>
        <v>355.18374650300007</v>
      </c>
      <c r="P43" s="10">
        <f>'NOC &amp; IOC Shares'!P41</f>
        <v>393.44243233000014</v>
      </c>
      <c r="Q43" s="10">
        <f>'NOC &amp; IOC Shares'!Q41</f>
        <v>393.44243233000014</v>
      </c>
      <c r="R43" s="10">
        <f>'NOC &amp; IOC Shares'!R41</f>
        <v>393.44243233000014</v>
      </c>
      <c r="S43" s="10">
        <f>'NOC &amp; IOC Shares'!S41</f>
        <v>347.62585405000004</v>
      </c>
      <c r="T43" s="10">
        <f>'NOC &amp; IOC Shares'!T41</f>
        <v>309.34910794999996</v>
      </c>
      <c r="U43" s="10">
        <f>'NOC &amp; IOC Shares'!U41</f>
        <v>347.62585405000004</v>
      </c>
      <c r="V43" s="10">
        <f>'NOC &amp; IOC Shares'!V41</f>
        <v>347.62585405000004</v>
      </c>
      <c r="W43" s="10">
        <f>'NOC &amp; IOC Shares'!W41</f>
        <v>347.62585405000004</v>
      </c>
      <c r="X43" s="10">
        <f>'NOC &amp; IOC Shares'!X41</f>
        <v>347.62585405000004</v>
      </c>
      <c r="Y43" s="10">
        <f>'NOC &amp; IOC Shares'!Y41</f>
        <v>286.43178867350002</v>
      </c>
      <c r="Z43" s="10">
        <f>'NOC &amp; IOC Shares'!Z41</f>
        <v>324.71756491000002</v>
      </c>
      <c r="AA43" s="10">
        <f>'NOC &amp; IOC Shares'!AA41</f>
        <v>324.71756491000002</v>
      </c>
      <c r="AB43" s="10">
        <f>'NOC &amp; IOC Shares'!AB41</f>
        <v>324.71756491000002</v>
      </c>
      <c r="AC43" s="10">
        <f>'NOC &amp; IOC Shares'!AC41</f>
        <v>324.71756491000002</v>
      </c>
      <c r="AD43" s="10">
        <f>'NOC &amp; IOC Shares'!AD41</f>
        <v>286.43178867350002</v>
      </c>
      <c r="AE43" s="10">
        <f>'NOC &amp; IOC Shares'!AE41</f>
        <v>324.71756491000002</v>
      </c>
      <c r="AF43" s="10">
        <f>'NOC &amp; IOC Shares'!AF41</f>
        <v>324.71756491000002</v>
      </c>
      <c r="AG43" s="10">
        <f>'NOC &amp; IOC Shares'!AG41</f>
        <v>308.39756491000003</v>
      </c>
      <c r="AH43" s="10">
        <f>'NOC &amp; IOC Shares'!AH41</f>
        <v>308.39756491000003</v>
      </c>
      <c r="AI43" s="10">
        <f>'NOC &amp; IOC Shares'!AI41</f>
        <v>292.07756491000004</v>
      </c>
      <c r="AJ43" s="10">
        <f t="shared" si="4"/>
        <v>8430.0311918847765</v>
      </c>
    </row>
    <row r="44" spans="1:36" ht="17.25" x14ac:dyDescent="0.4">
      <c r="A44" t="s">
        <v>482</v>
      </c>
      <c r="B44" t="s">
        <v>99</v>
      </c>
      <c r="C44" s="307">
        <f>'NOC &amp; IOC Shares'!C43+'NOC &amp; IOC Shares'!C45</f>
        <v>40</v>
      </c>
      <c r="D44" s="307">
        <f>'NOC &amp; IOC Shares'!D43+'NOC &amp; IOC Shares'!D45</f>
        <v>84</v>
      </c>
      <c r="E44" s="307">
        <f>'NOC &amp; IOC Shares'!E43+'NOC &amp; IOC Shares'!E45</f>
        <v>170</v>
      </c>
      <c r="F44" s="307">
        <f>'NOC &amp; IOC Shares'!F43+'NOC &amp; IOC Shares'!F45</f>
        <v>380</v>
      </c>
      <c r="G44" s="307">
        <f>'NOC &amp; IOC Shares'!G43+'NOC &amp; IOC Shares'!G45</f>
        <v>181.30296937499995</v>
      </c>
      <c r="H44" s="307">
        <f>'NOC &amp; IOC Shares'!H43+'NOC &amp; IOC Shares'!H45</f>
        <v>-243.39406125000011</v>
      </c>
      <c r="I44" s="307">
        <f>'NOC &amp; IOC Shares'!I43+'NOC &amp; IOC Shares'!I45</f>
        <v>-297.39406125000011</v>
      </c>
      <c r="J44" s="307">
        <f>'NOC &amp; IOC Shares'!J43+'NOC &amp; IOC Shares'!J45</f>
        <v>-297.48037873125003</v>
      </c>
      <c r="K44" s="307">
        <f>'NOC &amp; IOC Shares'!K43+'NOC &amp; IOC Shares'!K45</f>
        <v>-297.39406125000011</v>
      </c>
      <c r="L44" s="307">
        <f>'NOC &amp; IOC Shares'!L43+'NOC &amp; IOC Shares'!L45</f>
        <v>-22.261733621312342</v>
      </c>
      <c r="M44" s="307">
        <f>'NOC &amp; IOC Shares'!M43+'NOC &amp; IOC Shares'!M45</f>
        <v>0</v>
      </c>
      <c r="N44" s="307">
        <f>'NOC &amp; IOC Shares'!N43+'NOC &amp; IOC Shares'!N45</f>
        <v>0</v>
      </c>
      <c r="O44" s="307">
        <f>'NOC &amp; IOC Shares'!O43+'NOC &amp; IOC Shares'!O45</f>
        <v>0</v>
      </c>
      <c r="P44" s="307">
        <f>'NOC &amp; IOC Shares'!P43+'NOC &amp; IOC Shares'!P45</f>
        <v>0</v>
      </c>
      <c r="Q44" s="307">
        <f>'NOC &amp; IOC Shares'!Q43+'NOC &amp; IOC Shares'!Q45</f>
        <v>0</v>
      </c>
      <c r="R44" s="307">
        <f>'NOC &amp; IOC Shares'!R43+'NOC &amp; IOC Shares'!R45</f>
        <v>0</v>
      </c>
      <c r="S44" s="307">
        <f>'NOC &amp; IOC Shares'!S43+'NOC &amp; IOC Shares'!S45</f>
        <v>0</v>
      </c>
      <c r="T44" s="307">
        <f>'NOC &amp; IOC Shares'!T43+'NOC &amp; IOC Shares'!T45</f>
        <v>0</v>
      </c>
      <c r="U44" s="307">
        <f>'NOC &amp; IOC Shares'!U43+'NOC &amp; IOC Shares'!U45</f>
        <v>0</v>
      </c>
      <c r="V44" s="307">
        <f>'NOC &amp; IOC Shares'!V43+'NOC &amp; IOC Shares'!V45</f>
        <v>0</v>
      </c>
      <c r="W44" s="307">
        <f>'NOC &amp; IOC Shares'!W43+'NOC &amp; IOC Shares'!W45</f>
        <v>0</v>
      </c>
      <c r="X44" s="307">
        <f>'NOC &amp; IOC Shares'!X43+'NOC &amp; IOC Shares'!X45</f>
        <v>0</v>
      </c>
      <c r="Y44" s="307">
        <f>'NOC &amp; IOC Shares'!Y43+'NOC &amp; IOC Shares'!Y45</f>
        <v>0</v>
      </c>
      <c r="Z44" s="307">
        <f>'NOC &amp; IOC Shares'!Z43+'NOC &amp; IOC Shares'!Z45</f>
        <v>0</v>
      </c>
      <c r="AA44" s="307">
        <f>'NOC &amp; IOC Shares'!AA43+'NOC &amp; IOC Shares'!AA45</f>
        <v>0</v>
      </c>
      <c r="AB44" s="307">
        <f>'NOC &amp; IOC Shares'!AB43+'NOC &amp; IOC Shares'!AB45</f>
        <v>0</v>
      </c>
      <c r="AC44" s="307">
        <f>'NOC &amp; IOC Shares'!AC43+'NOC &amp; IOC Shares'!AC45</f>
        <v>0</v>
      </c>
      <c r="AD44" s="307">
        <f>'NOC &amp; IOC Shares'!AD43+'NOC &amp; IOC Shares'!AD45</f>
        <v>0</v>
      </c>
      <c r="AE44" s="307">
        <f>'NOC &amp; IOC Shares'!AE43+'NOC &amp; IOC Shares'!AE45</f>
        <v>0</v>
      </c>
      <c r="AF44" s="307">
        <f>'NOC &amp; IOC Shares'!AF43+'NOC &amp; IOC Shares'!AF45</f>
        <v>0</v>
      </c>
      <c r="AG44" s="307">
        <f>'NOC &amp; IOC Shares'!AG43+'NOC &amp; IOC Shares'!AG45</f>
        <v>0</v>
      </c>
      <c r="AH44" s="307">
        <f>'NOC &amp; IOC Shares'!AH43+'NOC &amp; IOC Shares'!AH45</f>
        <v>0</v>
      </c>
      <c r="AI44" s="307">
        <f>'NOC &amp; IOC Shares'!AI43+'NOC &amp; IOC Shares'!AI45</f>
        <v>0</v>
      </c>
      <c r="AJ44" s="307">
        <f t="shared" si="4"/>
        <v>-302.62132672756263</v>
      </c>
    </row>
    <row r="45" spans="1:36" x14ac:dyDescent="0.25">
      <c r="A45" t="s">
        <v>485</v>
      </c>
      <c r="B45" t="s">
        <v>99</v>
      </c>
      <c r="C45" s="10">
        <f>C43+C44</f>
        <v>-1.7000000000000028</v>
      </c>
      <c r="D45" s="10">
        <f t="shared" ref="D45:AI45" si="6">D43+D44</f>
        <v>-440.30000000000007</v>
      </c>
      <c r="E45" s="10">
        <f t="shared" si="6"/>
        <v>-650.70000000000005</v>
      </c>
      <c r="F45" s="10">
        <f t="shared" si="6"/>
        <v>-703.10000000000014</v>
      </c>
      <c r="G45" s="10">
        <f t="shared" si="6"/>
        <v>183.12510306250005</v>
      </c>
      <c r="H45" s="10">
        <f t="shared" si="6"/>
        <v>366.25020612500015</v>
      </c>
      <c r="I45" s="10">
        <f t="shared" si="6"/>
        <v>366.25020612500015</v>
      </c>
      <c r="J45" s="10">
        <f t="shared" si="6"/>
        <v>309.93630634187508</v>
      </c>
      <c r="K45" s="10">
        <f t="shared" si="6"/>
        <v>300.67900150659983</v>
      </c>
      <c r="L45" s="10">
        <f t="shared" si="6"/>
        <v>475.09533025868774</v>
      </c>
      <c r="M45" s="10">
        <f t="shared" si="6"/>
        <v>473.90906388000008</v>
      </c>
      <c r="N45" s="10">
        <f t="shared" si="6"/>
        <v>434.93356462755014</v>
      </c>
      <c r="O45" s="10">
        <f t="shared" si="6"/>
        <v>355.18374650300007</v>
      </c>
      <c r="P45" s="10">
        <f t="shared" si="6"/>
        <v>393.44243233000014</v>
      </c>
      <c r="Q45" s="10">
        <f t="shared" si="6"/>
        <v>393.44243233000014</v>
      </c>
      <c r="R45" s="10">
        <f t="shared" si="6"/>
        <v>393.44243233000014</v>
      </c>
      <c r="S45" s="10">
        <f t="shared" si="6"/>
        <v>347.62585405000004</v>
      </c>
      <c r="T45" s="10">
        <f t="shared" si="6"/>
        <v>309.34910794999996</v>
      </c>
      <c r="U45" s="10">
        <f t="shared" si="6"/>
        <v>347.62585405000004</v>
      </c>
      <c r="V45" s="10">
        <f t="shared" si="6"/>
        <v>347.62585405000004</v>
      </c>
      <c r="W45" s="10">
        <f t="shared" si="6"/>
        <v>347.62585405000004</v>
      </c>
      <c r="X45" s="10">
        <f t="shared" si="6"/>
        <v>347.62585405000004</v>
      </c>
      <c r="Y45" s="10">
        <f t="shared" si="6"/>
        <v>286.43178867350002</v>
      </c>
      <c r="Z45" s="10">
        <f t="shared" si="6"/>
        <v>324.71756491000002</v>
      </c>
      <c r="AA45" s="10">
        <f t="shared" si="6"/>
        <v>324.71756491000002</v>
      </c>
      <c r="AB45" s="10">
        <f t="shared" si="6"/>
        <v>324.71756491000002</v>
      </c>
      <c r="AC45" s="10">
        <f t="shared" si="6"/>
        <v>324.71756491000002</v>
      </c>
      <c r="AD45" s="10">
        <f t="shared" si="6"/>
        <v>286.43178867350002</v>
      </c>
      <c r="AE45" s="10">
        <f t="shared" si="6"/>
        <v>324.71756491000002</v>
      </c>
      <c r="AF45" s="10">
        <f t="shared" si="6"/>
        <v>324.71756491000002</v>
      </c>
      <c r="AG45" s="10">
        <f t="shared" si="6"/>
        <v>308.39756491000003</v>
      </c>
      <c r="AH45" s="10">
        <f t="shared" si="6"/>
        <v>308.39756491000003</v>
      </c>
      <c r="AI45" s="10">
        <f t="shared" si="6"/>
        <v>292.07756491000004</v>
      </c>
      <c r="AJ45" s="10">
        <f t="shared" si="4"/>
        <v>8127.409865157214</v>
      </c>
    </row>
  </sheetData>
  <pageMargins left="0.7" right="0.7" top="0.75" bottom="0.75" header="0.3" footer="0.3"/>
  <pageSetup orientation="portrait" horizontalDpi="4294967292" verticalDpi="429496729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0" tint="-0.34998626667073579"/>
  </sheetPr>
  <dimension ref="A1:AK48"/>
  <sheetViews>
    <sheetView workbookViewId="0">
      <selection activeCell="A17" sqref="A17"/>
    </sheetView>
  </sheetViews>
  <sheetFormatPr defaultColWidth="8.85546875" defaultRowHeight="15" x14ac:dyDescent="0.25"/>
  <cols>
    <col min="1" max="1" width="77.140625" bestFit="1" customWidth="1"/>
    <col min="2" max="2" width="14.140625" customWidth="1"/>
    <col min="6" max="6" width="10.85546875" customWidth="1"/>
    <col min="7" max="7" width="13.140625" customWidth="1"/>
    <col min="36" max="36" width="10.42578125" customWidth="1"/>
  </cols>
  <sheetData>
    <row r="1" spans="1:37" ht="21" x14ac:dyDescent="0.25">
      <c r="A1" s="197" t="s">
        <v>430</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122"/>
      <c r="AK1" s="69"/>
    </row>
    <row r="2" spans="1:37" s="79" customFormat="1" ht="21" x14ac:dyDescent="0.25">
      <c r="A2" s="117" t="str">
        <f>IF('Assumptions &amp; Results'!$C$172=3,"VALID","INVALID")</f>
        <v>INVALID</v>
      </c>
      <c r="C2" s="333" t="s">
        <v>575</v>
      </c>
      <c r="AJ2" s="134"/>
    </row>
    <row r="3" spans="1:37" ht="15.95" thickBot="1" x14ac:dyDescent="0.25">
      <c r="B3" s="1" t="s">
        <v>222</v>
      </c>
      <c r="C3" s="1">
        <f>'Assumptions &amp; Results'!D2</f>
        <v>2017</v>
      </c>
      <c r="D3" s="1">
        <f>'Assumptions &amp; Results'!E2</f>
        <v>2018</v>
      </c>
      <c r="E3" s="1">
        <f>'Assumptions &amp; Results'!F2</f>
        <v>2019</v>
      </c>
      <c r="F3" s="1">
        <f>'Assumptions &amp; Results'!G2</f>
        <v>2020</v>
      </c>
      <c r="G3" s="1">
        <f>'Assumptions &amp; Results'!H2</f>
        <v>2021</v>
      </c>
      <c r="H3" s="1">
        <f>'Assumptions &amp; Results'!I2</f>
        <v>2022</v>
      </c>
      <c r="I3" s="1">
        <f>'Assumptions &amp; Results'!J2</f>
        <v>2023</v>
      </c>
      <c r="J3" s="1">
        <f>'Assumptions &amp; Results'!K2</f>
        <v>2024</v>
      </c>
      <c r="K3" s="1">
        <f>'Assumptions &amp; Results'!L2</f>
        <v>2025</v>
      </c>
      <c r="L3" s="1">
        <f>'Assumptions &amp; Results'!M2</f>
        <v>2026</v>
      </c>
      <c r="M3" s="1">
        <f>'Assumptions &amp; Results'!N2</f>
        <v>2027</v>
      </c>
      <c r="N3" s="1">
        <f>'Assumptions &amp; Results'!O2</f>
        <v>2028</v>
      </c>
      <c r="O3" s="1">
        <f>'Assumptions &amp; Results'!P2</f>
        <v>2029</v>
      </c>
      <c r="P3" s="1">
        <f>'Assumptions &amp; Results'!Q2</f>
        <v>2030</v>
      </c>
      <c r="Q3" s="1">
        <f>'Assumptions &amp; Results'!R2</f>
        <v>2031</v>
      </c>
      <c r="R3" s="1">
        <f>'Assumptions &amp; Results'!S2</f>
        <v>2032</v>
      </c>
      <c r="S3" s="1">
        <f>'Assumptions &amp; Results'!T2</f>
        <v>2033</v>
      </c>
      <c r="T3" s="1">
        <f>'Assumptions &amp; Results'!U2</f>
        <v>2034</v>
      </c>
      <c r="U3" s="1">
        <f>'Assumptions &amp; Results'!V2</f>
        <v>2035</v>
      </c>
      <c r="V3" s="1">
        <f>'Assumptions &amp; Results'!W2</f>
        <v>2036</v>
      </c>
      <c r="W3" s="1">
        <f>'Assumptions &amp; Results'!X2</f>
        <v>2037</v>
      </c>
      <c r="X3" s="1">
        <f>'Assumptions &amp; Results'!Y2</f>
        <v>2038</v>
      </c>
      <c r="Y3" s="1">
        <f>'Assumptions &amp; Results'!Z2</f>
        <v>2039</v>
      </c>
      <c r="Z3" s="1">
        <f>'Assumptions &amp; Results'!AA2</f>
        <v>2040</v>
      </c>
      <c r="AA3" s="1">
        <f>'Assumptions &amp; Results'!AB2</f>
        <v>2041</v>
      </c>
      <c r="AB3" s="1">
        <f>'Assumptions &amp; Results'!AC2</f>
        <v>2042</v>
      </c>
      <c r="AC3" s="1">
        <f>'Assumptions &amp; Results'!AD2</f>
        <v>2043</v>
      </c>
      <c r="AD3" s="1">
        <f>'Assumptions &amp; Results'!AE2</f>
        <v>2044</v>
      </c>
      <c r="AE3" s="1">
        <f>'Assumptions &amp; Results'!AF2</f>
        <v>2045</v>
      </c>
      <c r="AF3" s="1">
        <f>'Assumptions &amp; Results'!AG2</f>
        <v>2046</v>
      </c>
      <c r="AG3" s="1">
        <f>'Assumptions &amp; Results'!AH2</f>
        <v>2047</v>
      </c>
      <c r="AH3" s="1">
        <f>'Assumptions &amp; Results'!AI2</f>
        <v>2048</v>
      </c>
      <c r="AI3" s="1">
        <f>'Assumptions &amp; Results'!AJ2</f>
        <v>2049</v>
      </c>
      <c r="AJ3" s="123" t="s">
        <v>63</v>
      </c>
    </row>
    <row r="4" spans="1:37" ht="15.95" thickBot="1" x14ac:dyDescent="0.25">
      <c r="A4" t="s">
        <v>567</v>
      </c>
      <c r="B4" t="str">
        <f>'Assumptions &amp; Results'!B119</f>
        <v>Straight Line</v>
      </c>
      <c r="C4" s="34">
        <f>'Assumptions &amp; Results'!$C$119</f>
        <v>4</v>
      </c>
      <c r="AJ4" s="124"/>
    </row>
    <row r="5" spans="1:37" x14ac:dyDescent="0.2">
      <c r="C5" s="38"/>
      <c r="AJ5" s="124"/>
    </row>
    <row r="6" spans="1:37" x14ac:dyDescent="0.2">
      <c r="A6" t="s">
        <v>394</v>
      </c>
      <c r="B6" t="str">
        <f>'Assumptions &amp; Results'!B40</f>
        <v>$MM</v>
      </c>
      <c r="C6" s="8">
        <f>IF('Assumptions &amp; Results'!$C$85=1,('Assumptions &amp; Results'!D40+'Assumptions &amp; Results'!D49+'Assumptions &amp; Results'!D58+'Assumptions &amp; Results'!D65+'Assumptions &amp; Results'!D83-'Assumptions &amp; Results'!D79+'One Ring Fence Depr'!C8),('Assumptions &amp; Results'!D40+'Assumptions &amp; Results'!D49+'Assumptions &amp; Results'!D58+'Assumptions &amp; Results'!D65+'Assumptions &amp; Results'!D83))</f>
        <v>417</v>
      </c>
      <c r="D6" s="8">
        <f>IF('Assumptions &amp; Results'!$C$85=1,('Assumptions &amp; Results'!E40+'Assumptions &amp; Results'!E49+'Assumptions &amp; Results'!E58+'Assumptions &amp; Results'!E65+'Assumptions &amp; Results'!E83-'Assumptions &amp; Results'!E79+'One Ring Fence Depr'!D8),('Assumptions &amp; Results'!E40+'Assumptions &amp; Results'!E49+'Assumptions &amp; Results'!E58+'Assumptions &amp; Results'!E65+'Assumptions &amp; Results'!E83))</f>
        <v>5243</v>
      </c>
      <c r="E6" s="8">
        <f>IF('Assumptions &amp; Results'!$C$85=1,('Assumptions &amp; Results'!F40+'Assumptions &amp; Results'!F49+'Assumptions &amp; Results'!F58+'Assumptions &amp; Results'!F65+'Assumptions &amp; Results'!F83-'Assumptions &amp; Results'!F79+'One Ring Fence Depr'!E8),('Assumptions &amp; Results'!F40+'Assumptions &amp; Results'!F49+'Assumptions &amp; Results'!F58+'Assumptions &amp; Results'!F65+'Assumptions &amp; Results'!F83))</f>
        <v>8207</v>
      </c>
      <c r="F6" s="8">
        <f>IF('Assumptions &amp; Results'!$C$85=1,('Assumptions &amp; Results'!G40+'Assumptions &amp; Results'!G49+'Assumptions &amp; Results'!G58+'Assumptions &amp; Results'!G65+'Assumptions &amp; Results'!G83-'Assumptions &amp; Results'!G79+'One Ring Fence Depr'!F8),('Assumptions &amp; Results'!G40+'Assumptions &amp; Results'!G49+'Assumptions &amp; Results'!G58+'Assumptions &amp; Results'!G65+'Assumptions &amp; Results'!G83))</f>
        <v>10831</v>
      </c>
      <c r="G6" s="8">
        <f>IF('Assumptions &amp; Results'!$C$85=1,('Assumptions &amp; Results'!H40+'Assumptions &amp; Results'!H49+'Assumptions &amp; Results'!H58+'Assumptions &amp; Results'!H65+'Assumptions &amp; Results'!H83-'Assumptions &amp; Results'!H79+'One Ring Fence Depr'!G8),('Assumptions &amp; Results'!H40+'Assumptions &amp; Results'!H49+'Assumptions &amp; Results'!H58+'Assumptions &amp; Results'!H65+'Assumptions &amp; Results'!H83))</f>
        <v>3300</v>
      </c>
      <c r="H6" s="8">
        <f>IF('Assumptions &amp; Results'!$C$85=1,('Assumptions &amp; Results'!I40+'Assumptions &amp; Results'!I49+'Assumptions &amp; Results'!I58+'Assumptions &amp; Results'!I65+'Assumptions &amp; Results'!I83-'Assumptions &amp; Results'!I79+'One Ring Fence Depr'!H8),('Assumptions &amp; Results'!I40+'Assumptions &amp; Results'!I49+'Assumptions &amp; Results'!I58+'Assumptions &amp; Results'!I65+'Assumptions &amp; Results'!I83))</f>
        <v>540</v>
      </c>
      <c r="I6" s="8">
        <f>IF('Assumptions &amp; Results'!$C$85=1,('Assumptions &amp; Results'!J40+'Assumptions &amp; Results'!J49+'Assumptions &amp; Results'!J58+'Assumptions &amp; Results'!J65+'Assumptions &amp; Results'!J83-'Assumptions &amp; Results'!J79+'One Ring Fence Depr'!I8),('Assumptions &amp; Results'!J40+'Assumptions &amp; Results'!J49+'Assumptions &amp; Results'!J58+'Assumptions &amp; Results'!J65+'Assumptions &amp; Results'!J83))</f>
        <v>0</v>
      </c>
      <c r="J6" s="8">
        <f>IF('Assumptions &amp; Results'!$C$85=1,('Assumptions &amp; Results'!K40+'Assumptions &amp; Results'!K49+'Assumptions &amp; Results'!K58+'Assumptions &amp; Results'!K65+'Assumptions &amp; Results'!K83-'Assumptions &amp; Results'!K79+'One Ring Fence Depr'!J8),('Assumptions &amp; Results'!K40+'Assumptions &amp; Results'!K49+'Assumptions &amp; Results'!K58+'Assumptions &amp; Results'!K65+'Assumptions &amp; Results'!K83))</f>
        <v>0</v>
      </c>
      <c r="K6" s="8">
        <f>IF('Assumptions &amp; Results'!$C$85=1,('Assumptions &amp; Results'!L40+'Assumptions &amp; Results'!L49+'Assumptions &amp; Results'!L58+'Assumptions &amp; Results'!L65+'Assumptions &amp; Results'!L83-'Assumptions &amp; Results'!L79+'One Ring Fence Depr'!K8),('Assumptions &amp; Results'!L40+'Assumptions &amp; Results'!L49+'Assumptions &amp; Results'!L58+'Assumptions &amp; Results'!L65+'Assumptions &amp; Results'!L83))</f>
        <v>0</v>
      </c>
      <c r="L6" s="8">
        <f>IF('Assumptions &amp; Results'!$C$85=1,('Assumptions &amp; Results'!M40+'Assumptions &amp; Results'!M49+'Assumptions &amp; Results'!M58+'Assumptions &amp; Results'!M65+'Assumptions &amp; Results'!M83-'Assumptions &amp; Results'!M79+'One Ring Fence Depr'!L8),('Assumptions &amp; Results'!M40+'Assumptions &amp; Results'!M49+'Assumptions &amp; Results'!M58+'Assumptions &amp; Results'!M65+'Assumptions &amp; Results'!M83))</f>
        <v>0</v>
      </c>
      <c r="M6" s="8">
        <f>IF('Assumptions &amp; Results'!$C$85=1,('Assumptions &amp; Results'!N40+'Assumptions &amp; Results'!N49+'Assumptions &amp; Results'!N58+'Assumptions &amp; Results'!N65+'Assumptions &amp; Results'!N83-'Assumptions &amp; Results'!N79+'One Ring Fence Depr'!M8),('Assumptions &amp; Results'!N40+'Assumptions &amp; Results'!N49+'Assumptions &amp; Results'!N58+'Assumptions &amp; Results'!N65+'Assumptions &amp; Results'!N83))</f>
        <v>0</v>
      </c>
      <c r="N6" s="8">
        <f>IF('Assumptions &amp; Results'!$C$85=1,('Assumptions &amp; Results'!O40+'Assumptions &amp; Results'!O49+'Assumptions &amp; Results'!O58+'Assumptions &amp; Results'!O65+'Assumptions &amp; Results'!O83-'Assumptions &amp; Results'!O79+'One Ring Fence Depr'!N8),('Assumptions &amp; Results'!O40+'Assumptions &amp; Results'!O49+'Assumptions &amp; Results'!O58+'Assumptions &amp; Results'!O65+'Assumptions &amp; Results'!O83))</f>
        <v>0</v>
      </c>
      <c r="O6" s="8">
        <f>IF('Assumptions &amp; Results'!$C$85=1,('Assumptions &amp; Results'!P40+'Assumptions &amp; Results'!P49+'Assumptions &amp; Results'!P58+'Assumptions &amp; Results'!P65+'Assumptions &amp; Results'!P83-'Assumptions &amp; Results'!P79+'One Ring Fence Depr'!O8),('Assumptions &amp; Results'!P40+'Assumptions &amp; Results'!P49+'Assumptions &amp; Results'!P58+'Assumptions &amp; Results'!P65+'Assumptions &amp; Results'!P83))</f>
        <v>0</v>
      </c>
      <c r="P6" s="8">
        <f>IF('Assumptions &amp; Results'!$C$85=1,('Assumptions &amp; Results'!Q40+'Assumptions &amp; Results'!Q49+'Assumptions &amp; Results'!Q58+'Assumptions &amp; Results'!Q65+'Assumptions &amp; Results'!Q83-'Assumptions &amp; Results'!Q79+'One Ring Fence Depr'!P8),('Assumptions &amp; Results'!Q40+'Assumptions &amp; Results'!Q49+'Assumptions &amp; Results'!Q58+'Assumptions &amp; Results'!Q65+'Assumptions &amp; Results'!Q83))</f>
        <v>0</v>
      </c>
      <c r="Q6" s="8">
        <f>IF('Assumptions &amp; Results'!$C$85=1,('Assumptions &amp; Results'!R40+'Assumptions &amp; Results'!R49+'Assumptions &amp; Results'!R58+'Assumptions &amp; Results'!R65+'Assumptions &amp; Results'!R83-'Assumptions &amp; Results'!R79+'One Ring Fence Depr'!Q8),('Assumptions &amp; Results'!R40+'Assumptions &amp; Results'!R49+'Assumptions &amp; Results'!R58+'Assumptions &amp; Results'!R65+'Assumptions &amp; Results'!R83))</f>
        <v>0</v>
      </c>
      <c r="R6" s="8">
        <f>IF('Assumptions &amp; Results'!$C$85=1,('Assumptions &amp; Results'!S40+'Assumptions &amp; Results'!S49+'Assumptions &amp; Results'!S58+'Assumptions &amp; Results'!S65+'Assumptions &amp; Results'!S83-'Assumptions &amp; Results'!S79+'One Ring Fence Depr'!R8),('Assumptions &amp; Results'!S40+'Assumptions &amp; Results'!S49+'Assumptions &amp; Results'!S58+'Assumptions &amp; Results'!S65+'Assumptions &amp; Results'!S83))</f>
        <v>0</v>
      </c>
      <c r="S6" s="8">
        <f>IF('Assumptions &amp; Results'!$C$85=1,('Assumptions &amp; Results'!T40+'Assumptions &amp; Results'!T49+'Assumptions &amp; Results'!T58+'Assumptions &amp; Results'!T65+'Assumptions &amp; Results'!T83-'Assumptions &amp; Results'!T79+'One Ring Fence Depr'!S8),('Assumptions &amp; Results'!T40+'Assumptions &amp; Results'!T49+'Assumptions &amp; Results'!T58+'Assumptions &amp; Results'!T65+'Assumptions &amp; Results'!T83))</f>
        <v>0</v>
      </c>
      <c r="T6" s="8">
        <f>IF('Assumptions &amp; Results'!$C$85=1,('Assumptions &amp; Results'!U40+'Assumptions &amp; Results'!U49+'Assumptions &amp; Results'!U58+'Assumptions &amp; Results'!U65+'Assumptions &amp; Results'!U83-'Assumptions &amp; Results'!U79+'One Ring Fence Depr'!T8),('Assumptions &amp; Results'!U40+'Assumptions &amp; Results'!U49+'Assumptions &amp; Results'!U58+'Assumptions &amp; Results'!U65+'Assumptions &amp; Results'!U83))</f>
        <v>0</v>
      </c>
      <c r="U6" s="8">
        <f>IF('Assumptions &amp; Results'!$C$85=1,('Assumptions &amp; Results'!V40+'Assumptions &amp; Results'!V49+'Assumptions &amp; Results'!V58+'Assumptions &amp; Results'!V65+'Assumptions &amp; Results'!V83-'Assumptions &amp; Results'!V79+'One Ring Fence Depr'!U8),('Assumptions &amp; Results'!V40+'Assumptions &amp; Results'!V49+'Assumptions &amp; Results'!V58+'Assumptions &amp; Results'!V65+'Assumptions &amp; Results'!V83))</f>
        <v>0</v>
      </c>
      <c r="V6" s="8">
        <f>IF('Assumptions &amp; Results'!$C$85=1,('Assumptions &amp; Results'!W40+'Assumptions &amp; Results'!W49+'Assumptions &amp; Results'!W58+'Assumptions &amp; Results'!W65+'Assumptions &amp; Results'!W83-'Assumptions &amp; Results'!W79+'One Ring Fence Depr'!V8),('Assumptions &amp; Results'!W40+'Assumptions &amp; Results'!W49+'Assumptions &amp; Results'!W58+'Assumptions &amp; Results'!W65+'Assumptions &amp; Results'!W83))</f>
        <v>0</v>
      </c>
      <c r="W6" s="8">
        <f>IF('Assumptions &amp; Results'!$C$85=1,('Assumptions &amp; Results'!X40+'Assumptions &amp; Results'!X49+'Assumptions &amp; Results'!X58+'Assumptions &amp; Results'!X65+'Assumptions &amp; Results'!X83-'Assumptions &amp; Results'!X79+'One Ring Fence Depr'!W8),('Assumptions &amp; Results'!X40+'Assumptions &amp; Results'!X49+'Assumptions &amp; Results'!X58+'Assumptions &amp; Results'!X65+'Assumptions &amp; Results'!X83))</f>
        <v>0</v>
      </c>
      <c r="X6" s="8">
        <f>IF('Assumptions &amp; Results'!$C$85=1,('Assumptions &amp; Results'!Y40+'Assumptions &amp; Results'!Y49+'Assumptions &amp; Results'!Y58+'Assumptions &amp; Results'!Y65+'Assumptions &amp; Results'!Y83-'Assumptions &amp; Results'!Y79+'One Ring Fence Depr'!X8),('Assumptions &amp; Results'!Y40+'Assumptions &amp; Results'!Y49+'Assumptions &amp; Results'!Y58+'Assumptions &amp; Results'!Y65+'Assumptions &amp; Results'!Y83))</f>
        <v>0</v>
      </c>
      <c r="Y6" s="8">
        <f>IF('Assumptions &amp; Results'!$C$85=1,('Assumptions &amp; Results'!Z40+'Assumptions &amp; Results'!Z49+'Assumptions &amp; Results'!Z58+'Assumptions &amp; Results'!Z65+'Assumptions &amp; Results'!Z83-'Assumptions &amp; Results'!Z79+'One Ring Fence Depr'!Y8),('Assumptions &amp; Results'!Z40+'Assumptions &amp; Results'!Z49+'Assumptions &amp; Results'!Z58+'Assumptions &amp; Results'!Z65+'Assumptions &amp; Results'!Z83))</f>
        <v>0</v>
      </c>
      <c r="Z6" s="8">
        <f>IF('Assumptions &amp; Results'!$C$85=1,('Assumptions &amp; Results'!AA40+'Assumptions &amp; Results'!AA49+'Assumptions &amp; Results'!AA58+'Assumptions &amp; Results'!AA65+'Assumptions &amp; Results'!AA83-'Assumptions &amp; Results'!AA79+'One Ring Fence Depr'!Z8),('Assumptions &amp; Results'!AA40+'Assumptions &amp; Results'!AA49+'Assumptions &amp; Results'!AA58+'Assumptions &amp; Results'!AA65+'Assumptions &amp; Results'!AA83))</f>
        <v>0</v>
      </c>
      <c r="AA6" s="8">
        <f>IF('Assumptions &amp; Results'!$C$85=1,('Assumptions &amp; Results'!AB40+'Assumptions &amp; Results'!AB49+'Assumptions &amp; Results'!AB58+'Assumptions &amp; Results'!AB65+'Assumptions &amp; Results'!AB83-'Assumptions &amp; Results'!AB79+'One Ring Fence Depr'!AA8),('Assumptions &amp; Results'!AB40+'Assumptions &amp; Results'!AB49+'Assumptions &amp; Results'!AB58+'Assumptions &amp; Results'!AB65+'Assumptions &amp; Results'!AB83))</f>
        <v>0</v>
      </c>
      <c r="AB6" s="8">
        <f>IF('Assumptions &amp; Results'!$C$85=1,('Assumptions &amp; Results'!AC40+'Assumptions &amp; Results'!AC49+'Assumptions &amp; Results'!AC58+'Assumptions &amp; Results'!AC65+'Assumptions &amp; Results'!AC83-'Assumptions &amp; Results'!AC79+'One Ring Fence Depr'!AB8),('Assumptions &amp; Results'!AC40+'Assumptions &amp; Results'!AC49+'Assumptions &amp; Results'!AC58+'Assumptions &amp; Results'!AC65+'Assumptions &amp; Results'!AC83))</f>
        <v>0</v>
      </c>
      <c r="AC6" s="8">
        <f>IF('Assumptions &amp; Results'!$C$85=1,('Assumptions &amp; Results'!AD40+'Assumptions &amp; Results'!AD49+'Assumptions &amp; Results'!AD58+'Assumptions &amp; Results'!AD65+'Assumptions &amp; Results'!AD83-'Assumptions &amp; Results'!AD79+'One Ring Fence Depr'!AC8),('Assumptions &amp; Results'!AD40+'Assumptions &amp; Results'!AD49+'Assumptions &amp; Results'!AD58+'Assumptions &amp; Results'!AD65+'Assumptions &amp; Results'!AD83))</f>
        <v>0</v>
      </c>
      <c r="AD6" s="8">
        <f>IF('Assumptions &amp; Results'!$C$85=1,('Assumptions &amp; Results'!AE40+'Assumptions &amp; Results'!AE49+'Assumptions &amp; Results'!AE58+'Assumptions &amp; Results'!AE65+'Assumptions &amp; Results'!AE83-'Assumptions &amp; Results'!AE79+'One Ring Fence Depr'!AD8),('Assumptions &amp; Results'!AE40+'Assumptions &amp; Results'!AE49+'Assumptions &amp; Results'!AE58+'Assumptions &amp; Results'!AE65+'Assumptions &amp; Results'!AE83))</f>
        <v>0</v>
      </c>
      <c r="AE6" s="8">
        <f>IF('Assumptions &amp; Results'!$C$85=1,('Assumptions &amp; Results'!AF40+'Assumptions &amp; Results'!AF49+'Assumptions &amp; Results'!AF58+'Assumptions &amp; Results'!AF65+'Assumptions &amp; Results'!AF83-'Assumptions &amp; Results'!AF79+'One Ring Fence Depr'!AE8),('Assumptions &amp; Results'!AF40+'Assumptions &amp; Results'!AF49+'Assumptions &amp; Results'!AF58+'Assumptions &amp; Results'!AF65+'Assumptions &amp; Results'!AF83))</f>
        <v>0</v>
      </c>
      <c r="AF6" s="8">
        <f>IF('Assumptions &amp; Results'!$C$85=1,('Assumptions &amp; Results'!AG40+'Assumptions &amp; Results'!AG49+'Assumptions &amp; Results'!AG58+'Assumptions &amp; Results'!AG65+'Assumptions &amp; Results'!AG83-'Assumptions &amp; Results'!AG79+'One Ring Fence Depr'!AF8),('Assumptions &amp; Results'!AG40+'Assumptions &amp; Results'!AG49+'Assumptions &amp; Results'!AG58+'Assumptions &amp; Results'!AG65+'Assumptions &amp; Results'!AG83))</f>
        <v>0</v>
      </c>
      <c r="AG6" s="8">
        <f>IF('Assumptions &amp; Results'!$C$85=1,('Assumptions &amp; Results'!AH40+'Assumptions &amp; Results'!AH49+'Assumptions &amp; Results'!AH58+'Assumptions &amp; Results'!AH65+'Assumptions &amp; Results'!AH83-'Assumptions &amp; Results'!AH79+'One Ring Fence Depr'!AG8),('Assumptions &amp; Results'!AH40+'Assumptions &amp; Results'!AH49+'Assumptions &amp; Results'!AH58+'Assumptions &amp; Results'!AH65+'Assumptions &amp; Results'!AH83))</f>
        <v>0</v>
      </c>
      <c r="AH6" s="8">
        <f>IF('Assumptions &amp; Results'!$C$85=1,('Assumptions &amp; Results'!AI40+'Assumptions &amp; Results'!AI49+'Assumptions &amp; Results'!AI58+'Assumptions &amp; Results'!AI65+'Assumptions &amp; Results'!AI83-'Assumptions &amp; Results'!AI79+'One Ring Fence Depr'!AH8),('Assumptions &amp; Results'!AI40+'Assumptions &amp; Results'!AI49+'Assumptions &amp; Results'!AI58+'Assumptions &amp; Results'!AI65+'Assumptions &amp; Results'!AI83))</f>
        <v>0</v>
      </c>
      <c r="AI6" s="8">
        <f>IF('Assumptions &amp; Results'!$C$85=1,('Assumptions &amp; Results'!AJ40+'Assumptions &amp; Results'!AJ49+'Assumptions &amp; Results'!AJ58+'Assumptions &amp; Results'!AJ65+'Assumptions &amp; Results'!AJ83-'Assumptions &amp; Results'!AJ79+'One Ring Fence Depr'!AI8),('Assumptions &amp; Results'!AJ40+'Assumptions &amp; Results'!AJ49+'Assumptions &amp; Results'!AJ58+'Assumptions &amp; Results'!AJ65+'Assumptions &amp; Results'!AJ83))</f>
        <v>0</v>
      </c>
      <c r="AJ6" s="125">
        <f>SUM(C6:AI6)</f>
        <v>28538</v>
      </c>
    </row>
    <row r="7" spans="1:37" x14ac:dyDescent="0.2">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125"/>
    </row>
    <row r="8" spans="1:37" x14ac:dyDescent="0.2">
      <c r="A8" s="4" t="str">
        <f>'LNG Equity '!A9</f>
        <v>LNG Plant-only "equivalent" Capital Costs included above IF a Capital Lease</v>
      </c>
      <c r="B8" t="s">
        <v>99</v>
      </c>
      <c r="C8" s="8">
        <f>IF(AND('Assumptions &amp; Results'!$C$85=1,C3='Assumptions &amp; Results'!$C$16),NPV(8%,'Assumptions &amp; Results'!D86:'Assumptions &amp; Results'!$AJ86),0)</f>
        <v>0</v>
      </c>
      <c r="D8" s="8">
        <f>IF(AND('Assumptions &amp; Results'!$C$85=1,D3='Assumptions &amp; Results'!$C$16),NPV(8%,'Assumptions &amp; Results'!E86:'Assumptions &amp; Results'!$AJ86),0)</f>
        <v>0</v>
      </c>
      <c r="E8" s="8">
        <f>IF(AND('Assumptions &amp; Results'!$C$85=1,E3='Assumptions &amp; Results'!$C$16),NPV(8%,'Assumptions &amp; Results'!F86:'Assumptions &amp; Results'!$AJ86),0)</f>
        <v>0</v>
      </c>
      <c r="F8" s="8">
        <f>IF(AND('Assumptions &amp; Results'!$C$85=1,F3='Assumptions &amp; Results'!$C$16),NPV(8%,'Assumptions &amp; Results'!G86:'Assumptions &amp; Results'!$AJ86),0)</f>
        <v>0</v>
      </c>
      <c r="G8" s="8">
        <f>IF(AND('Assumptions &amp; Results'!$C$85=1,G3='Assumptions &amp; Results'!$C$16),NPV(8%,'Assumptions &amp; Results'!H86:'Assumptions &amp; Results'!$AJ86),0)</f>
        <v>0</v>
      </c>
      <c r="H8" s="8">
        <f>IF(AND('Assumptions &amp; Results'!$C$85=1,H3='Assumptions &amp; Results'!$C$16),NPV(8%,'Assumptions &amp; Results'!I86:'Assumptions &amp; Results'!$AJ86),0)</f>
        <v>0</v>
      </c>
      <c r="I8" s="8">
        <f>IF(AND('Assumptions &amp; Results'!$C$85=1,I3='Assumptions &amp; Results'!$C$16),NPV(8%,'Assumptions &amp; Results'!J86:'Assumptions &amp; Results'!$AJ86),0)</f>
        <v>0</v>
      </c>
      <c r="J8" s="8">
        <f>IF(AND('Assumptions &amp; Results'!$C$85=1,J3='Assumptions &amp; Results'!$C$16),NPV(8%,'Assumptions &amp; Results'!K86:'Assumptions &amp; Results'!$AJ86),0)</f>
        <v>0</v>
      </c>
      <c r="K8" s="8">
        <f>IF(AND('Assumptions &amp; Results'!$C$85=1,K3='Assumptions &amp; Results'!$C$16),NPV(8%,'Assumptions &amp; Results'!L86:'Assumptions &amp; Results'!$AJ86),0)</f>
        <v>0</v>
      </c>
      <c r="L8" s="8">
        <f>IF(AND('Assumptions &amp; Results'!$C$85=1,L3='Assumptions &amp; Results'!$C$16),NPV(8%,'Assumptions &amp; Results'!M86:'Assumptions &amp; Results'!$AJ86),0)</f>
        <v>0</v>
      </c>
      <c r="M8" s="8">
        <f>IF(AND('Assumptions &amp; Results'!$C$85=1,M3='Assumptions &amp; Results'!$C$16),NPV(8%,'Assumptions &amp; Results'!N86:'Assumptions &amp; Results'!$AJ86),0)</f>
        <v>0</v>
      </c>
      <c r="N8" s="8">
        <f>IF(AND('Assumptions &amp; Results'!$C$85=1,N3='Assumptions &amp; Results'!$C$16),NPV(8%,'Assumptions &amp; Results'!O86:'Assumptions &amp; Results'!$AJ86),0)</f>
        <v>0</v>
      </c>
      <c r="O8" s="8">
        <f>IF(AND('Assumptions &amp; Results'!$C$85=1,O3='Assumptions &amp; Results'!$C$16),NPV(8%,'Assumptions &amp; Results'!P86:'Assumptions &amp; Results'!$AJ86),0)</f>
        <v>0</v>
      </c>
      <c r="P8" s="8">
        <f>IF(AND('Assumptions &amp; Results'!$C$85=1,P3='Assumptions &amp; Results'!$C$16),NPV(8%,'Assumptions &amp; Results'!Q86:'Assumptions &amp; Results'!$AJ86),0)</f>
        <v>0</v>
      </c>
      <c r="Q8" s="8">
        <f>IF(AND('Assumptions &amp; Results'!$C$85=1,Q3='Assumptions &amp; Results'!$C$16),NPV(8%,'Assumptions &amp; Results'!R86:'Assumptions &amp; Results'!$AJ86),0)</f>
        <v>0</v>
      </c>
      <c r="R8" s="8">
        <f>IF(AND('Assumptions &amp; Results'!$C$85=1,R3='Assumptions &amp; Results'!$C$16),NPV(8%,'Assumptions &amp; Results'!S86:'Assumptions &amp; Results'!$AJ86),0)</f>
        <v>0</v>
      </c>
      <c r="S8" s="8">
        <f>IF(AND('Assumptions &amp; Results'!$C$85=1,S3='Assumptions &amp; Results'!$C$16),NPV(8%,'Assumptions &amp; Results'!T86:'Assumptions &amp; Results'!$AJ86),0)</f>
        <v>0</v>
      </c>
      <c r="T8" s="8">
        <f>IF(AND('Assumptions &amp; Results'!$C$85=1,T3='Assumptions &amp; Results'!$C$16),NPV(8%,'Assumptions &amp; Results'!U86:'Assumptions &amp; Results'!$AJ86),0)</f>
        <v>0</v>
      </c>
      <c r="U8" s="8">
        <f>IF(AND('Assumptions &amp; Results'!$C$85=1,U3='Assumptions &amp; Results'!$C$16),NPV(8%,'Assumptions &amp; Results'!V86:'Assumptions &amp; Results'!$AJ86),0)</f>
        <v>0</v>
      </c>
      <c r="V8" s="8">
        <f>IF(AND('Assumptions &amp; Results'!$C$85=1,V3='Assumptions &amp; Results'!$C$16),NPV(8%,'Assumptions &amp; Results'!W86:'Assumptions &amp; Results'!$AJ86),0)</f>
        <v>0</v>
      </c>
      <c r="W8" s="8">
        <f>IF(AND('Assumptions &amp; Results'!$C$85=1,W3='Assumptions &amp; Results'!$C$16),NPV(8%,'Assumptions &amp; Results'!X86:'Assumptions &amp; Results'!$AJ86),0)</f>
        <v>0</v>
      </c>
      <c r="X8" s="8">
        <f>IF(AND('Assumptions &amp; Results'!$C$85=1,X3='Assumptions &amp; Results'!$C$16),NPV(8%,'Assumptions &amp; Results'!Y86:'Assumptions &amp; Results'!$AJ86),0)</f>
        <v>0</v>
      </c>
      <c r="Y8" s="8">
        <f>IF(AND('Assumptions &amp; Results'!$C$85=1,Y3='Assumptions &amp; Results'!$C$16),NPV(8%,'Assumptions &amp; Results'!Z86:'Assumptions &amp; Results'!$AJ86),0)</f>
        <v>0</v>
      </c>
      <c r="Z8" s="8">
        <f>IF(AND('Assumptions &amp; Results'!$C$85=1,Z3='Assumptions &amp; Results'!$C$16),NPV(8%,'Assumptions &amp; Results'!AA86:'Assumptions &amp; Results'!$AJ86),0)</f>
        <v>0</v>
      </c>
      <c r="AA8" s="8">
        <f>IF(AND('Assumptions &amp; Results'!$C$85=1,AA3='Assumptions &amp; Results'!$C$16),NPV(8%,'Assumptions &amp; Results'!AB86:'Assumptions &amp; Results'!$AJ86),0)</f>
        <v>0</v>
      </c>
      <c r="AB8" s="8">
        <f>IF(AND('Assumptions &amp; Results'!$C$85=1,AB3='Assumptions &amp; Results'!$C$16),NPV(8%,'Assumptions &amp; Results'!AC86:'Assumptions &amp; Results'!$AJ86),0)</f>
        <v>0</v>
      </c>
      <c r="AC8" s="8">
        <f>IF(AND('Assumptions &amp; Results'!$C$85=1,AC3='Assumptions &amp; Results'!$C$16),NPV(8%,'Assumptions &amp; Results'!AD86:'Assumptions &amp; Results'!$AJ86),0)</f>
        <v>0</v>
      </c>
      <c r="AD8" s="8">
        <f>IF(AND('Assumptions &amp; Results'!$C$85=1,AD3='Assumptions &amp; Results'!$C$16),NPV(8%,'Assumptions &amp; Results'!AE86:'Assumptions &amp; Results'!$AJ86),0)</f>
        <v>0</v>
      </c>
      <c r="AE8" s="8">
        <f>IF(AND('Assumptions &amp; Results'!$C$85=1,AE3='Assumptions &amp; Results'!$C$16),NPV(8%,'Assumptions &amp; Results'!AF86:'Assumptions &amp; Results'!$AJ86),0)</f>
        <v>0</v>
      </c>
      <c r="AF8" s="8">
        <f>IF(AND('Assumptions &amp; Results'!$C$85=1,AF3='Assumptions &amp; Results'!$C$16),NPV(8%,'Assumptions &amp; Results'!AG86:'Assumptions &amp; Results'!$AJ86),0)</f>
        <v>0</v>
      </c>
      <c r="AG8" s="8">
        <f>IF(AND('Assumptions &amp; Results'!$C$85=1,AG3='Assumptions &amp; Results'!$C$16),NPV(8%,'Assumptions &amp; Results'!AH86:'Assumptions &amp; Results'!$AJ86),0)</f>
        <v>0</v>
      </c>
      <c r="AH8" s="8">
        <f>IF(AND('Assumptions &amp; Results'!$C$85=1,AH3='Assumptions &amp; Results'!$C$16),NPV(8%,'Assumptions &amp; Results'!AI86:'Assumptions &amp; Results'!$AJ86),0)</f>
        <v>0</v>
      </c>
      <c r="AI8" s="8">
        <f>IF(AND('Assumptions &amp; Results'!$C$85=1,AI3='Assumptions &amp; Results'!$C$16),NPV(8%,'Assumptions &amp; Results'!AJ86:'Assumptions &amp; Results'!$AJ86),0)</f>
        <v>0</v>
      </c>
      <c r="AJ8" s="125"/>
    </row>
    <row r="9" spans="1:37" x14ac:dyDescent="0.2">
      <c r="C9" s="38"/>
      <c r="AJ9" s="124"/>
    </row>
    <row r="10" spans="1:37" x14ac:dyDescent="0.2">
      <c r="A10" s="79" t="s">
        <v>227</v>
      </c>
      <c r="B10" s="79" t="s">
        <v>99</v>
      </c>
      <c r="C10" s="39">
        <f>IF(AND('Assumptions &amp; Results'!$C$87=1,'Assumptions &amp; Results'!$C$85=1),+C6-C8,'One Ring Fence Depr'!C6)</f>
        <v>417</v>
      </c>
      <c r="D10" s="39">
        <f>IF(AND('Assumptions &amp; Results'!$C$87=1,'Assumptions &amp; Results'!$C$85=1),+D6-D8,'One Ring Fence Depr'!D6)</f>
        <v>5243</v>
      </c>
      <c r="E10" s="39">
        <f>IF(AND('Assumptions &amp; Results'!$C$87=1,'Assumptions &amp; Results'!$C$85=1),+E6-E8,'One Ring Fence Depr'!E6)</f>
        <v>8207</v>
      </c>
      <c r="F10" s="39">
        <f>IF(AND('Assumptions &amp; Results'!$C$87=1,'Assumptions &amp; Results'!$C$85=1),+F6-F8,'One Ring Fence Depr'!F6)</f>
        <v>10831</v>
      </c>
      <c r="G10" s="39">
        <f>IF(AND('Assumptions &amp; Results'!$C$87=1,'Assumptions &amp; Results'!$C$85=1),+G6-G8,'One Ring Fence Depr'!G6)</f>
        <v>3300</v>
      </c>
      <c r="H10" s="39">
        <f>IF(AND('Assumptions &amp; Results'!$C$87=1,'Assumptions &amp; Results'!$C$85=1),+H6-H8,'One Ring Fence Depr'!H6)</f>
        <v>540</v>
      </c>
      <c r="I10" s="39">
        <f>IF(AND('Assumptions &amp; Results'!$C$87=1,'Assumptions &amp; Results'!$C$85=1),+I6-I8,'One Ring Fence Depr'!I6)</f>
        <v>0</v>
      </c>
      <c r="J10" s="39">
        <f>IF(AND('Assumptions &amp; Results'!$C$87=1,'Assumptions &amp; Results'!$C$85=1),+J6-J8,'One Ring Fence Depr'!J6)</f>
        <v>0</v>
      </c>
      <c r="K10" s="39">
        <f>IF(AND('Assumptions &amp; Results'!$C$87=1,'Assumptions &amp; Results'!$C$85=1),+K6-K8,'One Ring Fence Depr'!K6)</f>
        <v>0</v>
      </c>
      <c r="L10" s="39">
        <f>IF(AND('Assumptions &amp; Results'!$C$87=1,'Assumptions &amp; Results'!$C$85=1),+L6-L8,'One Ring Fence Depr'!L6)</f>
        <v>0</v>
      </c>
      <c r="M10" s="39">
        <f>IF(AND('Assumptions &amp; Results'!$C$87=1,'Assumptions &amp; Results'!$C$85=1),+M6-M8,'One Ring Fence Depr'!M6)</f>
        <v>0</v>
      </c>
      <c r="N10" s="39">
        <f>IF(AND('Assumptions &amp; Results'!$C$87=1,'Assumptions &amp; Results'!$C$85=1),+N6-N8,'One Ring Fence Depr'!N6)</f>
        <v>0</v>
      </c>
      <c r="O10" s="39">
        <f>IF(AND('Assumptions &amp; Results'!$C$87=1,'Assumptions &amp; Results'!$C$85=1),+O6-O8,'One Ring Fence Depr'!O6)</f>
        <v>0</v>
      </c>
      <c r="P10" s="39">
        <f>IF(AND('Assumptions &amp; Results'!$C$87=1,'Assumptions &amp; Results'!$C$85=1),+P6-P8,'One Ring Fence Depr'!P6)</f>
        <v>0</v>
      </c>
      <c r="Q10" s="39">
        <f>IF(AND('Assumptions &amp; Results'!$C$87=1,'Assumptions &amp; Results'!$C$85=1),+Q6-Q8,'One Ring Fence Depr'!Q6)</f>
        <v>0</v>
      </c>
      <c r="R10" s="39">
        <f>IF(AND('Assumptions &amp; Results'!$C$87=1,'Assumptions &amp; Results'!$C$85=1),+R6-R8,'One Ring Fence Depr'!R6)</f>
        <v>0</v>
      </c>
      <c r="S10" s="39">
        <f>IF(AND('Assumptions &amp; Results'!$C$87=1,'Assumptions &amp; Results'!$C$85=1),+S6-S8,'One Ring Fence Depr'!S6)</f>
        <v>0</v>
      </c>
      <c r="T10" s="39">
        <f>IF(AND('Assumptions &amp; Results'!$C$87=1,'Assumptions &amp; Results'!$C$85=1),+T6-T8,'One Ring Fence Depr'!T6)</f>
        <v>0</v>
      </c>
      <c r="U10" s="39">
        <f>IF(AND('Assumptions &amp; Results'!$C$87=1,'Assumptions &amp; Results'!$C$85=1),+U6-U8,'One Ring Fence Depr'!U6)</f>
        <v>0</v>
      </c>
      <c r="V10" s="39">
        <f>IF(AND('Assumptions &amp; Results'!$C$87=1,'Assumptions &amp; Results'!$C$85=1),+V6-V8,'One Ring Fence Depr'!V6)</f>
        <v>0</v>
      </c>
      <c r="W10" s="39">
        <f>IF(AND('Assumptions &amp; Results'!$C$87=1,'Assumptions &amp; Results'!$C$85=1),+W6-W8,'One Ring Fence Depr'!W6)</f>
        <v>0</v>
      </c>
      <c r="X10" s="39">
        <f>IF(AND('Assumptions &amp; Results'!$C$87=1,'Assumptions &amp; Results'!$C$85=1),+X6-X8,'One Ring Fence Depr'!X6)</f>
        <v>0</v>
      </c>
      <c r="Y10" s="39">
        <f>IF(AND('Assumptions &amp; Results'!$C$87=1,'Assumptions &amp; Results'!$C$85=1),+Y6-Y8,'One Ring Fence Depr'!Y6)</f>
        <v>0</v>
      </c>
      <c r="Z10" s="39">
        <f>IF(AND('Assumptions &amp; Results'!$C$87=1,'Assumptions &amp; Results'!$C$85=1),+Z6-Z8,'One Ring Fence Depr'!Z6)</f>
        <v>0</v>
      </c>
      <c r="AA10" s="39">
        <f>IF(AND('Assumptions &amp; Results'!$C$87=1,'Assumptions &amp; Results'!$C$85=1),+AA6-AA8,'One Ring Fence Depr'!AA6)</f>
        <v>0</v>
      </c>
      <c r="AB10" s="39">
        <f>IF(AND('Assumptions &amp; Results'!$C$87=1,'Assumptions &amp; Results'!$C$85=1),+AB6-AB8,'One Ring Fence Depr'!AB6)</f>
        <v>0</v>
      </c>
      <c r="AC10" s="39">
        <f>IF(AND('Assumptions &amp; Results'!$C$87=1,'Assumptions &amp; Results'!$C$85=1),+AC6-AC8,'One Ring Fence Depr'!AC6)</f>
        <v>0</v>
      </c>
      <c r="AD10" s="39">
        <f>IF(AND('Assumptions &amp; Results'!$C$87=1,'Assumptions &amp; Results'!$C$85=1),+AD6-AD8,'One Ring Fence Depr'!AD6)</f>
        <v>0</v>
      </c>
      <c r="AE10" s="39">
        <f>IF(AND('Assumptions &amp; Results'!$C$87=1,'Assumptions &amp; Results'!$C$85=1),+AE6-AE8,'One Ring Fence Depr'!AE6)</f>
        <v>0</v>
      </c>
      <c r="AF10" s="39">
        <f>IF(AND('Assumptions &amp; Results'!$C$87=1,'Assumptions &amp; Results'!$C$85=1),+AF6-AF8,'One Ring Fence Depr'!AF6)</f>
        <v>0</v>
      </c>
      <c r="AG10" s="39">
        <f>IF(AND('Assumptions &amp; Results'!$C$87=1,'Assumptions &amp; Results'!$C$85=1),+AG6-AG8,'One Ring Fence Depr'!AG6)</f>
        <v>0</v>
      </c>
      <c r="AH10" s="39">
        <f>IF(AND('Assumptions &amp; Results'!$C$87=1,'Assumptions &amp; Results'!$C$85=1),+AH6-AH8,'One Ring Fence Depr'!AH6)</f>
        <v>0</v>
      </c>
      <c r="AI10" s="39">
        <f>IF(AND('Assumptions &amp; Results'!$C$87=1,'Assumptions &amp; Results'!$C$85=1),+AI6-AI8,'One Ring Fence Depr'!AI6)</f>
        <v>0</v>
      </c>
      <c r="AJ10" s="125">
        <f>SUM(C10:AI10)</f>
        <v>28538</v>
      </c>
      <c r="AK10" s="79"/>
    </row>
    <row r="11" spans="1:37" x14ac:dyDescent="0.2">
      <c r="A11" t="s">
        <v>228</v>
      </c>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125"/>
    </row>
    <row r="12" spans="1:37" x14ac:dyDescent="0.2">
      <c r="A12" s="4"/>
      <c r="AJ12" s="124"/>
    </row>
    <row r="13" spans="1:37" x14ac:dyDescent="0.2">
      <c r="B13" s="1" t="s">
        <v>229</v>
      </c>
      <c r="AJ13" s="124"/>
    </row>
    <row r="14" spans="1:37" x14ac:dyDescent="0.2">
      <c r="A14" t="s">
        <v>230</v>
      </c>
      <c r="B14">
        <f>C3</f>
        <v>2017</v>
      </c>
      <c r="C14" s="8">
        <f>IF(C$3-$B14-$C$4&lt;0,SLN($C10,0,$C$4),0)</f>
        <v>104.25</v>
      </c>
      <c r="D14" s="8">
        <f>IF(D$3-$B14-$C$4&lt;0,SLN($C10,0,$C$4),0)</f>
        <v>104.25</v>
      </c>
      <c r="E14" s="8">
        <f t="shared" ref="E14:AI14" si="0">IF(E$3-$B14-$C$4&lt;0,SLN($C$10,0,$C$4),0)</f>
        <v>104.25</v>
      </c>
      <c r="F14" s="8">
        <f t="shared" si="0"/>
        <v>104.25</v>
      </c>
      <c r="G14" s="8">
        <f t="shared" si="0"/>
        <v>0</v>
      </c>
      <c r="H14" s="8">
        <f t="shared" si="0"/>
        <v>0</v>
      </c>
      <c r="I14" s="8">
        <f t="shared" si="0"/>
        <v>0</v>
      </c>
      <c r="J14" s="8">
        <f t="shared" si="0"/>
        <v>0</v>
      </c>
      <c r="K14" s="8">
        <f t="shared" si="0"/>
        <v>0</v>
      </c>
      <c r="L14" s="8">
        <f t="shared" si="0"/>
        <v>0</v>
      </c>
      <c r="M14" s="8">
        <f t="shared" si="0"/>
        <v>0</v>
      </c>
      <c r="N14" s="8">
        <f t="shared" si="0"/>
        <v>0</v>
      </c>
      <c r="O14" s="8">
        <f t="shared" si="0"/>
        <v>0</v>
      </c>
      <c r="P14" s="8">
        <f t="shared" si="0"/>
        <v>0</v>
      </c>
      <c r="Q14" s="8">
        <f t="shared" si="0"/>
        <v>0</v>
      </c>
      <c r="R14" s="8">
        <f t="shared" si="0"/>
        <v>0</v>
      </c>
      <c r="S14" s="8">
        <f t="shared" si="0"/>
        <v>0</v>
      </c>
      <c r="T14" s="8">
        <f t="shared" si="0"/>
        <v>0</v>
      </c>
      <c r="U14" s="8">
        <f t="shared" si="0"/>
        <v>0</v>
      </c>
      <c r="V14" s="8">
        <f t="shared" si="0"/>
        <v>0</v>
      </c>
      <c r="W14" s="8">
        <f t="shared" si="0"/>
        <v>0</v>
      </c>
      <c r="X14" s="8">
        <f t="shared" si="0"/>
        <v>0</v>
      </c>
      <c r="Y14" s="8">
        <f t="shared" si="0"/>
        <v>0</v>
      </c>
      <c r="Z14" s="8">
        <f t="shared" si="0"/>
        <v>0</v>
      </c>
      <c r="AA14" s="8">
        <f t="shared" si="0"/>
        <v>0</v>
      </c>
      <c r="AB14" s="8">
        <f t="shared" si="0"/>
        <v>0</v>
      </c>
      <c r="AC14" s="8">
        <f t="shared" si="0"/>
        <v>0</v>
      </c>
      <c r="AD14" s="8">
        <f t="shared" si="0"/>
        <v>0</v>
      </c>
      <c r="AE14" s="8">
        <f t="shared" si="0"/>
        <v>0</v>
      </c>
      <c r="AF14" s="8">
        <f t="shared" si="0"/>
        <v>0</v>
      </c>
      <c r="AG14" s="8">
        <f t="shared" si="0"/>
        <v>0</v>
      </c>
      <c r="AH14" s="8">
        <f t="shared" si="0"/>
        <v>0</v>
      </c>
      <c r="AI14" s="8">
        <f t="shared" si="0"/>
        <v>0</v>
      </c>
      <c r="AJ14" s="125">
        <f t="shared" ref="AJ14:AJ46" si="1">SUM(C14:AI14)</f>
        <v>417</v>
      </c>
    </row>
    <row r="15" spans="1:37" x14ac:dyDescent="0.2">
      <c r="B15">
        <f>D3</f>
        <v>2018</v>
      </c>
      <c r="C15" s="8"/>
      <c r="D15" s="8">
        <f t="shared" ref="D15:AI15" si="2">IF(D$3-$B15-$C$4&lt;0,SLN($D$10,0,$C$4),0)</f>
        <v>1310.75</v>
      </c>
      <c r="E15" s="8">
        <f t="shared" si="2"/>
        <v>1310.75</v>
      </c>
      <c r="F15" s="8">
        <f t="shared" si="2"/>
        <v>1310.75</v>
      </c>
      <c r="G15" s="8">
        <f t="shared" si="2"/>
        <v>1310.75</v>
      </c>
      <c r="H15" s="8">
        <f t="shared" si="2"/>
        <v>0</v>
      </c>
      <c r="I15" s="8">
        <f t="shared" si="2"/>
        <v>0</v>
      </c>
      <c r="J15" s="8">
        <f t="shared" si="2"/>
        <v>0</v>
      </c>
      <c r="K15" s="8">
        <f t="shared" si="2"/>
        <v>0</v>
      </c>
      <c r="L15" s="8">
        <f t="shared" si="2"/>
        <v>0</v>
      </c>
      <c r="M15" s="8">
        <f t="shared" si="2"/>
        <v>0</v>
      </c>
      <c r="N15" s="8">
        <f t="shared" si="2"/>
        <v>0</v>
      </c>
      <c r="O15" s="8">
        <f t="shared" si="2"/>
        <v>0</v>
      </c>
      <c r="P15" s="8">
        <f t="shared" si="2"/>
        <v>0</v>
      </c>
      <c r="Q15" s="8">
        <f t="shared" si="2"/>
        <v>0</v>
      </c>
      <c r="R15" s="8">
        <f t="shared" si="2"/>
        <v>0</v>
      </c>
      <c r="S15" s="8">
        <f t="shared" si="2"/>
        <v>0</v>
      </c>
      <c r="T15" s="8">
        <f t="shared" si="2"/>
        <v>0</v>
      </c>
      <c r="U15" s="8">
        <f t="shared" si="2"/>
        <v>0</v>
      </c>
      <c r="V15" s="8">
        <f t="shared" si="2"/>
        <v>0</v>
      </c>
      <c r="W15" s="8">
        <f t="shared" si="2"/>
        <v>0</v>
      </c>
      <c r="X15" s="8">
        <f t="shared" si="2"/>
        <v>0</v>
      </c>
      <c r="Y15" s="8">
        <f t="shared" si="2"/>
        <v>0</v>
      </c>
      <c r="Z15" s="8">
        <f t="shared" si="2"/>
        <v>0</v>
      </c>
      <c r="AA15" s="8">
        <f t="shared" si="2"/>
        <v>0</v>
      </c>
      <c r="AB15" s="8">
        <f t="shared" si="2"/>
        <v>0</v>
      </c>
      <c r="AC15" s="8">
        <f t="shared" si="2"/>
        <v>0</v>
      </c>
      <c r="AD15" s="8">
        <f t="shared" si="2"/>
        <v>0</v>
      </c>
      <c r="AE15" s="8">
        <f t="shared" si="2"/>
        <v>0</v>
      </c>
      <c r="AF15" s="8">
        <f t="shared" si="2"/>
        <v>0</v>
      </c>
      <c r="AG15" s="8">
        <f t="shared" si="2"/>
        <v>0</v>
      </c>
      <c r="AH15" s="8">
        <f t="shared" si="2"/>
        <v>0</v>
      </c>
      <c r="AI15" s="8">
        <f t="shared" si="2"/>
        <v>0</v>
      </c>
      <c r="AJ15" s="125">
        <f t="shared" si="1"/>
        <v>5243</v>
      </c>
    </row>
    <row r="16" spans="1:37" x14ac:dyDescent="0.2">
      <c r="B16">
        <f>E3</f>
        <v>2019</v>
      </c>
      <c r="C16" s="8"/>
      <c r="D16" s="8"/>
      <c r="E16" s="8">
        <f t="shared" ref="E16:AI16" si="3">IF(E$3-$B16-$C$4&lt;0,SLN($E$10,0,$C$4),0)</f>
        <v>2051.75</v>
      </c>
      <c r="F16" s="8">
        <f t="shared" si="3"/>
        <v>2051.75</v>
      </c>
      <c r="G16" s="8">
        <f t="shared" si="3"/>
        <v>2051.75</v>
      </c>
      <c r="H16" s="8">
        <f t="shared" si="3"/>
        <v>2051.75</v>
      </c>
      <c r="I16" s="8">
        <f t="shared" si="3"/>
        <v>0</v>
      </c>
      <c r="J16" s="8">
        <f t="shared" si="3"/>
        <v>0</v>
      </c>
      <c r="K16" s="8">
        <f t="shared" si="3"/>
        <v>0</v>
      </c>
      <c r="L16" s="8">
        <f t="shared" si="3"/>
        <v>0</v>
      </c>
      <c r="M16" s="8">
        <f t="shared" si="3"/>
        <v>0</v>
      </c>
      <c r="N16" s="8">
        <f t="shared" si="3"/>
        <v>0</v>
      </c>
      <c r="O16" s="8">
        <f t="shared" si="3"/>
        <v>0</v>
      </c>
      <c r="P16" s="8">
        <f t="shared" si="3"/>
        <v>0</v>
      </c>
      <c r="Q16" s="8">
        <f t="shared" si="3"/>
        <v>0</v>
      </c>
      <c r="R16" s="8">
        <f t="shared" si="3"/>
        <v>0</v>
      </c>
      <c r="S16" s="8">
        <f t="shared" si="3"/>
        <v>0</v>
      </c>
      <c r="T16" s="8">
        <f t="shared" si="3"/>
        <v>0</v>
      </c>
      <c r="U16" s="8">
        <f t="shared" si="3"/>
        <v>0</v>
      </c>
      <c r="V16" s="8">
        <f t="shared" si="3"/>
        <v>0</v>
      </c>
      <c r="W16" s="8">
        <f t="shared" si="3"/>
        <v>0</v>
      </c>
      <c r="X16" s="8">
        <f t="shared" si="3"/>
        <v>0</v>
      </c>
      <c r="Y16" s="8">
        <f t="shared" si="3"/>
        <v>0</v>
      </c>
      <c r="Z16" s="8">
        <f t="shared" si="3"/>
        <v>0</v>
      </c>
      <c r="AA16" s="8">
        <f t="shared" si="3"/>
        <v>0</v>
      </c>
      <c r="AB16" s="8">
        <f t="shared" si="3"/>
        <v>0</v>
      </c>
      <c r="AC16" s="8">
        <f t="shared" si="3"/>
        <v>0</v>
      </c>
      <c r="AD16" s="8">
        <f t="shared" si="3"/>
        <v>0</v>
      </c>
      <c r="AE16" s="8">
        <f t="shared" si="3"/>
        <v>0</v>
      </c>
      <c r="AF16" s="8">
        <f t="shared" si="3"/>
        <v>0</v>
      </c>
      <c r="AG16" s="8">
        <f t="shared" si="3"/>
        <v>0</v>
      </c>
      <c r="AH16" s="8">
        <f t="shared" si="3"/>
        <v>0</v>
      </c>
      <c r="AI16" s="8">
        <f t="shared" si="3"/>
        <v>0</v>
      </c>
      <c r="AJ16" s="125">
        <f t="shared" si="1"/>
        <v>8207</v>
      </c>
    </row>
    <row r="17" spans="2:36" x14ac:dyDescent="0.2">
      <c r="B17">
        <f>F3</f>
        <v>2020</v>
      </c>
      <c r="C17" s="8"/>
      <c r="D17" s="8"/>
      <c r="E17" s="8"/>
      <c r="F17" s="8">
        <f t="shared" ref="F17:AI17" si="4">IF(F$3-$B17-$C$4&lt;0,SLN($F$10,0,$C$4),0)</f>
        <v>2707.75</v>
      </c>
      <c r="G17" s="8">
        <f t="shared" si="4"/>
        <v>2707.75</v>
      </c>
      <c r="H17" s="8">
        <f t="shared" si="4"/>
        <v>2707.75</v>
      </c>
      <c r="I17" s="8">
        <f t="shared" si="4"/>
        <v>2707.75</v>
      </c>
      <c r="J17" s="8">
        <f t="shared" si="4"/>
        <v>0</v>
      </c>
      <c r="K17" s="8">
        <f t="shared" si="4"/>
        <v>0</v>
      </c>
      <c r="L17" s="8">
        <f t="shared" si="4"/>
        <v>0</v>
      </c>
      <c r="M17" s="8">
        <f t="shared" si="4"/>
        <v>0</v>
      </c>
      <c r="N17" s="8">
        <f t="shared" si="4"/>
        <v>0</v>
      </c>
      <c r="O17" s="8">
        <f t="shared" si="4"/>
        <v>0</v>
      </c>
      <c r="P17" s="8">
        <f t="shared" si="4"/>
        <v>0</v>
      </c>
      <c r="Q17" s="8">
        <f t="shared" si="4"/>
        <v>0</v>
      </c>
      <c r="R17" s="8">
        <f t="shared" si="4"/>
        <v>0</v>
      </c>
      <c r="S17" s="8">
        <f t="shared" si="4"/>
        <v>0</v>
      </c>
      <c r="T17" s="8">
        <f t="shared" si="4"/>
        <v>0</v>
      </c>
      <c r="U17" s="8">
        <f t="shared" si="4"/>
        <v>0</v>
      </c>
      <c r="V17" s="8">
        <f t="shared" si="4"/>
        <v>0</v>
      </c>
      <c r="W17" s="8">
        <f t="shared" si="4"/>
        <v>0</v>
      </c>
      <c r="X17" s="8">
        <f t="shared" si="4"/>
        <v>0</v>
      </c>
      <c r="Y17" s="8">
        <f t="shared" si="4"/>
        <v>0</v>
      </c>
      <c r="Z17" s="8">
        <f t="shared" si="4"/>
        <v>0</v>
      </c>
      <c r="AA17" s="8">
        <f t="shared" si="4"/>
        <v>0</v>
      </c>
      <c r="AB17" s="8">
        <f t="shared" si="4"/>
        <v>0</v>
      </c>
      <c r="AC17" s="8">
        <f t="shared" si="4"/>
        <v>0</v>
      </c>
      <c r="AD17" s="8">
        <f t="shared" si="4"/>
        <v>0</v>
      </c>
      <c r="AE17" s="8">
        <f t="shared" si="4"/>
        <v>0</v>
      </c>
      <c r="AF17" s="8">
        <f t="shared" si="4"/>
        <v>0</v>
      </c>
      <c r="AG17" s="8">
        <f t="shared" si="4"/>
        <v>0</v>
      </c>
      <c r="AH17" s="8">
        <f t="shared" si="4"/>
        <v>0</v>
      </c>
      <c r="AI17" s="8">
        <f t="shared" si="4"/>
        <v>0</v>
      </c>
      <c r="AJ17" s="125">
        <f t="shared" si="1"/>
        <v>10831</v>
      </c>
    </row>
    <row r="18" spans="2:36" x14ac:dyDescent="0.2">
      <c r="B18">
        <f>G3</f>
        <v>2021</v>
      </c>
      <c r="C18" s="8"/>
      <c r="D18" s="8"/>
      <c r="E18" s="8"/>
      <c r="F18" s="8"/>
      <c r="G18" s="8">
        <f t="shared" ref="G18:AI18" si="5">IF(G$3-$B18-$C$4&lt;0,SLN($G$10,0,$C$4),0)</f>
        <v>825</v>
      </c>
      <c r="H18" s="8">
        <f t="shared" si="5"/>
        <v>825</v>
      </c>
      <c r="I18" s="8">
        <f t="shared" si="5"/>
        <v>825</v>
      </c>
      <c r="J18" s="8">
        <f t="shared" si="5"/>
        <v>825</v>
      </c>
      <c r="K18" s="8">
        <f t="shared" si="5"/>
        <v>0</v>
      </c>
      <c r="L18" s="8">
        <f t="shared" si="5"/>
        <v>0</v>
      </c>
      <c r="M18" s="8">
        <f t="shared" si="5"/>
        <v>0</v>
      </c>
      <c r="N18" s="8">
        <f t="shared" si="5"/>
        <v>0</v>
      </c>
      <c r="O18" s="8">
        <f t="shared" si="5"/>
        <v>0</v>
      </c>
      <c r="P18" s="8">
        <f t="shared" si="5"/>
        <v>0</v>
      </c>
      <c r="Q18" s="8">
        <f t="shared" si="5"/>
        <v>0</v>
      </c>
      <c r="R18" s="8">
        <f t="shared" si="5"/>
        <v>0</v>
      </c>
      <c r="S18" s="8">
        <f t="shared" si="5"/>
        <v>0</v>
      </c>
      <c r="T18" s="8">
        <f t="shared" si="5"/>
        <v>0</v>
      </c>
      <c r="U18" s="8">
        <f t="shared" si="5"/>
        <v>0</v>
      </c>
      <c r="V18" s="8">
        <f t="shared" si="5"/>
        <v>0</v>
      </c>
      <c r="W18" s="8">
        <f t="shared" si="5"/>
        <v>0</v>
      </c>
      <c r="X18" s="8">
        <f t="shared" si="5"/>
        <v>0</v>
      </c>
      <c r="Y18" s="8">
        <f t="shared" si="5"/>
        <v>0</v>
      </c>
      <c r="Z18" s="8">
        <f t="shared" si="5"/>
        <v>0</v>
      </c>
      <c r="AA18" s="8">
        <f t="shared" si="5"/>
        <v>0</v>
      </c>
      <c r="AB18" s="8">
        <f t="shared" si="5"/>
        <v>0</v>
      </c>
      <c r="AC18" s="8">
        <f t="shared" si="5"/>
        <v>0</v>
      </c>
      <c r="AD18" s="8">
        <f t="shared" si="5"/>
        <v>0</v>
      </c>
      <c r="AE18" s="8">
        <f t="shared" si="5"/>
        <v>0</v>
      </c>
      <c r="AF18" s="8">
        <f t="shared" si="5"/>
        <v>0</v>
      </c>
      <c r="AG18" s="8">
        <f t="shared" si="5"/>
        <v>0</v>
      </c>
      <c r="AH18" s="8">
        <f t="shared" si="5"/>
        <v>0</v>
      </c>
      <c r="AI18" s="8">
        <f t="shared" si="5"/>
        <v>0</v>
      </c>
      <c r="AJ18" s="125">
        <f t="shared" si="1"/>
        <v>3300</v>
      </c>
    </row>
    <row r="19" spans="2:36" x14ac:dyDescent="0.2">
      <c r="B19">
        <f>H3</f>
        <v>2022</v>
      </c>
      <c r="C19" s="8"/>
      <c r="D19" s="8"/>
      <c r="E19" s="8"/>
      <c r="F19" s="8"/>
      <c r="G19" s="8"/>
      <c r="H19" s="8">
        <f t="shared" ref="H19:AI19" si="6">IF(H$3-$B19-$C$4&lt;0,SLN($H$10,0,$C$4),0)</f>
        <v>135</v>
      </c>
      <c r="I19" s="8">
        <f t="shared" si="6"/>
        <v>135</v>
      </c>
      <c r="J19" s="8">
        <f t="shared" si="6"/>
        <v>135</v>
      </c>
      <c r="K19" s="8">
        <f t="shared" si="6"/>
        <v>135</v>
      </c>
      <c r="L19" s="8">
        <f t="shared" si="6"/>
        <v>0</v>
      </c>
      <c r="M19" s="8">
        <f t="shared" si="6"/>
        <v>0</v>
      </c>
      <c r="N19" s="8">
        <f t="shared" si="6"/>
        <v>0</v>
      </c>
      <c r="O19" s="8">
        <f t="shared" si="6"/>
        <v>0</v>
      </c>
      <c r="P19" s="8">
        <f t="shared" si="6"/>
        <v>0</v>
      </c>
      <c r="Q19" s="8">
        <f t="shared" si="6"/>
        <v>0</v>
      </c>
      <c r="R19" s="8">
        <f t="shared" si="6"/>
        <v>0</v>
      </c>
      <c r="S19" s="8">
        <f t="shared" si="6"/>
        <v>0</v>
      </c>
      <c r="T19" s="8">
        <f t="shared" si="6"/>
        <v>0</v>
      </c>
      <c r="U19" s="8">
        <f t="shared" si="6"/>
        <v>0</v>
      </c>
      <c r="V19" s="8">
        <f t="shared" si="6"/>
        <v>0</v>
      </c>
      <c r="W19" s="8">
        <f t="shared" si="6"/>
        <v>0</v>
      </c>
      <c r="X19" s="8">
        <f t="shared" si="6"/>
        <v>0</v>
      </c>
      <c r="Y19" s="8">
        <f t="shared" si="6"/>
        <v>0</v>
      </c>
      <c r="Z19" s="8">
        <f t="shared" si="6"/>
        <v>0</v>
      </c>
      <c r="AA19" s="8">
        <f t="shared" si="6"/>
        <v>0</v>
      </c>
      <c r="AB19" s="8">
        <f t="shared" si="6"/>
        <v>0</v>
      </c>
      <c r="AC19" s="8">
        <f t="shared" si="6"/>
        <v>0</v>
      </c>
      <c r="AD19" s="8">
        <f t="shared" si="6"/>
        <v>0</v>
      </c>
      <c r="AE19" s="8">
        <f t="shared" si="6"/>
        <v>0</v>
      </c>
      <c r="AF19" s="8">
        <f t="shared" si="6"/>
        <v>0</v>
      </c>
      <c r="AG19" s="8">
        <f t="shared" si="6"/>
        <v>0</v>
      </c>
      <c r="AH19" s="8">
        <f t="shared" si="6"/>
        <v>0</v>
      </c>
      <c r="AI19" s="8">
        <f t="shared" si="6"/>
        <v>0</v>
      </c>
      <c r="AJ19" s="125">
        <f t="shared" si="1"/>
        <v>540</v>
      </c>
    </row>
    <row r="20" spans="2:36" x14ac:dyDescent="0.2">
      <c r="B20">
        <f>I3</f>
        <v>2023</v>
      </c>
      <c r="C20" s="8"/>
      <c r="D20" s="8"/>
      <c r="E20" s="8"/>
      <c r="F20" s="8"/>
      <c r="G20" s="8"/>
      <c r="H20" s="8"/>
      <c r="I20" s="8">
        <f t="shared" ref="I20:AI20" si="7">IF(I$3-$B20-$C$4&lt;0,SLN($I$10,0,$C$4),0)</f>
        <v>0</v>
      </c>
      <c r="J20" s="8">
        <f t="shared" si="7"/>
        <v>0</v>
      </c>
      <c r="K20" s="8">
        <f t="shared" si="7"/>
        <v>0</v>
      </c>
      <c r="L20" s="8">
        <f t="shared" si="7"/>
        <v>0</v>
      </c>
      <c r="M20" s="8">
        <f t="shared" si="7"/>
        <v>0</v>
      </c>
      <c r="N20" s="8">
        <f t="shared" si="7"/>
        <v>0</v>
      </c>
      <c r="O20" s="8">
        <f t="shared" si="7"/>
        <v>0</v>
      </c>
      <c r="P20" s="8">
        <f t="shared" si="7"/>
        <v>0</v>
      </c>
      <c r="Q20" s="8">
        <f t="shared" si="7"/>
        <v>0</v>
      </c>
      <c r="R20" s="8">
        <f t="shared" si="7"/>
        <v>0</v>
      </c>
      <c r="S20" s="8">
        <f t="shared" si="7"/>
        <v>0</v>
      </c>
      <c r="T20" s="8">
        <f t="shared" si="7"/>
        <v>0</v>
      </c>
      <c r="U20" s="8">
        <f t="shared" si="7"/>
        <v>0</v>
      </c>
      <c r="V20" s="8">
        <f t="shared" si="7"/>
        <v>0</v>
      </c>
      <c r="W20" s="8">
        <f t="shared" si="7"/>
        <v>0</v>
      </c>
      <c r="X20" s="8">
        <f t="shared" si="7"/>
        <v>0</v>
      </c>
      <c r="Y20" s="8">
        <f t="shared" si="7"/>
        <v>0</v>
      </c>
      <c r="Z20" s="8">
        <f t="shared" si="7"/>
        <v>0</v>
      </c>
      <c r="AA20" s="8">
        <f t="shared" si="7"/>
        <v>0</v>
      </c>
      <c r="AB20" s="8">
        <f t="shared" si="7"/>
        <v>0</v>
      </c>
      <c r="AC20" s="8">
        <f t="shared" si="7"/>
        <v>0</v>
      </c>
      <c r="AD20" s="8">
        <f t="shared" si="7"/>
        <v>0</v>
      </c>
      <c r="AE20" s="8">
        <f t="shared" si="7"/>
        <v>0</v>
      </c>
      <c r="AF20" s="8">
        <f t="shared" si="7"/>
        <v>0</v>
      </c>
      <c r="AG20" s="8">
        <f t="shared" si="7"/>
        <v>0</v>
      </c>
      <c r="AH20" s="8">
        <f t="shared" si="7"/>
        <v>0</v>
      </c>
      <c r="AI20" s="8">
        <f t="shared" si="7"/>
        <v>0</v>
      </c>
      <c r="AJ20" s="125">
        <f t="shared" si="1"/>
        <v>0</v>
      </c>
    </row>
    <row r="21" spans="2:36" x14ac:dyDescent="0.2">
      <c r="B21">
        <f>J3</f>
        <v>2024</v>
      </c>
      <c r="C21" s="8"/>
      <c r="D21" s="8"/>
      <c r="E21" s="8"/>
      <c r="F21" s="8"/>
      <c r="G21" s="8"/>
      <c r="H21" s="8"/>
      <c r="I21" s="8"/>
      <c r="J21" s="8">
        <f t="shared" ref="J21:AI21" si="8">IF(J$3-$B21-$C$4&lt;0,SLN($J$10,0,$C$4),0)</f>
        <v>0</v>
      </c>
      <c r="K21" s="8">
        <f t="shared" si="8"/>
        <v>0</v>
      </c>
      <c r="L21" s="8">
        <f t="shared" si="8"/>
        <v>0</v>
      </c>
      <c r="M21" s="8">
        <f t="shared" si="8"/>
        <v>0</v>
      </c>
      <c r="N21" s="8">
        <f t="shared" si="8"/>
        <v>0</v>
      </c>
      <c r="O21" s="8">
        <f t="shared" si="8"/>
        <v>0</v>
      </c>
      <c r="P21" s="8">
        <f t="shared" si="8"/>
        <v>0</v>
      </c>
      <c r="Q21" s="8">
        <f t="shared" si="8"/>
        <v>0</v>
      </c>
      <c r="R21" s="8">
        <f t="shared" si="8"/>
        <v>0</v>
      </c>
      <c r="S21" s="8">
        <f t="shared" si="8"/>
        <v>0</v>
      </c>
      <c r="T21" s="8">
        <f t="shared" si="8"/>
        <v>0</v>
      </c>
      <c r="U21" s="8">
        <f t="shared" si="8"/>
        <v>0</v>
      </c>
      <c r="V21" s="8">
        <f t="shared" si="8"/>
        <v>0</v>
      </c>
      <c r="W21" s="8">
        <f t="shared" si="8"/>
        <v>0</v>
      </c>
      <c r="X21" s="8">
        <f t="shared" si="8"/>
        <v>0</v>
      </c>
      <c r="Y21" s="8">
        <f t="shared" si="8"/>
        <v>0</v>
      </c>
      <c r="Z21" s="8">
        <f t="shared" si="8"/>
        <v>0</v>
      </c>
      <c r="AA21" s="8">
        <f t="shared" si="8"/>
        <v>0</v>
      </c>
      <c r="AB21" s="8">
        <f t="shared" si="8"/>
        <v>0</v>
      </c>
      <c r="AC21" s="8">
        <f t="shared" si="8"/>
        <v>0</v>
      </c>
      <c r="AD21" s="8">
        <f t="shared" si="8"/>
        <v>0</v>
      </c>
      <c r="AE21" s="8">
        <f t="shared" si="8"/>
        <v>0</v>
      </c>
      <c r="AF21" s="8">
        <f t="shared" si="8"/>
        <v>0</v>
      </c>
      <c r="AG21" s="8">
        <f t="shared" si="8"/>
        <v>0</v>
      </c>
      <c r="AH21" s="8">
        <f t="shared" si="8"/>
        <v>0</v>
      </c>
      <c r="AI21" s="8">
        <f t="shared" si="8"/>
        <v>0</v>
      </c>
      <c r="AJ21" s="125">
        <f t="shared" si="1"/>
        <v>0</v>
      </c>
    </row>
    <row r="22" spans="2:36" x14ac:dyDescent="0.2">
      <c r="B22">
        <f>K3</f>
        <v>2025</v>
      </c>
      <c r="C22" s="8"/>
      <c r="D22" s="8"/>
      <c r="E22" s="8"/>
      <c r="F22" s="8"/>
      <c r="G22" s="8"/>
      <c r="H22" s="8"/>
      <c r="I22" s="8"/>
      <c r="J22" s="8"/>
      <c r="K22" s="8">
        <f t="shared" ref="K22:AI22" si="9">IF(K$3-$B22-$C$4&lt;0,SLN($K$10,0,$C$4),0)</f>
        <v>0</v>
      </c>
      <c r="L22" s="8">
        <f t="shared" si="9"/>
        <v>0</v>
      </c>
      <c r="M22" s="8">
        <f t="shared" si="9"/>
        <v>0</v>
      </c>
      <c r="N22" s="8">
        <f t="shared" si="9"/>
        <v>0</v>
      </c>
      <c r="O22" s="8">
        <f t="shared" si="9"/>
        <v>0</v>
      </c>
      <c r="P22" s="8">
        <f t="shared" si="9"/>
        <v>0</v>
      </c>
      <c r="Q22" s="8">
        <f t="shared" si="9"/>
        <v>0</v>
      </c>
      <c r="R22" s="8">
        <f t="shared" si="9"/>
        <v>0</v>
      </c>
      <c r="S22" s="8">
        <f t="shared" si="9"/>
        <v>0</v>
      </c>
      <c r="T22" s="8">
        <f t="shared" si="9"/>
        <v>0</v>
      </c>
      <c r="U22" s="8">
        <f t="shared" si="9"/>
        <v>0</v>
      </c>
      <c r="V22" s="8">
        <f t="shared" si="9"/>
        <v>0</v>
      </c>
      <c r="W22" s="8">
        <f t="shared" si="9"/>
        <v>0</v>
      </c>
      <c r="X22" s="8">
        <f t="shared" si="9"/>
        <v>0</v>
      </c>
      <c r="Y22" s="8">
        <f t="shared" si="9"/>
        <v>0</v>
      </c>
      <c r="Z22" s="8">
        <f t="shared" si="9"/>
        <v>0</v>
      </c>
      <c r="AA22" s="8">
        <f t="shared" si="9"/>
        <v>0</v>
      </c>
      <c r="AB22" s="8">
        <f t="shared" si="9"/>
        <v>0</v>
      </c>
      <c r="AC22" s="8">
        <f t="shared" si="9"/>
        <v>0</v>
      </c>
      <c r="AD22" s="8">
        <f t="shared" si="9"/>
        <v>0</v>
      </c>
      <c r="AE22" s="8">
        <f t="shared" si="9"/>
        <v>0</v>
      </c>
      <c r="AF22" s="8">
        <f t="shared" si="9"/>
        <v>0</v>
      </c>
      <c r="AG22" s="8">
        <f t="shared" si="9"/>
        <v>0</v>
      </c>
      <c r="AH22" s="8">
        <f t="shared" si="9"/>
        <v>0</v>
      </c>
      <c r="AI22" s="8">
        <f t="shared" si="9"/>
        <v>0</v>
      </c>
      <c r="AJ22" s="125">
        <f t="shared" si="1"/>
        <v>0</v>
      </c>
    </row>
    <row r="23" spans="2:36" x14ac:dyDescent="0.2">
      <c r="B23">
        <f>L3</f>
        <v>2026</v>
      </c>
      <c r="C23" s="8"/>
      <c r="D23" s="8"/>
      <c r="E23" s="8"/>
      <c r="F23" s="8"/>
      <c r="G23" s="8"/>
      <c r="H23" s="8"/>
      <c r="I23" s="8"/>
      <c r="J23" s="8"/>
      <c r="K23" s="8"/>
      <c r="L23" s="8">
        <f t="shared" ref="L23:AI23" si="10">IF(L$3-$B23-$C$4&lt;0,SLN($L$10,0,$C$4),0)</f>
        <v>0</v>
      </c>
      <c r="M23" s="8">
        <f t="shared" si="10"/>
        <v>0</v>
      </c>
      <c r="N23" s="8">
        <f t="shared" si="10"/>
        <v>0</v>
      </c>
      <c r="O23" s="8">
        <f t="shared" si="10"/>
        <v>0</v>
      </c>
      <c r="P23" s="8">
        <f t="shared" si="10"/>
        <v>0</v>
      </c>
      <c r="Q23" s="8">
        <f t="shared" si="10"/>
        <v>0</v>
      </c>
      <c r="R23" s="8">
        <f t="shared" si="10"/>
        <v>0</v>
      </c>
      <c r="S23" s="8">
        <f t="shared" si="10"/>
        <v>0</v>
      </c>
      <c r="T23" s="8">
        <f t="shared" si="10"/>
        <v>0</v>
      </c>
      <c r="U23" s="8">
        <f t="shared" si="10"/>
        <v>0</v>
      </c>
      <c r="V23" s="8">
        <f t="shared" si="10"/>
        <v>0</v>
      </c>
      <c r="W23" s="8">
        <f t="shared" si="10"/>
        <v>0</v>
      </c>
      <c r="X23" s="8">
        <f t="shared" si="10"/>
        <v>0</v>
      </c>
      <c r="Y23" s="8">
        <f t="shared" si="10"/>
        <v>0</v>
      </c>
      <c r="Z23" s="8">
        <f t="shared" si="10"/>
        <v>0</v>
      </c>
      <c r="AA23" s="8">
        <f t="shared" si="10"/>
        <v>0</v>
      </c>
      <c r="AB23" s="8">
        <f t="shared" si="10"/>
        <v>0</v>
      </c>
      <c r="AC23" s="8">
        <f t="shared" si="10"/>
        <v>0</v>
      </c>
      <c r="AD23" s="8">
        <f t="shared" si="10"/>
        <v>0</v>
      </c>
      <c r="AE23" s="8">
        <f t="shared" si="10"/>
        <v>0</v>
      </c>
      <c r="AF23" s="8">
        <f t="shared" si="10"/>
        <v>0</v>
      </c>
      <c r="AG23" s="8">
        <f t="shared" si="10"/>
        <v>0</v>
      </c>
      <c r="AH23" s="8">
        <f t="shared" si="10"/>
        <v>0</v>
      </c>
      <c r="AI23" s="8">
        <f t="shared" si="10"/>
        <v>0</v>
      </c>
      <c r="AJ23" s="125">
        <f t="shared" si="1"/>
        <v>0</v>
      </c>
    </row>
    <row r="24" spans="2:36" x14ac:dyDescent="0.2">
      <c r="B24">
        <f>M3</f>
        <v>2027</v>
      </c>
      <c r="C24" s="8"/>
      <c r="D24" s="8"/>
      <c r="E24" s="8"/>
      <c r="F24" s="8"/>
      <c r="G24" s="8"/>
      <c r="H24" s="8"/>
      <c r="I24" s="8"/>
      <c r="J24" s="8"/>
      <c r="K24" s="8"/>
      <c r="L24" s="8"/>
      <c r="M24" s="8">
        <f t="shared" ref="M24:AI24" si="11">IF(M$3-$B24-$C$4&lt;0,SLN($M$10,0,$C$4),0)</f>
        <v>0</v>
      </c>
      <c r="N24" s="8">
        <f t="shared" si="11"/>
        <v>0</v>
      </c>
      <c r="O24" s="8">
        <f t="shared" si="11"/>
        <v>0</v>
      </c>
      <c r="P24" s="8">
        <f t="shared" si="11"/>
        <v>0</v>
      </c>
      <c r="Q24" s="8">
        <f t="shared" si="11"/>
        <v>0</v>
      </c>
      <c r="R24" s="8">
        <f t="shared" si="11"/>
        <v>0</v>
      </c>
      <c r="S24" s="8">
        <f t="shared" si="11"/>
        <v>0</v>
      </c>
      <c r="T24" s="8">
        <f t="shared" si="11"/>
        <v>0</v>
      </c>
      <c r="U24" s="8">
        <f t="shared" si="11"/>
        <v>0</v>
      </c>
      <c r="V24" s="8">
        <f t="shared" si="11"/>
        <v>0</v>
      </c>
      <c r="W24" s="8">
        <f t="shared" si="11"/>
        <v>0</v>
      </c>
      <c r="X24" s="8">
        <f t="shared" si="11"/>
        <v>0</v>
      </c>
      <c r="Y24" s="8">
        <f t="shared" si="11"/>
        <v>0</v>
      </c>
      <c r="Z24" s="8">
        <f t="shared" si="11"/>
        <v>0</v>
      </c>
      <c r="AA24" s="8">
        <f t="shared" si="11"/>
        <v>0</v>
      </c>
      <c r="AB24" s="8">
        <f t="shared" si="11"/>
        <v>0</v>
      </c>
      <c r="AC24" s="8">
        <f t="shared" si="11"/>
        <v>0</v>
      </c>
      <c r="AD24" s="8">
        <f t="shared" si="11"/>
        <v>0</v>
      </c>
      <c r="AE24" s="8">
        <f t="shared" si="11"/>
        <v>0</v>
      </c>
      <c r="AF24" s="8">
        <f t="shared" si="11"/>
        <v>0</v>
      </c>
      <c r="AG24" s="8">
        <f t="shared" si="11"/>
        <v>0</v>
      </c>
      <c r="AH24" s="8">
        <f t="shared" si="11"/>
        <v>0</v>
      </c>
      <c r="AI24" s="8">
        <f t="shared" si="11"/>
        <v>0</v>
      </c>
      <c r="AJ24" s="125">
        <f t="shared" si="1"/>
        <v>0</v>
      </c>
    </row>
    <row r="25" spans="2:36" x14ac:dyDescent="0.2">
      <c r="B25">
        <f>N3</f>
        <v>2028</v>
      </c>
      <c r="C25" s="8"/>
      <c r="D25" s="8"/>
      <c r="E25" s="8"/>
      <c r="F25" s="8"/>
      <c r="G25" s="8"/>
      <c r="H25" s="8"/>
      <c r="I25" s="8"/>
      <c r="J25" s="8"/>
      <c r="K25" s="8"/>
      <c r="L25" s="8"/>
      <c r="M25" s="8"/>
      <c r="N25" s="8">
        <f t="shared" ref="N25:AI25" si="12">IF(N$3-$B25-$C$4&lt;0,SLN($N$10,0,$C$4),0)</f>
        <v>0</v>
      </c>
      <c r="O25" s="8">
        <f t="shared" si="12"/>
        <v>0</v>
      </c>
      <c r="P25" s="8">
        <f t="shared" si="12"/>
        <v>0</v>
      </c>
      <c r="Q25" s="8">
        <f t="shared" si="12"/>
        <v>0</v>
      </c>
      <c r="R25" s="8">
        <f t="shared" si="12"/>
        <v>0</v>
      </c>
      <c r="S25" s="8">
        <f t="shared" si="12"/>
        <v>0</v>
      </c>
      <c r="T25" s="8">
        <f t="shared" si="12"/>
        <v>0</v>
      </c>
      <c r="U25" s="8">
        <f t="shared" si="12"/>
        <v>0</v>
      </c>
      <c r="V25" s="8">
        <f t="shared" si="12"/>
        <v>0</v>
      </c>
      <c r="W25" s="8">
        <f t="shared" si="12"/>
        <v>0</v>
      </c>
      <c r="X25" s="8">
        <f t="shared" si="12"/>
        <v>0</v>
      </c>
      <c r="Y25" s="8">
        <f t="shared" si="12"/>
        <v>0</v>
      </c>
      <c r="Z25" s="8">
        <f t="shared" si="12"/>
        <v>0</v>
      </c>
      <c r="AA25" s="8">
        <f t="shared" si="12"/>
        <v>0</v>
      </c>
      <c r="AB25" s="8">
        <f t="shared" si="12"/>
        <v>0</v>
      </c>
      <c r="AC25" s="8">
        <f t="shared" si="12"/>
        <v>0</v>
      </c>
      <c r="AD25" s="8">
        <f t="shared" si="12"/>
        <v>0</v>
      </c>
      <c r="AE25" s="8">
        <f t="shared" si="12"/>
        <v>0</v>
      </c>
      <c r="AF25" s="8">
        <f t="shared" si="12"/>
        <v>0</v>
      </c>
      <c r="AG25" s="8">
        <f t="shared" si="12"/>
        <v>0</v>
      </c>
      <c r="AH25" s="8">
        <f t="shared" si="12"/>
        <v>0</v>
      </c>
      <c r="AI25" s="8">
        <f t="shared" si="12"/>
        <v>0</v>
      </c>
      <c r="AJ25" s="125">
        <f t="shared" si="1"/>
        <v>0</v>
      </c>
    </row>
    <row r="26" spans="2:36" x14ac:dyDescent="0.2">
      <c r="B26">
        <f>O3</f>
        <v>2029</v>
      </c>
      <c r="C26" s="8"/>
      <c r="D26" s="8"/>
      <c r="E26" s="8"/>
      <c r="F26" s="8"/>
      <c r="G26" s="8"/>
      <c r="H26" s="8"/>
      <c r="I26" s="8"/>
      <c r="J26" s="8"/>
      <c r="K26" s="8"/>
      <c r="L26" s="8"/>
      <c r="M26" s="8"/>
      <c r="N26" s="8"/>
      <c r="O26" s="8">
        <f t="shared" ref="O26:AI26" si="13">IF(O$3-$B26-$C$4&lt;0,SLN($O$10,0,$C$4),0)</f>
        <v>0</v>
      </c>
      <c r="P26" s="8">
        <f t="shared" si="13"/>
        <v>0</v>
      </c>
      <c r="Q26" s="8">
        <f t="shared" si="13"/>
        <v>0</v>
      </c>
      <c r="R26" s="8">
        <f t="shared" si="13"/>
        <v>0</v>
      </c>
      <c r="S26" s="8">
        <f t="shared" si="13"/>
        <v>0</v>
      </c>
      <c r="T26" s="8">
        <f t="shared" si="13"/>
        <v>0</v>
      </c>
      <c r="U26" s="8">
        <f t="shared" si="13"/>
        <v>0</v>
      </c>
      <c r="V26" s="8">
        <f t="shared" si="13"/>
        <v>0</v>
      </c>
      <c r="W26" s="8">
        <f t="shared" si="13"/>
        <v>0</v>
      </c>
      <c r="X26" s="8">
        <f t="shared" si="13"/>
        <v>0</v>
      </c>
      <c r="Y26" s="8">
        <f t="shared" si="13"/>
        <v>0</v>
      </c>
      <c r="Z26" s="8">
        <f t="shared" si="13"/>
        <v>0</v>
      </c>
      <c r="AA26" s="8">
        <f t="shared" si="13"/>
        <v>0</v>
      </c>
      <c r="AB26" s="8">
        <f t="shared" si="13"/>
        <v>0</v>
      </c>
      <c r="AC26" s="8">
        <f t="shared" si="13"/>
        <v>0</v>
      </c>
      <c r="AD26" s="8">
        <f t="shared" si="13"/>
        <v>0</v>
      </c>
      <c r="AE26" s="8">
        <f t="shared" si="13"/>
        <v>0</v>
      </c>
      <c r="AF26" s="8">
        <f t="shared" si="13"/>
        <v>0</v>
      </c>
      <c r="AG26" s="8">
        <f t="shared" si="13"/>
        <v>0</v>
      </c>
      <c r="AH26" s="8">
        <f t="shared" si="13"/>
        <v>0</v>
      </c>
      <c r="AI26" s="8">
        <f t="shared" si="13"/>
        <v>0</v>
      </c>
      <c r="AJ26" s="125">
        <f t="shared" si="1"/>
        <v>0</v>
      </c>
    </row>
    <row r="27" spans="2:36" x14ac:dyDescent="0.2">
      <c r="B27">
        <f>P3</f>
        <v>2030</v>
      </c>
      <c r="C27" s="8"/>
      <c r="D27" s="8"/>
      <c r="E27" s="8"/>
      <c r="F27" s="8"/>
      <c r="G27" s="8"/>
      <c r="H27" s="8"/>
      <c r="I27" s="8"/>
      <c r="J27" s="8"/>
      <c r="K27" s="8"/>
      <c r="L27" s="8"/>
      <c r="M27" s="8"/>
      <c r="N27" s="8"/>
      <c r="O27" s="8"/>
      <c r="P27" s="8">
        <f t="shared" ref="P27:AI27" si="14">IF(P$3-$B27-$C$4&lt;0,SLN($P$10,0,$C$4),0)</f>
        <v>0</v>
      </c>
      <c r="Q27" s="8">
        <f t="shared" si="14"/>
        <v>0</v>
      </c>
      <c r="R27" s="8">
        <f t="shared" si="14"/>
        <v>0</v>
      </c>
      <c r="S27" s="8">
        <f t="shared" si="14"/>
        <v>0</v>
      </c>
      <c r="T27" s="8">
        <f t="shared" si="14"/>
        <v>0</v>
      </c>
      <c r="U27" s="8">
        <f t="shared" si="14"/>
        <v>0</v>
      </c>
      <c r="V27" s="8">
        <f t="shared" si="14"/>
        <v>0</v>
      </c>
      <c r="W27" s="8">
        <f t="shared" si="14"/>
        <v>0</v>
      </c>
      <c r="X27" s="8">
        <f t="shared" si="14"/>
        <v>0</v>
      </c>
      <c r="Y27" s="8">
        <f t="shared" si="14"/>
        <v>0</v>
      </c>
      <c r="Z27" s="8">
        <f t="shared" si="14"/>
        <v>0</v>
      </c>
      <c r="AA27" s="8">
        <f t="shared" si="14"/>
        <v>0</v>
      </c>
      <c r="AB27" s="8">
        <f t="shared" si="14"/>
        <v>0</v>
      </c>
      <c r="AC27" s="8">
        <f t="shared" si="14"/>
        <v>0</v>
      </c>
      <c r="AD27" s="8">
        <f t="shared" si="14"/>
        <v>0</v>
      </c>
      <c r="AE27" s="8">
        <f t="shared" si="14"/>
        <v>0</v>
      </c>
      <c r="AF27" s="8">
        <f t="shared" si="14"/>
        <v>0</v>
      </c>
      <c r="AG27" s="8">
        <f t="shared" si="14"/>
        <v>0</v>
      </c>
      <c r="AH27" s="8">
        <f t="shared" si="14"/>
        <v>0</v>
      </c>
      <c r="AI27" s="8">
        <f t="shared" si="14"/>
        <v>0</v>
      </c>
      <c r="AJ27" s="125">
        <f t="shared" si="1"/>
        <v>0</v>
      </c>
    </row>
    <row r="28" spans="2:36" x14ac:dyDescent="0.2">
      <c r="B28">
        <f>Q3</f>
        <v>2031</v>
      </c>
      <c r="C28" s="8"/>
      <c r="D28" s="8"/>
      <c r="E28" s="8"/>
      <c r="F28" s="8"/>
      <c r="G28" s="8"/>
      <c r="H28" s="8"/>
      <c r="I28" s="8"/>
      <c r="J28" s="8"/>
      <c r="K28" s="8"/>
      <c r="L28" s="8"/>
      <c r="M28" s="8"/>
      <c r="N28" s="8"/>
      <c r="O28" s="8"/>
      <c r="P28" s="8"/>
      <c r="Q28" s="8">
        <f t="shared" ref="Q28:AI28" si="15">IF(Q$3-$B28-$C$4&lt;0,SLN($Q$10,0,$C$4),0)</f>
        <v>0</v>
      </c>
      <c r="R28" s="8">
        <f t="shared" si="15"/>
        <v>0</v>
      </c>
      <c r="S28" s="8">
        <f t="shared" si="15"/>
        <v>0</v>
      </c>
      <c r="T28" s="8">
        <f t="shared" si="15"/>
        <v>0</v>
      </c>
      <c r="U28" s="8">
        <f t="shared" si="15"/>
        <v>0</v>
      </c>
      <c r="V28" s="8">
        <f t="shared" si="15"/>
        <v>0</v>
      </c>
      <c r="W28" s="8">
        <f t="shared" si="15"/>
        <v>0</v>
      </c>
      <c r="X28" s="8">
        <f t="shared" si="15"/>
        <v>0</v>
      </c>
      <c r="Y28" s="8">
        <f t="shared" si="15"/>
        <v>0</v>
      </c>
      <c r="Z28" s="8">
        <f t="shared" si="15"/>
        <v>0</v>
      </c>
      <c r="AA28" s="8">
        <f t="shared" si="15"/>
        <v>0</v>
      </c>
      <c r="AB28" s="8">
        <f t="shared" si="15"/>
        <v>0</v>
      </c>
      <c r="AC28" s="8">
        <f t="shared" si="15"/>
        <v>0</v>
      </c>
      <c r="AD28" s="8">
        <f t="shared" si="15"/>
        <v>0</v>
      </c>
      <c r="AE28" s="8">
        <f t="shared" si="15"/>
        <v>0</v>
      </c>
      <c r="AF28" s="8">
        <f t="shared" si="15"/>
        <v>0</v>
      </c>
      <c r="AG28" s="8">
        <f t="shared" si="15"/>
        <v>0</v>
      </c>
      <c r="AH28" s="8">
        <f t="shared" si="15"/>
        <v>0</v>
      </c>
      <c r="AI28" s="8">
        <f t="shared" si="15"/>
        <v>0</v>
      </c>
      <c r="AJ28" s="125">
        <f t="shared" si="1"/>
        <v>0</v>
      </c>
    </row>
    <row r="29" spans="2:36" x14ac:dyDescent="0.2">
      <c r="B29">
        <f>R3</f>
        <v>2032</v>
      </c>
      <c r="C29" s="8"/>
      <c r="D29" s="8"/>
      <c r="E29" s="8"/>
      <c r="F29" s="8"/>
      <c r="G29" s="8"/>
      <c r="H29" s="8"/>
      <c r="I29" s="8"/>
      <c r="J29" s="8"/>
      <c r="K29" s="8"/>
      <c r="L29" s="8"/>
      <c r="M29" s="8"/>
      <c r="N29" s="8"/>
      <c r="O29" s="8"/>
      <c r="P29" s="8"/>
      <c r="Q29" s="8"/>
      <c r="R29" s="8">
        <f t="shared" ref="R29:AI29" si="16">IF(R$3-$B29-$C$4&lt;0,SLN($R$10,0,$C$4),0)</f>
        <v>0</v>
      </c>
      <c r="S29" s="8">
        <f t="shared" si="16"/>
        <v>0</v>
      </c>
      <c r="T29" s="8">
        <f t="shared" si="16"/>
        <v>0</v>
      </c>
      <c r="U29" s="8">
        <f t="shared" si="16"/>
        <v>0</v>
      </c>
      <c r="V29" s="8">
        <f t="shared" si="16"/>
        <v>0</v>
      </c>
      <c r="W29" s="8">
        <f t="shared" si="16"/>
        <v>0</v>
      </c>
      <c r="X29" s="8">
        <f t="shared" si="16"/>
        <v>0</v>
      </c>
      <c r="Y29" s="8">
        <f t="shared" si="16"/>
        <v>0</v>
      </c>
      <c r="Z29" s="8">
        <f t="shared" si="16"/>
        <v>0</v>
      </c>
      <c r="AA29" s="8">
        <f t="shared" si="16"/>
        <v>0</v>
      </c>
      <c r="AB29" s="8">
        <f t="shared" si="16"/>
        <v>0</v>
      </c>
      <c r="AC29" s="8">
        <f t="shared" si="16"/>
        <v>0</v>
      </c>
      <c r="AD29" s="8">
        <f t="shared" si="16"/>
        <v>0</v>
      </c>
      <c r="AE29" s="8">
        <f t="shared" si="16"/>
        <v>0</v>
      </c>
      <c r="AF29" s="8">
        <f t="shared" si="16"/>
        <v>0</v>
      </c>
      <c r="AG29" s="8">
        <f t="shared" si="16"/>
        <v>0</v>
      </c>
      <c r="AH29" s="8">
        <f t="shared" si="16"/>
        <v>0</v>
      </c>
      <c r="AI29" s="8">
        <f t="shared" si="16"/>
        <v>0</v>
      </c>
      <c r="AJ29" s="125">
        <f t="shared" si="1"/>
        <v>0</v>
      </c>
    </row>
    <row r="30" spans="2:36" x14ac:dyDescent="0.2">
      <c r="B30">
        <f>S3</f>
        <v>2033</v>
      </c>
      <c r="C30" s="8"/>
      <c r="D30" s="8"/>
      <c r="E30" s="8"/>
      <c r="F30" s="8"/>
      <c r="G30" s="8"/>
      <c r="H30" s="8"/>
      <c r="I30" s="8"/>
      <c r="J30" s="8"/>
      <c r="K30" s="8"/>
      <c r="L30" s="8"/>
      <c r="M30" s="8"/>
      <c r="N30" s="8"/>
      <c r="O30" s="8"/>
      <c r="P30" s="8"/>
      <c r="Q30" s="8"/>
      <c r="R30" s="8"/>
      <c r="S30" s="8">
        <f t="shared" ref="S30:AI30" si="17">IF(S$3-$B30-$C$4&lt;0,SLN($S$10,0,$C$4),0)</f>
        <v>0</v>
      </c>
      <c r="T30" s="8">
        <f t="shared" si="17"/>
        <v>0</v>
      </c>
      <c r="U30" s="8">
        <f t="shared" si="17"/>
        <v>0</v>
      </c>
      <c r="V30" s="8">
        <f t="shared" si="17"/>
        <v>0</v>
      </c>
      <c r="W30" s="8">
        <f t="shared" si="17"/>
        <v>0</v>
      </c>
      <c r="X30" s="8">
        <f t="shared" si="17"/>
        <v>0</v>
      </c>
      <c r="Y30" s="8">
        <f t="shared" si="17"/>
        <v>0</v>
      </c>
      <c r="Z30" s="8">
        <f t="shared" si="17"/>
        <v>0</v>
      </c>
      <c r="AA30" s="8">
        <f t="shared" si="17"/>
        <v>0</v>
      </c>
      <c r="AB30" s="8">
        <f t="shared" si="17"/>
        <v>0</v>
      </c>
      <c r="AC30" s="8">
        <f t="shared" si="17"/>
        <v>0</v>
      </c>
      <c r="AD30" s="8">
        <f t="shared" si="17"/>
        <v>0</v>
      </c>
      <c r="AE30" s="8">
        <f t="shared" si="17"/>
        <v>0</v>
      </c>
      <c r="AF30" s="8">
        <f t="shared" si="17"/>
        <v>0</v>
      </c>
      <c r="AG30" s="8">
        <f t="shared" si="17"/>
        <v>0</v>
      </c>
      <c r="AH30" s="8">
        <f t="shared" si="17"/>
        <v>0</v>
      </c>
      <c r="AI30" s="8">
        <f t="shared" si="17"/>
        <v>0</v>
      </c>
      <c r="AJ30" s="125">
        <f t="shared" si="1"/>
        <v>0</v>
      </c>
    </row>
    <row r="31" spans="2:36" x14ac:dyDescent="0.2">
      <c r="B31">
        <f>T3</f>
        <v>2034</v>
      </c>
      <c r="C31" s="8"/>
      <c r="D31" s="8"/>
      <c r="E31" s="8"/>
      <c r="F31" s="8"/>
      <c r="G31" s="8"/>
      <c r="H31" s="8"/>
      <c r="I31" s="8"/>
      <c r="J31" s="8"/>
      <c r="K31" s="8"/>
      <c r="L31" s="8"/>
      <c r="M31" s="8"/>
      <c r="N31" s="8"/>
      <c r="O31" s="8"/>
      <c r="P31" s="8"/>
      <c r="Q31" s="8"/>
      <c r="R31" s="8"/>
      <c r="S31" s="8"/>
      <c r="T31" s="8">
        <f t="shared" ref="T31:AI31" si="18">IF(T$3-$B31-$C$4&lt;0,SLN($T$10,0,$C$4),0)</f>
        <v>0</v>
      </c>
      <c r="U31" s="8">
        <f t="shared" si="18"/>
        <v>0</v>
      </c>
      <c r="V31" s="8">
        <f t="shared" si="18"/>
        <v>0</v>
      </c>
      <c r="W31" s="8">
        <f t="shared" si="18"/>
        <v>0</v>
      </c>
      <c r="X31" s="8">
        <f t="shared" si="18"/>
        <v>0</v>
      </c>
      <c r="Y31" s="8">
        <f t="shared" si="18"/>
        <v>0</v>
      </c>
      <c r="Z31" s="8">
        <f t="shared" si="18"/>
        <v>0</v>
      </c>
      <c r="AA31" s="8">
        <f t="shared" si="18"/>
        <v>0</v>
      </c>
      <c r="AB31" s="8">
        <f t="shared" si="18"/>
        <v>0</v>
      </c>
      <c r="AC31" s="8">
        <f t="shared" si="18"/>
        <v>0</v>
      </c>
      <c r="AD31" s="8">
        <f t="shared" si="18"/>
        <v>0</v>
      </c>
      <c r="AE31" s="8">
        <f t="shared" si="18"/>
        <v>0</v>
      </c>
      <c r="AF31" s="8">
        <f t="shared" si="18"/>
        <v>0</v>
      </c>
      <c r="AG31" s="8">
        <f t="shared" si="18"/>
        <v>0</v>
      </c>
      <c r="AH31" s="8">
        <f t="shared" si="18"/>
        <v>0</v>
      </c>
      <c r="AI31" s="8">
        <f t="shared" si="18"/>
        <v>0</v>
      </c>
      <c r="AJ31" s="125">
        <f t="shared" si="1"/>
        <v>0</v>
      </c>
    </row>
    <row r="32" spans="2:36" x14ac:dyDescent="0.2">
      <c r="B32">
        <f>U3</f>
        <v>2035</v>
      </c>
      <c r="C32" s="8"/>
      <c r="D32" s="8"/>
      <c r="E32" s="8"/>
      <c r="F32" s="8"/>
      <c r="G32" s="8"/>
      <c r="H32" s="8"/>
      <c r="I32" s="8"/>
      <c r="J32" s="8"/>
      <c r="K32" s="8"/>
      <c r="L32" s="8"/>
      <c r="M32" s="8"/>
      <c r="N32" s="8"/>
      <c r="O32" s="8"/>
      <c r="P32" s="8"/>
      <c r="Q32" s="8"/>
      <c r="R32" s="8"/>
      <c r="S32" s="8"/>
      <c r="T32" s="8"/>
      <c r="U32" s="8">
        <f t="shared" ref="U32:AI32" si="19">IF(U$3-$B32-$C$4&lt;0,SLN($U$10,0,$C$4),0)</f>
        <v>0</v>
      </c>
      <c r="V32" s="8">
        <f t="shared" si="19"/>
        <v>0</v>
      </c>
      <c r="W32" s="8">
        <f t="shared" si="19"/>
        <v>0</v>
      </c>
      <c r="X32" s="8">
        <f t="shared" si="19"/>
        <v>0</v>
      </c>
      <c r="Y32" s="8">
        <f t="shared" si="19"/>
        <v>0</v>
      </c>
      <c r="Z32" s="8">
        <f t="shared" si="19"/>
        <v>0</v>
      </c>
      <c r="AA32" s="8">
        <f t="shared" si="19"/>
        <v>0</v>
      </c>
      <c r="AB32" s="8">
        <f t="shared" si="19"/>
        <v>0</v>
      </c>
      <c r="AC32" s="8">
        <f t="shared" si="19"/>
        <v>0</v>
      </c>
      <c r="AD32" s="8">
        <f t="shared" si="19"/>
        <v>0</v>
      </c>
      <c r="AE32" s="8">
        <f t="shared" si="19"/>
        <v>0</v>
      </c>
      <c r="AF32" s="8">
        <f t="shared" si="19"/>
        <v>0</v>
      </c>
      <c r="AG32" s="8">
        <f t="shared" si="19"/>
        <v>0</v>
      </c>
      <c r="AH32" s="8">
        <f t="shared" si="19"/>
        <v>0</v>
      </c>
      <c r="AI32" s="8">
        <f t="shared" si="19"/>
        <v>0</v>
      </c>
      <c r="AJ32" s="125">
        <f t="shared" si="1"/>
        <v>0</v>
      </c>
    </row>
    <row r="33" spans="1:37" x14ac:dyDescent="0.2">
      <c r="B33">
        <f>V3</f>
        <v>2036</v>
      </c>
      <c r="C33" s="8"/>
      <c r="D33" s="8"/>
      <c r="E33" s="8"/>
      <c r="F33" s="8"/>
      <c r="G33" s="8"/>
      <c r="H33" s="8"/>
      <c r="I33" s="8"/>
      <c r="J33" s="8"/>
      <c r="K33" s="8"/>
      <c r="L33" s="8"/>
      <c r="M33" s="8"/>
      <c r="N33" s="8"/>
      <c r="O33" s="8"/>
      <c r="P33" s="8"/>
      <c r="Q33" s="8"/>
      <c r="R33" s="8"/>
      <c r="S33" s="8"/>
      <c r="T33" s="8"/>
      <c r="U33" s="8"/>
      <c r="V33" s="8">
        <f t="shared" ref="V33:AI33" si="20">IF(V$3-$B33-$C$4&lt;0,SLN($V$10,0,$C$4),0)</f>
        <v>0</v>
      </c>
      <c r="W33" s="8">
        <f t="shared" si="20"/>
        <v>0</v>
      </c>
      <c r="X33" s="8">
        <f t="shared" si="20"/>
        <v>0</v>
      </c>
      <c r="Y33" s="8">
        <f t="shared" si="20"/>
        <v>0</v>
      </c>
      <c r="Z33" s="8">
        <f t="shared" si="20"/>
        <v>0</v>
      </c>
      <c r="AA33" s="8">
        <f t="shared" si="20"/>
        <v>0</v>
      </c>
      <c r="AB33" s="8">
        <f t="shared" si="20"/>
        <v>0</v>
      </c>
      <c r="AC33" s="8">
        <f t="shared" si="20"/>
        <v>0</v>
      </c>
      <c r="AD33" s="8">
        <f t="shared" si="20"/>
        <v>0</v>
      </c>
      <c r="AE33" s="8">
        <f t="shared" si="20"/>
        <v>0</v>
      </c>
      <c r="AF33" s="8">
        <f t="shared" si="20"/>
        <v>0</v>
      </c>
      <c r="AG33" s="8">
        <f t="shared" si="20"/>
        <v>0</v>
      </c>
      <c r="AH33" s="8">
        <f t="shared" si="20"/>
        <v>0</v>
      </c>
      <c r="AI33" s="8">
        <f t="shared" si="20"/>
        <v>0</v>
      </c>
      <c r="AJ33" s="125">
        <f t="shared" si="1"/>
        <v>0</v>
      </c>
    </row>
    <row r="34" spans="1:37" x14ac:dyDescent="0.2">
      <c r="B34">
        <f>W3</f>
        <v>2037</v>
      </c>
      <c r="C34" s="8"/>
      <c r="D34" s="8"/>
      <c r="E34" s="8"/>
      <c r="F34" s="8"/>
      <c r="G34" s="8"/>
      <c r="H34" s="8"/>
      <c r="I34" s="8"/>
      <c r="J34" s="8"/>
      <c r="K34" s="8"/>
      <c r="L34" s="8"/>
      <c r="M34" s="8"/>
      <c r="N34" s="8"/>
      <c r="O34" s="8"/>
      <c r="P34" s="8"/>
      <c r="Q34" s="8"/>
      <c r="R34" s="8"/>
      <c r="S34" s="8"/>
      <c r="T34" s="8"/>
      <c r="U34" s="8"/>
      <c r="V34" s="8"/>
      <c r="W34" s="8">
        <f t="shared" ref="W34:AI34" si="21">IF(W$3-$B34-$C$4&lt;0,SLN($W$10,0,$C$4),0)</f>
        <v>0</v>
      </c>
      <c r="X34" s="8">
        <f t="shared" si="21"/>
        <v>0</v>
      </c>
      <c r="Y34" s="8">
        <f t="shared" si="21"/>
        <v>0</v>
      </c>
      <c r="Z34" s="8">
        <f t="shared" si="21"/>
        <v>0</v>
      </c>
      <c r="AA34" s="8">
        <f t="shared" si="21"/>
        <v>0</v>
      </c>
      <c r="AB34" s="8">
        <f t="shared" si="21"/>
        <v>0</v>
      </c>
      <c r="AC34" s="8">
        <f t="shared" si="21"/>
        <v>0</v>
      </c>
      <c r="AD34" s="8">
        <f t="shared" si="21"/>
        <v>0</v>
      </c>
      <c r="AE34" s="8">
        <f t="shared" si="21"/>
        <v>0</v>
      </c>
      <c r="AF34" s="8">
        <f t="shared" si="21"/>
        <v>0</v>
      </c>
      <c r="AG34" s="8">
        <f t="shared" si="21"/>
        <v>0</v>
      </c>
      <c r="AH34" s="8">
        <f t="shared" si="21"/>
        <v>0</v>
      </c>
      <c r="AI34" s="8">
        <f t="shared" si="21"/>
        <v>0</v>
      </c>
      <c r="AJ34" s="125">
        <f t="shared" si="1"/>
        <v>0</v>
      </c>
    </row>
    <row r="35" spans="1:37" x14ac:dyDescent="0.2">
      <c r="B35">
        <f>X3</f>
        <v>2038</v>
      </c>
      <c r="C35" s="8"/>
      <c r="D35" s="8"/>
      <c r="E35" s="8"/>
      <c r="F35" s="8"/>
      <c r="G35" s="8"/>
      <c r="H35" s="8"/>
      <c r="I35" s="8"/>
      <c r="J35" s="8"/>
      <c r="K35" s="8"/>
      <c r="L35" s="8"/>
      <c r="M35" s="8"/>
      <c r="N35" s="8"/>
      <c r="O35" s="8"/>
      <c r="P35" s="8"/>
      <c r="Q35" s="8"/>
      <c r="R35" s="8"/>
      <c r="S35" s="8"/>
      <c r="T35" s="8"/>
      <c r="U35" s="8"/>
      <c r="V35" s="8"/>
      <c r="W35" s="8"/>
      <c r="X35" s="8">
        <f t="shared" ref="X35:AI35" si="22">IF(X$3-$B35-$C$4&lt;0,SLN($X$10,0,$C$4),0)</f>
        <v>0</v>
      </c>
      <c r="Y35" s="8">
        <f t="shared" si="22"/>
        <v>0</v>
      </c>
      <c r="Z35" s="8">
        <f t="shared" si="22"/>
        <v>0</v>
      </c>
      <c r="AA35" s="8">
        <f t="shared" si="22"/>
        <v>0</v>
      </c>
      <c r="AB35" s="8">
        <f t="shared" si="22"/>
        <v>0</v>
      </c>
      <c r="AC35" s="8">
        <f t="shared" si="22"/>
        <v>0</v>
      </c>
      <c r="AD35" s="8">
        <f t="shared" si="22"/>
        <v>0</v>
      </c>
      <c r="AE35" s="8">
        <f t="shared" si="22"/>
        <v>0</v>
      </c>
      <c r="AF35" s="8">
        <f t="shared" si="22"/>
        <v>0</v>
      </c>
      <c r="AG35" s="8">
        <f t="shared" si="22"/>
        <v>0</v>
      </c>
      <c r="AH35" s="8">
        <f t="shared" si="22"/>
        <v>0</v>
      </c>
      <c r="AI35" s="8">
        <f t="shared" si="22"/>
        <v>0</v>
      </c>
      <c r="AJ35" s="125">
        <f t="shared" si="1"/>
        <v>0</v>
      </c>
    </row>
    <row r="36" spans="1:37" x14ac:dyDescent="0.2">
      <c r="B36">
        <f>Y3</f>
        <v>2039</v>
      </c>
      <c r="C36" s="8"/>
      <c r="D36" s="8"/>
      <c r="E36" s="8"/>
      <c r="F36" s="8"/>
      <c r="G36" s="8"/>
      <c r="H36" s="8"/>
      <c r="I36" s="8"/>
      <c r="J36" s="8"/>
      <c r="K36" s="8"/>
      <c r="L36" s="8"/>
      <c r="M36" s="8"/>
      <c r="N36" s="8"/>
      <c r="O36" s="8"/>
      <c r="P36" s="8"/>
      <c r="Q36" s="8"/>
      <c r="R36" s="8"/>
      <c r="S36" s="8"/>
      <c r="T36" s="8"/>
      <c r="U36" s="8"/>
      <c r="V36" s="8"/>
      <c r="W36" s="8"/>
      <c r="X36" s="8"/>
      <c r="Y36" s="8">
        <f t="shared" ref="Y36:AI36" si="23">IF(Y$3-$B36-$C$4&lt;0,SLN($Y$10,0,$C$4),0)</f>
        <v>0</v>
      </c>
      <c r="Z36" s="8">
        <f t="shared" si="23"/>
        <v>0</v>
      </c>
      <c r="AA36" s="8">
        <f t="shared" si="23"/>
        <v>0</v>
      </c>
      <c r="AB36" s="8">
        <f t="shared" si="23"/>
        <v>0</v>
      </c>
      <c r="AC36" s="8">
        <f t="shared" si="23"/>
        <v>0</v>
      </c>
      <c r="AD36" s="8">
        <f t="shared" si="23"/>
        <v>0</v>
      </c>
      <c r="AE36" s="8">
        <f t="shared" si="23"/>
        <v>0</v>
      </c>
      <c r="AF36" s="8">
        <f t="shared" si="23"/>
        <v>0</v>
      </c>
      <c r="AG36" s="8">
        <f t="shared" si="23"/>
        <v>0</v>
      </c>
      <c r="AH36" s="8">
        <f t="shared" si="23"/>
        <v>0</v>
      </c>
      <c r="AI36" s="8">
        <f t="shared" si="23"/>
        <v>0</v>
      </c>
      <c r="AJ36" s="125">
        <f t="shared" si="1"/>
        <v>0</v>
      </c>
    </row>
    <row r="37" spans="1:37" x14ac:dyDescent="0.2">
      <c r="B37">
        <f>Z3</f>
        <v>2040</v>
      </c>
      <c r="C37" s="8"/>
      <c r="D37" s="8"/>
      <c r="E37" s="8"/>
      <c r="F37" s="8"/>
      <c r="G37" s="8"/>
      <c r="H37" s="8"/>
      <c r="I37" s="8"/>
      <c r="J37" s="8"/>
      <c r="K37" s="8"/>
      <c r="L37" s="8"/>
      <c r="M37" s="8"/>
      <c r="N37" s="8"/>
      <c r="O37" s="8"/>
      <c r="P37" s="8"/>
      <c r="Q37" s="8"/>
      <c r="R37" s="8"/>
      <c r="S37" s="8"/>
      <c r="T37" s="8"/>
      <c r="U37" s="8"/>
      <c r="V37" s="8"/>
      <c r="W37" s="8"/>
      <c r="X37" s="8"/>
      <c r="Y37" s="8"/>
      <c r="Z37" s="8">
        <f t="shared" ref="Z37:AI37" si="24">IF(Z$3-$B37-$C$4&lt;0,SLN($Z$10,0,$C$4),0)</f>
        <v>0</v>
      </c>
      <c r="AA37" s="8">
        <f t="shared" si="24"/>
        <v>0</v>
      </c>
      <c r="AB37" s="8">
        <f t="shared" si="24"/>
        <v>0</v>
      </c>
      <c r="AC37" s="8">
        <f t="shared" si="24"/>
        <v>0</v>
      </c>
      <c r="AD37" s="8">
        <f t="shared" si="24"/>
        <v>0</v>
      </c>
      <c r="AE37" s="8">
        <f t="shared" si="24"/>
        <v>0</v>
      </c>
      <c r="AF37" s="8">
        <f t="shared" si="24"/>
        <v>0</v>
      </c>
      <c r="AG37" s="8">
        <f t="shared" si="24"/>
        <v>0</v>
      </c>
      <c r="AH37" s="8">
        <f t="shared" si="24"/>
        <v>0</v>
      </c>
      <c r="AI37" s="8">
        <f t="shared" si="24"/>
        <v>0</v>
      </c>
      <c r="AJ37" s="125">
        <f t="shared" si="1"/>
        <v>0</v>
      </c>
    </row>
    <row r="38" spans="1:37" x14ac:dyDescent="0.2">
      <c r="B38">
        <f>AA3</f>
        <v>2041</v>
      </c>
      <c r="C38" s="8"/>
      <c r="D38" s="8"/>
      <c r="E38" s="8"/>
      <c r="F38" s="8"/>
      <c r="G38" s="8"/>
      <c r="H38" s="8"/>
      <c r="I38" s="8"/>
      <c r="J38" s="8"/>
      <c r="K38" s="8"/>
      <c r="L38" s="8"/>
      <c r="M38" s="8"/>
      <c r="N38" s="8"/>
      <c r="O38" s="8"/>
      <c r="P38" s="8"/>
      <c r="Q38" s="8"/>
      <c r="R38" s="8"/>
      <c r="S38" s="8"/>
      <c r="T38" s="8"/>
      <c r="U38" s="8"/>
      <c r="V38" s="8"/>
      <c r="W38" s="8"/>
      <c r="X38" s="8"/>
      <c r="Y38" s="8"/>
      <c r="Z38" s="8"/>
      <c r="AA38" s="8">
        <f t="shared" ref="AA38:AI38" si="25">IF(AA$3-$B38-$C$4&lt;0,SLN($AA$10,0,$C$4),0)</f>
        <v>0</v>
      </c>
      <c r="AB38" s="8">
        <f t="shared" si="25"/>
        <v>0</v>
      </c>
      <c r="AC38" s="8">
        <f t="shared" si="25"/>
        <v>0</v>
      </c>
      <c r="AD38" s="8">
        <f t="shared" si="25"/>
        <v>0</v>
      </c>
      <c r="AE38" s="8">
        <f t="shared" si="25"/>
        <v>0</v>
      </c>
      <c r="AF38" s="8">
        <f t="shared" si="25"/>
        <v>0</v>
      </c>
      <c r="AG38" s="8">
        <f t="shared" si="25"/>
        <v>0</v>
      </c>
      <c r="AH38" s="8">
        <f t="shared" si="25"/>
        <v>0</v>
      </c>
      <c r="AI38" s="8">
        <f t="shared" si="25"/>
        <v>0</v>
      </c>
      <c r="AJ38" s="125">
        <f t="shared" si="1"/>
        <v>0</v>
      </c>
    </row>
    <row r="39" spans="1:37" x14ac:dyDescent="0.2">
      <c r="B39">
        <f>AB3</f>
        <v>2042</v>
      </c>
      <c r="C39" s="8"/>
      <c r="D39" s="8"/>
      <c r="E39" s="8"/>
      <c r="F39" s="8"/>
      <c r="G39" s="8"/>
      <c r="H39" s="8"/>
      <c r="I39" s="8"/>
      <c r="J39" s="8"/>
      <c r="K39" s="8"/>
      <c r="L39" s="8"/>
      <c r="M39" s="8"/>
      <c r="N39" s="8"/>
      <c r="O39" s="8"/>
      <c r="P39" s="8"/>
      <c r="Q39" s="8"/>
      <c r="R39" s="8"/>
      <c r="S39" s="8"/>
      <c r="T39" s="8"/>
      <c r="U39" s="8"/>
      <c r="V39" s="8"/>
      <c r="W39" s="8"/>
      <c r="X39" s="8"/>
      <c r="Y39" s="8"/>
      <c r="Z39" s="8"/>
      <c r="AA39" s="8"/>
      <c r="AB39" s="8">
        <f t="shared" ref="AB39:AI39" si="26">IF(AB$3-$B39-$C$4&lt;0,SLN($AB$10,0,$C$4),0)</f>
        <v>0</v>
      </c>
      <c r="AC39" s="8">
        <f t="shared" si="26"/>
        <v>0</v>
      </c>
      <c r="AD39" s="8">
        <f t="shared" si="26"/>
        <v>0</v>
      </c>
      <c r="AE39" s="8">
        <f t="shared" si="26"/>
        <v>0</v>
      </c>
      <c r="AF39" s="8">
        <f t="shared" si="26"/>
        <v>0</v>
      </c>
      <c r="AG39" s="8">
        <f t="shared" si="26"/>
        <v>0</v>
      </c>
      <c r="AH39" s="8">
        <f t="shared" si="26"/>
        <v>0</v>
      </c>
      <c r="AI39" s="8">
        <f t="shared" si="26"/>
        <v>0</v>
      </c>
      <c r="AJ39" s="125">
        <f t="shared" si="1"/>
        <v>0</v>
      </c>
    </row>
    <row r="40" spans="1:37" x14ac:dyDescent="0.2">
      <c r="B40">
        <f>AC3</f>
        <v>2043</v>
      </c>
      <c r="C40" s="8"/>
      <c r="D40" s="8"/>
      <c r="E40" s="8"/>
      <c r="F40" s="8"/>
      <c r="G40" s="8"/>
      <c r="H40" s="8"/>
      <c r="I40" s="8"/>
      <c r="J40" s="8"/>
      <c r="K40" s="8"/>
      <c r="L40" s="8"/>
      <c r="M40" s="8"/>
      <c r="N40" s="8"/>
      <c r="O40" s="8"/>
      <c r="P40" s="8"/>
      <c r="Q40" s="8"/>
      <c r="R40" s="8"/>
      <c r="S40" s="8"/>
      <c r="T40" s="8"/>
      <c r="U40" s="8"/>
      <c r="V40" s="8"/>
      <c r="W40" s="8"/>
      <c r="X40" s="8"/>
      <c r="Y40" s="8"/>
      <c r="Z40" s="8"/>
      <c r="AA40" s="8"/>
      <c r="AB40" s="8"/>
      <c r="AC40" s="8">
        <f t="shared" ref="AC40:AI40" si="27">IF(AC$3-$B40-$C$4&lt;0,SLN($AC$10,0,$C$4),0)</f>
        <v>0</v>
      </c>
      <c r="AD40" s="8">
        <f t="shared" si="27"/>
        <v>0</v>
      </c>
      <c r="AE40" s="8">
        <f t="shared" si="27"/>
        <v>0</v>
      </c>
      <c r="AF40" s="8">
        <f t="shared" si="27"/>
        <v>0</v>
      </c>
      <c r="AG40" s="8">
        <f t="shared" si="27"/>
        <v>0</v>
      </c>
      <c r="AH40" s="8">
        <f t="shared" si="27"/>
        <v>0</v>
      </c>
      <c r="AI40" s="8">
        <f t="shared" si="27"/>
        <v>0</v>
      </c>
      <c r="AJ40" s="125">
        <f t="shared" si="1"/>
        <v>0</v>
      </c>
    </row>
    <row r="41" spans="1:37" x14ac:dyDescent="0.2">
      <c r="B41">
        <f>AD3</f>
        <v>2044</v>
      </c>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f t="shared" ref="AD41:AI41" si="28">IF(AD$3-$B41-$C$4&lt;0,SLN($AD$10,0,$C$4),0)</f>
        <v>0</v>
      </c>
      <c r="AE41" s="8">
        <f t="shared" si="28"/>
        <v>0</v>
      </c>
      <c r="AF41" s="8">
        <f t="shared" si="28"/>
        <v>0</v>
      </c>
      <c r="AG41" s="8">
        <f t="shared" si="28"/>
        <v>0</v>
      </c>
      <c r="AH41" s="8">
        <f t="shared" si="28"/>
        <v>0</v>
      </c>
      <c r="AI41" s="8">
        <f t="shared" si="28"/>
        <v>0</v>
      </c>
      <c r="AJ41" s="125">
        <f t="shared" si="1"/>
        <v>0</v>
      </c>
    </row>
    <row r="42" spans="1:37" x14ac:dyDescent="0.2">
      <c r="B42">
        <f>AE3</f>
        <v>2045</v>
      </c>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f>IF(AE$3-$B42-$C$4&lt;0,SLN($AE$10,0,$C$4),0)</f>
        <v>0</v>
      </c>
      <c r="AF42" s="8">
        <f>IF(AF$3-$B42-$C$4&lt;0,SLN($AE$10,0,$C$4),0)</f>
        <v>0</v>
      </c>
      <c r="AG42" s="8">
        <f>IF(AG$3-$B42-$C$4&lt;0,SLN($AE$10,0,$C$4),0)</f>
        <v>0</v>
      </c>
      <c r="AH42" s="8">
        <f>IF(AH$3-$B42-$C$4&lt;0,SLN($AE$10,0,$C$4),0)</f>
        <v>0</v>
      </c>
      <c r="AI42" s="8">
        <f>IF(AI$3-$B42-$C$4&lt;0,SLN($AE$10,0,$C$4),0)</f>
        <v>0</v>
      </c>
      <c r="AJ42" s="125">
        <f t="shared" si="1"/>
        <v>0</v>
      </c>
    </row>
    <row r="43" spans="1:37" x14ac:dyDescent="0.2">
      <c r="B43">
        <f>AF3</f>
        <v>2046</v>
      </c>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f>IF(AF$3-$B43-$C$4&lt;0,SLN($AF$10,0,$C$4),0)</f>
        <v>0</v>
      </c>
      <c r="AG43" s="8">
        <f>IF(AG$3-$B43-$C$4&lt;0,SLN($AF$10,0,$C$4),0)</f>
        <v>0</v>
      </c>
      <c r="AH43" s="8">
        <f>IF(AH$3-$B43-$C$4&lt;0,SLN($AF$10,0,$C$4),0)</f>
        <v>0</v>
      </c>
      <c r="AI43" s="8">
        <f>IF(AI$3-$B43-$C$4&lt;0,SLN($AF$10,0,$C$4),0)</f>
        <v>0</v>
      </c>
      <c r="AJ43" s="125">
        <f t="shared" si="1"/>
        <v>0</v>
      </c>
    </row>
    <row r="44" spans="1:37" x14ac:dyDescent="0.25">
      <c r="B44">
        <f>AG3</f>
        <v>2047</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f>IF(AG$3-$B44-$C$4&lt;0,SLN($AG$10,0,$C$4),0)</f>
        <v>0</v>
      </c>
      <c r="AH44" s="8">
        <f>IF(AH$3-$B44-$C$4&lt;0,SLN($AG$10,0,$C$4),0)</f>
        <v>0</v>
      </c>
      <c r="AI44" s="8">
        <f>IF(AI$3-$B44-$C$4&lt;0,SLN($AG$10,0,$C$4),0)</f>
        <v>0</v>
      </c>
      <c r="AJ44" s="125">
        <f t="shared" si="1"/>
        <v>0</v>
      </c>
    </row>
    <row r="45" spans="1:37" x14ac:dyDescent="0.25">
      <c r="B45">
        <f>AH3</f>
        <v>2048</v>
      </c>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f>IF(AH$3-$B45-$C$4&lt;0,SLN($AH$10,0,$C$4),0)</f>
        <v>0</v>
      </c>
      <c r="AI45" s="8">
        <f>IF(AI$3-$B45-$C$4&lt;0,SLN($AH$10,0,$C$4),0)</f>
        <v>0</v>
      </c>
      <c r="AJ45" s="125">
        <f t="shared" si="1"/>
        <v>0</v>
      </c>
    </row>
    <row r="46" spans="1:37" ht="15.75" thickBot="1" x14ac:dyDescent="0.3">
      <c r="B46">
        <f>AI3</f>
        <v>2049</v>
      </c>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f>IF(AI$3-$B46-$C$4&lt;0,SLN($AI$10,0,$C$4),0)</f>
        <v>0</v>
      </c>
      <c r="AJ46" s="128">
        <f t="shared" si="1"/>
        <v>0</v>
      </c>
    </row>
    <row r="47" spans="1:37" ht="15.75" thickBot="1" x14ac:dyDescent="0.3">
      <c r="A47" s="105" t="s">
        <v>231</v>
      </c>
      <c r="B47" s="79" t="s">
        <v>99</v>
      </c>
      <c r="C47" s="106">
        <f>SUM(C14:C46)</f>
        <v>104.25</v>
      </c>
      <c r="D47" s="107">
        <f t="shared" ref="D47:AJ47" si="29">SUM(D14:D46)</f>
        <v>1415</v>
      </c>
      <c r="E47" s="107">
        <f t="shared" si="29"/>
        <v>3466.75</v>
      </c>
      <c r="F47" s="107">
        <f t="shared" si="29"/>
        <v>6174.5</v>
      </c>
      <c r="G47" s="107">
        <f t="shared" si="29"/>
        <v>6895.25</v>
      </c>
      <c r="H47" s="107">
        <f t="shared" si="29"/>
        <v>5719.5</v>
      </c>
      <c r="I47" s="107">
        <f t="shared" si="29"/>
        <v>3667.75</v>
      </c>
      <c r="J47" s="107">
        <f t="shared" si="29"/>
        <v>960</v>
      </c>
      <c r="K47" s="107">
        <f t="shared" si="29"/>
        <v>135</v>
      </c>
      <c r="L47" s="107">
        <f t="shared" si="29"/>
        <v>0</v>
      </c>
      <c r="M47" s="107">
        <f t="shared" si="29"/>
        <v>0</v>
      </c>
      <c r="N47" s="107">
        <f t="shared" si="29"/>
        <v>0</v>
      </c>
      <c r="O47" s="107">
        <f t="shared" si="29"/>
        <v>0</v>
      </c>
      <c r="P47" s="107">
        <f t="shared" si="29"/>
        <v>0</v>
      </c>
      <c r="Q47" s="107">
        <f t="shared" si="29"/>
        <v>0</v>
      </c>
      <c r="R47" s="107">
        <f t="shared" si="29"/>
        <v>0</v>
      </c>
      <c r="S47" s="107">
        <f t="shared" si="29"/>
        <v>0</v>
      </c>
      <c r="T47" s="107">
        <f t="shared" si="29"/>
        <v>0</v>
      </c>
      <c r="U47" s="107">
        <f t="shared" si="29"/>
        <v>0</v>
      </c>
      <c r="V47" s="107">
        <f t="shared" si="29"/>
        <v>0</v>
      </c>
      <c r="W47" s="107">
        <f t="shared" si="29"/>
        <v>0</v>
      </c>
      <c r="X47" s="107">
        <f t="shared" si="29"/>
        <v>0</v>
      </c>
      <c r="Y47" s="107">
        <f t="shared" si="29"/>
        <v>0</v>
      </c>
      <c r="Z47" s="107">
        <f t="shared" si="29"/>
        <v>0</v>
      </c>
      <c r="AA47" s="107">
        <f t="shared" si="29"/>
        <v>0</v>
      </c>
      <c r="AB47" s="107">
        <f t="shared" si="29"/>
        <v>0</v>
      </c>
      <c r="AC47" s="107">
        <f t="shared" si="29"/>
        <v>0</v>
      </c>
      <c r="AD47" s="107">
        <f t="shared" si="29"/>
        <v>0</v>
      </c>
      <c r="AE47" s="107">
        <f t="shared" si="29"/>
        <v>0</v>
      </c>
      <c r="AF47" s="107">
        <f t="shared" si="29"/>
        <v>0</v>
      </c>
      <c r="AG47" s="107">
        <f t="shared" si="29"/>
        <v>0</v>
      </c>
      <c r="AH47" s="107">
        <f t="shared" si="29"/>
        <v>0</v>
      </c>
      <c r="AI47" s="107">
        <f t="shared" si="29"/>
        <v>0</v>
      </c>
      <c r="AJ47" s="129">
        <f t="shared" si="29"/>
        <v>28538</v>
      </c>
      <c r="AK47" s="108">
        <f>AJ47-AJ10</f>
        <v>0</v>
      </c>
    </row>
    <row r="48" spans="1:37" x14ac:dyDescent="0.25">
      <c r="AJ48" s="124" t="s">
        <v>232</v>
      </c>
      <c r="AK48" s="95" t="str">
        <f>IF(AK47=0,"VALID","ERROR")</f>
        <v>VALID</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0" tint="-0.34998626667073579"/>
  </sheetPr>
  <dimension ref="A1:AJ50"/>
  <sheetViews>
    <sheetView workbookViewId="0">
      <selection activeCell="C8" sqref="C8"/>
    </sheetView>
  </sheetViews>
  <sheetFormatPr defaultColWidth="8.85546875" defaultRowHeight="15" x14ac:dyDescent="0.25"/>
  <cols>
    <col min="1" max="1" width="55.28515625" customWidth="1"/>
    <col min="5" max="6" width="10.7109375" customWidth="1"/>
    <col min="7" max="7" width="10.28515625" customWidth="1"/>
    <col min="8" max="8" width="10.85546875" customWidth="1"/>
    <col min="9" max="9" width="10.140625" customWidth="1"/>
    <col min="10" max="10" width="9.28515625" customWidth="1"/>
    <col min="11" max="12" width="10.140625" customWidth="1"/>
    <col min="13" max="14" width="11.140625" customWidth="1"/>
    <col min="15" max="15" width="10.42578125" customWidth="1"/>
    <col min="16" max="16" width="10.85546875" customWidth="1"/>
    <col min="17" max="17" width="10.140625" customWidth="1"/>
    <col min="18" max="35" width="10.7109375" customWidth="1"/>
    <col min="36" max="36" width="11.42578125" customWidth="1"/>
  </cols>
  <sheetData>
    <row r="1" spans="1:36" ht="21" x14ac:dyDescent="0.25">
      <c r="A1" s="198" t="s">
        <v>431</v>
      </c>
      <c r="B1" s="69"/>
      <c r="C1" s="69"/>
      <c r="D1" s="75"/>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122"/>
    </row>
    <row r="2" spans="1:36" ht="21" x14ac:dyDescent="0.25">
      <c r="A2" s="117" t="str">
        <f>IF('Assumptions &amp; Results'!$C$172=3,"VALID","INVALID")</f>
        <v>INVALID</v>
      </c>
      <c r="C2" s="19" t="s">
        <v>575</v>
      </c>
      <c r="AJ2" s="124"/>
    </row>
    <row r="3" spans="1:36" x14ac:dyDescent="0.2">
      <c r="A3" s="28"/>
      <c r="B3" t="s">
        <v>234</v>
      </c>
      <c r="C3" s="1">
        <f>'Assumptions &amp; Results'!D2</f>
        <v>2017</v>
      </c>
      <c r="D3" s="1">
        <f>'Assumptions &amp; Results'!E2</f>
        <v>2018</v>
      </c>
      <c r="E3" s="1">
        <f>'Assumptions &amp; Results'!F2</f>
        <v>2019</v>
      </c>
      <c r="F3" s="1">
        <f>'Assumptions &amp; Results'!G2</f>
        <v>2020</v>
      </c>
      <c r="G3" s="1">
        <f>'Assumptions &amp; Results'!H2</f>
        <v>2021</v>
      </c>
      <c r="H3" s="1">
        <f>'Assumptions &amp; Results'!I2</f>
        <v>2022</v>
      </c>
      <c r="I3" s="1">
        <f>'Assumptions &amp; Results'!J2</f>
        <v>2023</v>
      </c>
      <c r="J3" s="1">
        <f>'Assumptions &amp; Results'!K2</f>
        <v>2024</v>
      </c>
      <c r="K3" s="1">
        <f>'Assumptions &amp; Results'!L2</f>
        <v>2025</v>
      </c>
      <c r="L3" s="1">
        <f>'Assumptions &amp; Results'!M2</f>
        <v>2026</v>
      </c>
      <c r="M3" s="1">
        <f>'Assumptions &amp; Results'!N2</f>
        <v>2027</v>
      </c>
      <c r="N3" s="1">
        <f>'Assumptions &amp; Results'!O2</f>
        <v>2028</v>
      </c>
      <c r="O3" s="1">
        <f>'Assumptions &amp; Results'!P2</f>
        <v>2029</v>
      </c>
      <c r="P3" s="1">
        <f>'Assumptions &amp; Results'!Q2</f>
        <v>2030</v>
      </c>
      <c r="Q3" s="1">
        <f>'Assumptions &amp; Results'!R2</f>
        <v>2031</v>
      </c>
      <c r="R3" s="1">
        <f>'Assumptions &amp; Results'!S2</f>
        <v>2032</v>
      </c>
      <c r="S3" s="1">
        <f>'Assumptions &amp; Results'!T2</f>
        <v>2033</v>
      </c>
      <c r="T3" s="1">
        <f>'Assumptions &amp; Results'!U2</f>
        <v>2034</v>
      </c>
      <c r="U3" s="1">
        <f>'Assumptions &amp; Results'!V2</f>
        <v>2035</v>
      </c>
      <c r="V3" s="1">
        <f>'Assumptions &amp; Results'!W2</f>
        <v>2036</v>
      </c>
      <c r="W3" s="1">
        <f>'Assumptions &amp; Results'!X2</f>
        <v>2037</v>
      </c>
      <c r="X3" s="1">
        <f>'Assumptions &amp; Results'!Y2</f>
        <v>2038</v>
      </c>
      <c r="Y3" s="1">
        <f>'Assumptions &amp; Results'!Z2</f>
        <v>2039</v>
      </c>
      <c r="Z3" s="1">
        <f>'Assumptions &amp; Results'!AA2</f>
        <v>2040</v>
      </c>
      <c r="AA3" s="1">
        <f>'Assumptions &amp; Results'!AB2</f>
        <v>2041</v>
      </c>
      <c r="AB3" s="1">
        <f>'Assumptions &amp; Results'!AC2</f>
        <v>2042</v>
      </c>
      <c r="AC3" s="1">
        <f>'Assumptions &amp; Results'!AD2</f>
        <v>2043</v>
      </c>
      <c r="AD3" s="1">
        <f>'Assumptions &amp; Results'!AE2</f>
        <v>2044</v>
      </c>
      <c r="AE3" s="1">
        <f>'Assumptions &amp; Results'!AF2</f>
        <v>2045</v>
      </c>
      <c r="AF3" s="1">
        <f>'Assumptions &amp; Results'!AG2</f>
        <v>2046</v>
      </c>
      <c r="AG3" s="1">
        <f>'Assumptions &amp; Results'!AH2</f>
        <v>2047</v>
      </c>
      <c r="AH3" s="1">
        <f>'Assumptions &amp; Results'!AI2</f>
        <v>2048</v>
      </c>
      <c r="AI3" s="1">
        <f>'Assumptions &amp; Results'!AJ2</f>
        <v>2049</v>
      </c>
      <c r="AJ3" s="130" t="s">
        <v>63</v>
      </c>
    </row>
    <row r="4" spans="1:36" x14ac:dyDescent="0.2">
      <c r="A4" s="30" t="s">
        <v>410</v>
      </c>
      <c r="B4" s="31" t="s">
        <v>99</v>
      </c>
      <c r="C4" s="32">
        <f>'Field 1 Investor'!C16+'Field 2 Investor'!C16+'Field 3 Investor'!C16+'LNG Equity '!C34</f>
        <v>0</v>
      </c>
      <c r="D4" s="32">
        <f>'Field 1 Investor'!D16+'Field 2 Investor'!D16+'Field 3 Investor'!D16+'LNG Equity '!D34</f>
        <v>0</v>
      </c>
      <c r="E4" s="32">
        <f>'Field 1 Investor'!E16+'Field 2 Investor'!E16+'Field 3 Investor'!E16+'LNG Equity '!E34</f>
        <v>0</v>
      </c>
      <c r="F4" s="32">
        <f>'Field 1 Investor'!F16+'Field 2 Investor'!F16+'Field 3 Investor'!F16+'LNG Equity '!F34</f>
        <v>0</v>
      </c>
      <c r="G4" s="32">
        <f>'Field 1 Investor'!G16+'Field 2 Investor'!G16+'Field 3 Investor'!G16+'LNG Equity '!G34</f>
        <v>4677.9768750000012</v>
      </c>
      <c r="H4" s="32">
        <f>'Field 1 Investor'!H16+'Field 2 Investor'!H16+'Field 3 Investor'!H16+'LNG Equity '!H34</f>
        <v>9355.9537500000024</v>
      </c>
      <c r="I4" s="32">
        <f>'Field 1 Investor'!I16+'Field 2 Investor'!I16+'Field 3 Investor'!I16+'LNG Equity '!I34</f>
        <v>9355.9537500000024</v>
      </c>
      <c r="J4" s="32">
        <f>'Field 1 Investor'!J16+'Field 2 Investor'!J16+'Field 3 Investor'!J16+'LNG Equity '!J34</f>
        <v>8891.1673124999998</v>
      </c>
      <c r="K4" s="32">
        <f>'Field 1 Investor'!K16+'Field 2 Investor'!K16+'Field 3 Investor'!K16+'LNG Equity '!K34</f>
        <v>9355.9537500000024</v>
      </c>
      <c r="L4" s="32">
        <f>'Field 1 Investor'!L16+'Field 2 Investor'!L16+'Field 3 Investor'!L16+'LNG Equity '!L34</f>
        <v>9355.9537500000024</v>
      </c>
      <c r="M4" s="32">
        <f>'Field 1 Investor'!M16+'Field 2 Investor'!M16+'Field 3 Investor'!M16+'LNG Equity '!M34</f>
        <v>9355.9537500000024</v>
      </c>
      <c r="N4" s="32">
        <f>'Field 1 Investor'!N16+'Field 2 Investor'!N16+'Field 3 Investor'!N16+'LNG Equity '!N34</f>
        <v>9355.9537500000024</v>
      </c>
      <c r="O4" s="32">
        <f>'Field 1 Investor'!O16+'Field 2 Investor'!O16+'Field 3 Investor'!O16+'LNG Equity '!O34</f>
        <v>8891.1673124999998</v>
      </c>
      <c r="P4" s="32">
        <f>'Field 1 Investor'!P16+'Field 2 Investor'!P16+'Field 3 Investor'!P16+'LNG Equity '!P34</f>
        <v>9355.9537500000024</v>
      </c>
      <c r="Q4" s="32">
        <f>'Field 1 Investor'!Q16+'Field 2 Investor'!Q16+'Field 3 Investor'!Q16+'LNG Equity '!Q34</f>
        <v>9355.9537500000024</v>
      </c>
      <c r="R4" s="32">
        <f>'Field 1 Investor'!R16+'Field 2 Investor'!R16+'Field 3 Investor'!R16+'LNG Equity '!R34</f>
        <v>9355.9537500000024</v>
      </c>
      <c r="S4" s="32">
        <f>'Field 1 Investor'!S16+'Field 2 Investor'!S16+'Field 3 Investor'!S16+'LNG Equity '!S34</f>
        <v>9355.9537500000024</v>
      </c>
      <c r="T4" s="32">
        <f>'Field 1 Investor'!T16+'Field 2 Investor'!T16+'Field 3 Investor'!T16+'LNG Equity '!T34</f>
        <v>8891.1673124999998</v>
      </c>
      <c r="U4" s="32">
        <f>'Field 1 Investor'!U16+'Field 2 Investor'!U16+'Field 3 Investor'!U16+'LNG Equity '!U34</f>
        <v>9355.9537500000024</v>
      </c>
      <c r="V4" s="32">
        <f>'Field 1 Investor'!V16+'Field 2 Investor'!V16+'Field 3 Investor'!V16+'LNG Equity '!V34</f>
        <v>9355.9537500000024</v>
      </c>
      <c r="W4" s="32">
        <f>'Field 1 Investor'!W16+'Field 2 Investor'!W16+'Field 3 Investor'!W16+'LNG Equity '!W34</f>
        <v>9355.9537500000024</v>
      </c>
      <c r="X4" s="32">
        <f>'Field 1 Investor'!X16+'Field 2 Investor'!X16+'Field 3 Investor'!X16+'LNG Equity '!X34</f>
        <v>9355.9537500000024</v>
      </c>
      <c r="Y4" s="32">
        <f>'Field 1 Investor'!Y16+'Field 2 Investor'!Y16+'Field 3 Investor'!Y16+'LNG Equity '!Y34</f>
        <v>8891.1673124999998</v>
      </c>
      <c r="Z4" s="32">
        <f>'Field 1 Investor'!Z16+'Field 2 Investor'!Z16+'Field 3 Investor'!Z16+'LNG Equity '!Z34</f>
        <v>9355.9537500000024</v>
      </c>
      <c r="AA4" s="32">
        <f>'Field 1 Investor'!AA16+'Field 2 Investor'!AA16+'Field 3 Investor'!AA16+'LNG Equity '!AA34</f>
        <v>9355.9537500000024</v>
      </c>
      <c r="AB4" s="32">
        <f>'Field 1 Investor'!AB16+'Field 2 Investor'!AB16+'Field 3 Investor'!AB16+'LNG Equity '!AB34</f>
        <v>9355.9537500000024</v>
      </c>
      <c r="AC4" s="32">
        <f>'Field 1 Investor'!AC16+'Field 2 Investor'!AC16+'Field 3 Investor'!AC16+'LNG Equity '!AC34</f>
        <v>9355.9537500000024</v>
      </c>
      <c r="AD4" s="32">
        <f>'Field 1 Investor'!AD16+'Field 2 Investor'!AD16+'Field 3 Investor'!AD16+'LNG Equity '!AD34</f>
        <v>8891.1673124999998</v>
      </c>
      <c r="AE4" s="32">
        <f>'Field 1 Investor'!AE16+'Field 2 Investor'!AE16+'Field 3 Investor'!AE16+'LNG Equity '!AE34</f>
        <v>9355.9537500000024</v>
      </c>
      <c r="AF4" s="32">
        <f>'Field 1 Investor'!AF16+'Field 2 Investor'!AF16+'Field 3 Investor'!AF16+'LNG Equity '!AF34</f>
        <v>9355.9537500000024</v>
      </c>
      <c r="AG4" s="32">
        <f>'Field 1 Investor'!AG16+'Field 2 Investor'!AG16+'Field 3 Investor'!AG16+'LNG Equity '!AG34</f>
        <v>9355.9537500000024</v>
      </c>
      <c r="AH4" s="32">
        <f>'Field 1 Investor'!AH16+'Field 2 Investor'!AH16+'Field 3 Investor'!AH16+'LNG Equity '!AH34</f>
        <v>9355.9537500000024</v>
      </c>
      <c r="AI4" s="32">
        <f>'Field 1 Investor'!AI16+'Field 2 Investor'!AI16+'Field 3 Investor'!AI16+'LNG Equity '!AI34</f>
        <v>9355.9537500000024</v>
      </c>
      <c r="AJ4" s="125">
        <f>SUM(C4:AI4)</f>
        <v>264320.74968750018</v>
      </c>
    </row>
    <row r="5" spans="1:36" x14ac:dyDescent="0.2">
      <c r="A5" s="30"/>
      <c r="B5" s="31"/>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125"/>
    </row>
    <row r="6" spans="1:36" x14ac:dyDescent="0.2">
      <c r="A6" s="31" t="s">
        <v>409</v>
      </c>
      <c r="B6" s="31" t="s">
        <v>99</v>
      </c>
      <c r="C6" s="8">
        <f>('Assumptions &amp; Results'!D105+'LNG Equity '!C14+'LNG Equity '!C15+'Gas PL'!C14+'Gas PL'!C15+'Field 1 Investor'!C23+'Field 1 Investor'!C24+'Field 1 Investor'!C27+'Field 1 Investor'!C28+'Field 2 Investor'!C23+'Field 2 Investor'!C24+'Field 2 Investor'!C27+'Field 2 Investor'!C28+'Field 3 Investor'!C23+'Field 3 Investor'!C24+'Field 3 Investor'!C27+'Field 3 Investor'!C28)</f>
        <v>0</v>
      </c>
      <c r="D6" s="8">
        <f>('Assumptions &amp; Results'!E105+'LNG Equity '!D14+'LNG Equity '!D15+'Gas PL'!D14+'Gas PL'!D15+'Field 1 Investor'!D23+'Field 1 Investor'!D24+'Field 1 Investor'!D27+'Field 1 Investor'!D28+'Field 2 Investor'!D23+'Field 2 Investor'!D24+'Field 2 Investor'!D27+'Field 2 Investor'!D28+'Field 3 Investor'!D23+'Field 3 Investor'!D24+'Field 3 Investor'!D27+'Field 3 Investor'!D28)</f>
        <v>0</v>
      </c>
      <c r="E6" s="8">
        <f>('Assumptions &amp; Results'!F105+'LNG Equity '!E14+'LNG Equity '!E15+'Gas PL'!E14+'Gas PL'!E15+'Field 1 Investor'!E23+'Field 1 Investor'!E24+'Field 1 Investor'!E27+'Field 1 Investor'!E28+'Field 2 Investor'!E23+'Field 2 Investor'!E24+'Field 2 Investor'!E27+'Field 2 Investor'!E28+'Field 3 Investor'!E23+'Field 3 Investor'!E24+'Field 3 Investor'!E27+'Field 3 Investor'!E28)</f>
        <v>0</v>
      </c>
      <c r="F6" s="8">
        <f>('Assumptions &amp; Results'!G105+'LNG Equity '!F14+'LNG Equity '!F15+'Gas PL'!F14+'Gas PL'!F15+'Field 1 Investor'!F23+'Field 1 Investor'!F24+'Field 1 Investor'!F27+'Field 1 Investor'!F28+'Field 2 Investor'!F23+'Field 2 Investor'!F24+'Field 2 Investor'!F27+'Field 2 Investor'!F28+'Field 3 Investor'!F23+'Field 3 Investor'!F24+'Field 3 Investor'!F27+'Field 3 Investor'!F28)</f>
        <v>0</v>
      </c>
      <c r="G6" s="8">
        <f>('Assumptions &amp; Results'!H105+'LNG Equity '!G14+'LNG Equity '!G15+'Gas PL'!G14+'Gas PL'!G15+'Field 1 Investor'!G23+'Field 1 Investor'!G24+'Field 1 Investor'!G27+'Field 1 Investor'!G28+'Field 2 Investor'!G23+'Field 2 Investor'!G24+'Field 2 Investor'!G27+'Field 2 Investor'!G28+'Field 3 Investor'!G23+'Field 3 Investor'!G24+'Field 3 Investor'!G27+'Field 3 Investor'!G28)</f>
        <v>1139.3486</v>
      </c>
      <c r="H6" s="8">
        <f>('Assumptions &amp; Results'!I105+'LNG Equity '!H14+'LNG Equity '!H15+'Gas PL'!H14+'Gas PL'!H15+'Field 1 Investor'!H23+'Field 1 Investor'!H24+'Field 1 Investor'!H27+'Field 1 Investor'!H28+'Field 2 Investor'!H23+'Field 2 Investor'!H24+'Field 2 Investor'!H27+'Field 2 Investor'!H28+'Field 3 Investor'!H23+'Field 3 Investor'!H24+'Field 3 Investor'!H27+'Field 3 Investor'!H28)</f>
        <v>2278.6972000000001</v>
      </c>
      <c r="I6" s="8">
        <f>('Assumptions &amp; Results'!J105+'LNG Equity '!I14+'LNG Equity '!I15+'Gas PL'!I14+'Gas PL'!I15+'Field 1 Investor'!I23+'Field 1 Investor'!I24+'Field 1 Investor'!I27+'Field 1 Investor'!I28+'Field 2 Investor'!I23+'Field 2 Investor'!I24+'Field 2 Investor'!I27+'Field 2 Investor'!I28+'Field 3 Investor'!I23+'Field 3 Investor'!I24+'Field 3 Investor'!I27+'Field 3 Investor'!I28)</f>
        <v>2278.6972000000001</v>
      </c>
      <c r="J6" s="8">
        <f>('Assumptions &amp; Results'!K105+'LNG Equity '!J14+'LNG Equity '!J15+'Gas PL'!J14+'Gas PL'!J15+'Field 1 Investor'!J23+'Field 1 Investor'!J24+'Field 1 Investor'!J27+'Field 1 Investor'!J28+'Field 2 Investor'!J23+'Field 2 Investor'!J24+'Field 2 Investor'!J27+'Field 2 Investor'!J28+'Field 3 Investor'!J23+'Field 3 Investor'!J24+'Field 3 Investor'!J27+'Field 3 Investor'!J28)</f>
        <v>2390.0837000000001</v>
      </c>
      <c r="K6" s="8">
        <f>('Assumptions &amp; Results'!L105+'LNG Equity '!K14+'LNG Equity '!K15+'Gas PL'!K14+'Gas PL'!K15+'Field 1 Investor'!K23+'Field 1 Investor'!K24+'Field 1 Investor'!K27+'Field 1 Investor'!K28+'Field 2 Investor'!K23+'Field 2 Investor'!K24+'Field 2 Investor'!K27+'Field 2 Investor'!K28+'Field 3 Investor'!K23+'Field 3 Investor'!K24+'Field 3 Investor'!K27+'Field 3 Investor'!K28)</f>
        <v>2278.6972000000001</v>
      </c>
      <c r="L6" s="8">
        <f>('Assumptions &amp; Results'!M105+'LNG Equity '!L14+'LNG Equity '!L15+'Gas PL'!L14+'Gas PL'!L15+'Field 1 Investor'!L23+'Field 1 Investor'!L24+'Field 1 Investor'!L27+'Field 1 Investor'!L28+'Field 2 Investor'!L23+'Field 2 Investor'!L24+'Field 2 Investor'!L27+'Field 2 Investor'!L28+'Field 3 Investor'!L23+'Field 3 Investor'!L24+'Field 3 Investor'!L27+'Field 3 Investor'!L28)</f>
        <v>2278.6972000000001</v>
      </c>
      <c r="M6" s="8">
        <f>('Assumptions &amp; Results'!N105+'LNG Equity '!M14+'LNG Equity '!M15+'Gas PL'!M14+'Gas PL'!M15+'Field 1 Investor'!M23+'Field 1 Investor'!M24+'Field 1 Investor'!M27+'Field 1 Investor'!M28+'Field 2 Investor'!M23+'Field 2 Investor'!M24+'Field 2 Investor'!M27+'Field 2 Investor'!M28+'Field 3 Investor'!M23+'Field 3 Investor'!M24+'Field 3 Investor'!M27+'Field 3 Investor'!M28)</f>
        <v>2278.6972000000001</v>
      </c>
      <c r="N6" s="8">
        <f>('Assumptions &amp; Results'!O105+'LNG Equity '!N14+'LNG Equity '!N15+'Gas PL'!N14+'Gas PL'!N15+'Field 1 Investor'!N23+'Field 1 Investor'!N24+'Field 1 Investor'!N27+'Field 1 Investor'!N28+'Field 2 Investor'!N23+'Field 2 Investor'!N24+'Field 2 Investor'!N27+'Field 2 Investor'!N28+'Field 3 Investor'!N23+'Field 3 Investor'!N24+'Field 3 Investor'!N27+'Field 3 Investor'!N28)</f>
        <v>2278.6972000000001</v>
      </c>
      <c r="O6" s="8">
        <f>('Assumptions &amp; Results'!P105+'LNG Equity '!O14+'LNG Equity '!O15+'Gas PL'!O14+'Gas PL'!O15+'Field 1 Investor'!O23+'Field 1 Investor'!O24+'Field 1 Investor'!O27+'Field 1 Investor'!O28+'Field 2 Investor'!O23+'Field 2 Investor'!O24+'Field 2 Investor'!O27+'Field 2 Investor'!O28+'Field 3 Investor'!O23+'Field 3 Investor'!O24+'Field 3 Investor'!O27+'Field 3 Investor'!O28)</f>
        <v>2390.0837000000001</v>
      </c>
      <c r="P6" s="8">
        <f>('Assumptions &amp; Results'!Q105+'LNG Equity '!P14+'LNG Equity '!P15+'Gas PL'!P14+'Gas PL'!P15+'Field 1 Investor'!P23+'Field 1 Investor'!P24+'Field 1 Investor'!P27+'Field 1 Investor'!P28+'Field 2 Investor'!P23+'Field 2 Investor'!P24+'Field 2 Investor'!P27+'Field 2 Investor'!P28+'Field 3 Investor'!P23+'Field 3 Investor'!P24+'Field 3 Investor'!P27+'Field 3 Investor'!P28)</f>
        <v>2278.6972000000001</v>
      </c>
      <c r="Q6" s="8">
        <f>('Assumptions &amp; Results'!R105+'LNG Equity '!Q14+'LNG Equity '!Q15+'Gas PL'!Q14+'Gas PL'!Q15+'Field 1 Investor'!Q23+'Field 1 Investor'!Q24+'Field 1 Investor'!Q27+'Field 1 Investor'!Q28+'Field 2 Investor'!Q23+'Field 2 Investor'!Q24+'Field 2 Investor'!Q27+'Field 2 Investor'!Q28+'Field 3 Investor'!Q23+'Field 3 Investor'!Q24+'Field 3 Investor'!Q27+'Field 3 Investor'!Q28)</f>
        <v>2278.6972000000001</v>
      </c>
      <c r="R6" s="8">
        <f>('Assumptions &amp; Results'!S105+'LNG Equity '!R14+'LNG Equity '!R15+'Gas PL'!R14+'Gas PL'!R15+'Field 1 Investor'!R23+'Field 1 Investor'!R24+'Field 1 Investor'!R27+'Field 1 Investor'!R28+'Field 2 Investor'!R23+'Field 2 Investor'!R24+'Field 2 Investor'!R27+'Field 2 Investor'!R28+'Field 3 Investor'!R23+'Field 3 Investor'!R24+'Field 3 Investor'!R27+'Field 3 Investor'!R28)</f>
        <v>2278.6972000000001</v>
      </c>
      <c r="S6" s="8">
        <f>('Assumptions &amp; Results'!T105+'LNG Equity '!S14+'LNG Equity '!S15+'Gas PL'!S14+'Gas PL'!S15+'Field 1 Investor'!S23+'Field 1 Investor'!S24+'Field 1 Investor'!S27+'Field 1 Investor'!S28+'Field 2 Investor'!S23+'Field 2 Investor'!S24+'Field 2 Investor'!S27+'Field 2 Investor'!S28+'Field 3 Investor'!S23+'Field 3 Investor'!S24+'Field 3 Investor'!S27+'Field 3 Investor'!S28)</f>
        <v>2278.6972000000001</v>
      </c>
      <c r="T6" s="8">
        <f>('Assumptions &amp; Results'!U105+'LNG Equity '!T14+'LNG Equity '!T15+'Gas PL'!T14+'Gas PL'!T15+'Field 1 Investor'!T23+'Field 1 Investor'!T24+'Field 1 Investor'!T27+'Field 1 Investor'!T28+'Field 2 Investor'!T23+'Field 2 Investor'!T24+'Field 2 Investor'!T27+'Field 2 Investor'!T28+'Field 3 Investor'!T23+'Field 3 Investor'!T24+'Field 3 Investor'!T27+'Field 3 Investor'!T28)</f>
        <v>2390.0837000000001</v>
      </c>
      <c r="U6" s="8">
        <f>('Assumptions &amp; Results'!V105+'LNG Equity '!U14+'LNG Equity '!U15+'Gas PL'!U14+'Gas PL'!U15+'Field 1 Investor'!U23+'Field 1 Investor'!U24+'Field 1 Investor'!U27+'Field 1 Investor'!U28+'Field 2 Investor'!U23+'Field 2 Investor'!U24+'Field 2 Investor'!U27+'Field 2 Investor'!U28+'Field 3 Investor'!U23+'Field 3 Investor'!U24+'Field 3 Investor'!U27+'Field 3 Investor'!U28)</f>
        <v>2278.6972000000001</v>
      </c>
      <c r="V6" s="8">
        <f>('Assumptions &amp; Results'!W105+'LNG Equity '!V14+'LNG Equity '!V15+'Gas PL'!V14+'Gas PL'!V15+'Field 1 Investor'!V23+'Field 1 Investor'!V24+'Field 1 Investor'!V27+'Field 1 Investor'!V28+'Field 2 Investor'!V23+'Field 2 Investor'!V24+'Field 2 Investor'!V27+'Field 2 Investor'!V28+'Field 3 Investor'!V23+'Field 3 Investor'!V24+'Field 3 Investor'!V27+'Field 3 Investor'!V28)</f>
        <v>2278.6972000000001</v>
      </c>
      <c r="W6" s="8">
        <f>('Assumptions &amp; Results'!X105+'LNG Equity '!W14+'LNG Equity '!W15+'Gas PL'!W14+'Gas PL'!W15+'Field 1 Investor'!W23+'Field 1 Investor'!W24+'Field 1 Investor'!W27+'Field 1 Investor'!W28+'Field 2 Investor'!W23+'Field 2 Investor'!W24+'Field 2 Investor'!W27+'Field 2 Investor'!W28+'Field 3 Investor'!W23+'Field 3 Investor'!W24+'Field 3 Investor'!W27+'Field 3 Investor'!W28)</f>
        <v>2278.6972000000001</v>
      </c>
      <c r="X6" s="8">
        <f>('Assumptions &amp; Results'!Y105+'LNG Equity '!X14+'LNG Equity '!X15+'Gas PL'!X14+'Gas PL'!X15+'Field 1 Investor'!X23+'Field 1 Investor'!X24+'Field 1 Investor'!X27+'Field 1 Investor'!X28+'Field 2 Investor'!X23+'Field 2 Investor'!X24+'Field 2 Investor'!X27+'Field 2 Investor'!X28+'Field 3 Investor'!X23+'Field 3 Investor'!X24+'Field 3 Investor'!X27+'Field 3 Investor'!X28)</f>
        <v>2278.6972000000001</v>
      </c>
      <c r="Y6" s="8">
        <f>('Assumptions &amp; Results'!Z105+'LNG Equity '!Y14+'LNG Equity '!Y15+'Gas PL'!Y14+'Gas PL'!Y15+'Field 1 Investor'!Y23+'Field 1 Investor'!Y24+'Field 1 Investor'!Y27+'Field 1 Investor'!Y28+'Field 2 Investor'!Y23+'Field 2 Investor'!Y24+'Field 2 Investor'!Y27+'Field 2 Investor'!Y28+'Field 3 Investor'!Y23+'Field 3 Investor'!Y24+'Field 3 Investor'!Y27+'Field 3 Investor'!Y28)</f>
        <v>2390.0837000000001</v>
      </c>
      <c r="Z6" s="8">
        <f>('Assumptions &amp; Results'!AA105+'LNG Equity '!Z14+'LNG Equity '!Z15+'Gas PL'!Z14+'Gas PL'!Z15+'Field 1 Investor'!Z23+'Field 1 Investor'!Z24+'Field 1 Investor'!Z27+'Field 1 Investor'!Z28+'Field 2 Investor'!Z23+'Field 2 Investor'!Z24+'Field 2 Investor'!Z27+'Field 2 Investor'!Z28+'Field 3 Investor'!Z23+'Field 3 Investor'!Z24+'Field 3 Investor'!Z27+'Field 3 Investor'!Z28)</f>
        <v>2278.6972000000001</v>
      </c>
      <c r="AA6" s="8">
        <f>('Assumptions &amp; Results'!AB105+'LNG Equity '!AA14+'LNG Equity '!AA15+'Gas PL'!AA14+'Gas PL'!AA15+'Field 1 Investor'!AA23+'Field 1 Investor'!AA24+'Field 1 Investor'!AA27+'Field 1 Investor'!AA28+'Field 2 Investor'!AA23+'Field 2 Investor'!AA24+'Field 2 Investor'!AA27+'Field 2 Investor'!AA28+'Field 3 Investor'!AA23+'Field 3 Investor'!AA24+'Field 3 Investor'!AA27+'Field 3 Investor'!AA28)</f>
        <v>2278.6972000000001</v>
      </c>
      <c r="AB6" s="8">
        <f>('Assumptions &amp; Results'!AC105+'LNG Equity '!AB14+'LNG Equity '!AB15+'Gas PL'!AB14+'Gas PL'!AB15+'Field 1 Investor'!AB23+'Field 1 Investor'!AB24+'Field 1 Investor'!AB27+'Field 1 Investor'!AB28+'Field 2 Investor'!AB23+'Field 2 Investor'!AB24+'Field 2 Investor'!AB27+'Field 2 Investor'!AB28+'Field 3 Investor'!AB23+'Field 3 Investor'!AB24+'Field 3 Investor'!AB27+'Field 3 Investor'!AB28)</f>
        <v>2278.6972000000001</v>
      </c>
      <c r="AC6" s="8">
        <f>('Assumptions &amp; Results'!AD105+'LNG Equity '!AC14+'LNG Equity '!AC15+'Gas PL'!AC14+'Gas PL'!AC15+'Field 1 Investor'!AC23+'Field 1 Investor'!AC24+'Field 1 Investor'!AC27+'Field 1 Investor'!AC28+'Field 2 Investor'!AC23+'Field 2 Investor'!AC24+'Field 2 Investor'!AC27+'Field 2 Investor'!AC28+'Field 3 Investor'!AC23+'Field 3 Investor'!AC24+'Field 3 Investor'!AC27+'Field 3 Investor'!AC28)</f>
        <v>2278.6972000000001</v>
      </c>
      <c r="AD6" s="8">
        <f>('Assumptions &amp; Results'!AE105+'LNG Equity '!AD14+'LNG Equity '!AD15+'Gas PL'!AD14+'Gas PL'!AD15+'Field 1 Investor'!AD23+'Field 1 Investor'!AD24+'Field 1 Investor'!AD27+'Field 1 Investor'!AD28+'Field 2 Investor'!AD23+'Field 2 Investor'!AD24+'Field 2 Investor'!AD27+'Field 2 Investor'!AD28+'Field 3 Investor'!AD23+'Field 3 Investor'!AD24+'Field 3 Investor'!AD27+'Field 3 Investor'!AD28)</f>
        <v>2390.0837000000001</v>
      </c>
      <c r="AE6" s="8">
        <f>('Assumptions &amp; Results'!AF105+'LNG Equity '!AE14+'LNG Equity '!AE15+'Gas PL'!AE14+'Gas PL'!AE15+'Field 1 Investor'!AE23+'Field 1 Investor'!AE24+'Field 1 Investor'!AE27+'Field 1 Investor'!AE28+'Field 2 Investor'!AE23+'Field 2 Investor'!AE24+'Field 2 Investor'!AE27+'Field 2 Investor'!AE28+'Field 3 Investor'!AE23+'Field 3 Investor'!AE24+'Field 3 Investor'!AE27+'Field 3 Investor'!AE28)</f>
        <v>2278.6972000000001</v>
      </c>
      <c r="AF6" s="8">
        <f>('Assumptions &amp; Results'!AG105+'LNG Equity '!AF14+'LNG Equity '!AF15+'Gas PL'!AF14+'Gas PL'!AF15+'Field 1 Investor'!AF23+'Field 1 Investor'!AF24+'Field 1 Investor'!AF27+'Field 1 Investor'!AF28+'Field 2 Investor'!AF23+'Field 2 Investor'!AF24+'Field 2 Investor'!AF27+'Field 2 Investor'!AF28+'Field 3 Investor'!AF23+'Field 3 Investor'!AF24+'Field 3 Investor'!AF27+'Field 3 Investor'!AF28)</f>
        <v>2278.6972000000001</v>
      </c>
      <c r="AG6" s="8">
        <f>('Assumptions &amp; Results'!AH105+'LNG Equity '!AG14+'LNG Equity '!AG15+'Gas PL'!AG14+'Gas PL'!AG15+'Field 1 Investor'!AG23+'Field 1 Investor'!AG24+'Field 1 Investor'!AG27+'Field 1 Investor'!AG28+'Field 2 Investor'!AG23+'Field 2 Investor'!AG24+'Field 2 Investor'!AG27+'Field 2 Investor'!AG28+'Field 3 Investor'!AG23+'Field 3 Investor'!AG24+'Field 3 Investor'!AG27+'Field 3 Investor'!AG28)</f>
        <v>2878.6972000000001</v>
      </c>
      <c r="AH6" s="8">
        <f>('Assumptions &amp; Results'!AI105+'LNG Equity '!AH14+'LNG Equity '!AH15+'Gas PL'!AH14+'Gas PL'!AH15+'Field 1 Investor'!AH23+'Field 1 Investor'!AH24+'Field 1 Investor'!AH27+'Field 1 Investor'!AH28+'Field 2 Investor'!AH23+'Field 2 Investor'!AH24+'Field 2 Investor'!AH27+'Field 2 Investor'!AH28+'Field 3 Investor'!AH23+'Field 3 Investor'!AH24+'Field 3 Investor'!AH27+'Field 3 Investor'!AH28)</f>
        <v>2878.6972000000001</v>
      </c>
      <c r="AI6" s="8">
        <f>('Assumptions &amp; Results'!AJ105+'LNG Equity '!AI14+'LNG Equity '!AI15+'Gas PL'!AI14+'Gas PL'!AI15+'Field 1 Investor'!AI23+'Field 1 Investor'!AI24+'Field 1 Investor'!AI27+'Field 1 Investor'!AI28+'Field 2 Investor'!AI23+'Field 2 Investor'!AI24+'Field 2 Investor'!AI27+'Field 2 Investor'!AI28+'Field 3 Investor'!AI23+'Field 3 Investor'!AI24+'Field 3 Investor'!AI27+'Field 3 Investor'!AI28)</f>
        <v>3478.6972000000001</v>
      </c>
      <c r="AJ6" s="125">
        <f>SUM(C6:AI6)</f>
        <v>67899.802700000029</v>
      </c>
    </row>
    <row r="7" spans="1:36" x14ac:dyDescent="0.2">
      <c r="A7" s="31"/>
      <c r="B7" s="31"/>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125"/>
    </row>
    <row r="8" spans="1:36" x14ac:dyDescent="0.2">
      <c r="A8" s="31" t="str">
        <f>'Field 1 Depr'!A11</f>
        <v>Capital Eligible for Upstream Depreciation*</v>
      </c>
      <c r="B8" s="31" t="s">
        <v>99</v>
      </c>
      <c r="C8" s="33">
        <f>'One Ring Fence Depr'!C10</f>
        <v>417</v>
      </c>
      <c r="D8" s="33">
        <f>'One Ring Fence Depr'!D10</f>
        <v>5243</v>
      </c>
      <c r="E8" s="33">
        <f>'One Ring Fence Depr'!E10</f>
        <v>8207</v>
      </c>
      <c r="F8" s="33">
        <f>'One Ring Fence Depr'!F10</f>
        <v>10831</v>
      </c>
      <c r="G8" s="33">
        <f>'One Ring Fence Depr'!G10</f>
        <v>3300</v>
      </c>
      <c r="H8" s="33">
        <f>'One Ring Fence Depr'!H10</f>
        <v>540</v>
      </c>
      <c r="I8" s="33">
        <f>'One Ring Fence Depr'!I10</f>
        <v>0</v>
      </c>
      <c r="J8" s="33">
        <f>'One Ring Fence Depr'!J10</f>
        <v>0</v>
      </c>
      <c r="K8" s="33">
        <f>'One Ring Fence Depr'!K10</f>
        <v>0</v>
      </c>
      <c r="L8" s="33">
        <f>'One Ring Fence Depr'!L10</f>
        <v>0</v>
      </c>
      <c r="M8" s="33">
        <f>'One Ring Fence Depr'!M10</f>
        <v>0</v>
      </c>
      <c r="N8" s="33">
        <f>'One Ring Fence Depr'!N10</f>
        <v>0</v>
      </c>
      <c r="O8" s="33">
        <f>'One Ring Fence Depr'!O10</f>
        <v>0</v>
      </c>
      <c r="P8" s="33">
        <f>'One Ring Fence Depr'!P10</f>
        <v>0</v>
      </c>
      <c r="Q8" s="33">
        <f>'One Ring Fence Depr'!Q10</f>
        <v>0</v>
      </c>
      <c r="R8" s="33">
        <f>'One Ring Fence Depr'!R10</f>
        <v>0</v>
      </c>
      <c r="S8" s="33">
        <f>'One Ring Fence Depr'!S10</f>
        <v>0</v>
      </c>
      <c r="T8" s="33">
        <f>'One Ring Fence Depr'!T10</f>
        <v>0</v>
      </c>
      <c r="U8" s="33">
        <f>'One Ring Fence Depr'!U10</f>
        <v>0</v>
      </c>
      <c r="V8" s="33">
        <f>'One Ring Fence Depr'!V10</f>
        <v>0</v>
      </c>
      <c r="W8" s="33">
        <f>'One Ring Fence Depr'!W10</f>
        <v>0</v>
      </c>
      <c r="X8" s="33">
        <f>'One Ring Fence Depr'!X10</f>
        <v>0</v>
      </c>
      <c r="Y8" s="33">
        <f>'One Ring Fence Depr'!Y10</f>
        <v>0</v>
      </c>
      <c r="Z8" s="33">
        <f>'One Ring Fence Depr'!Z10</f>
        <v>0</v>
      </c>
      <c r="AA8" s="33">
        <f>'One Ring Fence Depr'!AA10</f>
        <v>0</v>
      </c>
      <c r="AB8" s="33">
        <f>'One Ring Fence Depr'!AB10</f>
        <v>0</v>
      </c>
      <c r="AC8" s="33">
        <f>'One Ring Fence Depr'!AC10</f>
        <v>0</v>
      </c>
      <c r="AD8" s="33">
        <f>'One Ring Fence Depr'!AD10</f>
        <v>0</v>
      </c>
      <c r="AE8" s="33">
        <f>'One Ring Fence Depr'!AE10</f>
        <v>0</v>
      </c>
      <c r="AF8" s="33">
        <f>'One Ring Fence Depr'!AF10</f>
        <v>0</v>
      </c>
      <c r="AG8" s="33">
        <f>'One Ring Fence Depr'!AG10</f>
        <v>0</v>
      </c>
      <c r="AH8" s="33">
        <f>'One Ring Fence Depr'!AH10</f>
        <v>0</v>
      </c>
      <c r="AI8" s="33">
        <f>'One Ring Fence Depr'!AI10</f>
        <v>0</v>
      </c>
      <c r="AJ8" s="125">
        <f>SUM(C8:AI8)</f>
        <v>28538</v>
      </c>
    </row>
    <row r="9" spans="1:36" x14ac:dyDescent="0.2">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125"/>
    </row>
    <row r="10" spans="1:36" x14ac:dyDescent="0.2">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125"/>
    </row>
    <row r="11" spans="1:36" x14ac:dyDescent="0.2">
      <c r="A11" s="74" t="s">
        <v>238</v>
      </c>
      <c r="B11" s="69"/>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131"/>
    </row>
    <row r="12" spans="1:36" x14ac:dyDescent="0.2">
      <c r="A12" t="s">
        <v>239</v>
      </c>
      <c r="B12" s="96" t="s">
        <v>99</v>
      </c>
      <c r="C12" s="8">
        <f>'One Ring Fence Depr'!C47</f>
        <v>104.25</v>
      </c>
      <c r="D12" s="8">
        <f>'One Ring Fence Depr'!D47</f>
        <v>1415</v>
      </c>
      <c r="E12" s="8">
        <f>'One Ring Fence Depr'!E47</f>
        <v>3466.75</v>
      </c>
      <c r="F12" s="8">
        <f>'One Ring Fence Depr'!F47</f>
        <v>6174.5</v>
      </c>
      <c r="G12" s="8">
        <f>'One Ring Fence Depr'!G47</f>
        <v>6895.25</v>
      </c>
      <c r="H12" s="8">
        <f>'One Ring Fence Depr'!H47</f>
        <v>5719.5</v>
      </c>
      <c r="I12" s="8">
        <f>'One Ring Fence Depr'!I47</f>
        <v>3667.75</v>
      </c>
      <c r="J12" s="8">
        <f>'One Ring Fence Depr'!J47</f>
        <v>960</v>
      </c>
      <c r="K12" s="8">
        <f>'One Ring Fence Depr'!K47</f>
        <v>135</v>
      </c>
      <c r="L12" s="8">
        <f>'One Ring Fence Depr'!L47</f>
        <v>0</v>
      </c>
      <c r="M12" s="8">
        <f>'One Ring Fence Depr'!M47</f>
        <v>0</v>
      </c>
      <c r="N12" s="8">
        <f>'One Ring Fence Depr'!N47</f>
        <v>0</v>
      </c>
      <c r="O12" s="8">
        <f>'One Ring Fence Depr'!O47</f>
        <v>0</v>
      </c>
      <c r="P12" s="8">
        <f>'One Ring Fence Depr'!P47</f>
        <v>0</v>
      </c>
      <c r="Q12" s="8">
        <f>'One Ring Fence Depr'!Q47</f>
        <v>0</v>
      </c>
      <c r="R12" s="8">
        <f>'One Ring Fence Depr'!R47</f>
        <v>0</v>
      </c>
      <c r="S12" s="8">
        <f>'One Ring Fence Depr'!S47</f>
        <v>0</v>
      </c>
      <c r="T12" s="8">
        <f>'One Ring Fence Depr'!T47</f>
        <v>0</v>
      </c>
      <c r="U12" s="8">
        <f>'One Ring Fence Depr'!U47</f>
        <v>0</v>
      </c>
      <c r="V12" s="8">
        <f>'One Ring Fence Depr'!V47</f>
        <v>0</v>
      </c>
      <c r="W12" s="8">
        <f>'One Ring Fence Depr'!W47</f>
        <v>0</v>
      </c>
      <c r="X12" s="8">
        <f>'One Ring Fence Depr'!X47</f>
        <v>0</v>
      </c>
      <c r="Y12" s="8">
        <f>'One Ring Fence Depr'!Y47</f>
        <v>0</v>
      </c>
      <c r="Z12" s="8">
        <f>'One Ring Fence Depr'!Z47</f>
        <v>0</v>
      </c>
      <c r="AA12" s="8">
        <f>'One Ring Fence Depr'!AA47</f>
        <v>0</v>
      </c>
      <c r="AB12" s="8">
        <f>'One Ring Fence Depr'!AB47</f>
        <v>0</v>
      </c>
      <c r="AC12" s="8">
        <f>'One Ring Fence Depr'!AC47</f>
        <v>0</v>
      </c>
      <c r="AD12" s="8">
        <f>'One Ring Fence Depr'!AD47</f>
        <v>0</v>
      </c>
      <c r="AE12" s="8">
        <f>'One Ring Fence Depr'!AE47</f>
        <v>0</v>
      </c>
      <c r="AF12" s="8">
        <f>'One Ring Fence Depr'!AF47</f>
        <v>0</v>
      </c>
      <c r="AG12" s="8">
        <f>'One Ring Fence Depr'!AG47</f>
        <v>0</v>
      </c>
      <c r="AH12" s="8">
        <f>'One Ring Fence Depr'!AH47</f>
        <v>0</v>
      </c>
      <c r="AI12" s="8">
        <f>'One Ring Fence Depr'!AI47</f>
        <v>0</v>
      </c>
      <c r="AJ12" s="125">
        <f t="shared" ref="AJ12:AJ21" si="0">SUM(C12:AI12)</f>
        <v>28538</v>
      </c>
    </row>
    <row r="13" spans="1:36" x14ac:dyDescent="0.2">
      <c r="A13" t="s">
        <v>240</v>
      </c>
      <c r="B13" s="96" t="s">
        <v>99</v>
      </c>
      <c r="C13" s="8">
        <f>'Assumptions &amp; Results'!C113+'Assumptions &amp; Results'!C114+'Assumptions &amp; Results'!C115</f>
        <v>2000</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125">
        <f t="shared" si="0"/>
        <v>2000</v>
      </c>
    </row>
    <row r="14" spans="1:36" x14ac:dyDescent="0.2">
      <c r="A14" t="s">
        <v>411</v>
      </c>
      <c r="B14" s="96" t="s">
        <v>99</v>
      </c>
      <c r="C14" s="8">
        <f>C6</f>
        <v>0</v>
      </c>
      <c r="D14" s="8">
        <f t="shared" ref="D14:AI14" si="1">D6</f>
        <v>0</v>
      </c>
      <c r="E14" s="8">
        <f t="shared" si="1"/>
        <v>0</v>
      </c>
      <c r="F14" s="8">
        <f t="shared" si="1"/>
        <v>0</v>
      </c>
      <c r="G14" s="8">
        <f t="shared" si="1"/>
        <v>1139.3486</v>
      </c>
      <c r="H14" s="8">
        <f t="shared" si="1"/>
        <v>2278.6972000000001</v>
      </c>
      <c r="I14" s="8">
        <f t="shared" si="1"/>
        <v>2278.6972000000001</v>
      </c>
      <c r="J14" s="8">
        <f t="shared" si="1"/>
        <v>2390.0837000000001</v>
      </c>
      <c r="K14" s="8">
        <f t="shared" si="1"/>
        <v>2278.6972000000001</v>
      </c>
      <c r="L14" s="8">
        <f t="shared" si="1"/>
        <v>2278.6972000000001</v>
      </c>
      <c r="M14" s="8">
        <f t="shared" si="1"/>
        <v>2278.6972000000001</v>
      </c>
      <c r="N14" s="8">
        <f t="shared" si="1"/>
        <v>2278.6972000000001</v>
      </c>
      <c r="O14" s="8">
        <f t="shared" si="1"/>
        <v>2390.0837000000001</v>
      </c>
      <c r="P14" s="8">
        <f t="shared" si="1"/>
        <v>2278.6972000000001</v>
      </c>
      <c r="Q14" s="8">
        <f t="shared" si="1"/>
        <v>2278.6972000000001</v>
      </c>
      <c r="R14" s="8">
        <f t="shared" si="1"/>
        <v>2278.6972000000001</v>
      </c>
      <c r="S14" s="8">
        <f t="shared" si="1"/>
        <v>2278.6972000000001</v>
      </c>
      <c r="T14" s="8">
        <f t="shared" si="1"/>
        <v>2390.0837000000001</v>
      </c>
      <c r="U14" s="8">
        <f t="shared" si="1"/>
        <v>2278.6972000000001</v>
      </c>
      <c r="V14" s="8">
        <f t="shared" si="1"/>
        <v>2278.6972000000001</v>
      </c>
      <c r="W14" s="8">
        <f t="shared" si="1"/>
        <v>2278.6972000000001</v>
      </c>
      <c r="X14" s="8">
        <f t="shared" si="1"/>
        <v>2278.6972000000001</v>
      </c>
      <c r="Y14" s="8">
        <f t="shared" si="1"/>
        <v>2390.0837000000001</v>
      </c>
      <c r="Z14" s="8">
        <f t="shared" si="1"/>
        <v>2278.6972000000001</v>
      </c>
      <c r="AA14" s="8">
        <f t="shared" si="1"/>
        <v>2278.6972000000001</v>
      </c>
      <c r="AB14" s="8">
        <f t="shared" si="1"/>
        <v>2278.6972000000001</v>
      </c>
      <c r="AC14" s="8">
        <f t="shared" si="1"/>
        <v>2278.6972000000001</v>
      </c>
      <c r="AD14" s="8">
        <f t="shared" si="1"/>
        <v>2390.0837000000001</v>
      </c>
      <c r="AE14" s="8">
        <f t="shared" si="1"/>
        <v>2278.6972000000001</v>
      </c>
      <c r="AF14" s="8">
        <f t="shared" si="1"/>
        <v>2278.6972000000001</v>
      </c>
      <c r="AG14" s="8">
        <f t="shared" si="1"/>
        <v>2878.6972000000001</v>
      </c>
      <c r="AH14" s="8">
        <f t="shared" si="1"/>
        <v>2878.6972000000001</v>
      </c>
      <c r="AI14" s="8">
        <f t="shared" si="1"/>
        <v>3478.6972000000001</v>
      </c>
      <c r="AJ14" s="125">
        <f t="shared" si="0"/>
        <v>67899.802700000029</v>
      </c>
    </row>
    <row r="15" spans="1:36" x14ac:dyDescent="0.2">
      <c r="A15" t="str">
        <f>'LNG Equity '!A40</f>
        <v>Capital Lease Annual Cost (if lease cost permitted as deduction)</v>
      </c>
      <c r="B15" s="96" t="s">
        <v>99</v>
      </c>
      <c r="C15" s="8">
        <f>IF('Assumptions &amp; Results'!$C$85=1,'Assumptions &amp; Results'!D86,0)</f>
        <v>0</v>
      </c>
      <c r="D15" s="8">
        <f>IF('Assumptions &amp; Results'!$C$85=1,'Assumptions &amp; Results'!E86,0)</f>
        <v>0</v>
      </c>
      <c r="E15" s="8">
        <f>IF('Assumptions &amp; Results'!$C$85=1,'Assumptions &amp; Results'!F86,0)</f>
        <v>0</v>
      </c>
      <c r="F15" s="8">
        <f>IF('Assumptions &amp; Results'!$C$85=1,'Assumptions &amp; Results'!G86,0)</f>
        <v>0</v>
      </c>
      <c r="G15" s="8">
        <f>IF('Assumptions &amp; Results'!$C$85=1,'Assumptions &amp; Results'!H86,0)</f>
        <v>0</v>
      </c>
      <c r="H15" s="8">
        <f>IF('Assumptions &amp; Results'!$C$85=1,'Assumptions &amp; Results'!I86,0)</f>
        <v>0</v>
      </c>
      <c r="I15" s="8">
        <f>IF('Assumptions &amp; Results'!$C$85=1,'Assumptions &amp; Results'!J86,0)</f>
        <v>0</v>
      </c>
      <c r="J15" s="8">
        <f>IF('Assumptions &amp; Results'!$C$85=1,'Assumptions &amp; Results'!K86,0)</f>
        <v>0</v>
      </c>
      <c r="K15" s="8">
        <f>IF('Assumptions &amp; Results'!$C$85=1,'Assumptions &amp; Results'!L86,0)</f>
        <v>0</v>
      </c>
      <c r="L15" s="8">
        <f>IF('Assumptions &amp; Results'!$C$85=1,'Assumptions &amp; Results'!M86,0)</f>
        <v>0</v>
      </c>
      <c r="M15" s="8">
        <f>IF('Assumptions &amp; Results'!$C$85=1,'Assumptions &amp; Results'!N86,0)</f>
        <v>0</v>
      </c>
      <c r="N15" s="8">
        <f>IF('Assumptions &amp; Results'!$C$85=1,'Assumptions &amp; Results'!O86,0)</f>
        <v>0</v>
      </c>
      <c r="O15" s="8">
        <f>IF('Assumptions &amp; Results'!$C$85=1,'Assumptions &amp; Results'!P86,0)</f>
        <v>0</v>
      </c>
      <c r="P15" s="8">
        <f>IF('Assumptions &amp; Results'!$C$85=1,'Assumptions &amp; Results'!Q86,0)</f>
        <v>0</v>
      </c>
      <c r="Q15" s="8">
        <f>IF('Assumptions &amp; Results'!$C$85=1,'Assumptions &amp; Results'!R86,0)</f>
        <v>0</v>
      </c>
      <c r="R15" s="8">
        <f>IF('Assumptions &amp; Results'!$C$85=1,'Assumptions &amp; Results'!S86,0)</f>
        <v>0</v>
      </c>
      <c r="S15" s="8">
        <f>IF('Assumptions &amp; Results'!$C$85=1,'Assumptions &amp; Results'!T86,0)</f>
        <v>0</v>
      </c>
      <c r="T15" s="8">
        <f>IF('Assumptions &amp; Results'!$C$85=1,'Assumptions &amp; Results'!U86,0)</f>
        <v>0</v>
      </c>
      <c r="U15" s="8">
        <f>IF('Assumptions &amp; Results'!$C$85=1,'Assumptions &amp; Results'!V86,0)</f>
        <v>0</v>
      </c>
      <c r="V15" s="8">
        <f>IF('Assumptions &amp; Results'!$C$85=1,'Assumptions &amp; Results'!W86,0)</f>
        <v>0</v>
      </c>
      <c r="W15" s="8">
        <f>IF('Assumptions &amp; Results'!$C$85=1,'Assumptions &amp; Results'!X86,0)</f>
        <v>0</v>
      </c>
      <c r="X15" s="8">
        <f>IF('Assumptions &amp; Results'!$C$85=1,'Assumptions &amp; Results'!Y86,0)</f>
        <v>0</v>
      </c>
      <c r="Y15" s="8">
        <f>IF('Assumptions &amp; Results'!$C$85=1,'Assumptions &amp; Results'!Z86,0)</f>
        <v>0</v>
      </c>
      <c r="Z15" s="8">
        <f>IF('Assumptions &amp; Results'!$C$85=1,'Assumptions &amp; Results'!AA86,0)</f>
        <v>0</v>
      </c>
      <c r="AA15" s="8">
        <f>IF('Assumptions &amp; Results'!$C$85=1,'Assumptions &amp; Results'!AB86,0)</f>
        <v>0</v>
      </c>
      <c r="AB15" s="8">
        <f>IF('Assumptions &amp; Results'!$C$85=1,'Assumptions &amp; Results'!AC86,0)</f>
        <v>0</v>
      </c>
      <c r="AC15" s="8">
        <f>IF('Assumptions &amp; Results'!$C$85=1,'Assumptions &amp; Results'!AD86,0)</f>
        <v>0</v>
      </c>
      <c r="AD15" s="8">
        <f>IF('Assumptions &amp; Results'!$C$85=1,'Assumptions &amp; Results'!AE86,0)</f>
        <v>0</v>
      </c>
      <c r="AE15" s="8">
        <f>IF('Assumptions &amp; Results'!$C$85=1,'Assumptions &amp; Results'!AF86,0)</f>
        <v>0</v>
      </c>
      <c r="AF15" s="8">
        <f>IF('Assumptions &amp; Results'!$C$85=1,'Assumptions &amp; Results'!AG86,0)</f>
        <v>0</v>
      </c>
      <c r="AG15" s="8">
        <f>IF('Assumptions &amp; Results'!$C$85=1,'Assumptions &amp; Results'!AH86,0)</f>
        <v>0</v>
      </c>
      <c r="AH15" s="8">
        <f>IF('Assumptions &amp; Results'!$C$85=1,'Assumptions &amp; Results'!AI86,0)</f>
        <v>0</v>
      </c>
      <c r="AI15" s="8">
        <f>IF('Assumptions &amp; Results'!$C$85=1,'Assumptions &amp; Results'!AJ86,0)</f>
        <v>0</v>
      </c>
      <c r="AJ15" s="125">
        <f t="shared" si="0"/>
        <v>0</v>
      </c>
    </row>
    <row r="16" spans="1:36" x14ac:dyDescent="0.2">
      <c r="A16" t="s">
        <v>412</v>
      </c>
      <c r="B16" s="96"/>
      <c r="C16" s="8">
        <f>IF('Assumptions &amp; Results'!$C$127=1,'Financing for Fiscal Terms Only'!C6,0)</f>
        <v>0</v>
      </c>
      <c r="D16" s="8">
        <f>IF('Assumptions &amp; Results'!$C$127=1,'Financing for Fiscal Terms Only'!D6,0)</f>
        <v>0</v>
      </c>
      <c r="E16" s="8">
        <f>IF('Assumptions &amp; Results'!$C$127=1,'Financing for Fiscal Terms Only'!E6,0)</f>
        <v>0</v>
      </c>
      <c r="F16" s="8">
        <f>IF('Assumptions &amp; Results'!$C$127=1,'Financing for Fiscal Terms Only'!F6,0)</f>
        <v>0</v>
      </c>
      <c r="G16" s="8">
        <f>IF('Assumptions &amp; Results'!$C$127=1,'Financing for Fiscal Terms Only'!G6,0)</f>
        <v>0</v>
      </c>
      <c r="H16" s="8">
        <f>IF('Assumptions &amp; Results'!$C$127=1,'Financing for Fiscal Terms Only'!H6,0)</f>
        <v>0</v>
      </c>
      <c r="I16" s="8">
        <f>IF('Assumptions &amp; Results'!$C$127=1,'Financing for Fiscal Terms Only'!I6,0)</f>
        <v>0</v>
      </c>
      <c r="J16" s="8">
        <f>IF('Assumptions &amp; Results'!$C$127=1,'Financing for Fiscal Terms Only'!J6,0)</f>
        <v>0</v>
      </c>
      <c r="K16" s="8">
        <f>IF('Assumptions &amp; Results'!$C$127=1,'Financing for Fiscal Terms Only'!K6,0)</f>
        <v>0</v>
      </c>
      <c r="L16" s="8">
        <f>IF('Assumptions &amp; Results'!$C$127=1,'Financing for Fiscal Terms Only'!L6,0)</f>
        <v>0</v>
      </c>
      <c r="M16" s="8">
        <f>IF('Assumptions &amp; Results'!$C$127=1,'Financing for Fiscal Terms Only'!M6,0)</f>
        <v>0</v>
      </c>
      <c r="N16" s="8">
        <f>IF('Assumptions &amp; Results'!$C$127=1,'Financing for Fiscal Terms Only'!N6,0)</f>
        <v>0</v>
      </c>
      <c r="O16" s="8">
        <f>IF('Assumptions &amp; Results'!$C$127=1,'Financing for Fiscal Terms Only'!O6,0)</f>
        <v>0</v>
      </c>
      <c r="P16" s="8">
        <f>IF('Assumptions &amp; Results'!$C$127=1,'Financing for Fiscal Terms Only'!P6,0)</f>
        <v>0</v>
      </c>
      <c r="Q16" s="8">
        <f>IF('Assumptions &amp; Results'!$C$127=1,'Financing for Fiscal Terms Only'!Q6,0)</f>
        <v>0</v>
      </c>
      <c r="R16" s="8">
        <f>IF('Assumptions &amp; Results'!$C$127=1,'Financing for Fiscal Terms Only'!R6,0)</f>
        <v>0</v>
      </c>
      <c r="S16" s="8">
        <f>IF('Assumptions &amp; Results'!$C$127=1,'Financing for Fiscal Terms Only'!S6,0)</f>
        <v>0</v>
      </c>
      <c r="T16" s="8">
        <f>IF('Assumptions &amp; Results'!$C$127=1,'Financing for Fiscal Terms Only'!T6,0)</f>
        <v>0</v>
      </c>
      <c r="U16" s="8">
        <f>IF('Assumptions &amp; Results'!$C$127=1,'Financing for Fiscal Terms Only'!U6,0)</f>
        <v>0</v>
      </c>
      <c r="V16" s="8">
        <f>IF('Assumptions &amp; Results'!$C$127=1,'Financing for Fiscal Terms Only'!V6,0)</f>
        <v>0</v>
      </c>
      <c r="W16" s="8">
        <f>IF('Assumptions &amp; Results'!$C$127=1,'Financing for Fiscal Terms Only'!W6,0)</f>
        <v>0</v>
      </c>
      <c r="X16" s="8">
        <f>IF('Assumptions &amp; Results'!$C$127=1,'Financing for Fiscal Terms Only'!X6,0)</f>
        <v>0</v>
      </c>
      <c r="Y16" s="8">
        <f>IF('Assumptions &amp; Results'!$C$127=1,'Financing for Fiscal Terms Only'!Y6,0)</f>
        <v>0</v>
      </c>
      <c r="Z16" s="8">
        <f>IF('Assumptions &amp; Results'!$C$127=1,'Financing for Fiscal Terms Only'!Z6,0)</f>
        <v>0</v>
      </c>
      <c r="AA16" s="8">
        <f>IF('Assumptions &amp; Results'!$C$127=1,'Financing for Fiscal Terms Only'!AA6,0)</f>
        <v>0</v>
      </c>
      <c r="AB16" s="8">
        <f>IF('Assumptions &amp; Results'!$C$127=1,'Financing for Fiscal Terms Only'!AB6,0)</f>
        <v>0</v>
      </c>
      <c r="AC16" s="8">
        <f>IF('Assumptions &amp; Results'!$C$127=1,'Financing for Fiscal Terms Only'!AC6,0)</f>
        <v>0</v>
      </c>
      <c r="AD16" s="8">
        <f>IF('Assumptions &amp; Results'!$C$127=1,'Financing for Fiscal Terms Only'!AD6,0)</f>
        <v>0</v>
      </c>
      <c r="AE16" s="8">
        <f>IF('Assumptions &amp; Results'!$C$127=1,'Financing for Fiscal Terms Only'!AE6,0)</f>
        <v>0</v>
      </c>
      <c r="AF16" s="8">
        <f>IF('Assumptions &amp; Results'!$C$127=1,'Financing for Fiscal Terms Only'!AF6,0)</f>
        <v>0</v>
      </c>
      <c r="AG16" s="8">
        <f>IF('Assumptions &amp; Results'!$C$127=1,'Financing for Fiscal Terms Only'!AG6,0)</f>
        <v>0</v>
      </c>
      <c r="AH16" s="8">
        <f>IF('Assumptions &amp; Results'!$C$127=1,'Financing for Fiscal Terms Only'!AH6,0)</f>
        <v>0</v>
      </c>
      <c r="AI16" s="8">
        <f>IF('Assumptions &amp; Results'!$C$127=1,'Financing for Fiscal Terms Only'!AI6,0)</f>
        <v>0</v>
      </c>
      <c r="AJ16" s="125">
        <f t="shared" si="0"/>
        <v>0</v>
      </c>
    </row>
    <row r="17" spans="1:36" x14ac:dyDescent="0.2">
      <c r="A17" t="s">
        <v>241</v>
      </c>
      <c r="B17" s="96" t="s">
        <v>99</v>
      </c>
      <c r="C17" s="8">
        <f>C12+C13+C14+C15+C16</f>
        <v>2104.25</v>
      </c>
      <c r="D17" s="8">
        <f t="shared" ref="D17:AI17" si="2">D12+D13+D14+D15+D16</f>
        <v>1415</v>
      </c>
      <c r="E17" s="8">
        <f t="shared" si="2"/>
        <v>3466.75</v>
      </c>
      <c r="F17" s="8">
        <f t="shared" si="2"/>
        <v>6174.5</v>
      </c>
      <c r="G17" s="8">
        <f t="shared" si="2"/>
        <v>8034.5986000000003</v>
      </c>
      <c r="H17" s="8">
        <f t="shared" si="2"/>
        <v>7998.1972000000005</v>
      </c>
      <c r="I17" s="8">
        <f t="shared" si="2"/>
        <v>5946.4472000000005</v>
      </c>
      <c r="J17" s="8">
        <f t="shared" si="2"/>
        <v>3350.0837000000001</v>
      </c>
      <c r="K17" s="8">
        <f t="shared" si="2"/>
        <v>2413.6972000000001</v>
      </c>
      <c r="L17" s="8">
        <f t="shared" si="2"/>
        <v>2278.6972000000001</v>
      </c>
      <c r="M17" s="8">
        <f t="shared" si="2"/>
        <v>2278.6972000000001</v>
      </c>
      <c r="N17" s="8">
        <f t="shared" si="2"/>
        <v>2278.6972000000001</v>
      </c>
      <c r="O17" s="8">
        <f t="shared" si="2"/>
        <v>2390.0837000000001</v>
      </c>
      <c r="P17" s="8">
        <f t="shared" si="2"/>
        <v>2278.6972000000001</v>
      </c>
      <c r="Q17" s="8">
        <f t="shared" si="2"/>
        <v>2278.6972000000001</v>
      </c>
      <c r="R17" s="8">
        <f t="shared" si="2"/>
        <v>2278.6972000000001</v>
      </c>
      <c r="S17" s="8">
        <f t="shared" si="2"/>
        <v>2278.6972000000001</v>
      </c>
      <c r="T17" s="8">
        <f t="shared" si="2"/>
        <v>2390.0837000000001</v>
      </c>
      <c r="U17" s="8">
        <f t="shared" si="2"/>
        <v>2278.6972000000001</v>
      </c>
      <c r="V17" s="8">
        <f t="shared" si="2"/>
        <v>2278.6972000000001</v>
      </c>
      <c r="W17" s="8">
        <f t="shared" si="2"/>
        <v>2278.6972000000001</v>
      </c>
      <c r="X17" s="8">
        <f t="shared" si="2"/>
        <v>2278.6972000000001</v>
      </c>
      <c r="Y17" s="8">
        <f t="shared" si="2"/>
        <v>2390.0837000000001</v>
      </c>
      <c r="Z17" s="8">
        <f t="shared" si="2"/>
        <v>2278.6972000000001</v>
      </c>
      <c r="AA17" s="8">
        <f t="shared" si="2"/>
        <v>2278.6972000000001</v>
      </c>
      <c r="AB17" s="8">
        <f t="shared" si="2"/>
        <v>2278.6972000000001</v>
      </c>
      <c r="AC17" s="8">
        <f t="shared" si="2"/>
        <v>2278.6972000000001</v>
      </c>
      <c r="AD17" s="8">
        <f t="shared" si="2"/>
        <v>2390.0837000000001</v>
      </c>
      <c r="AE17" s="8">
        <f t="shared" si="2"/>
        <v>2278.6972000000001</v>
      </c>
      <c r="AF17" s="8">
        <f t="shared" si="2"/>
        <v>2278.6972000000001</v>
      </c>
      <c r="AG17" s="8">
        <f t="shared" si="2"/>
        <v>2878.6972000000001</v>
      </c>
      <c r="AH17" s="8">
        <f t="shared" si="2"/>
        <v>2878.6972000000001</v>
      </c>
      <c r="AI17" s="8">
        <f t="shared" si="2"/>
        <v>3478.6972000000001</v>
      </c>
      <c r="AJ17" s="125">
        <f t="shared" si="0"/>
        <v>98437.802699999986</v>
      </c>
    </row>
    <row r="18" spans="1:36" x14ac:dyDescent="0.2">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125">
        <f t="shared" si="0"/>
        <v>0</v>
      </c>
    </row>
    <row r="19" spans="1:36" x14ac:dyDescent="0.2">
      <c r="A19" t="s">
        <v>242</v>
      </c>
      <c r="B19" s="96" t="s">
        <v>99</v>
      </c>
      <c r="C19" s="8">
        <f>'Assumptions &amp; Results'!$C$118*C4</f>
        <v>0</v>
      </c>
      <c r="D19" s="8">
        <f>'Assumptions &amp; Results'!$C$118*D4</f>
        <v>0</v>
      </c>
      <c r="E19" s="8">
        <f>'Assumptions &amp; Results'!$C$118*E4</f>
        <v>0</v>
      </c>
      <c r="F19" s="8">
        <f>'Assumptions &amp; Results'!$C$118*F4</f>
        <v>0</v>
      </c>
      <c r="G19" s="8">
        <f>'Assumptions &amp; Results'!$C$118*G4</f>
        <v>3040.6849687500007</v>
      </c>
      <c r="H19" s="8">
        <f>'Assumptions &amp; Results'!$C$118*H4</f>
        <v>6081.3699375000015</v>
      </c>
      <c r="I19" s="8">
        <f>'Assumptions &amp; Results'!$C$118*I4</f>
        <v>6081.3699375000015</v>
      </c>
      <c r="J19" s="8">
        <f>'Assumptions &amp; Results'!$C$118*J4</f>
        <v>5779.2587531250001</v>
      </c>
      <c r="K19" s="8">
        <f>'Assumptions &amp; Results'!$C$118*K4</f>
        <v>6081.3699375000015</v>
      </c>
      <c r="L19" s="8">
        <f>'Assumptions &amp; Results'!$C$118*L4</f>
        <v>6081.3699375000015</v>
      </c>
      <c r="M19" s="8">
        <f>'Assumptions &amp; Results'!$C$118*M4</f>
        <v>6081.3699375000015</v>
      </c>
      <c r="N19" s="8">
        <f>'Assumptions &amp; Results'!$C$118*N4</f>
        <v>6081.3699375000015</v>
      </c>
      <c r="O19" s="8">
        <f>'Assumptions &amp; Results'!$C$118*O4</f>
        <v>5779.2587531250001</v>
      </c>
      <c r="P19" s="8">
        <f>'Assumptions &amp; Results'!$C$118*P4</f>
        <v>6081.3699375000015</v>
      </c>
      <c r="Q19" s="8">
        <f>'Assumptions &amp; Results'!$C$118*Q4</f>
        <v>6081.3699375000015</v>
      </c>
      <c r="R19" s="8">
        <f>'Assumptions &amp; Results'!$C$118*R4</f>
        <v>6081.3699375000015</v>
      </c>
      <c r="S19" s="8">
        <f>'Assumptions &amp; Results'!$C$118*S4</f>
        <v>6081.3699375000015</v>
      </c>
      <c r="T19" s="8">
        <f>'Assumptions &amp; Results'!$C$118*T4</f>
        <v>5779.2587531250001</v>
      </c>
      <c r="U19" s="8">
        <f>'Assumptions &amp; Results'!$C$118*U4</f>
        <v>6081.3699375000015</v>
      </c>
      <c r="V19" s="8">
        <f>'Assumptions &amp; Results'!$C$118*V4</f>
        <v>6081.3699375000015</v>
      </c>
      <c r="W19" s="8">
        <f>'Assumptions &amp; Results'!$C$118*W4</f>
        <v>6081.3699375000015</v>
      </c>
      <c r="X19" s="8">
        <f>'Assumptions &amp; Results'!$C$118*X4</f>
        <v>6081.3699375000015</v>
      </c>
      <c r="Y19" s="8">
        <f>'Assumptions &amp; Results'!$C$118*Y4</f>
        <v>5779.2587531250001</v>
      </c>
      <c r="Z19" s="8">
        <f>'Assumptions &amp; Results'!$C$118*Z4</f>
        <v>6081.3699375000015</v>
      </c>
      <c r="AA19" s="8">
        <f>'Assumptions &amp; Results'!$C$118*AA4</f>
        <v>6081.3699375000015</v>
      </c>
      <c r="AB19" s="8">
        <f>'Assumptions &amp; Results'!$C$118*AB4</f>
        <v>6081.3699375000015</v>
      </c>
      <c r="AC19" s="8">
        <f>'Assumptions &amp; Results'!$C$118*AC4</f>
        <v>6081.3699375000015</v>
      </c>
      <c r="AD19" s="8">
        <f>'Assumptions &amp; Results'!$C$118*AD4</f>
        <v>5779.2587531250001</v>
      </c>
      <c r="AE19" s="8">
        <f>'Assumptions &amp; Results'!$C$118*AE4</f>
        <v>6081.3699375000015</v>
      </c>
      <c r="AF19" s="8">
        <f>'Assumptions &amp; Results'!$C$118*AF4</f>
        <v>6081.3699375000015</v>
      </c>
      <c r="AG19" s="8">
        <f>'Assumptions &amp; Results'!$C$118*AG4</f>
        <v>6081.3699375000015</v>
      </c>
      <c r="AH19" s="8">
        <f>'Assumptions &amp; Results'!$C$118*AH4</f>
        <v>6081.3699375000015</v>
      </c>
      <c r="AI19" s="8">
        <f>'Assumptions &amp; Results'!$C$118*AI4</f>
        <v>6081.3699375000015</v>
      </c>
      <c r="AJ19" s="125">
        <f t="shared" si="0"/>
        <v>171808.4872968751</v>
      </c>
    </row>
    <row r="20" spans="1:36" x14ac:dyDescent="0.2">
      <c r="A20" t="s">
        <v>243</v>
      </c>
      <c r="B20" s="96" t="s">
        <v>99</v>
      </c>
      <c r="C20" s="8">
        <f t="shared" ref="C20:AI20" si="3">MAX(C17-C19,0)</f>
        <v>2104.25</v>
      </c>
      <c r="D20" s="8">
        <f t="shared" si="3"/>
        <v>1415</v>
      </c>
      <c r="E20" s="8">
        <f t="shared" si="3"/>
        <v>3466.75</v>
      </c>
      <c r="F20" s="8">
        <f t="shared" si="3"/>
        <v>6174.5</v>
      </c>
      <c r="G20" s="8">
        <f t="shared" si="3"/>
        <v>4993.9136312499995</v>
      </c>
      <c r="H20" s="8">
        <f t="shared" si="3"/>
        <v>1916.8272624999991</v>
      </c>
      <c r="I20" s="8">
        <f t="shared" si="3"/>
        <v>0</v>
      </c>
      <c r="J20" s="8">
        <f t="shared" si="3"/>
        <v>0</v>
      </c>
      <c r="K20" s="8">
        <f t="shared" si="3"/>
        <v>0</v>
      </c>
      <c r="L20" s="8">
        <f t="shared" si="3"/>
        <v>0</v>
      </c>
      <c r="M20" s="8">
        <f t="shared" si="3"/>
        <v>0</v>
      </c>
      <c r="N20" s="8">
        <f t="shared" si="3"/>
        <v>0</v>
      </c>
      <c r="O20" s="8">
        <f t="shared" si="3"/>
        <v>0</v>
      </c>
      <c r="P20" s="8">
        <f t="shared" si="3"/>
        <v>0</v>
      </c>
      <c r="Q20" s="8">
        <f t="shared" si="3"/>
        <v>0</v>
      </c>
      <c r="R20" s="8">
        <f t="shared" si="3"/>
        <v>0</v>
      </c>
      <c r="S20" s="8">
        <f t="shared" si="3"/>
        <v>0</v>
      </c>
      <c r="T20" s="8">
        <f t="shared" si="3"/>
        <v>0</v>
      </c>
      <c r="U20" s="8">
        <f t="shared" si="3"/>
        <v>0</v>
      </c>
      <c r="V20" s="8">
        <f t="shared" si="3"/>
        <v>0</v>
      </c>
      <c r="W20" s="8">
        <f t="shared" si="3"/>
        <v>0</v>
      </c>
      <c r="X20" s="8">
        <f t="shared" si="3"/>
        <v>0</v>
      </c>
      <c r="Y20" s="8">
        <f t="shared" si="3"/>
        <v>0</v>
      </c>
      <c r="Z20" s="8">
        <f t="shared" si="3"/>
        <v>0</v>
      </c>
      <c r="AA20" s="8">
        <f t="shared" si="3"/>
        <v>0</v>
      </c>
      <c r="AB20" s="8">
        <f t="shared" si="3"/>
        <v>0</v>
      </c>
      <c r="AC20" s="8">
        <f t="shared" si="3"/>
        <v>0</v>
      </c>
      <c r="AD20" s="8">
        <f t="shared" si="3"/>
        <v>0</v>
      </c>
      <c r="AE20" s="8">
        <f t="shared" si="3"/>
        <v>0</v>
      </c>
      <c r="AF20" s="8">
        <f t="shared" si="3"/>
        <v>0</v>
      </c>
      <c r="AG20" s="8">
        <f t="shared" si="3"/>
        <v>0</v>
      </c>
      <c r="AH20" s="8">
        <f t="shared" si="3"/>
        <v>0</v>
      </c>
      <c r="AI20" s="8">
        <f t="shared" si="3"/>
        <v>0</v>
      </c>
      <c r="AJ20" s="125">
        <f t="shared" si="0"/>
        <v>20071.240893749997</v>
      </c>
    </row>
    <row r="21" spans="1:36" x14ac:dyDescent="0.2">
      <c r="A21" t="s">
        <v>244</v>
      </c>
      <c r="B21" s="96" t="s">
        <v>99</v>
      </c>
      <c r="C21" s="8">
        <f>MIN(C17,C19)</f>
        <v>0</v>
      </c>
      <c r="D21" s="8">
        <f t="shared" ref="D21:AI21" si="4">MIN(D19,D17+C22)</f>
        <v>0</v>
      </c>
      <c r="E21" s="8">
        <f t="shared" si="4"/>
        <v>0</v>
      </c>
      <c r="F21" s="8">
        <f t="shared" si="4"/>
        <v>0</v>
      </c>
      <c r="G21" s="8">
        <f t="shared" si="4"/>
        <v>3040.6849687500007</v>
      </c>
      <c r="H21" s="8">
        <f t="shared" si="4"/>
        <v>6081.3699375000015</v>
      </c>
      <c r="I21" s="8">
        <f t="shared" si="4"/>
        <v>6081.3699375000015</v>
      </c>
      <c r="J21" s="8">
        <f t="shared" si="4"/>
        <v>5779.2587531250001</v>
      </c>
      <c r="K21" s="8">
        <f t="shared" si="4"/>
        <v>6081.3699375000015</v>
      </c>
      <c r="L21" s="8">
        <f t="shared" si="4"/>
        <v>6081.3699375000015</v>
      </c>
      <c r="M21" s="8">
        <f t="shared" si="4"/>
        <v>6081.3699375000015</v>
      </c>
      <c r="N21" s="8">
        <f t="shared" si="4"/>
        <v>6081.3699375000015</v>
      </c>
      <c r="O21" s="8">
        <f t="shared" si="4"/>
        <v>4821.5358531249913</v>
      </c>
      <c r="P21" s="8">
        <f t="shared" si="4"/>
        <v>2278.6972000000001</v>
      </c>
      <c r="Q21" s="8">
        <f t="shared" si="4"/>
        <v>2278.6972000000001</v>
      </c>
      <c r="R21" s="8">
        <f t="shared" si="4"/>
        <v>2278.6972000000001</v>
      </c>
      <c r="S21" s="8">
        <f t="shared" si="4"/>
        <v>2278.6972000000001</v>
      </c>
      <c r="T21" s="8">
        <f t="shared" si="4"/>
        <v>2390.0837000000001</v>
      </c>
      <c r="U21" s="8">
        <f t="shared" si="4"/>
        <v>2278.6972000000001</v>
      </c>
      <c r="V21" s="8">
        <f t="shared" si="4"/>
        <v>2278.6972000000001</v>
      </c>
      <c r="W21" s="8">
        <f t="shared" si="4"/>
        <v>2278.6972000000001</v>
      </c>
      <c r="X21" s="8">
        <f t="shared" si="4"/>
        <v>2278.6972000000001</v>
      </c>
      <c r="Y21" s="8">
        <f t="shared" si="4"/>
        <v>2390.0837000000001</v>
      </c>
      <c r="Z21" s="8">
        <f t="shared" si="4"/>
        <v>2278.6972000000001</v>
      </c>
      <c r="AA21" s="8">
        <f t="shared" si="4"/>
        <v>2278.6972000000001</v>
      </c>
      <c r="AB21" s="8">
        <f t="shared" si="4"/>
        <v>2278.6972000000001</v>
      </c>
      <c r="AC21" s="8">
        <f t="shared" si="4"/>
        <v>2278.6972000000001</v>
      </c>
      <c r="AD21" s="8">
        <f t="shared" si="4"/>
        <v>2390.0837000000001</v>
      </c>
      <c r="AE21" s="8">
        <f t="shared" si="4"/>
        <v>2278.6972000000001</v>
      </c>
      <c r="AF21" s="8">
        <f t="shared" si="4"/>
        <v>2278.6972000000001</v>
      </c>
      <c r="AG21" s="8">
        <f t="shared" si="4"/>
        <v>2878.6972000000001</v>
      </c>
      <c r="AH21" s="8">
        <f t="shared" si="4"/>
        <v>2878.6972000000001</v>
      </c>
      <c r="AI21" s="8">
        <f t="shared" si="4"/>
        <v>3478.6972000000001</v>
      </c>
      <c r="AJ21" s="125">
        <f t="shared" si="0"/>
        <v>98437.802699999971</v>
      </c>
    </row>
    <row r="22" spans="1:36" x14ac:dyDescent="0.2">
      <c r="A22" t="s">
        <v>245</v>
      </c>
      <c r="B22" s="96" t="s">
        <v>99</v>
      </c>
      <c r="C22" s="8">
        <f>C17-C21</f>
        <v>2104.25</v>
      </c>
      <c r="D22" s="8">
        <f t="shared" ref="D22:AI22" si="5">D17-D21+C22</f>
        <v>3519.25</v>
      </c>
      <c r="E22" s="8">
        <f t="shared" si="5"/>
        <v>6986</v>
      </c>
      <c r="F22" s="8">
        <f t="shared" si="5"/>
        <v>13160.5</v>
      </c>
      <c r="G22" s="8">
        <f t="shared" si="5"/>
        <v>18154.413631249998</v>
      </c>
      <c r="H22" s="8">
        <f t="shared" si="5"/>
        <v>20071.240893749997</v>
      </c>
      <c r="I22" s="8">
        <f t="shared" si="5"/>
        <v>19936.318156249996</v>
      </c>
      <c r="J22" s="8">
        <f t="shared" si="5"/>
        <v>17507.143103124996</v>
      </c>
      <c r="K22" s="8">
        <f t="shared" si="5"/>
        <v>13839.470365624995</v>
      </c>
      <c r="L22" s="8">
        <f t="shared" si="5"/>
        <v>10036.797628124994</v>
      </c>
      <c r="M22" s="8">
        <f t="shared" si="5"/>
        <v>6234.124890624993</v>
      </c>
      <c r="N22" s="8">
        <f t="shared" si="5"/>
        <v>2431.4521531249916</v>
      </c>
      <c r="O22" s="8">
        <f t="shared" si="5"/>
        <v>0</v>
      </c>
      <c r="P22" s="8">
        <f t="shared" si="5"/>
        <v>0</v>
      </c>
      <c r="Q22" s="8">
        <f t="shared" si="5"/>
        <v>0</v>
      </c>
      <c r="R22" s="8">
        <f t="shared" si="5"/>
        <v>0</v>
      </c>
      <c r="S22" s="8">
        <f t="shared" si="5"/>
        <v>0</v>
      </c>
      <c r="T22" s="8">
        <f t="shared" si="5"/>
        <v>0</v>
      </c>
      <c r="U22" s="8">
        <f t="shared" si="5"/>
        <v>0</v>
      </c>
      <c r="V22" s="8">
        <f t="shared" si="5"/>
        <v>0</v>
      </c>
      <c r="W22" s="8">
        <f t="shared" si="5"/>
        <v>0</v>
      </c>
      <c r="X22" s="8">
        <f t="shared" si="5"/>
        <v>0</v>
      </c>
      <c r="Y22" s="8">
        <f t="shared" si="5"/>
        <v>0</v>
      </c>
      <c r="Z22" s="8">
        <f t="shared" si="5"/>
        <v>0</v>
      </c>
      <c r="AA22" s="8">
        <f t="shared" si="5"/>
        <v>0</v>
      </c>
      <c r="AB22" s="8">
        <f t="shared" si="5"/>
        <v>0</v>
      </c>
      <c r="AC22" s="8">
        <f t="shared" si="5"/>
        <v>0</v>
      </c>
      <c r="AD22" s="8">
        <f t="shared" si="5"/>
        <v>0</v>
      </c>
      <c r="AE22" s="8">
        <f t="shared" si="5"/>
        <v>0</v>
      </c>
      <c r="AF22" s="8">
        <f t="shared" si="5"/>
        <v>0</v>
      </c>
      <c r="AG22" s="8">
        <f t="shared" si="5"/>
        <v>0</v>
      </c>
      <c r="AH22" s="8">
        <f t="shared" si="5"/>
        <v>0</v>
      </c>
      <c r="AI22" s="8">
        <f t="shared" si="5"/>
        <v>0</v>
      </c>
      <c r="AJ22" s="125"/>
    </row>
    <row r="23" spans="1:36" x14ac:dyDescent="0.2">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125"/>
    </row>
    <row r="24" spans="1:36" x14ac:dyDescent="0.2">
      <c r="A24" s="74" t="s">
        <v>246</v>
      </c>
      <c r="B24" s="69"/>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131"/>
    </row>
    <row r="25" spans="1:36" x14ac:dyDescent="0.2">
      <c r="A25" s="2" t="s">
        <v>247</v>
      </c>
      <c r="B25" t="s">
        <v>99</v>
      </c>
      <c r="C25" s="8">
        <f>'Assumptions &amp; Results'!$C$125*C4</f>
        <v>0</v>
      </c>
      <c r="D25" s="8">
        <f>'Assumptions &amp; Results'!$C$125*D4</f>
        <v>0</v>
      </c>
      <c r="E25" s="8">
        <f>'Assumptions &amp; Results'!$C$125*E4</f>
        <v>0</v>
      </c>
      <c r="F25" s="8">
        <f>'Assumptions &amp; Results'!$C$125*F4</f>
        <v>0</v>
      </c>
      <c r="G25" s="8">
        <f>'Assumptions &amp; Results'!$C$125*G4</f>
        <v>140.33930625000002</v>
      </c>
      <c r="H25" s="8">
        <f>'Assumptions &amp; Results'!$C$125*H4</f>
        <v>280.67861250000004</v>
      </c>
      <c r="I25" s="8">
        <f>'Assumptions &amp; Results'!$C$125*I4</f>
        <v>280.67861250000004</v>
      </c>
      <c r="J25" s="8">
        <f>'Assumptions &amp; Results'!$C$125*J4</f>
        <v>266.73501937499998</v>
      </c>
      <c r="K25" s="8">
        <f>'Assumptions &amp; Results'!$C$125*K4</f>
        <v>280.67861250000004</v>
      </c>
      <c r="L25" s="8">
        <f>'Assumptions &amp; Results'!$C$125*L4</f>
        <v>280.67861250000004</v>
      </c>
      <c r="M25" s="8">
        <f>'Assumptions &amp; Results'!$C$125*M4</f>
        <v>280.67861250000004</v>
      </c>
      <c r="N25" s="8">
        <f>'Assumptions &amp; Results'!$C$125*N4</f>
        <v>280.67861250000004</v>
      </c>
      <c r="O25" s="8">
        <f>'Assumptions &amp; Results'!$C$125*O4</f>
        <v>266.73501937499998</v>
      </c>
      <c r="P25" s="8">
        <f>'Assumptions &amp; Results'!$C$125*P4</f>
        <v>280.67861250000004</v>
      </c>
      <c r="Q25" s="8">
        <f>'Assumptions &amp; Results'!$C$125*Q4</f>
        <v>280.67861250000004</v>
      </c>
      <c r="R25" s="8">
        <f>'Assumptions &amp; Results'!$C$125*R4</f>
        <v>280.67861250000004</v>
      </c>
      <c r="S25" s="8">
        <f>'Assumptions &amp; Results'!$C$125*S4</f>
        <v>280.67861250000004</v>
      </c>
      <c r="T25" s="8">
        <f>'Assumptions &amp; Results'!$C$125*T4</f>
        <v>266.73501937499998</v>
      </c>
      <c r="U25" s="8">
        <f>'Assumptions &amp; Results'!$C$125*U4</f>
        <v>280.67861250000004</v>
      </c>
      <c r="V25" s="8">
        <f>'Assumptions &amp; Results'!$C$125*V4</f>
        <v>280.67861250000004</v>
      </c>
      <c r="W25" s="8">
        <f>'Assumptions &amp; Results'!$C$125*W4</f>
        <v>280.67861250000004</v>
      </c>
      <c r="X25" s="8">
        <f>'Assumptions &amp; Results'!$C$125*X4</f>
        <v>280.67861250000004</v>
      </c>
      <c r="Y25" s="8">
        <f>'Assumptions &amp; Results'!$C$125*Y4</f>
        <v>266.73501937499998</v>
      </c>
      <c r="Z25" s="8">
        <f>'Assumptions &amp; Results'!$C$125*Z4</f>
        <v>280.67861250000004</v>
      </c>
      <c r="AA25" s="8">
        <f>'Assumptions &amp; Results'!$C$125*AA4</f>
        <v>280.67861250000004</v>
      </c>
      <c r="AB25" s="8">
        <f>'Assumptions &amp; Results'!$C$125*AB4</f>
        <v>280.67861250000004</v>
      </c>
      <c r="AC25" s="8">
        <f>'Assumptions &amp; Results'!$C$125*AC4</f>
        <v>280.67861250000004</v>
      </c>
      <c r="AD25" s="8">
        <f>'Assumptions &amp; Results'!$C$125*AD4</f>
        <v>266.73501937499998</v>
      </c>
      <c r="AE25" s="8">
        <f>'Assumptions &amp; Results'!$C$125*AE4</f>
        <v>280.67861250000004</v>
      </c>
      <c r="AF25" s="8">
        <f>'Assumptions &amp; Results'!$C$125*AF4</f>
        <v>280.67861250000004</v>
      </c>
      <c r="AG25" s="8">
        <f>'Assumptions &amp; Results'!$C$125*AG4</f>
        <v>280.67861250000004</v>
      </c>
      <c r="AH25" s="8">
        <f>'Assumptions &amp; Results'!$C$125*AH4</f>
        <v>280.67861250000004</v>
      </c>
      <c r="AI25" s="8">
        <f>'Assumptions &amp; Results'!$C$125*AI4</f>
        <v>280.67861250000004</v>
      </c>
      <c r="AJ25" s="125">
        <f>SUM(C25:AI25)</f>
        <v>7929.6224906249981</v>
      </c>
    </row>
    <row r="26" spans="1:36" x14ac:dyDescent="0.2">
      <c r="A26" s="2"/>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125"/>
    </row>
    <row r="27" spans="1:36" x14ac:dyDescent="0.2">
      <c r="A27" s="78" t="s">
        <v>248</v>
      </c>
      <c r="B27" s="79"/>
      <c r="C27" s="84"/>
      <c r="D27" s="84"/>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125"/>
    </row>
    <row r="28" spans="1:36" x14ac:dyDescent="0.2">
      <c r="A28" s="191" t="s">
        <v>249</v>
      </c>
      <c r="B28" s="192" t="s">
        <v>99</v>
      </c>
      <c r="C28" s="84">
        <f>C45+C21-C6</f>
        <v>0</v>
      </c>
      <c r="D28" s="84">
        <f>D45+D21-D6+C28</f>
        <v>0</v>
      </c>
      <c r="E28" s="8">
        <f t="shared" ref="E28:AI28" si="6">E45+E21-E6+D28</f>
        <v>0</v>
      </c>
      <c r="F28" s="8">
        <f t="shared" si="6"/>
        <v>0</v>
      </c>
      <c r="G28" s="8">
        <f t="shared" si="6"/>
        <v>3374.8990843750007</v>
      </c>
      <c r="H28" s="8">
        <f t="shared" si="6"/>
        <v>10124.697253125003</v>
      </c>
      <c r="I28" s="8">
        <f t="shared" si="6"/>
        <v>16874.495421875006</v>
      </c>
      <c r="J28" s="8">
        <f t="shared" si="6"/>
        <v>23064.388178437504</v>
      </c>
      <c r="K28" s="8">
        <f t="shared" si="6"/>
        <v>29814.186347187504</v>
      </c>
      <c r="L28" s="8">
        <f t="shared" si="6"/>
        <v>36236.526134687505</v>
      </c>
      <c r="M28" s="8">
        <f t="shared" si="6"/>
        <v>42658.865922187506</v>
      </c>
      <c r="N28" s="8">
        <f t="shared" si="6"/>
        <v>49081.205709687507</v>
      </c>
      <c r="O28" s="8">
        <f t="shared" si="6"/>
        <v>54768.363030312503</v>
      </c>
      <c r="P28" s="8">
        <f t="shared" si="6"/>
        <v>60430.168270312504</v>
      </c>
      <c r="Q28" s="8">
        <f t="shared" si="6"/>
        <v>65384.247855312504</v>
      </c>
      <c r="R28" s="8">
        <f t="shared" si="6"/>
        <v>70338.327440312511</v>
      </c>
      <c r="S28" s="8">
        <f t="shared" si="6"/>
        <v>75292.40702531251</v>
      </c>
      <c r="T28" s="8">
        <f t="shared" si="6"/>
        <v>79843.165554062507</v>
      </c>
      <c r="U28" s="8">
        <f t="shared" si="6"/>
        <v>84797.245139062506</v>
      </c>
      <c r="V28" s="8">
        <f t="shared" si="6"/>
        <v>89751.324724062506</v>
      </c>
      <c r="W28" s="8">
        <f t="shared" si="6"/>
        <v>93289.952999062501</v>
      </c>
      <c r="X28" s="8">
        <f t="shared" si="6"/>
        <v>96828.581274062497</v>
      </c>
      <c r="Y28" s="8">
        <f t="shared" si="6"/>
        <v>100079.12308031249</v>
      </c>
      <c r="Z28" s="8">
        <f t="shared" si="6"/>
        <v>103617.75135531249</v>
      </c>
      <c r="AA28" s="8">
        <f t="shared" si="6"/>
        <v>107156.37963031248</v>
      </c>
      <c r="AB28" s="8">
        <f t="shared" si="6"/>
        <v>110695.00790531248</v>
      </c>
      <c r="AC28" s="8">
        <f t="shared" si="6"/>
        <v>114233.63618031247</v>
      </c>
      <c r="AD28" s="8">
        <f t="shared" si="6"/>
        <v>116834.06962531248</v>
      </c>
      <c r="AE28" s="8">
        <f t="shared" si="6"/>
        <v>119664.97224531249</v>
      </c>
      <c r="AF28" s="8">
        <f t="shared" si="6"/>
        <v>122495.87486531249</v>
      </c>
      <c r="AG28" s="8">
        <f t="shared" si="6"/>
        <v>125086.7774853125</v>
      </c>
      <c r="AH28" s="8">
        <f t="shared" si="6"/>
        <v>127677.68010531251</v>
      </c>
      <c r="AI28" s="8">
        <f t="shared" si="6"/>
        <v>130028.58272531252</v>
      </c>
      <c r="AJ28" s="125"/>
    </row>
    <row r="29" spans="1:36" x14ac:dyDescent="0.2">
      <c r="A29" s="191" t="s">
        <v>250</v>
      </c>
      <c r="B29" s="192" t="s">
        <v>99</v>
      </c>
      <c r="C29" s="84">
        <f>C8</f>
        <v>417</v>
      </c>
      <c r="D29" s="84">
        <f>C29+D8</f>
        <v>5660</v>
      </c>
      <c r="E29" s="8">
        <f t="shared" ref="E29:AI29" si="7">D29+E8</f>
        <v>13867</v>
      </c>
      <c r="F29" s="8">
        <f t="shared" si="7"/>
        <v>24698</v>
      </c>
      <c r="G29" s="8">
        <f t="shared" si="7"/>
        <v>27998</v>
      </c>
      <c r="H29" s="8">
        <f t="shared" si="7"/>
        <v>28538</v>
      </c>
      <c r="I29" s="8">
        <f t="shared" si="7"/>
        <v>28538</v>
      </c>
      <c r="J29" s="8">
        <f t="shared" si="7"/>
        <v>28538</v>
      </c>
      <c r="K29" s="8">
        <f t="shared" si="7"/>
        <v>28538</v>
      </c>
      <c r="L29" s="8">
        <f t="shared" si="7"/>
        <v>28538</v>
      </c>
      <c r="M29" s="8">
        <f t="shared" si="7"/>
        <v>28538</v>
      </c>
      <c r="N29" s="8">
        <f t="shared" si="7"/>
        <v>28538</v>
      </c>
      <c r="O29" s="8">
        <f t="shared" si="7"/>
        <v>28538</v>
      </c>
      <c r="P29" s="8">
        <f t="shared" si="7"/>
        <v>28538</v>
      </c>
      <c r="Q29" s="8">
        <f t="shared" si="7"/>
        <v>28538</v>
      </c>
      <c r="R29" s="8">
        <f t="shared" si="7"/>
        <v>28538</v>
      </c>
      <c r="S29" s="8">
        <f t="shared" si="7"/>
        <v>28538</v>
      </c>
      <c r="T29" s="8">
        <f t="shared" si="7"/>
        <v>28538</v>
      </c>
      <c r="U29" s="8">
        <f t="shared" si="7"/>
        <v>28538</v>
      </c>
      <c r="V29" s="8">
        <f t="shared" si="7"/>
        <v>28538</v>
      </c>
      <c r="W29" s="8">
        <f t="shared" si="7"/>
        <v>28538</v>
      </c>
      <c r="X29" s="8">
        <f t="shared" si="7"/>
        <v>28538</v>
      </c>
      <c r="Y29" s="8">
        <f t="shared" si="7"/>
        <v>28538</v>
      </c>
      <c r="Z29" s="8">
        <f t="shared" si="7"/>
        <v>28538</v>
      </c>
      <c r="AA29" s="8">
        <f t="shared" si="7"/>
        <v>28538</v>
      </c>
      <c r="AB29" s="8">
        <f t="shared" si="7"/>
        <v>28538</v>
      </c>
      <c r="AC29" s="8">
        <f t="shared" si="7"/>
        <v>28538</v>
      </c>
      <c r="AD29" s="8">
        <f t="shared" si="7"/>
        <v>28538</v>
      </c>
      <c r="AE29" s="8">
        <f t="shared" si="7"/>
        <v>28538</v>
      </c>
      <c r="AF29" s="8">
        <f t="shared" si="7"/>
        <v>28538</v>
      </c>
      <c r="AG29" s="8">
        <f t="shared" si="7"/>
        <v>28538</v>
      </c>
      <c r="AH29" s="8">
        <f t="shared" si="7"/>
        <v>28538</v>
      </c>
      <c r="AI29" s="8">
        <f t="shared" si="7"/>
        <v>28538</v>
      </c>
      <c r="AJ29" s="125"/>
    </row>
    <row r="30" spans="1:36" x14ac:dyDescent="0.2">
      <c r="A30" s="191" t="s">
        <v>251</v>
      </c>
      <c r="B30" s="79"/>
      <c r="C30" s="84">
        <f>IF(C29=0,0,C28/C29)</f>
        <v>0</v>
      </c>
      <c r="D30" s="84">
        <f t="shared" ref="D30:AI30" si="8">IF(D29=0,0,D28/D29)</f>
        <v>0</v>
      </c>
      <c r="E30" s="8">
        <f t="shared" si="8"/>
        <v>0</v>
      </c>
      <c r="F30" s="8">
        <f t="shared" si="8"/>
        <v>0</v>
      </c>
      <c r="G30" s="8">
        <f t="shared" si="8"/>
        <v>0.12054072020769344</v>
      </c>
      <c r="H30" s="8">
        <f t="shared" si="8"/>
        <v>0.35477949586954249</v>
      </c>
      <c r="I30" s="8">
        <f t="shared" si="8"/>
        <v>0.59129915978257086</v>
      </c>
      <c r="J30" s="8">
        <f t="shared" si="8"/>
        <v>0.80819917928507623</v>
      </c>
      <c r="K30" s="8">
        <f t="shared" si="8"/>
        <v>1.0447188431981045</v>
      </c>
      <c r="L30" s="8">
        <f t="shared" si="8"/>
        <v>1.2697640386392706</v>
      </c>
      <c r="M30" s="8">
        <f t="shared" si="8"/>
        <v>1.4948092340804369</v>
      </c>
      <c r="N30" s="8">
        <f t="shared" si="8"/>
        <v>1.7198544295216029</v>
      </c>
      <c r="O30" s="8">
        <f t="shared" si="8"/>
        <v>1.9191380976351708</v>
      </c>
      <c r="P30" s="8">
        <f t="shared" si="8"/>
        <v>2.1175334035430828</v>
      </c>
      <c r="Q30" s="8">
        <f t="shared" si="8"/>
        <v>2.2911292962125063</v>
      </c>
      <c r="R30" s="8">
        <f t="shared" si="8"/>
        <v>2.4647251888819297</v>
      </c>
      <c r="S30" s="8">
        <f t="shared" si="8"/>
        <v>2.6383210815513531</v>
      </c>
      <c r="T30" s="8">
        <f t="shared" si="8"/>
        <v>2.7977842019084207</v>
      </c>
      <c r="U30" s="8">
        <f t="shared" si="8"/>
        <v>2.9713800945778437</v>
      </c>
      <c r="V30" s="8">
        <f t="shared" si="8"/>
        <v>3.1449759872472671</v>
      </c>
      <c r="W30" s="8">
        <f t="shared" si="8"/>
        <v>3.2689730534397121</v>
      </c>
      <c r="X30" s="8">
        <f t="shared" si="8"/>
        <v>3.3929701196321571</v>
      </c>
      <c r="Y30" s="8">
        <f t="shared" si="8"/>
        <v>3.5068723484586339</v>
      </c>
      <c r="Z30" s="8">
        <f t="shared" si="8"/>
        <v>3.6308694146510789</v>
      </c>
      <c r="AA30" s="8">
        <f t="shared" si="8"/>
        <v>3.7548664808435239</v>
      </c>
      <c r="AB30" s="8">
        <f t="shared" si="8"/>
        <v>3.8788635470359689</v>
      </c>
      <c r="AC30" s="8">
        <f t="shared" si="8"/>
        <v>4.0028606132284139</v>
      </c>
      <c r="AD30" s="8">
        <f t="shared" si="8"/>
        <v>4.0939823962895954</v>
      </c>
      <c r="AE30" s="8">
        <f t="shared" si="8"/>
        <v>4.1931800492435523</v>
      </c>
      <c r="AF30" s="8">
        <f t="shared" si="8"/>
        <v>4.2923777021975082</v>
      </c>
      <c r="AG30" s="8">
        <f t="shared" si="8"/>
        <v>4.3831655156392353</v>
      </c>
      <c r="AH30" s="8">
        <f t="shared" si="8"/>
        <v>4.4739533290809623</v>
      </c>
      <c r="AI30" s="8">
        <f t="shared" si="8"/>
        <v>4.5563313030104604</v>
      </c>
      <c r="AJ30" s="124"/>
    </row>
    <row r="31" spans="1:36" x14ac:dyDescent="0.2">
      <c r="A31" s="78" t="s">
        <v>252</v>
      </c>
      <c r="B31" s="79" t="s">
        <v>69</v>
      </c>
      <c r="C31" s="153">
        <f>'Assumptions &amp; Results'!C132</f>
        <v>0.1</v>
      </c>
      <c r="D31" s="153">
        <f>LOOKUP(C30,'Assumptions &amp; Results'!$C$131:$I$131,'Assumptions &amp; Results'!$C$132:$I$132)</f>
        <v>0.1</v>
      </c>
      <c r="E31" s="6">
        <f>LOOKUP(D30,'Assumptions &amp; Results'!$C$131:$I$131,'Assumptions &amp; Results'!$C$132:$I$132)</f>
        <v>0.1</v>
      </c>
      <c r="F31" s="6">
        <f>LOOKUP(E30,'Assumptions &amp; Results'!$C$131:$I$131,'Assumptions &amp; Results'!$C$132:$I$132)</f>
        <v>0.1</v>
      </c>
      <c r="G31" s="6">
        <f>LOOKUP(F30,'Assumptions &amp; Results'!$C$131:$I$131,'Assumptions &amp; Results'!$C$132:$I$132)</f>
        <v>0.1</v>
      </c>
      <c r="H31" s="6">
        <f>LOOKUP(G30,'Assumptions &amp; Results'!$C$131:$I$131,'Assumptions &amp; Results'!$C$132:$I$132)</f>
        <v>0.1</v>
      </c>
      <c r="I31" s="6">
        <f>LOOKUP(H30,'Assumptions &amp; Results'!$C$131:$I$131,'Assumptions &amp; Results'!$C$132:$I$132)</f>
        <v>0.1</v>
      </c>
      <c r="J31" s="6">
        <f>LOOKUP(I30,'Assumptions &amp; Results'!$C$131:$I$131,'Assumptions &amp; Results'!$C$132:$I$132)</f>
        <v>0.1</v>
      </c>
      <c r="K31" s="6">
        <f>LOOKUP(J30,'Assumptions &amp; Results'!$C$131:$I$131,'Assumptions &amp; Results'!$C$132:$I$132)</f>
        <v>0.1</v>
      </c>
      <c r="L31" s="6">
        <f>LOOKUP(K30,'Assumptions &amp; Results'!$C$131:$I$131,'Assumptions &amp; Results'!$C$132:$I$132)</f>
        <v>0.2</v>
      </c>
      <c r="M31" s="6">
        <f>LOOKUP(L30,'Assumptions &amp; Results'!$C$131:$I$131,'Assumptions &amp; Results'!$C$132:$I$132)</f>
        <v>0.2</v>
      </c>
      <c r="N31" s="6">
        <f>LOOKUP(M30,'Assumptions &amp; Results'!$C$131:$I$131,'Assumptions &amp; Results'!$C$132:$I$132)</f>
        <v>0.2</v>
      </c>
      <c r="O31" s="6">
        <f>LOOKUP(N30,'Assumptions &amp; Results'!$C$131:$I$131,'Assumptions &amp; Results'!$C$132:$I$132)</f>
        <v>0.2</v>
      </c>
      <c r="P31" s="6">
        <f>LOOKUP(O30,'Assumptions &amp; Results'!$C$131:$I$131,'Assumptions &amp; Results'!$C$132:$I$132)</f>
        <v>0.2</v>
      </c>
      <c r="Q31" s="6">
        <f>LOOKUP(P30,'Assumptions &amp; Results'!$C$131:$I$131,'Assumptions &amp; Results'!$C$132:$I$132)</f>
        <v>0.3</v>
      </c>
      <c r="R31" s="6">
        <f>LOOKUP(Q30,'Assumptions &amp; Results'!$C$131:$I$131,'Assumptions &amp; Results'!$C$132:$I$132)</f>
        <v>0.3</v>
      </c>
      <c r="S31" s="6">
        <f>LOOKUP(R30,'Assumptions &amp; Results'!$C$131:$I$131,'Assumptions &amp; Results'!$C$132:$I$132)</f>
        <v>0.3</v>
      </c>
      <c r="T31" s="6">
        <f>LOOKUP(S30,'Assumptions &amp; Results'!$C$131:$I$131,'Assumptions &amp; Results'!$C$132:$I$132)</f>
        <v>0.3</v>
      </c>
      <c r="U31" s="6">
        <f>LOOKUP(T30,'Assumptions &amp; Results'!$C$131:$I$131,'Assumptions &amp; Results'!$C$132:$I$132)</f>
        <v>0.3</v>
      </c>
      <c r="V31" s="6">
        <f>LOOKUP(U30,'Assumptions &amp; Results'!$C$131:$I$131,'Assumptions &amp; Results'!$C$132:$I$132)</f>
        <v>0.3</v>
      </c>
      <c r="W31" s="6">
        <f>LOOKUP(V30,'Assumptions &amp; Results'!$C$131:$I$131,'Assumptions &amp; Results'!$C$132:$I$132)</f>
        <v>0.5</v>
      </c>
      <c r="X31" s="6">
        <f>LOOKUP(W30,'Assumptions &amp; Results'!$C$131:$I$131,'Assumptions &amp; Results'!$C$132:$I$132)</f>
        <v>0.5</v>
      </c>
      <c r="Y31" s="6">
        <f>LOOKUP(X30,'Assumptions &amp; Results'!$C$131:$I$131,'Assumptions &amp; Results'!$C$132:$I$132)</f>
        <v>0.5</v>
      </c>
      <c r="Z31" s="6">
        <f>LOOKUP(Y30,'Assumptions &amp; Results'!$C$131:$I$131,'Assumptions &amp; Results'!$C$132:$I$132)</f>
        <v>0.5</v>
      </c>
      <c r="AA31" s="6">
        <f>LOOKUP(Z30,'Assumptions &amp; Results'!$C$131:$I$131,'Assumptions &amp; Results'!$C$132:$I$132)</f>
        <v>0.5</v>
      </c>
      <c r="AB31" s="6">
        <f>LOOKUP(AA30,'Assumptions &amp; Results'!$C$131:$I$131,'Assumptions &amp; Results'!$C$132:$I$132)</f>
        <v>0.5</v>
      </c>
      <c r="AC31" s="6">
        <f>LOOKUP(AB30,'Assumptions &amp; Results'!$C$131:$I$131,'Assumptions &amp; Results'!$C$132:$I$132)</f>
        <v>0.5</v>
      </c>
      <c r="AD31" s="6">
        <f>LOOKUP(AC30,'Assumptions &amp; Results'!$C$131:$I$131,'Assumptions &amp; Results'!$C$132:$I$132)</f>
        <v>0.6</v>
      </c>
      <c r="AE31" s="6">
        <f>LOOKUP(AD30,'Assumptions &amp; Results'!$C$131:$I$131,'Assumptions &amp; Results'!$C$132:$I$132)</f>
        <v>0.6</v>
      </c>
      <c r="AF31" s="6">
        <f>LOOKUP(AE30,'Assumptions &amp; Results'!$C$131:$I$131,'Assumptions &amp; Results'!$C$132:$I$132)</f>
        <v>0.6</v>
      </c>
      <c r="AG31" s="6">
        <f>LOOKUP(AF30,'Assumptions &amp; Results'!$C$131:$I$131,'Assumptions &amp; Results'!$C$132:$I$132)</f>
        <v>0.6</v>
      </c>
      <c r="AH31" s="6">
        <f>LOOKUP(AG30,'Assumptions &amp; Results'!$C$131:$I$131,'Assumptions &amp; Results'!$C$132:$I$132)</f>
        <v>0.6</v>
      </c>
      <c r="AI31" s="6">
        <f>LOOKUP(AH30,'Assumptions &amp; Results'!$C$131:$I$131,'Assumptions &amp; Results'!$C$132:$I$132)</f>
        <v>0.6</v>
      </c>
      <c r="AJ31" s="124"/>
    </row>
    <row r="32" spans="1:36" x14ac:dyDescent="0.2">
      <c r="A32" s="78"/>
      <c r="B32" s="79"/>
      <c r="C32" s="153"/>
      <c r="D32" s="153"/>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124"/>
    </row>
    <row r="33" spans="1:36" x14ac:dyDescent="0.2">
      <c r="A33" s="78" t="s">
        <v>253</v>
      </c>
      <c r="B33" s="79"/>
      <c r="C33" s="84"/>
      <c r="D33" s="84"/>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125"/>
    </row>
    <row r="34" spans="1:36" x14ac:dyDescent="0.2">
      <c r="A34" s="187" t="s">
        <v>254</v>
      </c>
      <c r="B34" s="79"/>
      <c r="C34" s="79">
        <f>'Assumptions &amp; Results'!D21+'Assumptions &amp; Results'!D22+'Assumptions &amp; Results'!D23</f>
        <v>0</v>
      </c>
      <c r="D34" s="79">
        <f>'Assumptions &amp; Results'!E21+'Assumptions &amp; Results'!E22+'Assumptions &amp; Results'!E23</f>
        <v>0</v>
      </c>
      <c r="E34" s="79">
        <f>'Assumptions &amp; Results'!F21+'Assumptions &amp; Results'!F22+'Assumptions &amp; Results'!F23</f>
        <v>0</v>
      </c>
      <c r="F34" s="79">
        <f>'Assumptions &amp; Results'!G21+'Assumptions &amp; Results'!G22+'Assumptions &amp; Results'!G23</f>
        <v>0</v>
      </c>
      <c r="G34" s="79">
        <f>'Assumptions &amp; Results'!H21+'Assumptions &amp; Results'!H22+'Assumptions &amp; Results'!H23</f>
        <v>1650</v>
      </c>
      <c r="H34" s="79">
        <f>'Assumptions &amp; Results'!I21+'Assumptions &amp; Results'!I22+'Assumptions &amp; Results'!I23</f>
        <v>3300</v>
      </c>
      <c r="I34" s="79">
        <f>'Assumptions &amp; Results'!J21+'Assumptions &amp; Results'!J22+'Assumptions &amp; Results'!J23</f>
        <v>3300</v>
      </c>
      <c r="J34" s="79">
        <f>'Assumptions &amp; Results'!K21+'Assumptions &amp; Results'!K22+'Assumptions &amp; Results'!K23</f>
        <v>3300</v>
      </c>
      <c r="K34" s="79">
        <f>'Assumptions &amp; Results'!L21+'Assumptions &amp; Results'!L22+'Assumptions &amp; Results'!L23</f>
        <v>3300</v>
      </c>
      <c r="L34" s="79">
        <f>'Assumptions &amp; Results'!M21+'Assumptions &amp; Results'!M22+'Assumptions &amp; Results'!M23</f>
        <v>3300</v>
      </c>
      <c r="M34" s="79">
        <f>'Assumptions &amp; Results'!N21+'Assumptions &amp; Results'!N22+'Assumptions &amp; Results'!N23</f>
        <v>3300</v>
      </c>
      <c r="N34" s="79">
        <f>'Assumptions &amp; Results'!O21+'Assumptions &amp; Results'!O22+'Assumptions &amp; Results'!O23</f>
        <v>3300</v>
      </c>
      <c r="O34" s="79">
        <f>'Assumptions &amp; Results'!P21+'Assumptions &amp; Results'!P22+'Assumptions &amp; Results'!P23</f>
        <v>3300</v>
      </c>
      <c r="P34" s="79">
        <f>'Assumptions &amp; Results'!Q21+'Assumptions &amp; Results'!Q22+'Assumptions &amp; Results'!Q23</f>
        <v>3300</v>
      </c>
      <c r="Q34" s="79">
        <f>'Assumptions &amp; Results'!R21+'Assumptions &amp; Results'!R22+'Assumptions &amp; Results'!R23</f>
        <v>3300</v>
      </c>
      <c r="R34" s="79">
        <f>'Assumptions &amp; Results'!S21+'Assumptions &amp; Results'!S22+'Assumptions &amp; Results'!S23</f>
        <v>3300</v>
      </c>
      <c r="S34" s="79">
        <f>'Assumptions &amp; Results'!T21+'Assumptions &amp; Results'!T22+'Assumptions &amp; Results'!T23</f>
        <v>3300</v>
      </c>
      <c r="T34" s="79">
        <f>'Assumptions &amp; Results'!U21+'Assumptions &amp; Results'!U22+'Assumptions &amp; Results'!U23</f>
        <v>3300</v>
      </c>
      <c r="U34" s="79">
        <f>'Assumptions &amp; Results'!V21+'Assumptions &amp; Results'!V22+'Assumptions &amp; Results'!V23</f>
        <v>3300</v>
      </c>
      <c r="V34" s="79">
        <f>'Assumptions &amp; Results'!W21+'Assumptions &amp; Results'!W22+'Assumptions &amp; Results'!W23</f>
        <v>3300</v>
      </c>
      <c r="W34" s="79">
        <f>'Assumptions &amp; Results'!X21+'Assumptions &amp; Results'!X22+'Assumptions &amp; Results'!X23</f>
        <v>3300</v>
      </c>
      <c r="X34" s="79">
        <f>'Assumptions &amp; Results'!Y21+'Assumptions &amp; Results'!Y22+'Assumptions &amp; Results'!Y23</f>
        <v>3300</v>
      </c>
      <c r="Y34" s="79">
        <f>'Assumptions &amp; Results'!Z21+'Assumptions &amp; Results'!Z22+'Assumptions &amp; Results'!Z23</f>
        <v>3300</v>
      </c>
      <c r="Z34" s="79">
        <f>'Assumptions &amp; Results'!AA21+'Assumptions &amp; Results'!AA22+'Assumptions &amp; Results'!AA23</f>
        <v>3300</v>
      </c>
      <c r="AA34" s="79">
        <f>'Assumptions &amp; Results'!AB21+'Assumptions &amp; Results'!AB22+'Assumptions &amp; Results'!AB23</f>
        <v>3300</v>
      </c>
      <c r="AB34" s="79">
        <f>'Assumptions &amp; Results'!AC21+'Assumptions &amp; Results'!AC22+'Assumptions &amp; Results'!AC23</f>
        <v>3300</v>
      </c>
      <c r="AC34" s="79">
        <f>'Assumptions &amp; Results'!AD21+'Assumptions &amp; Results'!AD22+'Assumptions &amp; Results'!AD23</f>
        <v>3300</v>
      </c>
      <c r="AD34" s="79">
        <f>'Assumptions &amp; Results'!AE21+'Assumptions &amp; Results'!AE22+'Assumptions &amp; Results'!AE23</f>
        <v>3300</v>
      </c>
      <c r="AE34" s="79">
        <f>'Assumptions &amp; Results'!AF21+'Assumptions &amp; Results'!AF22+'Assumptions &amp; Results'!AF23</f>
        <v>3300</v>
      </c>
      <c r="AF34" s="79">
        <f>'Assumptions &amp; Results'!AG21+'Assumptions &amp; Results'!AG22+'Assumptions &amp; Results'!AG23</f>
        <v>3300</v>
      </c>
      <c r="AG34" s="79">
        <f>'Assumptions &amp; Results'!AH21+'Assumptions &amp; Results'!AH22+'Assumptions &amp; Results'!AH23</f>
        <v>3300</v>
      </c>
      <c r="AH34" s="79">
        <f>'Assumptions &amp; Results'!AI21+'Assumptions &amp; Results'!AI22+'Assumptions &amp; Results'!AI23</f>
        <v>3300</v>
      </c>
      <c r="AI34" s="79">
        <f>'Assumptions &amp; Results'!AJ21+'Assumptions &amp; Results'!AJ22+'Assumptions &amp; Results'!AJ23</f>
        <v>3300</v>
      </c>
      <c r="AJ34" s="125">
        <f>SUM(C34:AI34)</f>
        <v>94050</v>
      </c>
    </row>
    <row r="35" spans="1:36" x14ac:dyDescent="0.2">
      <c r="A35" s="188" t="s">
        <v>255</v>
      </c>
      <c r="B35" s="79"/>
      <c r="C35" s="84">
        <f>MIN(C34,'Assumptions &amp; Results'!$C$135)</f>
        <v>0</v>
      </c>
      <c r="D35" s="84">
        <f>MIN(D34,'Assumptions &amp; Results'!$C$135)</f>
        <v>0</v>
      </c>
      <c r="E35" s="8">
        <f>MIN(E34,'Assumptions &amp; Results'!$C$135)</f>
        <v>0</v>
      </c>
      <c r="F35" s="8">
        <f>MIN(F34,'Assumptions &amp; Results'!$C$135)</f>
        <v>0</v>
      </c>
      <c r="G35" s="8">
        <f>MIN(G34,'Assumptions &amp; Results'!$C$135)</f>
        <v>300</v>
      </c>
      <c r="H35" s="8">
        <f>MIN(H34,'Assumptions &amp; Results'!$C$135)</f>
        <v>300</v>
      </c>
      <c r="I35" s="8">
        <f>MIN(I34,'Assumptions &amp; Results'!$C$135)</f>
        <v>300</v>
      </c>
      <c r="J35" s="8">
        <f>MIN(J34,'Assumptions &amp; Results'!$C$135)</f>
        <v>300</v>
      </c>
      <c r="K35" s="8">
        <f>MIN(K34,'Assumptions &amp; Results'!$C$135)</f>
        <v>300</v>
      </c>
      <c r="L35" s="8">
        <f>MIN(L34,'Assumptions &amp; Results'!$C$135)</f>
        <v>300</v>
      </c>
      <c r="M35" s="8">
        <f>MIN(M34,'Assumptions &amp; Results'!$C$135)</f>
        <v>300</v>
      </c>
      <c r="N35" s="8">
        <f>MIN(N34,'Assumptions &amp; Results'!$C$135)</f>
        <v>300</v>
      </c>
      <c r="O35" s="8">
        <f>MIN(O34,'Assumptions &amp; Results'!$C$135)</f>
        <v>300</v>
      </c>
      <c r="P35" s="8">
        <f>MIN(P34,'Assumptions &amp; Results'!$C$135)</f>
        <v>300</v>
      </c>
      <c r="Q35" s="8">
        <f>MIN(Q34,'Assumptions &amp; Results'!$C$135)</f>
        <v>300</v>
      </c>
      <c r="R35" s="8">
        <f>MIN(R34,'Assumptions &amp; Results'!$C$135)</f>
        <v>300</v>
      </c>
      <c r="S35" s="8">
        <f>MIN(S34,'Assumptions &amp; Results'!$C$135)</f>
        <v>300</v>
      </c>
      <c r="T35" s="8">
        <f>MIN(T34,'Assumptions &amp; Results'!$C$135)</f>
        <v>300</v>
      </c>
      <c r="U35" s="8">
        <f>MIN(U34,'Assumptions &amp; Results'!$C$135)</f>
        <v>300</v>
      </c>
      <c r="V35" s="8">
        <f>MIN(V34,'Assumptions &amp; Results'!$C$135)</f>
        <v>300</v>
      </c>
      <c r="W35" s="8">
        <f>MIN(W34,'Assumptions &amp; Results'!$C$135)</f>
        <v>300</v>
      </c>
      <c r="X35" s="8">
        <f>MIN(X34,'Assumptions &amp; Results'!$C$135)</f>
        <v>300</v>
      </c>
      <c r="Y35" s="8">
        <f>MIN(Y34,'Assumptions &amp; Results'!$C$135)</f>
        <v>300</v>
      </c>
      <c r="Z35" s="8">
        <f>MIN(Z34,'Assumptions &amp; Results'!$C$135)</f>
        <v>300</v>
      </c>
      <c r="AA35" s="8">
        <f>MIN(AA34,'Assumptions &amp; Results'!$C$135)</f>
        <v>300</v>
      </c>
      <c r="AB35" s="8">
        <f>MIN(AB34,'Assumptions &amp; Results'!$C$135)</f>
        <v>300</v>
      </c>
      <c r="AC35" s="8">
        <f>MIN(AC34,'Assumptions &amp; Results'!$C$135)</f>
        <v>300</v>
      </c>
      <c r="AD35" s="8">
        <f>MIN(AD34,'Assumptions &amp; Results'!$C$135)</f>
        <v>300</v>
      </c>
      <c r="AE35" s="8">
        <f>MIN(AE34,'Assumptions &amp; Results'!$C$135)</f>
        <v>300</v>
      </c>
      <c r="AF35" s="8">
        <f>MIN(AF34,'Assumptions &amp; Results'!$C$135)</f>
        <v>300</v>
      </c>
      <c r="AG35" s="8">
        <f>MIN(AG34,'Assumptions &amp; Results'!$C$135)</f>
        <v>300</v>
      </c>
      <c r="AH35" s="8">
        <f>MIN(AH34,'Assumptions &amp; Results'!$C$135)</f>
        <v>300</v>
      </c>
      <c r="AI35" s="8">
        <f>MIN(AI34,'Assumptions &amp; Results'!$C$135)</f>
        <v>300</v>
      </c>
      <c r="AJ35" s="125"/>
    </row>
    <row r="36" spans="1:36" x14ac:dyDescent="0.2">
      <c r="A36" s="188" t="s">
        <v>256</v>
      </c>
      <c r="B36" s="79"/>
      <c r="C36" s="84">
        <f>(C34&gt;'Assumptions &amp; Results'!$C$135)*(C34-'Assumptions &amp; Results'!$C$135-C37-C38-C39-C40)</f>
        <v>0</v>
      </c>
      <c r="D36" s="84">
        <f>(D34&gt;'Assumptions &amp; Results'!$C$135)*(D34-'Assumptions &amp; Results'!$C$135-D37-D38-D39-D40)</f>
        <v>0</v>
      </c>
      <c r="E36" s="8">
        <f>(E34&gt;'Assumptions &amp; Results'!$C$135)*(E34-'Assumptions &amp; Results'!$C$135-E37-E38-E39-E40)</f>
        <v>0</v>
      </c>
      <c r="F36" s="8">
        <f>(F34&gt;'Assumptions &amp; Results'!$C$135)*(F34-'Assumptions &amp; Results'!$C$135-F37-F38-F39-F40)</f>
        <v>0</v>
      </c>
      <c r="G36" s="8">
        <f>(G34&gt;'Assumptions &amp; Results'!$C$135)*(G34-'Assumptions &amp; Results'!$C$135-G37-G38-G39-G40)</f>
        <v>300</v>
      </c>
      <c r="H36" s="8">
        <f>(H34&gt;'Assumptions &amp; Results'!$C$135)*(H34-'Assumptions &amp; Results'!$C$135-H37-H38-H39-H40)</f>
        <v>300</v>
      </c>
      <c r="I36" s="8">
        <f>(I34&gt;'Assumptions &amp; Results'!$C$135)*(I34-'Assumptions &amp; Results'!$C$135-I37-I38-I39-I40)</f>
        <v>300</v>
      </c>
      <c r="J36" s="8">
        <f>(J34&gt;'Assumptions &amp; Results'!$C$135)*(J34-'Assumptions &amp; Results'!$C$135-J37-J38-J39-J40)</f>
        <v>300</v>
      </c>
      <c r="K36" s="8">
        <f>(K34&gt;'Assumptions &amp; Results'!$C$135)*(K34-'Assumptions &amp; Results'!$C$135-K37-K38-K39-K40)</f>
        <v>300</v>
      </c>
      <c r="L36" s="8">
        <f>(L34&gt;'Assumptions &amp; Results'!$C$135)*(L34-'Assumptions &amp; Results'!$C$135-L37-L38-L39-L40)</f>
        <v>300</v>
      </c>
      <c r="M36" s="8">
        <f>(M34&gt;'Assumptions &amp; Results'!$C$135)*(M34-'Assumptions &amp; Results'!$C$135-M37-M38-M39-M40)</f>
        <v>300</v>
      </c>
      <c r="N36" s="8">
        <f>(N34&gt;'Assumptions &amp; Results'!$C$135)*(N34-'Assumptions &amp; Results'!$C$135-N37-N38-N39-N40)</f>
        <v>300</v>
      </c>
      <c r="O36" s="8">
        <f>(O34&gt;'Assumptions &amp; Results'!$C$135)*(O34-'Assumptions &amp; Results'!$C$135-O37-O38-O39-O40)</f>
        <v>300</v>
      </c>
      <c r="P36" s="8">
        <f>(P34&gt;'Assumptions &amp; Results'!$C$135)*(P34-'Assumptions &amp; Results'!$C$135-P37-P38-P39-P40)</f>
        <v>300</v>
      </c>
      <c r="Q36" s="8">
        <f>(Q34&gt;'Assumptions &amp; Results'!$C$135)*(Q34-'Assumptions &amp; Results'!$C$135-Q37-Q38-Q39-Q40)</f>
        <v>300</v>
      </c>
      <c r="R36" s="8">
        <f>(R34&gt;'Assumptions &amp; Results'!$C$135)*(R34-'Assumptions &amp; Results'!$C$135-R37-R38-R39-R40)</f>
        <v>300</v>
      </c>
      <c r="S36" s="8">
        <f>(S34&gt;'Assumptions &amp; Results'!$C$135)*(S34-'Assumptions &amp; Results'!$C$135-S37-S38-S39-S40)</f>
        <v>300</v>
      </c>
      <c r="T36" s="8">
        <f>(T34&gt;'Assumptions &amp; Results'!$C$135)*(T34-'Assumptions &amp; Results'!$C$135-T37-T38-T39-T40)</f>
        <v>300</v>
      </c>
      <c r="U36" s="8">
        <f>(U34&gt;'Assumptions &amp; Results'!$C$135)*(U34-'Assumptions &amp; Results'!$C$135-U37-U38-U39-U40)</f>
        <v>300</v>
      </c>
      <c r="V36" s="8">
        <f>(V34&gt;'Assumptions &amp; Results'!$C$135)*(V34-'Assumptions &amp; Results'!$C$135-V37-V38-V39-V40)</f>
        <v>300</v>
      </c>
      <c r="W36" s="8">
        <f>(W34&gt;'Assumptions &amp; Results'!$C$135)*(W34-'Assumptions &amp; Results'!$C$135-W37-W38-W39-W40)</f>
        <v>300</v>
      </c>
      <c r="X36" s="8">
        <f>(X34&gt;'Assumptions &amp; Results'!$C$135)*(X34-'Assumptions &amp; Results'!$C$135-X37-X38-X39-X40)</f>
        <v>300</v>
      </c>
      <c r="Y36" s="8">
        <f>(Y34&gt;'Assumptions &amp; Results'!$C$135)*(Y34-'Assumptions &amp; Results'!$C$135-Y37-Y38-Y39-Y40)</f>
        <v>300</v>
      </c>
      <c r="Z36" s="8">
        <f>(Z34&gt;'Assumptions &amp; Results'!$C$135)*(Z34-'Assumptions &amp; Results'!$C$135-Z37-Z38-Z39-Z40)</f>
        <v>300</v>
      </c>
      <c r="AA36" s="8">
        <f>(AA34&gt;'Assumptions &amp; Results'!$C$135)*(AA34-'Assumptions &amp; Results'!$C$135-AA37-AA38-AA39-AA40)</f>
        <v>300</v>
      </c>
      <c r="AB36" s="8">
        <f>(AB34&gt;'Assumptions &amp; Results'!$C$135)*(AB34-'Assumptions &amp; Results'!$C$135-AB37-AB38-AB39-AB40)</f>
        <v>300</v>
      </c>
      <c r="AC36" s="8">
        <f>(AC34&gt;'Assumptions &amp; Results'!$C$135)*(AC34-'Assumptions &amp; Results'!$C$135-AC37-AC38-AC39-AC40)</f>
        <v>300</v>
      </c>
      <c r="AD36" s="8">
        <f>(AD34&gt;'Assumptions &amp; Results'!$C$135)*(AD34-'Assumptions &amp; Results'!$C$135-AD37-AD38-AD39-AD40)</f>
        <v>300</v>
      </c>
      <c r="AE36" s="8">
        <f>(AE34&gt;'Assumptions &amp; Results'!$C$135)*(AE34-'Assumptions &amp; Results'!$C$135-AE37-AE38-AE39-AE40)</f>
        <v>300</v>
      </c>
      <c r="AF36" s="8">
        <f>(AF34&gt;'Assumptions &amp; Results'!$C$135)*(AF34-'Assumptions &amp; Results'!$C$135-AF37-AF38-AF39-AF40)</f>
        <v>300</v>
      </c>
      <c r="AG36" s="8">
        <f>(AG34&gt;'Assumptions &amp; Results'!$C$135)*(AG34-'Assumptions &amp; Results'!$C$135-AG37-AG38-AG39-AG40)</f>
        <v>300</v>
      </c>
      <c r="AH36" s="8">
        <f>(AH34&gt;'Assumptions &amp; Results'!$C$135)*(AH34-'Assumptions &amp; Results'!$C$135-AH37-AH38-AH39-AH40)</f>
        <v>300</v>
      </c>
      <c r="AI36" s="8">
        <f>(AI34&gt;'Assumptions &amp; Results'!$C$135)*(AI34-'Assumptions &amp; Results'!$C$135-AI37-AI38-AI39-AI40)</f>
        <v>300</v>
      </c>
      <c r="AJ36" s="125"/>
    </row>
    <row r="37" spans="1:36" x14ac:dyDescent="0.2">
      <c r="A37" s="188" t="s">
        <v>257</v>
      </c>
      <c r="B37" s="79"/>
      <c r="C37" s="84">
        <f>(C34&gt;'Assumptions &amp; Results'!$C$136)*(C34-'Assumptions &amp; Results'!$C$136-C38-C39-C40)</f>
        <v>0</v>
      </c>
      <c r="D37" s="84">
        <f>(D34&gt;'Assumptions &amp; Results'!$C$136)*(D34-'Assumptions &amp; Results'!$C$136-D38-D39-D40)</f>
        <v>0</v>
      </c>
      <c r="E37" s="8">
        <f>(E34&gt;'Assumptions &amp; Results'!$C$136)*(E34-'Assumptions &amp; Results'!$C$136-E38-E39-E40)</f>
        <v>0</v>
      </c>
      <c r="F37" s="8">
        <f>(F34&gt;'Assumptions &amp; Results'!$C$136)*(F34-'Assumptions &amp; Results'!$C$136-F38-F39-F40)</f>
        <v>0</v>
      </c>
      <c r="G37" s="8">
        <f>(G34&gt;'Assumptions &amp; Results'!$C$136)*(G34-'Assumptions &amp; Results'!$C$136-G38-G39-G40)</f>
        <v>300</v>
      </c>
      <c r="H37" s="8">
        <f>(H34&gt;'Assumptions &amp; Results'!$C$136)*(H34-'Assumptions &amp; Results'!$C$136-H38-H39-H40)</f>
        <v>300</v>
      </c>
      <c r="I37" s="8">
        <f>(I34&gt;'Assumptions &amp; Results'!$C$136)*(I34-'Assumptions &amp; Results'!$C$136-I38-I39-I40)</f>
        <v>300</v>
      </c>
      <c r="J37" s="8">
        <f>(J34&gt;'Assumptions &amp; Results'!$C$136)*(J34-'Assumptions &amp; Results'!$C$136-J38-J39-J40)</f>
        <v>300</v>
      </c>
      <c r="K37" s="8">
        <f>(K34&gt;'Assumptions &amp; Results'!$C$136)*(K34-'Assumptions &amp; Results'!$C$136-K38-K39-K40)</f>
        <v>300</v>
      </c>
      <c r="L37" s="8">
        <f>(L34&gt;'Assumptions &amp; Results'!$C$136)*(L34-'Assumptions &amp; Results'!$C$136-L38-L39-L40)</f>
        <v>300</v>
      </c>
      <c r="M37" s="8">
        <f>(M34&gt;'Assumptions &amp; Results'!$C$136)*(M34-'Assumptions &amp; Results'!$C$136-M38-M39-M40)</f>
        <v>300</v>
      </c>
      <c r="N37" s="8">
        <f>(N34&gt;'Assumptions &amp; Results'!$C$136)*(N34-'Assumptions &amp; Results'!$C$136-N38-N39-N40)</f>
        <v>300</v>
      </c>
      <c r="O37" s="8">
        <f>(O34&gt;'Assumptions &amp; Results'!$C$136)*(O34-'Assumptions &amp; Results'!$C$136-O38-O39-O40)</f>
        <v>300</v>
      </c>
      <c r="P37" s="8">
        <f>(P34&gt;'Assumptions &amp; Results'!$C$136)*(P34-'Assumptions &amp; Results'!$C$136-P38-P39-P40)</f>
        <v>300</v>
      </c>
      <c r="Q37" s="8">
        <f>(Q34&gt;'Assumptions &amp; Results'!$C$136)*(Q34-'Assumptions &amp; Results'!$C$136-Q38-Q39-Q40)</f>
        <v>300</v>
      </c>
      <c r="R37" s="8">
        <f>(R34&gt;'Assumptions &amp; Results'!$C$136)*(R34-'Assumptions &amp; Results'!$C$136-R38-R39-R40)</f>
        <v>300</v>
      </c>
      <c r="S37" s="8">
        <f>(S34&gt;'Assumptions &amp; Results'!$C$136)*(S34-'Assumptions &amp; Results'!$C$136-S38-S39-S40)</f>
        <v>300</v>
      </c>
      <c r="T37" s="8">
        <f>(T34&gt;'Assumptions &amp; Results'!$C$136)*(T34-'Assumptions &amp; Results'!$C$136-T38-T39-T40)</f>
        <v>300</v>
      </c>
      <c r="U37" s="8">
        <f>(U34&gt;'Assumptions &amp; Results'!$C$136)*(U34-'Assumptions &amp; Results'!$C$136-U38-U39-U40)</f>
        <v>300</v>
      </c>
      <c r="V37" s="8">
        <f>(V34&gt;'Assumptions &amp; Results'!$C$136)*(V34-'Assumptions &amp; Results'!$C$136-V38-V39-V40)</f>
        <v>300</v>
      </c>
      <c r="W37" s="8">
        <f>(W34&gt;'Assumptions &amp; Results'!$C$136)*(W34-'Assumptions &amp; Results'!$C$136-W38-W39-W40)</f>
        <v>300</v>
      </c>
      <c r="X37" s="8">
        <f>(X34&gt;'Assumptions &amp; Results'!$C$136)*(X34-'Assumptions &amp; Results'!$C$136-X38-X39-X40)</f>
        <v>300</v>
      </c>
      <c r="Y37" s="8">
        <f>(Y34&gt;'Assumptions &amp; Results'!$C$136)*(Y34-'Assumptions &amp; Results'!$C$136-Y38-Y39-Y40)</f>
        <v>300</v>
      </c>
      <c r="Z37" s="8">
        <f>(Z34&gt;'Assumptions &amp; Results'!$C$136)*(Z34-'Assumptions &amp; Results'!$C$136-Z38-Z39-Z40)</f>
        <v>300</v>
      </c>
      <c r="AA37" s="8">
        <f>(AA34&gt;'Assumptions &amp; Results'!$C$136)*(AA34-'Assumptions &amp; Results'!$C$136-AA38-AA39-AA40)</f>
        <v>300</v>
      </c>
      <c r="AB37" s="8">
        <f>(AB34&gt;'Assumptions &amp; Results'!$C$136)*(AB34-'Assumptions &amp; Results'!$C$136-AB38-AB39-AB40)</f>
        <v>300</v>
      </c>
      <c r="AC37" s="8">
        <f>(AC34&gt;'Assumptions &amp; Results'!$C$136)*(AC34-'Assumptions &amp; Results'!$C$136-AC38-AC39-AC40)</f>
        <v>300</v>
      </c>
      <c r="AD37" s="8">
        <f>(AD34&gt;'Assumptions &amp; Results'!$C$136)*(AD34-'Assumptions &amp; Results'!$C$136-AD38-AD39-AD40)</f>
        <v>300</v>
      </c>
      <c r="AE37" s="8">
        <f>(AE34&gt;'Assumptions &amp; Results'!$C$136)*(AE34-'Assumptions &amp; Results'!$C$136-AE38-AE39-AE40)</f>
        <v>300</v>
      </c>
      <c r="AF37" s="8">
        <f>(AF34&gt;'Assumptions &amp; Results'!$C$136)*(AF34-'Assumptions &amp; Results'!$C$136-AF38-AF39-AF40)</f>
        <v>300</v>
      </c>
      <c r="AG37" s="8">
        <f>(AG34&gt;'Assumptions &amp; Results'!$C$136)*(AG34-'Assumptions &amp; Results'!$C$136-AG38-AG39-AG40)</f>
        <v>300</v>
      </c>
      <c r="AH37" s="8">
        <f>(AH34&gt;'Assumptions &amp; Results'!$C$136)*(AH34-'Assumptions &amp; Results'!$C$136-AH38-AH39-AH40)</f>
        <v>300</v>
      </c>
      <c r="AI37" s="8">
        <f>(AI34&gt;'Assumptions &amp; Results'!$C$136)*(AI34-'Assumptions &amp; Results'!$C$136-AI38-AI39-AI40)</f>
        <v>300</v>
      </c>
      <c r="AJ37" s="125"/>
    </row>
    <row r="38" spans="1:36" x14ac:dyDescent="0.2">
      <c r="A38" s="188" t="s">
        <v>258</v>
      </c>
      <c r="B38" s="79"/>
      <c r="C38" s="84">
        <f>(C34&gt;'Assumptions &amp; Results'!$C$137)*(C34-'Assumptions &amp; Results'!$C$137-C39-C40)</f>
        <v>0</v>
      </c>
      <c r="D38" s="84">
        <f>(D34&gt;'Assumptions &amp; Results'!$C$137)*(D34-'Assumptions &amp; Results'!$C$137-D39-D40)</f>
        <v>0</v>
      </c>
      <c r="E38" s="8">
        <f>(E34&gt;'Assumptions &amp; Results'!$C$137)*(E34-'Assumptions &amp; Results'!$C$137-E39-E40)</f>
        <v>0</v>
      </c>
      <c r="F38" s="8">
        <f>(F34&gt;'Assumptions &amp; Results'!$C$137)*(F34-'Assumptions &amp; Results'!$C$137-F39-F40)</f>
        <v>0</v>
      </c>
      <c r="G38" s="8">
        <f>(G34&gt;'Assumptions &amp; Results'!$C$137)*(G34-'Assumptions &amp; Results'!$C$137-G39-G40)</f>
        <v>300</v>
      </c>
      <c r="H38" s="8">
        <f>(H34&gt;'Assumptions &amp; Results'!$C$137)*(H34-'Assumptions &amp; Results'!$C$137-H39-H40)</f>
        <v>300</v>
      </c>
      <c r="I38" s="8">
        <f>(I34&gt;'Assumptions &amp; Results'!$C$137)*(I34-'Assumptions &amp; Results'!$C$137-I39-I40)</f>
        <v>300</v>
      </c>
      <c r="J38" s="8">
        <f>(J34&gt;'Assumptions &amp; Results'!$C$137)*(J34-'Assumptions &amp; Results'!$C$137-J39-J40)</f>
        <v>300</v>
      </c>
      <c r="K38" s="8">
        <f>(K34&gt;'Assumptions &amp; Results'!$C$137)*(K34-'Assumptions &amp; Results'!$C$137-K39-K40)</f>
        <v>300</v>
      </c>
      <c r="L38" s="8">
        <f>(L34&gt;'Assumptions &amp; Results'!$C$137)*(L34-'Assumptions &amp; Results'!$C$137-L39-L40)</f>
        <v>300</v>
      </c>
      <c r="M38" s="8">
        <f>(M34&gt;'Assumptions &amp; Results'!$C$137)*(M34-'Assumptions &amp; Results'!$C$137-M39-M40)</f>
        <v>300</v>
      </c>
      <c r="N38" s="8">
        <f>(N34&gt;'Assumptions &amp; Results'!$C$137)*(N34-'Assumptions &amp; Results'!$C$137-N39-N40)</f>
        <v>300</v>
      </c>
      <c r="O38" s="8">
        <f>(O34&gt;'Assumptions &amp; Results'!$C$137)*(O34-'Assumptions &amp; Results'!$C$137-O39-O40)</f>
        <v>300</v>
      </c>
      <c r="P38" s="8">
        <f>(P34&gt;'Assumptions &amp; Results'!$C$137)*(P34-'Assumptions &amp; Results'!$C$137-P39-P40)</f>
        <v>300</v>
      </c>
      <c r="Q38" s="8">
        <f>(Q34&gt;'Assumptions &amp; Results'!$C$137)*(Q34-'Assumptions &amp; Results'!$C$137-Q39-Q40)</f>
        <v>300</v>
      </c>
      <c r="R38" s="8">
        <f>(R34&gt;'Assumptions &amp; Results'!$C$137)*(R34-'Assumptions &amp; Results'!$C$137-R39-R40)</f>
        <v>300</v>
      </c>
      <c r="S38" s="8">
        <f>(S34&gt;'Assumptions &amp; Results'!$C$137)*(S34-'Assumptions &amp; Results'!$C$137-S39-S40)</f>
        <v>300</v>
      </c>
      <c r="T38" s="8">
        <f>(T34&gt;'Assumptions &amp; Results'!$C$137)*(T34-'Assumptions &amp; Results'!$C$137-T39-T40)</f>
        <v>300</v>
      </c>
      <c r="U38" s="8">
        <f>(U34&gt;'Assumptions &amp; Results'!$C$137)*(U34-'Assumptions &amp; Results'!$C$137-U39-U40)</f>
        <v>300</v>
      </c>
      <c r="V38" s="8">
        <f>(V34&gt;'Assumptions &amp; Results'!$C$137)*(V34-'Assumptions &amp; Results'!$C$137-V39-V40)</f>
        <v>300</v>
      </c>
      <c r="W38" s="8">
        <f>(W34&gt;'Assumptions &amp; Results'!$C$137)*(W34-'Assumptions &amp; Results'!$C$137-W39-W40)</f>
        <v>300</v>
      </c>
      <c r="X38" s="8">
        <f>(X34&gt;'Assumptions &amp; Results'!$C$137)*(X34-'Assumptions &amp; Results'!$C$137-X39-X40)</f>
        <v>300</v>
      </c>
      <c r="Y38" s="8">
        <f>(Y34&gt;'Assumptions &amp; Results'!$C$137)*(Y34-'Assumptions &amp; Results'!$C$137-Y39-Y40)</f>
        <v>300</v>
      </c>
      <c r="Z38" s="8">
        <f>(Z34&gt;'Assumptions &amp; Results'!$C$137)*(Z34-'Assumptions &amp; Results'!$C$137-Z39-Z40)</f>
        <v>300</v>
      </c>
      <c r="AA38" s="8">
        <f>(AA34&gt;'Assumptions &amp; Results'!$C$137)*(AA34-'Assumptions &amp; Results'!$C$137-AA39-AA40)</f>
        <v>300</v>
      </c>
      <c r="AB38" s="8">
        <f>(AB34&gt;'Assumptions &amp; Results'!$C$137)*(AB34-'Assumptions &amp; Results'!$C$137-AB39-AB40)</f>
        <v>300</v>
      </c>
      <c r="AC38" s="8">
        <f>(AC34&gt;'Assumptions &amp; Results'!$C$137)*(AC34-'Assumptions &amp; Results'!$C$137-AC39-AC40)</f>
        <v>300</v>
      </c>
      <c r="AD38" s="8">
        <f>(AD34&gt;'Assumptions &amp; Results'!$C$137)*(AD34-'Assumptions &amp; Results'!$C$137-AD39-AD40)</f>
        <v>300</v>
      </c>
      <c r="AE38" s="8">
        <f>(AE34&gt;'Assumptions &amp; Results'!$C$137)*(AE34-'Assumptions &amp; Results'!$C$137-AE39-AE40)</f>
        <v>300</v>
      </c>
      <c r="AF38" s="8">
        <f>(AF34&gt;'Assumptions &amp; Results'!$C$137)*(AF34-'Assumptions &amp; Results'!$C$137-AF39-AF40)</f>
        <v>300</v>
      </c>
      <c r="AG38" s="8">
        <f>(AG34&gt;'Assumptions &amp; Results'!$C$137)*(AG34-'Assumptions &amp; Results'!$C$137-AG39-AG40)</f>
        <v>300</v>
      </c>
      <c r="AH38" s="8">
        <f>(AH34&gt;'Assumptions &amp; Results'!$C$137)*(AH34-'Assumptions &amp; Results'!$C$137-AH39-AH40)</f>
        <v>300</v>
      </c>
      <c r="AI38" s="8">
        <f>(AI34&gt;'Assumptions &amp; Results'!$C$137)*(AI34-'Assumptions &amp; Results'!$C$137-AI39-AI40)</f>
        <v>300</v>
      </c>
      <c r="AJ38" s="125"/>
    </row>
    <row r="39" spans="1:36" x14ac:dyDescent="0.2">
      <c r="A39" s="188" t="s">
        <v>259</v>
      </c>
      <c r="B39" s="79"/>
      <c r="C39" s="84">
        <f>(C34&gt;'Assumptions &amp; Results'!$C$138)*(C34-'Assumptions &amp; Results'!$C$138-C40)</f>
        <v>0</v>
      </c>
      <c r="D39" s="84">
        <f>(D34&gt;'Assumptions &amp; Results'!$C$138)*(D34-'Assumptions &amp; Results'!$C$138-D40)</f>
        <v>0</v>
      </c>
      <c r="E39" s="8">
        <f>(E34&gt;'Assumptions &amp; Results'!$C$138)*(E34-'Assumptions &amp; Results'!$C$138-E40)</f>
        <v>0</v>
      </c>
      <c r="F39" s="8">
        <f>(F34&gt;'Assumptions &amp; Results'!$C$138)*(F34-'Assumptions &amp; Results'!$C$138-F40)</f>
        <v>0</v>
      </c>
      <c r="G39" s="8">
        <f>(G34&gt;'Assumptions &amp; Results'!$C$138)*(G34-'Assumptions &amp; Results'!$C$138-G40)</f>
        <v>300</v>
      </c>
      <c r="H39" s="8">
        <f>(H34&gt;'Assumptions &amp; Results'!$C$138)*(H34-'Assumptions &amp; Results'!$C$138-H40)</f>
        <v>300</v>
      </c>
      <c r="I39" s="8">
        <f>(I34&gt;'Assumptions &amp; Results'!$C$138)*(I34-'Assumptions &amp; Results'!$C$138-I40)</f>
        <v>300</v>
      </c>
      <c r="J39" s="8">
        <f>(J34&gt;'Assumptions &amp; Results'!$C$138)*(J34-'Assumptions &amp; Results'!$C$138-J40)</f>
        <v>300</v>
      </c>
      <c r="K39" s="8">
        <f>(K34&gt;'Assumptions &amp; Results'!$C$138)*(K34-'Assumptions &amp; Results'!$C$138-K40)</f>
        <v>300</v>
      </c>
      <c r="L39" s="8">
        <f>(L34&gt;'Assumptions &amp; Results'!$C$138)*(L34-'Assumptions &amp; Results'!$C$138-L40)</f>
        <v>300</v>
      </c>
      <c r="M39" s="8">
        <f>(M34&gt;'Assumptions &amp; Results'!$C$138)*(M34-'Assumptions &amp; Results'!$C$138-M40)</f>
        <v>300</v>
      </c>
      <c r="N39" s="8">
        <f>(N34&gt;'Assumptions &amp; Results'!$C$138)*(N34-'Assumptions &amp; Results'!$C$138-N40)</f>
        <v>300</v>
      </c>
      <c r="O39" s="8">
        <f>(O34&gt;'Assumptions &amp; Results'!$C$138)*(O34-'Assumptions &amp; Results'!$C$138-O40)</f>
        <v>300</v>
      </c>
      <c r="P39" s="8">
        <f>(P34&gt;'Assumptions &amp; Results'!$C$138)*(P34-'Assumptions &amp; Results'!$C$138-P40)</f>
        <v>300</v>
      </c>
      <c r="Q39" s="8">
        <f>(Q34&gt;'Assumptions &amp; Results'!$C$138)*(Q34-'Assumptions &amp; Results'!$C$138-Q40)</f>
        <v>300</v>
      </c>
      <c r="R39" s="8">
        <f>(R34&gt;'Assumptions &amp; Results'!$C$138)*(R34-'Assumptions &amp; Results'!$C$138-R40)</f>
        <v>300</v>
      </c>
      <c r="S39" s="8">
        <f>(S34&gt;'Assumptions &amp; Results'!$C$138)*(S34-'Assumptions &amp; Results'!$C$138-S40)</f>
        <v>300</v>
      </c>
      <c r="T39" s="8">
        <f>(T34&gt;'Assumptions &amp; Results'!$C$138)*(T34-'Assumptions &amp; Results'!$C$138-T40)</f>
        <v>300</v>
      </c>
      <c r="U39" s="8">
        <f>(U34&gt;'Assumptions &amp; Results'!$C$138)*(U34-'Assumptions &amp; Results'!$C$138-U40)</f>
        <v>300</v>
      </c>
      <c r="V39" s="8">
        <f>(V34&gt;'Assumptions &amp; Results'!$C$138)*(V34-'Assumptions &amp; Results'!$C$138-V40)</f>
        <v>300</v>
      </c>
      <c r="W39" s="8">
        <f>(W34&gt;'Assumptions &amp; Results'!$C$138)*(W34-'Assumptions &amp; Results'!$C$138-W40)</f>
        <v>300</v>
      </c>
      <c r="X39" s="8">
        <f>(X34&gt;'Assumptions &amp; Results'!$C$138)*(X34-'Assumptions &amp; Results'!$C$138-X40)</f>
        <v>300</v>
      </c>
      <c r="Y39" s="8">
        <f>(Y34&gt;'Assumptions &amp; Results'!$C$138)*(Y34-'Assumptions &amp; Results'!$C$138-Y40)</f>
        <v>300</v>
      </c>
      <c r="Z39" s="8">
        <f>(Z34&gt;'Assumptions &amp; Results'!$C$138)*(Z34-'Assumptions &amp; Results'!$C$138-Z40)</f>
        <v>300</v>
      </c>
      <c r="AA39" s="8">
        <f>(AA34&gt;'Assumptions &amp; Results'!$C$138)*(AA34-'Assumptions &amp; Results'!$C$138-AA40)</f>
        <v>300</v>
      </c>
      <c r="AB39" s="8">
        <f>(AB34&gt;'Assumptions &amp; Results'!$C$138)*(AB34-'Assumptions &amp; Results'!$C$138-AB40)</f>
        <v>300</v>
      </c>
      <c r="AC39" s="8">
        <f>(AC34&gt;'Assumptions &amp; Results'!$C$138)*(AC34-'Assumptions &amp; Results'!$C$138-AC40)</f>
        <v>300</v>
      </c>
      <c r="AD39" s="8">
        <f>(AD34&gt;'Assumptions &amp; Results'!$C$138)*(AD34-'Assumptions &amp; Results'!$C$138-AD40)</f>
        <v>300</v>
      </c>
      <c r="AE39" s="8">
        <f>(AE34&gt;'Assumptions &amp; Results'!$C$138)*(AE34-'Assumptions &amp; Results'!$C$138-AE40)</f>
        <v>300</v>
      </c>
      <c r="AF39" s="8">
        <f>(AF34&gt;'Assumptions &amp; Results'!$C$138)*(AF34-'Assumptions &amp; Results'!$C$138-AF40)</f>
        <v>300</v>
      </c>
      <c r="AG39" s="8">
        <f>(AG34&gt;'Assumptions &amp; Results'!$C$138)*(AG34-'Assumptions &amp; Results'!$C$138-AG40)</f>
        <v>300</v>
      </c>
      <c r="AH39" s="8">
        <f>(AH34&gt;'Assumptions &amp; Results'!$C$138)*(AH34-'Assumptions &amp; Results'!$C$138-AH40)</f>
        <v>300</v>
      </c>
      <c r="AI39" s="8">
        <f>(AI34&gt;'Assumptions &amp; Results'!$C$138)*(AI34-'Assumptions &amp; Results'!$C$138-AI40)</f>
        <v>300</v>
      </c>
      <c r="AJ39" s="125"/>
    </row>
    <row r="40" spans="1:36" x14ac:dyDescent="0.2">
      <c r="A40" s="188" t="s">
        <v>260</v>
      </c>
      <c r="B40" s="79"/>
      <c r="C40" s="84">
        <f>(C34&gt;'Assumptions &amp; Results'!$C$139)*(C34-'Assumptions &amp; Results'!$C$139)</f>
        <v>0</v>
      </c>
      <c r="D40" s="84">
        <f>(D34&gt;'Assumptions &amp; Results'!$C$139)*(D34-'Assumptions &amp; Results'!$C$139)</f>
        <v>0</v>
      </c>
      <c r="E40" s="8">
        <f>(E34&gt;'Assumptions &amp; Results'!$C$139)*(E34-'Assumptions &amp; Results'!$C$139)</f>
        <v>0</v>
      </c>
      <c r="F40" s="8">
        <f>(F34&gt;'Assumptions &amp; Results'!$C$139)*(F34-'Assumptions &amp; Results'!$C$139)</f>
        <v>0</v>
      </c>
      <c r="G40" s="8">
        <f>(G34&gt;'Assumptions &amp; Results'!$C$139)*(G34-'Assumptions &amp; Results'!$C$139)</f>
        <v>150</v>
      </c>
      <c r="H40" s="8">
        <f>(H34&gt;'Assumptions &amp; Results'!$C$139)*(H34-'Assumptions &amp; Results'!$C$139)</f>
        <v>1800</v>
      </c>
      <c r="I40" s="8">
        <f>(I34&gt;'Assumptions &amp; Results'!$C$139)*(I34-'Assumptions &amp; Results'!$C$139)</f>
        <v>1800</v>
      </c>
      <c r="J40" s="8">
        <f>(J34&gt;'Assumptions &amp; Results'!$C$139)*(J34-'Assumptions &amp; Results'!$C$139)</f>
        <v>1800</v>
      </c>
      <c r="K40" s="8">
        <f>(K34&gt;'Assumptions &amp; Results'!$C$139)*(K34-'Assumptions &amp; Results'!$C$139)</f>
        <v>1800</v>
      </c>
      <c r="L40" s="8">
        <f>(L34&gt;'Assumptions &amp; Results'!$C$139)*(L34-'Assumptions &amp; Results'!$C$139)</f>
        <v>1800</v>
      </c>
      <c r="M40" s="8">
        <f>(M34&gt;'Assumptions &amp; Results'!$C$139)*(M34-'Assumptions &amp; Results'!$C$139)</f>
        <v>1800</v>
      </c>
      <c r="N40" s="8">
        <f>(N34&gt;'Assumptions &amp; Results'!$C$139)*(N34-'Assumptions &amp; Results'!$C$139)</f>
        <v>1800</v>
      </c>
      <c r="O40" s="8">
        <f>(O34&gt;'Assumptions &amp; Results'!$C$139)*(O34-'Assumptions &amp; Results'!$C$139)</f>
        <v>1800</v>
      </c>
      <c r="P40" s="8">
        <f>(P34&gt;'Assumptions &amp; Results'!$C$139)*(P34-'Assumptions &amp; Results'!$C$139)</f>
        <v>1800</v>
      </c>
      <c r="Q40" s="8">
        <f>(Q34&gt;'Assumptions &amp; Results'!$C$139)*(Q34-'Assumptions &amp; Results'!$C$139)</f>
        <v>1800</v>
      </c>
      <c r="R40" s="8">
        <f>(R34&gt;'Assumptions &amp; Results'!$C$139)*(R34-'Assumptions &amp; Results'!$C$139)</f>
        <v>1800</v>
      </c>
      <c r="S40" s="8">
        <f>(S34&gt;'Assumptions &amp; Results'!$C$139)*(S34-'Assumptions &amp; Results'!$C$139)</f>
        <v>1800</v>
      </c>
      <c r="T40" s="8">
        <f>(T34&gt;'Assumptions &amp; Results'!$C$139)*(T34-'Assumptions &amp; Results'!$C$139)</f>
        <v>1800</v>
      </c>
      <c r="U40" s="8">
        <f>(U34&gt;'Assumptions &amp; Results'!$C$139)*(U34-'Assumptions &amp; Results'!$C$139)</f>
        <v>1800</v>
      </c>
      <c r="V40" s="8">
        <f>(V34&gt;'Assumptions &amp; Results'!$C$139)*(V34-'Assumptions &amp; Results'!$C$139)</f>
        <v>1800</v>
      </c>
      <c r="W40" s="8">
        <f>(W34&gt;'Assumptions &amp; Results'!$C$139)*(W34-'Assumptions &amp; Results'!$C$139)</f>
        <v>1800</v>
      </c>
      <c r="X40" s="8">
        <f>(X34&gt;'Assumptions &amp; Results'!$C$139)*(X34-'Assumptions &amp; Results'!$C$139)</f>
        <v>1800</v>
      </c>
      <c r="Y40" s="8">
        <f>(Y34&gt;'Assumptions &amp; Results'!$C$139)*(Y34-'Assumptions &amp; Results'!$C$139)</f>
        <v>1800</v>
      </c>
      <c r="Z40" s="8">
        <f>(Z34&gt;'Assumptions &amp; Results'!$C$139)*(Z34-'Assumptions &amp; Results'!$C$139)</f>
        <v>1800</v>
      </c>
      <c r="AA40" s="8">
        <f>(AA34&gt;'Assumptions &amp; Results'!$C$139)*(AA34-'Assumptions &amp; Results'!$C$139)</f>
        <v>1800</v>
      </c>
      <c r="AB40" s="8">
        <f>(AB34&gt;'Assumptions &amp; Results'!$C$139)*(AB34-'Assumptions &amp; Results'!$C$139)</f>
        <v>1800</v>
      </c>
      <c r="AC40" s="8">
        <f>(AC34&gt;'Assumptions &amp; Results'!$C$139)*(AC34-'Assumptions &amp; Results'!$C$139)</f>
        <v>1800</v>
      </c>
      <c r="AD40" s="8">
        <f>(AD34&gt;'Assumptions &amp; Results'!$C$139)*(AD34-'Assumptions &amp; Results'!$C$139)</f>
        <v>1800</v>
      </c>
      <c r="AE40" s="8">
        <f>(AE34&gt;'Assumptions &amp; Results'!$C$139)*(AE34-'Assumptions &amp; Results'!$C$139)</f>
        <v>1800</v>
      </c>
      <c r="AF40" s="8">
        <f>(AF34&gt;'Assumptions &amp; Results'!$C$139)*(AF34-'Assumptions &amp; Results'!$C$139)</f>
        <v>1800</v>
      </c>
      <c r="AG40" s="8">
        <f>(AG34&gt;'Assumptions &amp; Results'!$C$139)*(AG34-'Assumptions &amp; Results'!$C$139)</f>
        <v>1800</v>
      </c>
      <c r="AH40" s="8">
        <f>(AH34&gt;'Assumptions &amp; Results'!$C$139)*(AH34-'Assumptions &amp; Results'!$C$139)</f>
        <v>1800</v>
      </c>
      <c r="AI40" s="8">
        <f>(AI34&gt;'Assumptions &amp; Results'!$C$139)*(AI34-'Assumptions &amp; Results'!$C$139)</f>
        <v>1800</v>
      </c>
      <c r="AJ40" s="125"/>
    </row>
    <row r="41" spans="1:36" x14ac:dyDescent="0.2">
      <c r="A41" s="187" t="s">
        <v>261</v>
      </c>
      <c r="B41" s="79"/>
      <c r="C41" s="260">
        <f>SUMPRODUCT((C35:C40*'Assumptions &amp; Results'!$C$141:$C$146/(IF(C34&gt;0,C34,1))))</f>
        <v>0</v>
      </c>
      <c r="D41" s="260">
        <f>SUMPRODUCT((D35:D40*'Assumptions &amp; Results'!$C$141:$C$146/(IF(D34&gt;0,D34,1))))</f>
        <v>0</v>
      </c>
      <c r="E41" s="260">
        <f>SUMPRODUCT((E35:E40*'Assumptions &amp; Results'!$C$141:$C$146/(IF(E34&gt;0,E34,1))))</f>
        <v>0</v>
      </c>
      <c r="F41" s="260">
        <f>SUMPRODUCT((F35:F40*'Assumptions &amp; Results'!$C$141:$C$146/(IF(F34&gt;0,F34,1))))</f>
        <v>0</v>
      </c>
      <c r="G41" s="260">
        <f>SUMPRODUCT((G35:G40*'Assumptions &amp; Results'!$C$141:$C$146/(IF(G34&gt;0,G34,1))))</f>
        <v>0.3863636363636363</v>
      </c>
      <c r="H41" s="260">
        <f>SUMPRODUCT((H35:H40*'Assumptions &amp; Results'!$C$141:$C$146/(IF(H34&gt;0,H34,1))))</f>
        <v>0.44318181818181812</v>
      </c>
      <c r="I41" s="260">
        <f>SUMPRODUCT((I35:I40*'Assumptions &amp; Results'!$C$141:$C$146/(IF(I34&gt;0,I34,1))))</f>
        <v>0.44318181818181812</v>
      </c>
      <c r="J41" s="260">
        <f>SUMPRODUCT((J35:J40*'Assumptions &amp; Results'!$C$141:$C$146/(IF(J34&gt;0,J34,1))))</f>
        <v>0.44318181818181812</v>
      </c>
      <c r="K41" s="260">
        <f>SUMPRODUCT((K35:K40*'Assumptions &amp; Results'!$C$141:$C$146/(IF(K34&gt;0,K34,1))))</f>
        <v>0.44318181818181812</v>
      </c>
      <c r="L41" s="260">
        <f>SUMPRODUCT((L35:L40*'Assumptions &amp; Results'!$C$141:$C$146/(IF(L34&gt;0,L34,1))))</f>
        <v>0.44318181818181812</v>
      </c>
      <c r="M41" s="260">
        <f>SUMPRODUCT((M35:M40*'Assumptions &amp; Results'!$C$141:$C$146/(IF(M34&gt;0,M34,1))))</f>
        <v>0.44318181818181812</v>
      </c>
      <c r="N41" s="260">
        <f>SUMPRODUCT((N35:N40*'Assumptions &amp; Results'!$C$141:$C$146/(IF(N34&gt;0,N34,1))))</f>
        <v>0.44318181818181812</v>
      </c>
      <c r="O41" s="260">
        <f>SUMPRODUCT((O35:O40*'Assumptions &amp; Results'!$C$141:$C$146/(IF(O34&gt;0,O34,1))))</f>
        <v>0.44318181818181812</v>
      </c>
      <c r="P41" s="260">
        <f>SUMPRODUCT((P35:P40*'Assumptions &amp; Results'!$C$141:$C$146/(IF(P34&gt;0,P34,1))))</f>
        <v>0.44318181818181812</v>
      </c>
      <c r="Q41" s="260">
        <f>SUMPRODUCT((Q35:Q40*'Assumptions &amp; Results'!$C$141:$C$146/(IF(Q34&gt;0,Q34,1))))</f>
        <v>0.44318181818181812</v>
      </c>
      <c r="R41" s="260">
        <f>SUMPRODUCT((R35:R40*'Assumptions &amp; Results'!$C$141:$C$146/(IF(R34&gt;0,R34,1))))</f>
        <v>0.44318181818181812</v>
      </c>
      <c r="S41" s="260">
        <f>SUMPRODUCT((S35:S40*'Assumptions &amp; Results'!$C$141:$C$146/(IF(S34&gt;0,S34,1))))</f>
        <v>0.44318181818181812</v>
      </c>
      <c r="T41" s="260">
        <f>SUMPRODUCT((T35:T40*'Assumptions &amp; Results'!$C$141:$C$146/(IF(T34&gt;0,T34,1))))</f>
        <v>0.44318181818181812</v>
      </c>
      <c r="U41" s="260">
        <f>SUMPRODUCT((U35:U40*'Assumptions &amp; Results'!$C$141:$C$146/(IF(U34&gt;0,U34,1))))</f>
        <v>0.44318181818181812</v>
      </c>
      <c r="V41" s="260">
        <f>SUMPRODUCT((V35:V40*'Assumptions &amp; Results'!$C$141:$C$146/(IF(V34&gt;0,V34,1))))</f>
        <v>0.44318181818181812</v>
      </c>
      <c r="W41" s="260">
        <f>SUMPRODUCT((W35:W40*'Assumptions &amp; Results'!$C$141:$C$146/(IF(W34&gt;0,W34,1))))</f>
        <v>0.44318181818181812</v>
      </c>
      <c r="X41" s="260">
        <f>SUMPRODUCT((X35:X40*'Assumptions &amp; Results'!$C$141:$C$146/(IF(X34&gt;0,X34,1))))</f>
        <v>0.44318181818181812</v>
      </c>
      <c r="Y41" s="260">
        <f>SUMPRODUCT((Y35:Y40*'Assumptions &amp; Results'!$C$141:$C$146/(IF(Y34&gt;0,Y34,1))))</f>
        <v>0.44318181818181812</v>
      </c>
      <c r="Z41" s="260">
        <f>SUMPRODUCT((Z35:Z40*'Assumptions &amp; Results'!$C$141:$C$146/(IF(Z34&gt;0,Z34,1))))</f>
        <v>0.44318181818181812</v>
      </c>
      <c r="AA41" s="260">
        <f>SUMPRODUCT((AA35:AA40*'Assumptions &amp; Results'!$C$141:$C$146/(IF(AA34&gt;0,AA34,1))))</f>
        <v>0.44318181818181812</v>
      </c>
      <c r="AB41" s="260">
        <f>SUMPRODUCT((AB35:AB40*'Assumptions &amp; Results'!$C$141:$C$146/(IF(AB34&gt;0,AB34,1))))</f>
        <v>0.44318181818181812</v>
      </c>
      <c r="AC41" s="260">
        <f>SUMPRODUCT((AC35:AC40*'Assumptions &amp; Results'!$C$141:$C$146/(IF(AC34&gt;0,AC34,1))))</f>
        <v>0.44318181818181812</v>
      </c>
      <c r="AD41" s="260">
        <f>SUMPRODUCT((AD35:AD40*'Assumptions &amp; Results'!$C$141:$C$146/(IF(AD34&gt;0,AD34,1))))</f>
        <v>0.44318181818181812</v>
      </c>
      <c r="AE41" s="260">
        <f>SUMPRODUCT((AE35:AE40*'Assumptions &amp; Results'!$C$141:$C$146/(IF(AE34&gt;0,AE34,1))))</f>
        <v>0.44318181818181812</v>
      </c>
      <c r="AF41" s="260">
        <f>SUMPRODUCT((AF35:AF40*'Assumptions &amp; Results'!$C$141:$C$146/(IF(AF34&gt;0,AF34,1))))</f>
        <v>0.44318181818181812</v>
      </c>
      <c r="AG41" s="260">
        <f>SUMPRODUCT((AG35:AG40*'Assumptions &amp; Results'!$C$141:$C$146/(IF(AG34&gt;0,AG34,1))))</f>
        <v>0.44318181818181812</v>
      </c>
      <c r="AH41" s="260">
        <f>SUMPRODUCT((AH35:AH40*'Assumptions &amp; Results'!$C$141:$C$146/(IF(AH34&gt;0,AH34,1))))</f>
        <v>0.44318181818181812</v>
      </c>
      <c r="AI41" s="260">
        <f>SUMPRODUCT((AI35:AI40*'Assumptions &amp; Results'!$C$141:$C$146/(IF(AI34&gt;0,AI34,1))))</f>
        <v>0.44318181818181812</v>
      </c>
      <c r="AJ41" s="168"/>
    </row>
    <row r="42" spans="1:36" x14ac:dyDescent="0.2">
      <c r="A42" s="78"/>
      <c r="B42" s="79"/>
      <c r="C42" s="84"/>
      <c r="D42" s="84"/>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125"/>
    </row>
    <row r="43" spans="1:36" x14ac:dyDescent="0.2">
      <c r="A43" s="79" t="s">
        <v>262</v>
      </c>
      <c r="B43" s="192" t="s">
        <v>99</v>
      </c>
      <c r="C43" s="84">
        <f>C4-C21</f>
        <v>0</v>
      </c>
      <c r="D43" s="84">
        <f t="shared" ref="D43:AI43" si="9">D4-D21</f>
        <v>0</v>
      </c>
      <c r="E43" s="84">
        <f t="shared" si="9"/>
        <v>0</v>
      </c>
      <c r="F43" s="84">
        <f t="shared" si="9"/>
        <v>0</v>
      </c>
      <c r="G43" s="84">
        <f t="shared" si="9"/>
        <v>1637.2919062500005</v>
      </c>
      <c r="H43" s="84">
        <f t="shared" si="9"/>
        <v>3274.5838125000009</v>
      </c>
      <c r="I43" s="84">
        <f t="shared" si="9"/>
        <v>3274.5838125000009</v>
      </c>
      <c r="J43" s="84">
        <f t="shared" si="9"/>
        <v>3111.9085593749996</v>
      </c>
      <c r="K43" s="84">
        <f t="shared" si="9"/>
        <v>3274.5838125000009</v>
      </c>
      <c r="L43" s="84">
        <f t="shared" si="9"/>
        <v>3274.5838125000009</v>
      </c>
      <c r="M43" s="84">
        <f t="shared" si="9"/>
        <v>3274.5838125000009</v>
      </c>
      <c r="N43" s="84">
        <f t="shared" si="9"/>
        <v>3274.5838125000009</v>
      </c>
      <c r="O43" s="84">
        <f t="shared" si="9"/>
        <v>4069.6314593750085</v>
      </c>
      <c r="P43" s="84">
        <f t="shared" si="9"/>
        <v>7077.2565500000019</v>
      </c>
      <c r="Q43" s="84">
        <f t="shared" si="9"/>
        <v>7077.2565500000019</v>
      </c>
      <c r="R43" s="84">
        <f t="shared" si="9"/>
        <v>7077.2565500000019</v>
      </c>
      <c r="S43" s="84">
        <f t="shared" si="9"/>
        <v>7077.2565500000019</v>
      </c>
      <c r="T43" s="84">
        <f t="shared" si="9"/>
        <v>6501.0836124999996</v>
      </c>
      <c r="U43" s="84">
        <f t="shared" si="9"/>
        <v>7077.2565500000019</v>
      </c>
      <c r="V43" s="84">
        <f t="shared" si="9"/>
        <v>7077.2565500000019</v>
      </c>
      <c r="W43" s="84">
        <f t="shared" si="9"/>
        <v>7077.2565500000019</v>
      </c>
      <c r="X43" s="84">
        <f t="shared" si="9"/>
        <v>7077.2565500000019</v>
      </c>
      <c r="Y43" s="84">
        <f t="shared" si="9"/>
        <v>6501.0836124999996</v>
      </c>
      <c r="Z43" s="84">
        <f t="shared" si="9"/>
        <v>7077.2565500000019</v>
      </c>
      <c r="AA43" s="84">
        <f t="shared" si="9"/>
        <v>7077.2565500000019</v>
      </c>
      <c r="AB43" s="84">
        <f t="shared" si="9"/>
        <v>7077.2565500000019</v>
      </c>
      <c r="AC43" s="84">
        <f t="shared" si="9"/>
        <v>7077.2565500000019</v>
      </c>
      <c r="AD43" s="84">
        <f t="shared" si="9"/>
        <v>6501.0836124999996</v>
      </c>
      <c r="AE43" s="84">
        <f t="shared" si="9"/>
        <v>7077.2565500000019</v>
      </c>
      <c r="AF43" s="84">
        <f t="shared" si="9"/>
        <v>7077.2565500000019</v>
      </c>
      <c r="AG43" s="84">
        <f t="shared" si="9"/>
        <v>6477.2565500000019</v>
      </c>
      <c r="AH43" s="84">
        <f t="shared" si="9"/>
        <v>6477.2565500000019</v>
      </c>
      <c r="AI43" s="84">
        <f t="shared" si="9"/>
        <v>5877.2565500000019</v>
      </c>
      <c r="AJ43" s="125">
        <f t="shared" ref="AJ43:AJ50" si="10">SUM(C43:AI43)</f>
        <v>165882.94698750004</v>
      </c>
    </row>
    <row r="44" spans="1:36" x14ac:dyDescent="0.25">
      <c r="A44" s="79" t="s">
        <v>263</v>
      </c>
      <c r="B44" s="192" t="s">
        <v>99</v>
      </c>
      <c r="C44" s="84">
        <f>IF('Assumptions &amp; Results'!$C$130=1,C31*C43,'Field 1 Fiscal'!C42*C43)</f>
        <v>0</v>
      </c>
      <c r="D44" s="84">
        <f>IF('Assumptions &amp; Results'!$C$130=1,D31*D43,'Field 1 Fiscal'!D42*D43)</f>
        <v>0</v>
      </c>
      <c r="E44" s="84">
        <f>IF('Assumptions &amp; Results'!$C$130=1,E31*E43,'Field 1 Fiscal'!E42*E43)</f>
        <v>0</v>
      </c>
      <c r="F44" s="84">
        <f>IF('Assumptions &amp; Results'!$C$130=1,F31*F43,'Field 1 Fiscal'!F42*F43)</f>
        <v>0</v>
      </c>
      <c r="G44" s="84">
        <f>IF('Assumptions &amp; Results'!$C$130=1,G31*G43,'Field 1 Fiscal'!G42*G43)</f>
        <v>163.72919062500006</v>
      </c>
      <c r="H44" s="84">
        <f>IF('Assumptions &amp; Results'!$C$130=1,H31*H43,'Field 1 Fiscal'!H42*H43)</f>
        <v>327.45838125000012</v>
      </c>
      <c r="I44" s="84">
        <f>IF('Assumptions &amp; Results'!$C$130=1,I31*I43,'Field 1 Fiscal'!I42*I43)</f>
        <v>327.45838125000012</v>
      </c>
      <c r="J44" s="84">
        <f>IF('Assumptions &amp; Results'!$C$130=1,J31*J43,'Field 1 Fiscal'!J42*J43)</f>
        <v>311.19085593749998</v>
      </c>
      <c r="K44" s="84">
        <f>IF('Assumptions &amp; Results'!$C$130=1,K31*K43,'Field 1 Fiscal'!K42*K43)</f>
        <v>327.45838125000012</v>
      </c>
      <c r="L44" s="84">
        <f>IF('Assumptions &amp; Results'!$C$130=1,L31*L43,'Field 1 Fiscal'!L42*L43)</f>
        <v>654.91676250000023</v>
      </c>
      <c r="M44" s="84">
        <f>IF('Assumptions &amp; Results'!$C$130=1,M31*M43,'Field 1 Fiscal'!M42*M43)</f>
        <v>654.91676250000023</v>
      </c>
      <c r="N44" s="84">
        <f>IF('Assumptions &amp; Results'!$C$130=1,N31*N43,'Field 1 Fiscal'!N42*N43)</f>
        <v>654.91676250000023</v>
      </c>
      <c r="O44" s="84">
        <f>IF('Assumptions &amp; Results'!$C$130=1,O31*O43,'Field 1 Fiscal'!O42*O43)</f>
        <v>813.92629187500177</v>
      </c>
      <c r="P44" s="84">
        <f>IF('Assumptions &amp; Results'!$C$130=1,P31*P43,'Field 1 Fiscal'!P42*P43)</f>
        <v>1415.4513100000004</v>
      </c>
      <c r="Q44" s="84">
        <f>IF('Assumptions &amp; Results'!$C$130=1,Q31*Q43,'Field 1 Fiscal'!Q42*Q43)</f>
        <v>2123.1769650000006</v>
      </c>
      <c r="R44" s="84">
        <f>IF('Assumptions &amp; Results'!$C$130=1,R31*R43,'Field 1 Fiscal'!R42*R43)</f>
        <v>2123.1769650000006</v>
      </c>
      <c r="S44" s="84">
        <f>IF('Assumptions &amp; Results'!$C$130=1,S31*S43,'Field 1 Fiscal'!S42*S43)</f>
        <v>2123.1769650000006</v>
      </c>
      <c r="T44" s="84">
        <f>IF('Assumptions &amp; Results'!$C$130=1,T31*T43,'Field 1 Fiscal'!T42*T43)</f>
        <v>1950.3250837499997</v>
      </c>
      <c r="U44" s="84">
        <f>IF('Assumptions &amp; Results'!$C$130=1,U31*U43,'Field 1 Fiscal'!U42*U43)</f>
        <v>2123.1769650000006</v>
      </c>
      <c r="V44" s="84">
        <f>IF('Assumptions &amp; Results'!$C$130=1,V31*V43,'Field 1 Fiscal'!V42*V43)</f>
        <v>2123.1769650000006</v>
      </c>
      <c r="W44" s="84">
        <f>IF('Assumptions &amp; Results'!$C$130=1,W31*W43,'Field 1 Fiscal'!W42*W43)</f>
        <v>3538.6282750000009</v>
      </c>
      <c r="X44" s="84">
        <f>IF('Assumptions &amp; Results'!$C$130=1,X31*X43,'Field 1 Fiscal'!X42*X43)</f>
        <v>3538.6282750000009</v>
      </c>
      <c r="Y44" s="84">
        <f>IF('Assumptions &amp; Results'!$C$130=1,Y31*Y43,'Field 1 Fiscal'!Y42*Y43)</f>
        <v>3250.5418062499998</v>
      </c>
      <c r="Z44" s="84">
        <f>IF('Assumptions &amp; Results'!$C$130=1,Z31*Z43,'Field 1 Fiscal'!Z42*Z43)</f>
        <v>3538.6282750000009</v>
      </c>
      <c r="AA44" s="84">
        <f>IF('Assumptions &amp; Results'!$C$130=1,AA31*AA43,'Field 1 Fiscal'!AA42*AA43)</f>
        <v>3538.6282750000009</v>
      </c>
      <c r="AB44" s="84">
        <f>IF('Assumptions &amp; Results'!$C$130=1,AB31*AB43,'Field 1 Fiscal'!AB42*AB43)</f>
        <v>3538.6282750000009</v>
      </c>
      <c r="AC44" s="84">
        <f>IF('Assumptions &amp; Results'!$C$130=1,AC31*AC43,'Field 1 Fiscal'!AC42*AC43)</f>
        <v>3538.6282750000009</v>
      </c>
      <c r="AD44" s="84">
        <f>IF('Assumptions &amp; Results'!$C$130=1,AD31*AD43,'Field 1 Fiscal'!AD42*AD43)</f>
        <v>3900.6501674999995</v>
      </c>
      <c r="AE44" s="84">
        <f>IF('Assumptions &amp; Results'!$C$130=1,AE31*AE43,'Field 1 Fiscal'!AE42*AE43)</f>
        <v>4246.3539300000011</v>
      </c>
      <c r="AF44" s="84">
        <f>IF('Assumptions &amp; Results'!$C$130=1,AF31*AF43,'Field 1 Fiscal'!AF42*AF43)</f>
        <v>4246.3539300000011</v>
      </c>
      <c r="AG44" s="84">
        <f>IF('Assumptions &amp; Results'!$C$130=1,AG31*AG43,'Field 1 Fiscal'!AG42*AG43)</f>
        <v>3886.3539300000011</v>
      </c>
      <c r="AH44" s="84">
        <f>IF('Assumptions &amp; Results'!$C$130=1,AH31*AH43,'Field 1 Fiscal'!AH42*AH43)</f>
        <v>3886.3539300000011</v>
      </c>
      <c r="AI44" s="84">
        <f>IF('Assumptions &amp; Results'!$C$130=1,AI31*AI43,'Field 1 Fiscal'!AI42*AI43)</f>
        <v>3526.3539300000011</v>
      </c>
      <c r="AJ44" s="125">
        <f t="shared" si="10"/>
        <v>66392.364262187504</v>
      </c>
    </row>
    <row r="45" spans="1:36" x14ac:dyDescent="0.25">
      <c r="A45" s="79" t="s">
        <v>264</v>
      </c>
      <c r="B45" s="192" t="s">
        <v>99</v>
      </c>
      <c r="C45" s="84">
        <f>C43-C44</f>
        <v>0</v>
      </c>
      <c r="D45" s="84">
        <f t="shared" ref="D45:AI45" si="11">D43-D44</f>
        <v>0</v>
      </c>
      <c r="E45" s="8">
        <f t="shared" si="11"/>
        <v>0</v>
      </c>
      <c r="F45" s="8">
        <f t="shared" si="11"/>
        <v>0</v>
      </c>
      <c r="G45" s="8">
        <f>G43-G44</f>
        <v>1473.5627156250005</v>
      </c>
      <c r="H45" s="8">
        <f t="shared" si="11"/>
        <v>2947.1254312500009</v>
      </c>
      <c r="I45" s="8">
        <f t="shared" si="11"/>
        <v>2947.1254312500009</v>
      </c>
      <c r="J45" s="8">
        <f t="shared" si="11"/>
        <v>2800.7177034374995</v>
      </c>
      <c r="K45" s="8">
        <f t="shared" si="11"/>
        <v>2947.1254312500009</v>
      </c>
      <c r="L45" s="8">
        <f t="shared" si="11"/>
        <v>2619.6670500000009</v>
      </c>
      <c r="M45" s="8">
        <f t="shared" si="11"/>
        <v>2619.6670500000009</v>
      </c>
      <c r="N45" s="8">
        <f t="shared" si="11"/>
        <v>2619.6670500000009</v>
      </c>
      <c r="O45" s="8">
        <f t="shared" si="11"/>
        <v>3255.7051675000066</v>
      </c>
      <c r="P45" s="8">
        <f t="shared" si="11"/>
        <v>5661.8052400000015</v>
      </c>
      <c r="Q45" s="8">
        <f t="shared" si="11"/>
        <v>4954.0795850000013</v>
      </c>
      <c r="R45" s="8">
        <f t="shared" si="11"/>
        <v>4954.0795850000013</v>
      </c>
      <c r="S45" s="8">
        <f t="shared" si="11"/>
        <v>4954.0795850000013</v>
      </c>
      <c r="T45" s="8">
        <f t="shared" si="11"/>
        <v>4550.7585287499996</v>
      </c>
      <c r="U45" s="8">
        <f t="shared" si="11"/>
        <v>4954.0795850000013</v>
      </c>
      <c r="V45" s="8">
        <f t="shared" si="11"/>
        <v>4954.0795850000013</v>
      </c>
      <c r="W45" s="8">
        <f t="shared" si="11"/>
        <v>3538.6282750000009</v>
      </c>
      <c r="X45" s="8">
        <f t="shared" si="11"/>
        <v>3538.6282750000009</v>
      </c>
      <c r="Y45" s="8">
        <f t="shared" si="11"/>
        <v>3250.5418062499998</v>
      </c>
      <c r="Z45" s="8">
        <f t="shared" si="11"/>
        <v>3538.6282750000009</v>
      </c>
      <c r="AA45" s="8">
        <f t="shared" si="11"/>
        <v>3538.6282750000009</v>
      </c>
      <c r="AB45" s="8">
        <f t="shared" si="11"/>
        <v>3538.6282750000009</v>
      </c>
      <c r="AC45" s="8">
        <f t="shared" si="11"/>
        <v>3538.6282750000009</v>
      </c>
      <c r="AD45" s="8">
        <f t="shared" si="11"/>
        <v>2600.4334450000001</v>
      </c>
      <c r="AE45" s="8">
        <f t="shared" si="11"/>
        <v>2830.9026200000008</v>
      </c>
      <c r="AF45" s="8">
        <f t="shared" si="11"/>
        <v>2830.9026200000008</v>
      </c>
      <c r="AG45" s="8">
        <f t="shared" si="11"/>
        <v>2590.9026200000008</v>
      </c>
      <c r="AH45" s="8">
        <f t="shared" si="11"/>
        <v>2590.9026200000008</v>
      </c>
      <c r="AI45" s="8">
        <f t="shared" si="11"/>
        <v>2350.9026200000008</v>
      </c>
      <c r="AJ45" s="125">
        <f t="shared" si="10"/>
        <v>99490.582725312532</v>
      </c>
    </row>
    <row r="46" spans="1:36" x14ac:dyDescent="0.25">
      <c r="A46" s="79"/>
      <c r="B46" s="79"/>
      <c r="C46" s="84"/>
      <c r="D46" s="84"/>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125"/>
    </row>
    <row r="47" spans="1:36" x14ac:dyDescent="0.25">
      <c r="A47" s="79" t="s">
        <v>265</v>
      </c>
      <c r="B47" s="192" t="s">
        <v>99</v>
      </c>
      <c r="C47" s="84">
        <f>C21+C45-C6-C12-C25-C13-C15-C16</f>
        <v>-2104.25</v>
      </c>
      <c r="D47" s="84">
        <f t="shared" ref="D47:AI47" si="12">D21+D45-D6-D12-D25-D13-D15-D16</f>
        <v>-1415</v>
      </c>
      <c r="E47" s="84">
        <f t="shared" si="12"/>
        <v>-3466.75</v>
      </c>
      <c r="F47" s="84">
        <f t="shared" si="12"/>
        <v>-6174.5</v>
      </c>
      <c r="G47" s="84">
        <f t="shared" si="12"/>
        <v>-3660.6902218749992</v>
      </c>
      <c r="H47" s="84">
        <f t="shared" si="12"/>
        <v>749.61955625000132</v>
      </c>
      <c r="I47" s="84">
        <f t="shared" si="12"/>
        <v>2801.3695562500016</v>
      </c>
      <c r="J47" s="84">
        <f t="shared" si="12"/>
        <v>4963.1577371874992</v>
      </c>
      <c r="K47" s="84">
        <f t="shared" si="12"/>
        <v>6334.1195562500016</v>
      </c>
      <c r="L47" s="84">
        <f t="shared" si="12"/>
        <v>6141.6611750000029</v>
      </c>
      <c r="M47" s="84">
        <f t="shared" si="12"/>
        <v>6141.6611750000029</v>
      </c>
      <c r="N47" s="84">
        <f t="shared" si="12"/>
        <v>6141.6611750000029</v>
      </c>
      <c r="O47" s="84">
        <f t="shared" si="12"/>
        <v>5420.4223012499979</v>
      </c>
      <c r="P47" s="84">
        <f t="shared" si="12"/>
        <v>5381.1266275000016</v>
      </c>
      <c r="Q47" s="84">
        <f t="shared" si="12"/>
        <v>4673.4009725000014</v>
      </c>
      <c r="R47" s="84">
        <f t="shared" si="12"/>
        <v>4673.4009725000014</v>
      </c>
      <c r="S47" s="84">
        <f t="shared" si="12"/>
        <v>4673.4009725000014</v>
      </c>
      <c r="T47" s="84">
        <f t="shared" si="12"/>
        <v>4284.0235093749998</v>
      </c>
      <c r="U47" s="84">
        <f t="shared" si="12"/>
        <v>4673.4009725000014</v>
      </c>
      <c r="V47" s="84">
        <f t="shared" si="12"/>
        <v>4673.4009725000014</v>
      </c>
      <c r="W47" s="84">
        <f t="shared" si="12"/>
        <v>3257.9496625000015</v>
      </c>
      <c r="X47" s="84">
        <f t="shared" si="12"/>
        <v>3257.9496625000015</v>
      </c>
      <c r="Y47" s="84">
        <f t="shared" si="12"/>
        <v>2983.8067868750004</v>
      </c>
      <c r="Z47" s="84">
        <f t="shared" si="12"/>
        <v>3257.9496625000015</v>
      </c>
      <c r="AA47" s="84">
        <f t="shared" si="12"/>
        <v>3257.9496625000015</v>
      </c>
      <c r="AB47" s="84">
        <f t="shared" si="12"/>
        <v>3257.9496625000015</v>
      </c>
      <c r="AC47" s="84">
        <f t="shared" si="12"/>
        <v>3257.9496625000015</v>
      </c>
      <c r="AD47" s="84">
        <f t="shared" si="12"/>
        <v>2333.6984256249998</v>
      </c>
      <c r="AE47" s="84">
        <f t="shared" si="12"/>
        <v>2550.2240075000013</v>
      </c>
      <c r="AF47" s="84">
        <f t="shared" si="12"/>
        <v>2550.2240075000013</v>
      </c>
      <c r="AG47" s="84">
        <f t="shared" si="12"/>
        <v>2310.2240075000013</v>
      </c>
      <c r="AH47" s="84">
        <f t="shared" si="12"/>
        <v>2310.2240075000013</v>
      </c>
      <c r="AI47" s="84">
        <f t="shared" si="12"/>
        <v>2070.2240075000013</v>
      </c>
      <c r="AJ47" s="125">
        <f t="shared" si="10"/>
        <v>91560.960234687533</v>
      </c>
    </row>
    <row r="48" spans="1:36" x14ac:dyDescent="0.25">
      <c r="A48" s="79" t="s">
        <v>266</v>
      </c>
      <c r="B48" s="192" t="s">
        <v>99</v>
      </c>
      <c r="C48" s="84">
        <f>IF(C47&lt;0,C47,0)</f>
        <v>-2104.25</v>
      </c>
      <c r="D48" s="84">
        <f>IF((D47+C48)&lt;0,(D47+C48),0)</f>
        <v>-3519.25</v>
      </c>
      <c r="E48" s="8">
        <f t="shared" ref="E48:AI48" si="13">IF((E47+D48)&lt;0,(E47+D48),0)</f>
        <v>-6986</v>
      </c>
      <c r="F48" s="8">
        <f t="shared" si="13"/>
        <v>-13160.5</v>
      </c>
      <c r="G48" s="8">
        <f t="shared" si="13"/>
        <v>-16821.190221875</v>
      </c>
      <c r="H48" s="8">
        <f t="shared" si="13"/>
        <v>-16071.570665624999</v>
      </c>
      <c r="I48" s="8">
        <f t="shared" si="13"/>
        <v>-13270.201109374997</v>
      </c>
      <c r="J48" s="8">
        <f t="shared" si="13"/>
        <v>-8307.0433721874979</v>
      </c>
      <c r="K48" s="8">
        <f t="shared" si="13"/>
        <v>-1972.9238159374963</v>
      </c>
      <c r="L48" s="8">
        <f t="shared" si="13"/>
        <v>0</v>
      </c>
      <c r="M48" s="8">
        <f t="shared" si="13"/>
        <v>0</v>
      </c>
      <c r="N48" s="8">
        <f t="shared" si="13"/>
        <v>0</v>
      </c>
      <c r="O48" s="8">
        <f t="shared" si="13"/>
        <v>0</v>
      </c>
      <c r="P48" s="8">
        <f t="shared" si="13"/>
        <v>0</v>
      </c>
      <c r="Q48" s="8">
        <f t="shared" si="13"/>
        <v>0</v>
      </c>
      <c r="R48" s="8">
        <f t="shared" si="13"/>
        <v>0</v>
      </c>
      <c r="S48" s="8">
        <f t="shared" si="13"/>
        <v>0</v>
      </c>
      <c r="T48" s="8">
        <f t="shared" si="13"/>
        <v>0</v>
      </c>
      <c r="U48" s="8">
        <f t="shared" si="13"/>
        <v>0</v>
      </c>
      <c r="V48" s="8">
        <f t="shared" si="13"/>
        <v>0</v>
      </c>
      <c r="W48" s="8">
        <f t="shared" si="13"/>
        <v>0</v>
      </c>
      <c r="X48" s="8">
        <f t="shared" si="13"/>
        <v>0</v>
      </c>
      <c r="Y48" s="8">
        <f t="shared" si="13"/>
        <v>0</v>
      </c>
      <c r="Z48" s="8">
        <f t="shared" si="13"/>
        <v>0</v>
      </c>
      <c r="AA48" s="8">
        <f t="shared" si="13"/>
        <v>0</v>
      </c>
      <c r="AB48" s="8">
        <f t="shared" si="13"/>
        <v>0</v>
      </c>
      <c r="AC48" s="8">
        <f t="shared" si="13"/>
        <v>0</v>
      </c>
      <c r="AD48" s="8">
        <f t="shared" si="13"/>
        <v>0</v>
      </c>
      <c r="AE48" s="8">
        <f t="shared" si="13"/>
        <v>0</v>
      </c>
      <c r="AF48" s="8">
        <f t="shared" si="13"/>
        <v>0</v>
      </c>
      <c r="AG48" s="8">
        <f t="shared" si="13"/>
        <v>0</v>
      </c>
      <c r="AH48" s="8">
        <f t="shared" si="13"/>
        <v>0</v>
      </c>
      <c r="AI48" s="8">
        <f t="shared" si="13"/>
        <v>0</v>
      </c>
      <c r="AJ48" s="125"/>
    </row>
    <row r="49" spans="1:36" x14ac:dyDescent="0.25">
      <c r="A49" s="79" t="s">
        <v>267</v>
      </c>
      <c r="B49" s="192" t="s">
        <v>99</v>
      </c>
      <c r="C49" s="84"/>
      <c r="D49" s="84">
        <f t="shared" ref="D49:I49" si="14">IF((D47+C48)&gt;0,(D47+C48),0)</f>
        <v>0</v>
      </c>
      <c r="E49" s="8">
        <f t="shared" si="14"/>
        <v>0</v>
      </c>
      <c r="F49" s="8">
        <f t="shared" si="14"/>
        <v>0</v>
      </c>
      <c r="G49" s="8">
        <f t="shared" si="14"/>
        <v>0</v>
      </c>
      <c r="H49" s="8">
        <f t="shared" si="14"/>
        <v>0</v>
      </c>
      <c r="I49" s="8">
        <f t="shared" si="14"/>
        <v>0</v>
      </c>
      <c r="J49" s="8">
        <f>IF((J47+I48)&gt;0,(J47+I48),0)</f>
        <v>0</v>
      </c>
      <c r="K49" s="8">
        <f t="shared" ref="K49:AI49" si="15">IF((K47+J48)&gt;0,(K47+J48),0)</f>
        <v>0</v>
      </c>
      <c r="L49" s="8">
        <f t="shared" si="15"/>
        <v>4168.7373590625066</v>
      </c>
      <c r="M49" s="8">
        <f t="shared" si="15"/>
        <v>6141.6611750000029</v>
      </c>
      <c r="N49" s="8">
        <f t="shared" si="15"/>
        <v>6141.6611750000029</v>
      </c>
      <c r="O49" s="8">
        <f t="shared" si="15"/>
        <v>5420.4223012499979</v>
      </c>
      <c r="P49" s="8">
        <f t="shared" si="15"/>
        <v>5381.1266275000016</v>
      </c>
      <c r="Q49" s="8">
        <f t="shared" si="15"/>
        <v>4673.4009725000014</v>
      </c>
      <c r="R49" s="8">
        <f t="shared" si="15"/>
        <v>4673.4009725000014</v>
      </c>
      <c r="S49" s="8">
        <f t="shared" si="15"/>
        <v>4673.4009725000014</v>
      </c>
      <c r="T49" s="8">
        <f t="shared" si="15"/>
        <v>4284.0235093749998</v>
      </c>
      <c r="U49" s="8">
        <f t="shared" si="15"/>
        <v>4673.4009725000014</v>
      </c>
      <c r="V49" s="8">
        <f t="shared" si="15"/>
        <v>4673.4009725000014</v>
      </c>
      <c r="W49" s="8">
        <f t="shared" si="15"/>
        <v>3257.9496625000015</v>
      </c>
      <c r="X49" s="8">
        <f t="shared" si="15"/>
        <v>3257.9496625000015</v>
      </c>
      <c r="Y49" s="8">
        <f t="shared" si="15"/>
        <v>2983.8067868750004</v>
      </c>
      <c r="Z49" s="8">
        <f t="shared" si="15"/>
        <v>3257.9496625000015</v>
      </c>
      <c r="AA49" s="8">
        <f t="shared" si="15"/>
        <v>3257.9496625000015</v>
      </c>
      <c r="AB49" s="8">
        <f t="shared" si="15"/>
        <v>3257.9496625000015</v>
      </c>
      <c r="AC49" s="8">
        <f t="shared" si="15"/>
        <v>3257.9496625000015</v>
      </c>
      <c r="AD49" s="8">
        <f t="shared" si="15"/>
        <v>2333.6984256249998</v>
      </c>
      <c r="AE49" s="8">
        <f t="shared" si="15"/>
        <v>2550.2240075000013</v>
      </c>
      <c r="AF49" s="8">
        <f t="shared" si="15"/>
        <v>2550.2240075000013</v>
      </c>
      <c r="AG49" s="8">
        <f t="shared" si="15"/>
        <v>2310.2240075000013</v>
      </c>
      <c r="AH49" s="8">
        <f t="shared" si="15"/>
        <v>2310.2240075000013</v>
      </c>
      <c r="AI49" s="8">
        <f t="shared" si="15"/>
        <v>2070.2240075000013</v>
      </c>
      <c r="AJ49" s="125">
        <f t="shared" si="10"/>
        <v>91560.960234687533</v>
      </c>
    </row>
    <row r="50" spans="1:36" x14ac:dyDescent="0.25">
      <c r="A50" s="79" t="s">
        <v>268</v>
      </c>
      <c r="B50" s="192" t="s">
        <v>99</v>
      </c>
      <c r="C50" s="84">
        <f>C49*('Assumptions &amp; Results'!$C$122-'Assumptions &amp; Results'!D128)</f>
        <v>0</v>
      </c>
      <c r="D50" s="84">
        <f>D49*('Assumptions &amp; Results'!$C$122-'Assumptions &amp; Results'!E128)</f>
        <v>0</v>
      </c>
      <c r="E50" s="8">
        <f>E49*('Assumptions &amp; Results'!$C$122-'Assumptions &amp; Results'!F128)</f>
        <v>0</v>
      </c>
      <c r="F50" s="8">
        <f>F49*('Assumptions &amp; Results'!$C$122-'Assumptions &amp; Results'!G128)</f>
        <v>0</v>
      </c>
      <c r="G50" s="8">
        <f>G49*('Assumptions &amp; Results'!$C$122-'Assumptions &amp; Results'!H128)</f>
        <v>0</v>
      </c>
      <c r="H50" s="8">
        <f>H49*('Assumptions &amp; Results'!$C$122-'Assumptions &amp; Results'!I128)</f>
        <v>0</v>
      </c>
      <c r="I50" s="8">
        <f>I49*('Assumptions &amp; Results'!$C$122-'Assumptions &amp; Results'!J128)</f>
        <v>0</v>
      </c>
      <c r="J50" s="8">
        <f>J49*('Assumptions &amp; Results'!$C$122-'Assumptions &amp; Results'!K128)</f>
        <v>0</v>
      </c>
      <c r="K50" s="8">
        <f>K49*('Assumptions &amp; Results'!$C$122-'Assumptions &amp; Results'!L128)</f>
        <v>0</v>
      </c>
      <c r="L50" s="8">
        <f>L49*('Assumptions &amp; Results'!$C$122-'Assumptions &amp; Results'!M128)</f>
        <v>1333.9959549000021</v>
      </c>
      <c r="M50" s="8">
        <f>M49*('Assumptions &amp; Results'!$C$122-'Assumptions &amp; Results'!N128)</f>
        <v>1965.331576000001</v>
      </c>
      <c r="N50" s="8">
        <f>N49*('Assumptions &amp; Results'!$C$122-'Assumptions &amp; Results'!O128)</f>
        <v>1965.331576000001</v>
      </c>
      <c r="O50" s="8">
        <f>O49*('Assumptions &amp; Results'!$C$122-'Assumptions &amp; Results'!P128)</f>
        <v>1734.5351363999994</v>
      </c>
      <c r="P50" s="8">
        <f>P49*('Assumptions &amp; Results'!$C$122-'Assumptions &amp; Results'!Q128)</f>
        <v>1721.9605208000005</v>
      </c>
      <c r="Q50" s="8">
        <f>Q49*('Assumptions &amp; Results'!$C$122-'Assumptions &amp; Results'!R128)</f>
        <v>1495.4883112000005</v>
      </c>
      <c r="R50" s="8">
        <f>R49*('Assumptions &amp; Results'!$C$122-'Assumptions &amp; Results'!S128)</f>
        <v>1495.4883112000005</v>
      </c>
      <c r="S50" s="8">
        <f>S49*('Assumptions &amp; Results'!$C$122-'Assumptions &amp; Results'!T128)</f>
        <v>1495.4883112000005</v>
      </c>
      <c r="T50" s="8">
        <f>T49*('Assumptions &amp; Results'!$C$122-'Assumptions &amp; Results'!U128)</f>
        <v>1370.8875229999999</v>
      </c>
      <c r="U50" s="8">
        <f>U49*('Assumptions &amp; Results'!$C$122-'Assumptions &amp; Results'!V128)</f>
        <v>1495.4883112000005</v>
      </c>
      <c r="V50" s="8">
        <f>V49*('Assumptions &amp; Results'!$C$122-'Assumptions &amp; Results'!W128)</f>
        <v>1495.4883112000005</v>
      </c>
      <c r="W50" s="8">
        <f>W49*('Assumptions &amp; Results'!$C$122-'Assumptions &amp; Results'!X128)</f>
        <v>1042.5438920000006</v>
      </c>
      <c r="X50" s="8">
        <f>X49*('Assumptions &amp; Results'!$C$122-'Assumptions &amp; Results'!Y128)</f>
        <v>1042.5438920000006</v>
      </c>
      <c r="Y50" s="8">
        <f>Y49*('Assumptions &amp; Results'!$C$122-'Assumptions &amp; Results'!Z128)</f>
        <v>954.81817180000019</v>
      </c>
      <c r="Z50" s="8">
        <f>Z49*('Assumptions &amp; Results'!$C$122-'Assumptions &amp; Results'!AA128)</f>
        <v>1042.5438920000006</v>
      </c>
      <c r="AA50" s="8">
        <f>AA49*('Assumptions &amp; Results'!$C$122-'Assumptions &amp; Results'!AB128)</f>
        <v>1042.5438920000006</v>
      </c>
      <c r="AB50" s="8">
        <f>AB49*('Assumptions &amp; Results'!$C$122-'Assumptions &amp; Results'!AC128)</f>
        <v>1042.5438920000006</v>
      </c>
      <c r="AC50" s="8">
        <f>AC49*('Assumptions &amp; Results'!$C$122-'Assumptions &amp; Results'!AD128)</f>
        <v>1042.5438920000006</v>
      </c>
      <c r="AD50" s="8">
        <f>AD49*('Assumptions &amp; Results'!$C$122-'Assumptions &amp; Results'!AE128)</f>
        <v>746.78349619999995</v>
      </c>
      <c r="AE50" s="8">
        <f>AE49*('Assumptions &amp; Results'!$C$122-'Assumptions &amp; Results'!AF128)</f>
        <v>816.07168240000044</v>
      </c>
      <c r="AF50" s="8">
        <f>AF49*('Assumptions &amp; Results'!$C$122-'Assumptions &amp; Results'!AG128)</f>
        <v>816.07168240000044</v>
      </c>
      <c r="AG50" s="8">
        <f>AG49*('Assumptions &amp; Results'!$C$122-'Assumptions &amp; Results'!AH128)</f>
        <v>739.27168240000049</v>
      </c>
      <c r="AH50" s="8">
        <f>AH49*('Assumptions &amp; Results'!$C$122-'Assumptions &amp; Results'!AI128)</f>
        <v>739.27168240000049</v>
      </c>
      <c r="AI50" s="8">
        <f>AI49*('Assumptions &amp; Results'!$C$122-'Assumptions &amp; Results'!AJ128)</f>
        <v>662.47168240000042</v>
      </c>
      <c r="AJ50" s="125">
        <f t="shared" si="10"/>
        <v>29299.507275100023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0000FF"/>
  </sheetPr>
  <dimension ref="A1:AZ303"/>
  <sheetViews>
    <sheetView workbookViewId="0">
      <pane xSplit="1" topLeftCell="B1" activePane="topRight" state="frozen"/>
      <selection pane="topRight"/>
    </sheetView>
  </sheetViews>
  <sheetFormatPr defaultColWidth="8.85546875" defaultRowHeight="15" x14ac:dyDescent="0.25"/>
  <cols>
    <col min="1" max="1" width="90.140625" bestFit="1" customWidth="1"/>
    <col min="2" max="2" width="17" customWidth="1"/>
    <col min="3" max="3" width="12.85546875" bestFit="1" customWidth="1"/>
    <col min="4" max="4" width="15.85546875" customWidth="1"/>
    <col min="5" max="7" width="11.140625" bestFit="1" customWidth="1"/>
    <col min="13" max="13" width="11.140625" bestFit="1" customWidth="1"/>
    <col min="37" max="37" width="9.85546875" customWidth="1"/>
  </cols>
  <sheetData>
    <row r="1" spans="1:45" ht="21" x14ac:dyDescent="0.25">
      <c r="A1" s="197" t="s">
        <v>59</v>
      </c>
      <c r="D1" t="s">
        <v>60</v>
      </c>
      <c r="E1" s="1"/>
    </row>
    <row r="2" spans="1:45" ht="18.95" x14ac:dyDescent="0.25">
      <c r="A2" s="93" t="s">
        <v>61</v>
      </c>
      <c r="B2" s="1" t="s">
        <v>62</v>
      </c>
      <c r="C2" s="1"/>
      <c r="D2" s="61">
        <v>2017</v>
      </c>
      <c r="E2" s="1">
        <f t="shared" ref="E2:AJ2" si="0">D2+1</f>
        <v>2018</v>
      </c>
      <c r="F2" s="1">
        <f t="shared" si="0"/>
        <v>2019</v>
      </c>
      <c r="G2" s="1">
        <f t="shared" si="0"/>
        <v>2020</v>
      </c>
      <c r="H2" s="1">
        <f t="shared" si="0"/>
        <v>2021</v>
      </c>
      <c r="I2" s="1">
        <f t="shared" si="0"/>
        <v>2022</v>
      </c>
      <c r="J2" s="1">
        <f t="shared" si="0"/>
        <v>2023</v>
      </c>
      <c r="K2" s="1">
        <f t="shared" si="0"/>
        <v>2024</v>
      </c>
      <c r="L2" s="1">
        <f t="shared" si="0"/>
        <v>2025</v>
      </c>
      <c r="M2" s="1">
        <f t="shared" si="0"/>
        <v>2026</v>
      </c>
      <c r="N2" s="1">
        <f t="shared" si="0"/>
        <v>2027</v>
      </c>
      <c r="O2" s="1">
        <f t="shared" si="0"/>
        <v>2028</v>
      </c>
      <c r="P2" s="1">
        <f t="shared" si="0"/>
        <v>2029</v>
      </c>
      <c r="Q2" s="1">
        <f t="shared" si="0"/>
        <v>2030</v>
      </c>
      <c r="R2" s="1">
        <f t="shared" si="0"/>
        <v>2031</v>
      </c>
      <c r="S2" s="1">
        <f t="shared" si="0"/>
        <v>2032</v>
      </c>
      <c r="T2" s="1">
        <f t="shared" si="0"/>
        <v>2033</v>
      </c>
      <c r="U2" s="1">
        <f t="shared" si="0"/>
        <v>2034</v>
      </c>
      <c r="V2" s="1">
        <f t="shared" si="0"/>
        <v>2035</v>
      </c>
      <c r="W2" s="1">
        <f t="shared" si="0"/>
        <v>2036</v>
      </c>
      <c r="X2" s="1">
        <f t="shared" si="0"/>
        <v>2037</v>
      </c>
      <c r="Y2" s="1">
        <f t="shared" si="0"/>
        <v>2038</v>
      </c>
      <c r="Z2" s="1">
        <f t="shared" si="0"/>
        <v>2039</v>
      </c>
      <c r="AA2" s="1">
        <f t="shared" si="0"/>
        <v>2040</v>
      </c>
      <c r="AB2" s="1">
        <f t="shared" si="0"/>
        <v>2041</v>
      </c>
      <c r="AC2" s="1">
        <f t="shared" si="0"/>
        <v>2042</v>
      </c>
      <c r="AD2" s="1">
        <f t="shared" si="0"/>
        <v>2043</v>
      </c>
      <c r="AE2" s="1">
        <f t="shared" si="0"/>
        <v>2044</v>
      </c>
      <c r="AF2" s="1">
        <f t="shared" si="0"/>
        <v>2045</v>
      </c>
      <c r="AG2" s="1">
        <f t="shared" si="0"/>
        <v>2046</v>
      </c>
      <c r="AH2" s="1">
        <f t="shared" si="0"/>
        <v>2047</v>
      </c>
      <c r="AI2" s="1">
        <f t="shared" si="0"/>
        <v>2048</v>
      </c>
      <c r="AJ2" s="1">
        <f t="shared" si="0"/>
        <v>2049</v>
      </c>
      <c r="AK2" t="s">
        <v>63</v>
      </c>
    </row>
    <row r="3" spans="1:45" s="69" customFormat="1" x14ac:dyDescent="0.2">
      <c r="A3" s="68" t="s">
        <v>64</v>
      </c>
      <c r="E3" s="70" t="s">
        <v>65</v>
      </c>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row>
    <row r="4" spans="1:45" x14ac:dyDescent="0.2">
      <c r="A4" s="2" t="s">
        <v>66</v>
      </c>
      <c r="B4" t="s">
        <v>67</v>
      </c>
      <c r="D4" s="5">
        <f t="shared" ref="D4:AJ4" si="1">D6*D5*$C$159</f>
        <v>3.6749999999999998</v>
      </c>
      <c r="E4" s="5">
        <f t="shared" si="1"/>
        <v>3.6749999999999998</v>
      </c>
      <c r="F4" s="5">
        <f t="shared" si="1"/>
        <v>3.6749999999999998</v>
      </c>
      <c r="G4" s="5">
        <f t="shared" si="1"/>
        <v>3.6749999999999998</v>
      </c>
      <c r="H4" s="5">
        <f t="shared" si="1"/>
        <v>3.6749999999999998</v>
      </c>
      <c r="I4" s="5">
        <f t="shared" si="1"/>
        <v>3.6749999999999998</v>
      </c>
      <c r="J4" s="5">
        <f t="shared" si="1"/>
        <v>3.6749999999999998</v>
      </c>
      <c r="K4" s="5">
        <f t="shared" si="1"/>
        <v>3.6749999999999998</v>
      </c>
      <c r="L4" s="5">
        <f t="shared" si="1"/>
        <v>3.6749999999999998</v>
      </c>
      <c r="M4" s="5">
        <f t="shared" si="1"/>
        <v>3.6749999999999998</v>
      </c>
      <c r="N4" s="5">
        <f t="shared" si="1"/>
        <v>3.6749999999999998</v>
      </c>
      <c r="O4" s="5">
        <f t="shared" si="1"/>
        <v>3.6749999999999998</v>
      </c>
      <c r="P4" s="5">
        <f t="shared" si="1"/>
        <v>3.6749999999999998</v>
      </c>
      <c r="Q4" s="5">
        <f t="shared" si="1"/>
        <v>3.6749999999999998</v>
      </c>
      <c r="R4" s="5">
        <f t="shared" si="1"/>
        <v>3.6749999999999998</v>
      </c>
      <c r="S4" s="5">
        <f t="shared" si="1"/>
        <v>3.6749999999999998</v>
      </c>
      <c r="T4" s="5">
        <f t="shared" si="1"/>
        <v>3.6749999999999998</v>
      </c>
      <c r="U4" s="5">
        <f t="shared" si="1"/>
        <v>3.6749999999999998</v>
      </c>
      <c r="V4" s="5">
        <f t="shared" si="1"/>
        <v>3.6749999999999998</v>
      </c>
      <c r="W4" s="5">
        <f t="shared" si="1"/>
        <v>3.6749999999999998</v>
      </c>
      <c r="X4" s="5">
        <f t="shared" si="1"/>
        <v>3.6749999999999998</v>
      </c>
      <c r="Y4" s="5">
        <f t="shared" si="1"/>
        <v>3.6749999999999998</v>
      </c>
      <c r="Z4" s="5">
        <f t="shared" si="1"/>
        <v>3.6749999999999998</v>
      </c>
      <c r="AA4" s="5">
        <f t="shared" si="1"/>
        <v>3.6749999999999998</v>
      </c>
      <c r="AB4" s="5">
        <f t="shared" si="1"/>
        <v>3.6749999999999998</v>
      </c>
      <c r="AC4" s="5">
        <f t="shared" si="1"/>
        <v>3.6749999999999998</v>
      </c>
      <c r="AD4" s="5">
        <f t="shared" si="1"/>
        <v>3.6749999999999998</v>
      </c>
      <c r="AE4" s="5">
        <f t="shared" si="1"/>
        <v>3.6749999999999998</v>
      </c>
      <c r="AF4" s="5">
        <f t="shared" si="1"/>
        <v>3.6749999999999998</v>
      </c>
      <c r="AG4" s="5">
        <f t="shared" si="1"/>
        <v>3.6749999999999998</v>
      </c>
      <c r="AH4" s="5">
        <f t="shared" si="1"/>
        <v>3.6749999999999998</v>
      </c>
      <c r="AI4" s="5">
        <f t="shared" si="1"/>
        <v>3.6749999999999998</v>
      </c>
      <c r="AJ4" s="5">
        <f t="shared" si="1"/>
        <v>3.6749999999999998</v>
      </c>
      <c r="AK4" s="5"/>
      <c r="AL4" s="5"/>
    </row>
    <row r="5" spans="1:45" x14ac:dyDescent="0.2">
      <c r="A5" s="2" t="s">
        <v>68</v>
      </c>
      <c r="B5" t="s">
        <v>69</v>
      </c>
      <c r="D5" s="43">
        <v>0.42</v>
      </c>
      <c r="E5" s="43">
        <v>0.42</v>
      </c>
      <c r="F5" s="43">
        <v>0.42</v>
      </c>
      <c r="G5" s="43">
        <v>0.42</v>
      </c>
      <c r="H5" s="43">
        <v>0.42</v>
      </c>
      <c r="I5" s="43">
        <v>0.42</v>
      </c>
      <c r="J5" s="43">
        <v>0.42</v>
      </c>
      <c r="K5" s="43">
        <v>0.42</v>
      </c>
      <c r="L5" s="43">
        <v>0.42</v>
      </c>
      <c r="M5" s="43">
        <v>0.42</v>
      </c>
      <c r="N5" s="43">
        <v>0.42</v>
      </c>
      <c r="O5" s="43">
        <v>0.42</v>
      </c>
      <c r="P5" s="43">
        <v>0.42</v>
      </c>
      <c r="Q5" s="43">
        <v>0.42</v>
      </c>
      <c r="R5" s="43">
        <v>0.42</v>
      </c>
      <c r="S5" s="43">
        <v>0.42</v>
      </c>
      <c r="T5" s="43">
        <v>0.42</v>
      </c>
      <c r="U5" s="43">
        <v>0.42</v>
      </c>
      <c r="V5" s="43">
        <v>0.42</v>
      </c>
      <c r="W5" s="43">
        <v>0.42</v>
      </c>
      <c r="X5" s="43">
        <v>0.42</v>
      </c>
      <c r="Y5" s="43">
        <v>0.42</v>
      </c>
      <c r="Z5" s="43">
        <v>0.42</v>
      </c>
      <c r="AA5" s="43">
        <v>0.42</v>
      </c>
      <c r="AB5" s="43">
        <v>0.42</v>
      </c>
      <c r="AC5" s="43">
        <v>0.42</v>
      </c>
      <c r="AD5" s="43">
        <v>0.42</v>
      </c>
      <c r="AE5" s="43">
        <v>0.42</v>
      </c>
      <c r="AF5" s="43">
        <v>0.42</v>
      </c>
      <c r="AG5" s="43">
        <v>0.42</v>
      </c>
      <c r="AH5" s="43">
        <v>0.42</v>
      </c>
      <c r="AI5" s="43">
        <v>0.42</v>
      </c>
      <c r="AJ5" s="43">
        <v>0.42</v>
      </c>
      <c r="AK5" s="5"/>
      <c r="AL5" s="5"/>
    </row>
    <row r="6" spans="1:45" x14ac:dyDescent="0.2">
      <c r="A6" t="s">
        <v>70</v>
      </c>
      <c r="B6" t="s">
        <v>67</v>
      </c>
      <c r="D6" s="164">
        <f t="shared" ref="D6:AJ6" si="2">D7*$C$158</f>
        <v>8.75</v>
      </c>
      <c r="E6" s="164">
        <f t="shared" si="2"/>
        <v>8.75</v>
      </c>
      <c r="F6" s="164">
        <f t="shared" si="2"/>
        <v>8.75</v>
      </c>
      <c r="G6" s="164">
        <f t="shared" si="2"/>
        <v>8.75</v>
      </c>
      <c r="H6" s="164">
        <f t="shared" si="2"/>
        <v>8.75</v>
      </c>
      <c r="I6" s="164">
        <f t="shared" si="2"/>
        <v>8.75</v>
      </c>
      <c r="J6" s="164">
        <f t="shared" si="2"/>
        <v>8.75</v>
      </c>
      <c r="K6" s="164">
        <f t="shared" si="2"/>
        <v>8.75</v>
      </c>
      <c r="L6" s="164">
        <f t="shared" si="2"/>
        <v>8.75</v>
      </c>
      <c r="M6" s="164">
        <f t="shared" si="2"/>
        <v>8.75</v>
      </c>
      <c r="N6" s="164">
        <f t="shared" si="2"/>
        <v>8.75</v>
      </c>
      <c r="O6" s="164">
        <f t="shared" si="2"/>
        <v>8.75</v>
      </c>
      <c r="P6" s="164">
        <f t="shared" si="2"/>
        <v>8.75</v>
      </c>
      <c r="Q6" s="164">
        <f t="shared" si="2"/>
        <v>8.75</v>
      </c>
      <c r="R6" s="164">
        <f t="shared" si="2"/>
        <v>8.75</v>
      </c>
      <c r="S6" s="164">
        <f t="shared" si="2"/>
        <v>8.75</v>
      </c>
      <c r="T6" s="164">
        <f t="shared" si="2"/>
        <v>8.75</v>
      </c>
      <c r="U6" s="164">
        <f t="shared" si="2"/>
        <v>8.75</v>
      </c>
      <c r="V6" s="164">
        <f t="shared" si="2"/>
        <v>8.75</v>
      </c>
      <c r="W6" s="164">
        <f t="shared" si="2"/>
        <v>8.75</v>
      </c>
      <c r="X6" s="164">
        <f t="shared" si="2"/>
        <v>8.75</v>
      </c>
      <c r="Y6" s="164">
        <f t="shared" si="2"/>
        <v>8.75</v>
      </c>
      <c r="Z6" s="164">
        <f t="shared" si="2"/>
        <v>8.75</v>
      </c>
      <c r="AA6" s="164">
        <f t="shared" si="2"/>
        <v>8.75</v>
      </c>
      <c r="AB6" s="164">
        <f t="shared" si="2"/>
        <v>8.75</v>
      </c>
      <c r="AC6" s="164">
        <f t="shared" si="2"/>
        <v>8.75</v>
      </c>
      <c r="AD6" s="164">
        <f t="shared" si="2"/>
        <v>8.75</v>
      </c>
      <c r="AE6" s="164">
        <f t="shared" si="2"/>
        <v>8.75</v>
      </c>
      <c r="AF6" s="164">
        <f t="shared" si="2"/>
        <v>8.75</v>
      </c>
      <c r="AG6" s="164">
        <f t="shared" si="2"/>
        <v>8.75</v>
      </c>
      <c r="AH6" s="164">
        <f t="shared" si="2"/>
        <v>8.75</v>
      </c>
      <c r="AI6" s="164">
        <f t="shared" si="2"/>
        <v>8.75</v>
      </c>
      <c r="AJ6" s="164">
        <f t="shared" si="2"/>
        <v>8.75</v>
      </c>
      <c r="AK6" s="164"/>
      <c r="AL6" s="164"/>
      <c r="AM6" s="165"/>
      <c r="AN6" s="165"/>
      <c r="AO6" s="165"/>
      <c r="AP6" s="165"/>
      <c r="AQ6" s="165"/>
      <c r="AR6" s="165"/>
      <c r="AS6" s="165"/>
    </row>
    <row r="7" spans="1:45" x14ac:dyDescent="0.2">
      <c r="A7" t="s">
        <v>71</v>
      </c>
      <c r="B7" t="s">
        <v>67</v>
      </c>
      <c r="D7" s="44">
        <v>8.75</v>
      </c>
      <c r="E7" s="44">
        <v>8.75</v>
      </c>
      <c r="F7" s="44">
        <v>8.75</v>
      </c>
      <c r="G7" s="44">
        <v>8.75</v>
      </c>
      <c r="H7" s="44">
        <v>8.75</v>
      </c>
      <c r="I7" s="44">
        <v>8.75</v>
      </c>
      <c r="J7" s="44">
        <v>8.75</v>
      </c>
      <c r="K7" s="44">
        <v>8.75</v>
      </c>
      <c r="L7" s="44">
        <v>8.75</v>
      </c>
      <c r="M7" s="44">
        <v>8.75</v>
      </c>
      <c r="N7" s="44">
        <v>8.75</v>
      </c>
      <c r="O7" s="44">
        <v>8.75</v>
      </c>
      <c r="P7" s="44">
        <v>8.75</v>
      </c>
      <c r="Q7" s="44">
        <v>8.75</v>
      </c>
      <c r="R7" s="44">
        <v>8.75</v>
      </c>
      <c r="S7" s="44">
        <v>8.75</v>
      </c>
      <c r="T7" s="44">
        <v>8.75</v>
      </c>
      <c r="U7" s="44">
        <v>8.75</v>
      </c>
      <c r="V7" s="44">
        <v>8.75</v>
      </c>
      <c r="W7" s="44">
        <v>8.75</v>
      </c>
      <c r="X7" s="44">
        <v>8.75</v>
      </c>
      <c r="Y7" s="44">
        <v>8.75</v>
      </c>
      <c r="Z7" s="44">
        <v>8.75</v>
      </c>
      <c r="AA7" s="44">
        <v>8.75</v>
      </c>
      <c r="AB7" s="44">
        <v>8.75</v>
      </c>
      <c r="AC7" s="44">
        <v>8.75</v>
      </c>
      <c r="AD7" s="44">
        <v>8.75</v>
      </c>
      <c r="AE7" s="44">
        <v>8.75</v>
      </c>
      <c r="AF7" s="44">
        <v>8.75</v>
      </c>
      <c r="AG7" s="44">
        <v>8.75</v>
      </c>
      <c r="AH7" s="44">
        <v>8.75</v>
      </c>
      <c r="AI7" s="44">
        <v>8.75</v>
      </c>
      <c r="AJ7" s="44">
        <v>8.75</v>
      </c>
      <c r="AK7" s="5"/>
      <c r="AL7" s="5"/>
    </row>
    <row r="8" spans="1:45" x14ac:dyDescent="0.2">
      <c r="A8" t="s">
        <v>72</v>
      </c>
      <c r="B8" t="s">
        <v>73</v>
      </c>
      <c r="D8" s="45">
        <v>40</v>
      </c>
      <c r="E8" s="45">
        <v>40</v>
      </c>
      <c r="F8" s="45">
        <v>40</v>
      </c>
      <c r="G8" s="45">
        <v>40</v>
      </c>
      <c r="H8" s="45">
        <v>40</v>
      </c>
      <c r="I8" s="45">
        <v>40</v>
      </c>
      <c r="J8" s="45">
        <v>40</v>
      </c>
      <c r="K8" s="45">
        <v>40</v>
      </c>
      <c r="L8" s="45">
        <v>40</v>
      </c>
      <c r="M8" s="45">
        <v>40</v>
      </c>
      <c r="N8" s="45">
        <v>40</v>
      </c>
      <c r="O8" s="45">
        <v>40</v>
      </c>
      <c r="P8" s="45">
        <v>40</v>
      </c>
      <c r="Q8" s="45">
        <v>40</v>
      </c>
      <c r="R8" s="45">
        <v>40</v>
      </c>
      <c r="S8" s="45">
        <v>40</v>
      </c>
      <c r="T8" s="45">
        <v>40</v>
      </c>
      <c r="U8" s="45">
        <v>40</v>
      </c>
      <c r="V8" s="45">
        <v>40</v>
      </c>
      <c r="W8" s="45">
        <v>40</v>
      </c>
      <c r="X8" s="45">
        <v>40</v>
      </c>
      <c r="Y8" s="45">
        <v>40</v>
      </c>
      <c r="Z8" s="45">
        <v>40</v>
      </c>
      <c r="AA8" s="45">
        <v>40</v>
      </c>
      <c r="AB8" s="45">
        <v>40</v>
      </c>
      <c r="AC8" s="45">
        <v>40</v>
      </c>
      <c r="AD8" s="45">
        <v>40</v>
      </c>
      <c r="AE8" s="45">
        <v>40</v>
      </c>
      <c r="AF8" s="45">
        <v>40</v>
      </c>
      <c r="AG8" s="45">
        <v>40</v>
      </c>
      <c r="AH8" s="45">
        <v>40</v>
      </c>
      <c r="AI8" s="45">
        <v>40</v>
      </c>
      <c r="AJ8" s="45">
        <v>40</v>
      </c>
      <c r="AK8" s="5"/>
      <c r="AL8" s="5"/>
    </row>
    <row r="9" spans="1:45" x14ac:dyDescent="0.2">
      <c r="A9" t="s">
        <v>74</v>
      </c>
      <c r="B9" t="s">
        <v>67</v>
      </c>
      <c r="D9" s="44">
        <v>9</v>
      </c>
      <c r="E9" s="44">
        <v>9</v>
      </c>
      <c r="F9" s="44">
        <v>9</v>
      </c>
      <c r="G9" s="44">
        <v>9</v>
      </c>
      <c r="H9" s="44">
        <v>9</v>
      </c>
      <c r="I9" s="44">
        <v>9</v>
      </c>
      <c r="J9" s="44">
        <v>9</v>
      </c>
      <c r="K9" s="44">
        <v>9</v>
      </c>
      <c r="L9" s="44">
        <v>9</v>
      </c>
      <c r="M9" s="44">
        <v>9</v>
      </c>
      <c r="N9" s="44">
        <v>9</v>
      </c>
      <c r="O9" s="44">
        <v>9</v>
      </c>
      <c r="P9" s="44">
        <v>9</v>
      </c>
      <c r="Q9" s="44">
        <v>9</v>
      </c>
      <c r="R9" s="44">
        <v>9</v>
      </c>
      <c r="S9" s="44">
        <v>9</v>
      </c>
      <c r="T9" s="44">
        <v>9</v>
      </c>
      <c r="U9" s="44">
        <v>9</v>
      </c>
      <c r="V9" s="44">
        <v>9</v>
      </c>
      <c r="W9" s="44">
        <v>9</v>
      </c>
      <c r="X9" s="44">
        <v>9</v>
      </c>
      <c r="Y9" s="44">
        <v>9</v>
      </c>
      <c r="Z9" s="44">
        <v>9</v>
      </c>
      <c r="AA9" s="44">
        <v>9</v>
      </c>
      <c r="AB9" s="44">
        <v>9</v>
      </c>
      <c r="AC9" s="44">
        <v>9</v>
      </c>
      <c r="AD9" s="44">
        <v>9</v>
      </c>
      <c r="AE9" s="44">
        <v>9</v>
      </c>
      <c r="AF9" s="44">
        <v>9</v>
      </c>
      <c r="AG9" s="44">
        <v>9</v>
      </c>
      <c r="AH9" s="44">
        <v>9</v>
      </c>
      <c r="AI9" s="44">
        <v>9</v>
      </c>
      <c r="AJ9" s="44">
        <v>9</v>
      </c>
      <c r="AK9" s="5"/>
      <c r="AL9" s="5"/>
    </row>
    <row r="10" spans="1:45" x14ac:dyDescent="0.2">
      <c r="A10" t="s">
        <v>75</v>
      </c>
      <c r="B10" t="s">
        <v>67</v>
      </c>
      <c r="D10" s="46">
        <v>2.5</v>
      </c>
      <c r="E10" s="46">
        <v>2.5</v>
      </c>
      <c r="F10" s="46">
        <v>2.5</v>
      </c>
      <c r="G10" s="46">
        <v>2.5</v>
      </c>
      <c r="H10" s="46">
        <v>2.5</v>
      </c>
      <c r="I10" s="46">
        <v>2.5</v>
      </c>
      <c r="J10" s="46">
        <v>2.5</v>
      </c>
      <c r="K10" s="46">
        <v>2.5</v>
      </c>
      <c r="L10" s="46">
        <v>2.5</v>
      </c>
      <c r="M10" s="46">
        <v>2.5</v>
      </c>
      <c r="N10" s="46">
        <v>2.5</v>
      </c>
      <c r="O10" s="46">
        <v>2.5</v>
      </c>
      <c r="P10" s="46">
        <v>2.5</v>
      </c>
      <c r="Q10" s="46">
        <v>2.5</v>
      </c>
      <c r="R10" s="46">
        <v>2.5</v>
      </c>
      <c r="S10" s="46">
        <v>2.5</v>
      </c>
      <c r="T10" s="46">
        <v>2.5</v>
      </c>
      <c r="U10" s="46">
        <v>2.5</v>
      </c>
      <c r="V10" s="46">
        <v>2.5</v>
      </c>
      <c r="W10" s="46">
        <v>2.5</v>
      </c>
      <c r="X10" s="46">
        <v>2.5</v>
      </c>
      <c r="Y10" s="46">
        <v>2.5</v>
      </c>
      <c r="Z10" s="46">
        <v>2.5</v>
      </c>
      <c r="AA10" s="46">
        <v>2.5</v>
      </c>
      <c r="AB10" s="46">
        <v>2.5</v>
      </c>
      <c r="AC10" s="46">
        <v>2.5</v>
      </c>
      <c r="AD10" s="46">
        <v>2.5</v>
      </c>
      <c r="AE10" s="46">
        <v>2.5</v>
      </c>
      <c r="AF10" s="46">
        <v>2.5</v>
      </c>
      <c r="AG10" s="46">
        <v>2.5</v>
      </c>
      <c r="AH10" s="46">
        <v>2.5</v>
      </c>
      <c r="AI10" s="46">
        <v>2.5</v>
      </c>
      <c r="AJ10" s="46">
        <v>2.5</v>
      </c>
      <c r="AK10" s="5"/>
      <c r="AL10" s="5"/>
    </row>
    <row r="11" spans="1:45" x14ac:dyDescent="0.2">
      <c r="A11" t="s">
        <v>76</v>
      </c>
      <c r="B11" t="s">
        <v>77</v>
      </c>
      <c r="D11" s="46">
        <v>75</v>
      </c>
      <c r="E11" s="46">
        <v>75</v>
      </c>
      <c r="F11" s="46">
        <v>75</v>
      </c>
      <c r="G11" s="46">
        <v>75</v>
      </c>
      <c r="H11" s="46">
        <v>75</v>
      </c>
      <c r="I11" s="46">
        <v>75</v>
      </c>
      <c r="J11" s="46">
        <v>75</v>
      </c>
      <c r="K11" s="46">
        <v>75</v>
      </c>
      <c r="L11" s="46">
        <v>75</v>
      </c>
      <c r="M11" s="46">
        <v>75</v>
      </c>
      <c r="N11" s="46">
        <v>75</v>
      </c>
      <c r="O11" s="46">
        <v>75</v>
      </c>
      <c r="P11" s="46">
        <v>75</v>
      </c>
      <c r="Q11" s="46">
        <v>75</v>
      </c>
      <c r="R11" s="46">
        <v>75</v>
      </c>
      <c r="S11" s="46">
        <v>75</v>
      </c>
      <c r="T11" s="46">
        <v>75</v>
      </c>
      <c r="U11" s="46">
        <v>75</v>
      </c>
      <c r="V11" s="46">
        <v>75</v>
      </c>
      <c r="W11" s="46">
        <v>75</v>
      </c>
      <c r="X11" s="46">
        <v>75</v>
      </c>
      <c r="Y11" s="46">
        <v>75</v>
      </c>
      <c r="Z11" s="46">
        <v>75</v>
      </c>
      <c r="AA11" s="46">
        <v>75</v>
      </c>
      <c r="AB11" s="46">
        <v>75</v>
      </c>
      <c r="AC11" s="46">
        <v>75</v>
      </c>
      <c r="AD11" s="46">
        <v>75</v>
      </c>
      <c r="AE11" s="46">
        <v>75</v>
      </c>
      <c r="AF11" s="46">
        <v>75</v>
      </c>
      <c r="AG11" s="46">
        <v>75</v>
      </c>
      <c r="AH11" s="46">
        <v>75</v>
      </c>
      <c r="AI11" s="46">
        <v>75</v>
      </c>
      <c r="AJ11" s="46">
        <v>75</v>
      </c>
      <c r="AK11" s="5"/>
      <c r="AL11" s="5"/>
    </row>
    <row r="13" spans="1:45" s="69" customFormat="1" x14ac:dyDescent="0.2">
      <c r="A13" s="68" t="s">
        <v>78</v>
      </c>
    </row>
    <row r="14" spans="1:45" s="2" customFormat="1" ht="30" x14ac:dyDescent="0.2">
      <c r="A14" s="136" t="s">
        <v>429</v>
      </c>
      <c r="C14" s="256">
        <v>0</v>
      </c>
      <c r="D14" s="239" t="s">
        <v>578</v>
      </c>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row>
    <row r="15" spans="1:45" s="2" customFormat="1" x14ac:dyDescent="0.2">
      <c r="A15" s="136"/>
      <c r="C15" s="9"/>
      <c r="D15" s="9"/>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row>
    <row r="16" spans="1:45" s="2" customFormat="1" x14ac:dyDescent="0.2">
      <c r="A16" t="s">
        <v>79</v>
      </c>
      <c r="C16" s="182">
        <v>2021</v>
      </c>
      <c r="D16" s="9"/>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row>
    <row r="17" spans="1:37" s="2" customFormat="1" x14ac:dyDescent="0.2">
      <c r="A17" t="s">
        <v>80</v>
      </c>
      <c r="B17" t="s">
        <v>81</v>
      </c>
      <c r="C17" s="182">
        <v>1650</v>
      </c>
      <c r="D17" s="9"/>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row>
    <row r="18" spans="1:37" s="2" customFormat="1" x14ac:dyDescent="0.2">
      <c r="A18" t="s">
        <v>82</v>
      </c>
      <c r="B18"/>
      <c r="C18" s="182">
        <v>2050</v>
      </c>
      <c r="D18" s="9"/>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row>
    <row r="19" spans="1:37" s="2" customFormat="1" x14ac:dyDescent="0.2">
      <c r="A19" t="s">
        <v>83</v>
      </c>
      <c r="B19" t="s">
        <v>69</v>
      </c>
      <c r="C19" s="183">
        <v>0.97</v>
      </c>
      <c r="D19" s="9"/>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row>
    <row r="20" spans="1:37" x14ac:dyDescent="0.2">
      <c r="A20" t="s">
        <v>84</v>
      </c>
      <c r="B20" t="s">
        <v>81</v>
      </c>
      <c r="D20" s="9">
        <f t="shared" ref="D20:AJ20" si="3">IF(D2&lt;$C$16, 0, D21*$C$157)</f>
        <v>0</v>
      </c>
      <c r="E20" s="9">
        <f t="shared" si="3"/>
        <v>0</v>
      </c>
      <c r="F20" s="9">
        <f t="shared" si="3"/>
        <v>0</v>
      </c>
      <c r="G20" s="9">
        <f t="shared" si="3"/>
        <v>0</v>
      </c>
      <c r="H20" s="9">
        <f t="shared" si="3"/>
        <v>825</v>
      </c>
      <c r="I20" s="9">
        <f t="shared" si="3"/>
        <v>1650</v>
      </c>
      <c r="J20" s="9">
        <f t="shared" si="3"/>
        <v>1650</v>
      </c>
      <c r="K20" s="9">
        <f t="shared" si="3"/>
        <v>1650</v>
      </c>
      <c r="L20" s="9">
        <f t="shared" si="3"/>
        <v>1650</v>
      </c>
      <c r="M20" s="9">
        <f t="shared" si="3"/>
        <v>1650</v>
      </c>
      <c r="N20" s="9">
        <f t="shared" si="3"/>
        <v>1650</v>
      </c>
      <c r="O20" s="9">
        <f t="shared" si="3"/>
        <v>1650</v>
      </c>
      <c r="P20" s="9">
        <f t="shared" si="3"/>
        <v>1650</v>
      </c>
      <c r="Q20" s="9">
        <f t="shared" si="3"/>
        <v>1650</v>
      </c>
      <c r="R20" s="9">
        <f t="shared" si="3"/>
        <v>1650</v>
      </c>
      <c r="S20" s="9">
        <f t="shared" si="3"/>
        <v>1650</v>
      </c>
      <c r="T20" s="9">
        <f t="shared" si="3"/>
        <v>1650</v>
      </c>
      <c r="U20" s="9">
        <f t="shared" si="3"/>
        <v>1650</v>
      </c>
      <c r="V20" s="9">
        <f t="shared" si="3"/>
        <v>1650</v>
      </c>
      <c r="W20" s="9">
        <f t="shared" si="3"/>
        <v>1650</v>
      </c>
      <c r="X20" s="9">
        <f t="shared" si="3"/>
        <v>1650</v>
      </c>
      <c r="Y20" s="9">
        <f t="shared" si="3"/>
        <v>1650</v>
      </c>
      <c r="Z20" s="9">
        <f t="shared" si="3"/>
        <v>1650</v>
      </c>
      <c r="AA20" s="9">
        <f t="shared" si="3"/>
        <v>1650</v>
      </c>
      <c r="AB20" s="9">
        <f t="shared" si="3"/>
        <v>1650</v>
      </c>
      <c r="AC20" s="9">
        <f t="shared" si="3"/>
        <v>1650</v>
      </c>
      <c r="AD20" s="9">
        <f t="shared" si="3"/>
        <v>1650</v>
      </c>
      <c r="AE20" s="9">
        <f t="shared" si="3"/>
        <v>1650</v>
      </c>
      <c r="AF20" s="9">
        <f t="shared" si="3"/>
        <v>1650</v>
      </c>
      <c r="AG20" s="9">
        <f t="shared" si="3"/>
        <v>1650</v>
      </c>
      <c r="AH20" s="9">
        <f t="shared" si="3"/>
        <v>1650</v>
      </c>
      <c r="AI20" s="9">
        <f t="shared" si="3"/>
        <v>1650</v>
      </c>
      <c r="AJ20" s="9">
        <f t="shared" si="3"/>
        <v>1650</v>
      </c>
      <c r="AK20" s="8">
        <f>SUM(D20:AJ20)</f>
        <v>47025</v>
      </c>
    </row>
    <row r="21" spans="1:37" x14ac:dyDescent="0.2">
      <c r="A21" t="s">
        <v>85</v>
      </c>
      <c r="B21" t="s">
        <v>81</v>
      </c>
      <c r="D21" s="165">
        <f t="shared" ref="D21:AJ21" si="4">IF(D2&lt;$C$16,0,IF(C21=0,$C$17/2,IF(D2&gt;=$C$18,$C$19*C21,$C$17)))</f>
        <v>0</v>
      </c>
      <c r="E21" s="165">
        <f t="shared" si="4"/>
        <v>0</v>
      </c>
      <c r="F21" s="165">
        <f t="shared" si="4"/>
        <v>0</v>
      </c>
      <c r="G21" s="165">
        <f t="shared" si="4"/>
        <v>0</v>
      </c>
      <c r="H21" s="165">
        <f t="shared" si="4"/>
        <v>825</v>
      </c>
      <c r="I21" s="165">
        <f t="shared" si="4"/>
        <v>1650</v>
      </c>
      <c r="J21" s="165">
        <f t="shared" si="4"/>
        <v>1650</v>
      </c>
      <c r="K21" s="165">
        <f t="shared" si="4"/>
        <v>1650</v>
      </c>
      <c r="L21" s="165">
        <f t="shared" si="4"/>
        <v>1650</v>
      </c>
      <c r="M21" s="165">
        <f t="shared" si="4"/>
        <v>1650</v>
      </c>
      <c r="N21" s="165">
        <f t="shared" si="4"/>
        <v>1650</v>
      </c>
      <c r="O21" s="165">
        <f t="shared" si="4"/>
        <v>1650</v>
      </c>
      <c r="P21" s="165">
        <f t="shared" si="4"/>
        <v>1650</v>
      </c>
      <c r="Q21" s="165">
        <f t="shared" si="4"/>
        <v>1650</v>
      </c>
      <c r="R21" s="165">
        <f t="shared" si="4"/>
        <v>1650</v>
      </c>
      <c r="S21" s="165">
        <f t="shared" si="4"/>
        <v>1650</v>
      </c>
      <c r="T21" s="165">
        <f t="shared" si="4"/>
        <v>1650</v>
      </c>
      <c r="U21" s="165">
        <f t="shared" si="4"/>
        <v>1650</v>
      </c>
      <c r="V21" s="165">
        <f t="shared" si="4"/>
        <v>1650</v>
      </c>
      <c r="W21" s="165">
        <f t="shared" si="4"/>
        <v>1650</v>
      </c>
      <c r="X21" s="165">
        <f t="shared" si="4"/>
        <v>1650</v>
      </c>
      <c r="Y21" s="165">
        <f t="shared" si="4"/>
        <v>1650</v>
      </c>
      <c r="Z21" s="165">
        <f t="shared" si="4"/>
        <v>1650</v>
      </c>
      <c r="AA21" s="165">
        <f t="shared" si="4"/>
        <v>1650</v>
      </c>
      <c r="AB21" s="165">
        <f t="shared" si="4"/>
        <v>1650</v>
      </c>
      <c r="AC21" s="165">
        <f t="shared" si="4"/>
        <v>1650</v>
      </c>
      <c r="AD21" s="165">
        <f t="shared" si="4"/>
        <v>1650</v>
      </c>
      <c r="AE21" s="165">
        <f t="shared" si="4"/>
        <v>1650</v>
      </c>
      <c r="AF21" s="165">
        <f t="shared" si="4"/>
        <v>1650</v>
      </c>
      <c r="AG21" s="165">
        <f t="shared" si="4"/>
        <v>1650</v>
      </c>
      <c r="AH21" s="165">
        <f t="shared" si="4"/>
        <v>1650</v>
      </c>
      <c r="AI21" s="165">
        <f t="shared" si="4"/>
        <v>1650</v>
      </c>
      <c r="AJ21" s="165">
        <f t="shared" si="4"/>
        <v>1650</v>
      </c>
      <c r="AK21" s="8">
        <f>SUM(D21:AJ21)</f>
        <v>47025</v>
      </c>
    </row>
    <row r="22" spans="1:37" x14ac:dyDescent="0.2">
      <c r="A22" t="s">
        <v>86</v>
      </c>
      <c r="B22" t="s">
        <v>81</v>
      </c>
      <c r="D22" s="80">
        <v>0</v>
      </c>
      <c r="E22" s="80">
        <v>0</v>
      </c>
      <c r="F22" s="80">
        <v>0</v>
      </c>
      <c r="G22" s="80">
        <v>0</v>
      </c>
      <c r="H22" s="80">
        <v>825</v>
      </c>
      <c r="I22" s="80">
        <v>1650</v>
      </c>
      <c r="J22" s="80">
        <v>1650</v>
      </c>
      <c r="K22" s="80">
        <v>1650</v>
      </c>
      <c r="L22" s="80">
        <v>1650</v>
      </c>
      <c r="M22" s="80">
        <v>1650</v>
      </c>
      <c r="N22" s="80">
        <v>1650</v>
      </c>
      <c r="O22" s="80">
        <v>1650</v>
      </c>
      <c r="P22" s="80">
        <v>1650</v>
      </c>
      <c r="Q22" s="80">
        <v>1650</v>
      </c>
      <c r="R22" s="80">
        <v>1650</v>
      </c>
      <c r="S22" s="80">
        <v>1650</v>
      </c>
      <c r="T22" s="80">
        <v>1650</v>
      </c>
      <c r="U22" s="80">
        <v>1650</v>
      </c>
      <c r="V22" s="80">
        <v>1650</v>
      </c>
      <c r="W22" s="80">
        <v>1650</v>
      </c>
      <c r="X22" s="80">
        <v>1650</v>
      </c>
      <c r="Y22" s="80">
        <v>1650</v>
      </c>
      <c r="Z22" s="80">
        <v>1650</v>
      </c>
      <c r="AA22" s="80">
        <v>1650</v>
      </c>
      <c r="AB22" s="80">
        <v>1650</v>
      </c>
      <c r="AC22" s="80">
        <v>1650</v>
      </c>
      <c r="AD22" s="80">
        <v>1650</v>
      </c>
      <c r="AE22" s="80">
        <v>1650</v>
      </c>
      <c r="AF22" s="80">
        <v>1650</v>
      </c>
      <c r="AG22" s="80">
        <v>1650</v>
      </c>
      <c r="AH22" s="80">
        <v>1650</v>
      </c>
      <c r="AI22" s="80">
        <v>1650</v>
      </c>
      <c r="AJ22" s="80">
        <v>1650</v>
      </c>
      <c r="AK22" s="8">
        <f>SUM(D22:AJ22)</f>
        <v>47025</v>
      </c>
    </row>
    <row r="23" spans="1:37" x14ac:dyDescent="0.2">
      <c r="A23" t="s">
        <v>87</v>
      </c>
      <c r="B23" t="s">
        <v>81</v>
      </c>
      <c r="D23" s="80">
        <v>0</v>
      </c>
      <c r="E23" s="80">
        <v>0</v>
      </c>
      <c r="F23" s="80">
        <v>0</v>
      </c>
      <c r="G23" s="80">
        <v>0</v>
      </c>
      <c r="H23" s="80">
        <v>0</v>
      </c>
      <c r="I23" s="80">
        <v>0</v>
      </c>
      <c r="J23" s="80">
        <v>0</v>
      </c>
      <c r="K23" s="80">
        <v>0</v>
      </c>
      <c r="L23" s="80">
        <v>0</v>
      </c>
      <c r="M23" s="80">
        <v>0</v>
      </c>
      <c r="N23" s="80">
        <v>0</v>
      </c>
      <c r="O23" s="80">
        <v>0</v>
      </c>
      <c r="P23" s="80">
        <v>0</v>
      </c>
      <c r="Q23" s="80">
        <v>0</v>
      </c>
      <c r="R23" s="80">
        <v>0</v>
      </c>
      <c r="S23" s="80">
        <v>0</v>
      </c>
      <c r="T23" s="80">
        <v>0</v>
      </c>
      <c r="U23" s="80">
        <v>0</v>
      </c>
      <c r="V23" s="80">
        <v>0</v>
      </c>
      <c r="W23" s="80">
        <f t="shared" ref="W23:AJ23" si="5">0.97*V23</f>
        <v>0</v>
      </c>
      <c r="X23" s="80">
        <f t="shared" si="5"/>
        <v>0</v>
      </c>
      <c r="Y23" s="80">
        <f t="shared" si="5"/>
        <v>0</v>
      </c>
      <c r="Z23" s="80">
        <f t="shared" si="5"/>
        <v>0</v>
      </c>
      <c r="AA23" s="80">
        <f t="shared" si="5"/>
        <v>0</v>
      </c>
      <c r="AB23" s="80">
        <f t="shared" si="5"/>
        <v>0</v>
      </c>
      <c r="AC23" s="80">
        <f t="shared" si="5"/>
        <v>0</v>
      </c>
      <c r="AD23" s="80">
        <f t="shared" si="5"/>
        <v>0</v>
      </c>
      <c r="AE23" s="80">
        <f t="shared" si="5"/>
        <v>0</v>
      </c>
      <c r="AF23" s="80">
        <f t="shared" si="5"/>
        <v>0</v>
      </c>
      <c r="AG23" s="80">
        <f t="shared" si="5"/>
        <v>0</v>
      </c>
      <c r="AH23" s="80">
        <f t="shared" si="5"/>
        <v>0</v>
      </c>
      <c r="AI23" s="80">
        <f t="shared" si="5"/>
        <v>0</v>
      </c>
      <c r="AJ23" s="80">
        <f t="shared" si="5"/>
        <v>0</v>
      </c>
      <c r="AK23" s="8">
        <f>SUM(D23:AJ23)</f>
        <v>0</v>
      </c>
    </row>
    <row r="24" spans="1:37" x14ac:dyDescent="0.2">
      <c r="A24" t="s">
        <v>88</v>
      </c>
      <c r="B24" t="s">
        <v>89</v>
      </c>
      <c r="D24" s="49">
        <v>0.1</v>
      </c>
      <c r="E24" s="49">
        <v>0.1</v>
      </c>
      <c r="F24" s="49">
        <v>0.1</v>
      </c>
      <c r="G24" s="49">
        <v>0.1</v>
      </c>
      <c r="H24" s="49">
        <v>0.1</v>
      </c>
      <c r="I24" s="49">
        <v>0.1</v>
      </c>
      <c r="J24" s="49">
        <v>0.1</v>
      </c>
      <c r="K24" s="49">
        <v>0.1</v>
      </c>
      <c r="L24" s="49">
        <v>0.1</v>
      </c>
      <c r="M24" s="49">
        <v>0.1</v>
      </c>
      <c r="N24" s="49">
        <v>0.1</v>
      </c>
      <c r="O24" s="49">
        <v>0.1</v>
      </c>
      <c r="P24" s="49">
        <v>0.1</v>
      </c>
      <c r="Q24" s="49">
        <v>0.1</v>
      </c>
      <c r="R24" s="49">
        <v>0.1</v>
      </c>
      <c r="S24" s="49">
        <v>0.1</v>
      </c>
      <c r="T24" s="49">
        <v>0.1</v>
      </c>
      <c r="U24" s="49">
        <v>0.1</v>
      </c>
      <c r="V24" s="49">
        <v>0.1</v>
      </c>
      <c r="W24" s="49">
        <v>0.1</v>
      </c>
      <c r="X24" s="49">
        <v>0.1</v>
      </c>
      <c r="Y24" s="49">
        <v>0.1</v>
      </c>
      <c r="Z24" s="49">
        <v>0.1</v>
      </c>
      <c r="AA24" s="49">
        <v>0.1</v>
      </c>
      <c r="AB24" s="49">
        <v>0.1</v>
      </c>
      <c r="AC24" s="49">
        <v>0.1</v>
      </c>
      <c r="AD24" s="49">
        <v>0.1</v>
      </c>
      <c r="AE24" s="49">
        <v>0.1</v>
      </c>
      <c r="AF24" s="49">
        <v>0.1</v>
      </c>
      <c r="AG24" s="49">
        <v>0.1</v>
      </c>
      <c r="AH24" s="49">
        <v>0.1</v>
      </c>
      <c r="AI24" s="49">
        <v>0.1</v>
      </c>
      <c r="AJ24" s="49">
        <v>0.1</v>
      </c>
      <c r="AK24" s="8"/>
    </row>
    <row r="25" spans="1:37" x14ac:dyDescent="0.2">
      <c r="A25" t="s">
        <v>90</v>
      </c>
      <c r="B25" t="s">
        <v>91</v>
      </c>
      <c r="D25" s="43">
        <v>1</v>
      </c>
      <c r="E25" s="43">
        <v>1</v>
      </c>
      <c r="F25" s="43">
        <v>1</v>
      </c>
      <c r="G25" s="43">
        <v>1</v>
      </c>
      <c r="H25" s="43">
        <v>1</v>
      </c>
      <c r="I25" s="43">
        <v>1</v>
      </c>
      <c r="J25" s="43">
        <v>1</v>
      </c>
      <c r="K25" s="43">
        <v>0.95</v>
      </c>
      <c r="L25" s="43">
        <v>1</v>
      </c>
      <c r="M25" s="43">
        <v>1</v>
      </c>
      <c r="N25" s="43">
        <v>1</v>
      </c>
      <c r="O25" s="43">
        <v>1</v>
      </c>
      <c r="P25" s="43">
        <v>0.95</v>
      </c>
      <c r="Q25" s="43">
        <v>1</v>
      </c>
      <c r="R25" s="43">
        <v>1</v>
      </c>
      <c r="S25" s="43">
        <v>1</v>
      </c>
      <c r="T25" s="43">
        <v>1</v>
      </c>
      <c r="U25" s="43">
        <v>0.95</v>
      </c>
      <c r="V25" s="43">
        <v>1</v>
      </c>
      <c r="W25" s="43">
        <v>1</v>
      </c>
      <c r="X25" s="43">
        <v>1</v>
      </c>
      <c r="Y25" s="43">
        <v>1</v>
      </c>
      <c r="Z25" s="43">
        <v>0.95</v>
      </c>
      <c r="AA25" s="43">
        <v>1</v>
      </c>
      <c r="AB25" s="43">
        <v>1</v>
      </c>
      <c r="AC25" s="43">
        <v>1</v>
      </c>
      <c r="AD25" s="43">
        <v>1</v>
      </c>
      <c r="AE25" s="43">
        <v>0.95</v>
      </c>
      <c r="AF25" s="43">
        <v>1</v>
      </c>
      <c r="AG25" s="43">
        <v>1</v>
      </c>
      <c r="AH25" s="43">
        <v>1</v>
      </c>
      <c r="AI25" s="43">
        <v>1</v>
      </c>
      <c r="AJ25" s="43">
        <v>1</v>
      </c>
      <c r="AK25" s="8"/>
    </row>
    <row r="26" spans="1:37" x14ac:dyDescent="0.2">
      <c r="A26" t="s">
        <v>92</v>
      </c>
      <c r="B26" t="s">
        <v>89</v>
      </c>
      <c r="D26" s="43">
        <v>0.02</v>
      </c>
      <c r="E26" s="43">
        <v>0.02</v>
      </c>
      <c r="F26" s="43">
        <v>0.02</v>
      </c>
      <c r="G26" s="43">
        <v>0.02</v>
      </c>
      <c r="H26" s="43">
        <v>0.02</v>
      </c>
      <c r="I26" s="43">
        <v>0.02</v>
      </c>
      <c r="J26" s="43">
        <v>0.02</v>
      </c>
      <c r="K26" s="43">
        <v>0.02</v>
      </c>
      <c r="L26" s="43">
        <v>0.02</v>
      </c>
      <c r="M26" s="43">
        <v>0.02</v>
      </c>
      <c r="N26" s="43">
        <v>0.02</v>
      </c>
      <c r="O26" s="43">
        <v>0.02</v>
      </c>
      <c r="P26" s="43">
        <v>0.02</v>
      </c>
      <c r="Q26" s="43">
        <v>0.02</v>
      </c>
      <c r="R26" s="43">
        <v>0.02</v>
      </c>
      <c r="S26" s="43">
        <v>0.02</v>
      </c>
      <c r="T26" s="43">
        <v>0.02</v>
      </c>
      <c r="U26" s="43">
        <v>0.02</v>
      </c>
      <c r="V26" s="43">
        <v>0.02</v>
      </c>
      <c r="W26" s="43">
        <v>0.02</v>
      </c>
      <c r="X26" s="43">
        <v>0.02</v>
      </c>
      <c r="Y26" s="43">
        <v>0.02</v>
      </c>
      <c r="Z26" s="43">
        <v>0.02</v>
      </c>
      <c r="AA26" s="43">
        <v>0.02</v>
      </c>
      <c r="AB26" s="43">
        <v>0.02</v>
      </c>
      <c r="AC26" s="43">
        <v>0.02</v>
      </c>
      <c r="AD26" s="43">
        <v>0.02</v>
      </c>
      <c r="AE26" s="43">
        <v>0.02</v>
      </c>
      <c r="AF26" s="43">
        <v>0.02</v>
      </c>
      <c r="AG26" s="43">
        <v>0.02</v>
      </c>
      <c r="AH26" s="43">
        <v>0.02</v>
      </c>
      <c r="AI26" s="43">
        <v>0.02</v>
      </c>
      <c r="AJ26" s="43">
        <v>0.02</v>
      </c>
      <c r="AK26" s="8"/>
    </row>
    <row r="27" spans="1:37" x14ac:dyDescent="0.2">
      <c r="A27" t="s">
        <v>93</v>
      </c>
      <c r="B27" t="s">
        <v>89</v>
      </c>
      <c r="D27" s="43">
        <v>0</v>
      </c>
      <c r="E27" s="43">
        <v>0.08</v>
      </c>
      <c r="F27" s="43">
        <v>0.08</v>
      </c>
      <c r="G27" s="43">
        <v>0.08</v>
      </c>
      <c r="H27" s="43">
        <v>0.08</v>
      </c>
      <c r="I27" s="43">
        <v>0.08</v>
      </c>
      <c r="J27" s="43">
        <v>0.08</v>
      </c>
      <c r="K27" s="43">
        <v>0.08</v>
      </c>
      <c r="L27" s="43">
        <v>0.08</v>
      </c>
      <c r="M27" s="43">
        <v>0.08</v>
      </c>
      <c r="N27" s="43">
        <v>0.08</v>
      </c>
      <c r="O27" s="43">
        <v>0.08</v>
      </c>
      <c r="P27" s="43">
        <v>0.08</v>
      </c>
      <c r="Q27" s="43">
        <v>0.08</v>
      </c>
      <c r="R27" s="43">
        <v>0.08</v>
      </c>
      <c r="S27" s="43">
        <v>0.08</v>
      </c>
      <c r="T27" s="43">
        <v>0.08</v>
      </c>
      <c r="U27" s="43">
        <v>0.08</v>
      </c>
      <c r="V27" s="43">
        <v>0.08</v>
      </c>
      <c r="W27" s="43">
        <v>0.08</v>
      </c>
      <c r="X27" s="43">
        <v>0.08</v>
      </c>
      <c r="Y27" s="43">
        <v>0.08</v>
      </c>
      <c r="Z27" s="43">
        <v>0.08</v>
      </c>
      <c r="AA27" s="43">
        <v>0.08</v>
      </c>
      <c r="AB27" s="43">
        <v>0.08</v>
      </c>
      <c r="AC27" s="43">
        <v>0.08</v>
      </c>
      <c r="AD27" s="43">
        <v>0.08</v>
      </c>
      <c r="AE27" s="43">
        <v>0.08</v>
      </c>
      <c r="AF27" s="43">
        <v>0.08</v>
      </c>
      <c r="AG27" s="43">
        <v>0.08</v>
      </c>
      <c r="AH27" s="43">
        <v>0.08</v>
      </c>
      <c r="AI27" s="43">
        <v>0.08</v>
      </c>
      <c r="AJ27" s="43">
        <v>0.08</v>
      </c>
      <c r="AK27" s="8"/>
    </row>
    <row r="28" spans="1:37" x14ac:dyDescent="0.2">
      <c r="A28" t="s">
        <v>94</v>
      </c>
      <c r="B28" t="s">
        <v>95</v>
      </c>
      <c r="D28" s="50">
        <f>1/4</f>
        <v>0.25</v>
      </c>
      <c r="E28" s="21">
        <f t="shared" ref="E28:AJ28" si="6">$D$28</f>
        <v>0.25</v>
      </c>
      <c r="F28" s="21">
        <f t="shared" si="6"/>
        <v>0.25</v>
      </c>
      <c r="G28" s="21">
        <f t="shared" si="6"/>
        <v>0.25</v>
      </c>
      <c r="H28" s="21">
        <f t="shared" si="6"/>
        <v>0.25</v>
      </c>
      <c r="I28" s="21">
        <f t="shared" si="6"/>
        <v>0.25</v>
      </c>
      <c r="J28" s="21">
        <f t="shared" si="6"/>
        <v>0.25</v>
      </c>
      <c r="K28" s="21">
        <f t="shared" si="6"/>
        <v>0.25</v>
      </c>
      <c r="L28" s="21">
        <f t="shared" si="6"/>
        <v>0.25</v>
      </c>
      <c r="M28" s="21">
        <f t="shared" si="6"/>
        <v>0.25</v>
      </c>
      <c r="N28" s="21">
        <f t="shared" si="6"/>
        <v>0.25</v>
      </c>
      <c r="O28" s="21">
        <f t="shared" si="6"/>
        <v>0.25</v>
      </c>
      <c r="P28" s="21">
        <f t="shared" si="6"/>
        <v>0.25</v>
      </c>
      <c r="Q28" s="21">
        <f t="shared" si="6"/>
        <v>0.25</v>
      </c>
      <c r="R28" s="21">
        <f t="shared" si="6"/>
        <v>0.25</v>
      </c>
      <c r="S28" s="21">
        <f t="shared" si="6"/>
        <v>0.25</v>
      </c>
      <c r="T28" s="21">
        <f t="shared" si="6"/>
        <v>0.25</v>
      </c>
      <c r="U28" s="21">
        <f t="shared" si="6"/>
        <v>0.25</v>
      </c>
      <c r="V28" s="21">
        <f t="shared" si="6"/>
        <v>0.25</v>
      </c>
      <c r="W28" s="21">
        <f t="shared" si="6"/>
        <v>0.25</v>
      </c>
      <c r="X28" s="21">
        <f t="shared" si="6"/>
        <v>0.25</v>
      </c>
      <c r="Y28" s="21">
        <f t="shared" si="6"/>
        <v>0.25</v>
      </c>
      <c r="Z28" s="21">
        <f t="shared" si="6"/>
        <v>0.25</v>
      </c>
      <c r="AA28" s="21">
        <f t="shared" si="6"/>
        <v>0.25</v>
      </c>
      <c r="AB28" s="21">
        <f t="shared" si="6"/>
        <v>0.25</v>
      </c>
      <c r="AC28" s="21">
        <f t="shared" si="6"/>
        <v>0.25</v>
      </c>
      <c r="AD28" s="21">
        <f t="shared" si="6"/>
        <v>0.25</v>
      </c>
      <c r="AE28" s="21">
        <f t="shared" si="6"/>
        <v>0.25</v>
      </c>
      <c r="AF28" s="21">
        <f t="shared" si="6"/>
        <v>0.25</v>
      </c>
      <c r="AG28" s="21">
        <f t="shared" si="6"/>
        <v>0.25</v>
      </c>
      <c r="AH28" s="21">
        <f t="shared" si="6"/>
        <v>0.25</v>
      </c>
      <c r="AI28" s="21">
        <f t="shared" si="6"/>
        <v>0.25</v>
      </c>
      <c r="AJ28" s="21">
        <f t="shared" si="6"/>
        <v>0.25</v>
      </c>
    </row>
    <row r="29" spans="1:37" x14ac:dyDescent="0.2">
      <c r="D29" s="20"/>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row>
    <row r="31" spans="1:37" ht="14.45" customHeight="1" x14ac:dyDescent="0.25">
      <c r="A31" s="19"/>
      <c r="D31" s="25"/>
    </row>
    <row r="32" spans="1:37" s="69" customFormat="1" ht="14.45" customHeight="1" x14ac:dyDescent="0.25">
      <c r="A32" s="72" t="s">
        <v>96</v>
      </c>
      <c r="D32" s="73"/>
    </row>
    <row r="33" spans="1:37" s="69" customFormat="1" ht="14.45" customHeight="1" x14ac:dyDescent="0.2">
      <c r="A33" s="74" t="s">
        <v>97</v>
      </c>
      <c r="B33" s="75"/>
    </row>
    <row r="34" spans="1:37" ht="14.45" customHeight="1" x14ac:dyDescent="0.2">
      <c r="A34" t="s">
        <v>98</v>
      </c>
      <c r="B34" s="51" t="s">
        <v>99</v>
      </c>
      <c r="D34" s="48">
        <v>0</v>
      </c>
      <c r="E34" s="48">
        <v>100</v>
      </c>
      <c r="F34" s="48">
        <v>200</v>
      </c>
      <c r="G34" s="48">
        <v>500</v>
      </c>
      <c r="H34" s="48">
        <v>500</v>
      </c>
      <c r="I34" s="48">
        <v>0</v>
      </c>
      <c r="J34" s="48">
        <v>0</v>
      </c>
      <c r="K34" s="48">
        <v>0</v>
      </c>
      <c r="L34" s="48">
        <v>0</v>
      </c>
      <c r="M34" s="48">
        <v>0</v>
      </c>
      <c r="N34" s="48">
        <v>0</v>
      </c>
      <c r="O34" s="48">
        <v>0</v>
      </c>
      <c r="P34" s="48">
        <v>0</v>
      </c>
      <c r="Q34" s="48">
        <v>0</v>
      </c>
      <c r="R34" s="48">
        <v>0</v>
      </c>
      <c r="S34" s="48">
        <v>0</v>
      </c>
      <c r="T34" s="48">
        <v>0</v>
      </c>
      <c r="U34" s="48">
        <v>0</v>
      </c>
      <c r="V34" s="48">
        <v>0</v>
      </c>
      <c r="W34" s="48">
        <v>0</v>
      </c>
      <c r="X34" s="48">
        <v>0</v>
      </c>
      <c r="Y34" s="48">
        <v>0</v>
      </c>
      <c r="Z34" s="48">
        <v>0</v>
      </c>
      <c r="AA34" s="48">
        <v>0</v>
      </c>
      <c r="AB34" s="48">
        <v>0</v>
      </c>
      <c r="AC34" s="48">
        <v>0</v>
      </c>
      <c r="AD34" s="48">
        <v>0</v>
      </c>
      <c r="AE34" s="48">
        <v>0</v>
      </c>
      <c r="AF34" s="48">
        <v>0</v>
      </c>
      <c r="AG34" s="48">
        <v>0</v>
      </c>
      <c r="AH34" s="48">
        <v>0</v>
      </c>
      <c r="AI34" s="48">
        <v>0</v>
      </c>
      <c r="AJ34" s="48">
        <v>0</v>
      </c>
      <c r="AK34" s="8">
        <f t="shared" ref="AK34:AK39" si="7">SUM(D34:AJ34)</f>
        <v>1300</v>
      </c>
    </row>
    <row r="35" spans="1:37" ht="14.45" customHeight="1" x14ac:dyDescent="0.2">
      <c r="A35" t="s">
        <v>100</v>
      </c>
      <c r="B35" s="51" t="s">
        <v>99</v>
      </c>
      <c r="D35" s="48">
        <v>200</v>
      </c>
      <c r="E35" s="48">
        <v>300</v>
      </c>
      <c r="F35" s="48">
        <v>300</v>
      </c>
      <c r="G35" s="48">
        <v>300</v>
      </c>
      <c r="H35" s="48">
        <v>0</v>
      </c>
      <c r="I35" s="48">
        <v>0</v>
      </c>
      <c r="J35" s="48">
        <v>0</v>
      </c>
      <c r="K35" s="48">
        <v>0</v>
      </c>
      <c r="L35" s="48">
        <v>0</v>
      </c>
      <c r="M35" s="48">
        <v>0</v>
      </c>
      <c r="N35" s="48">
        <v>0</v>
      </c>
      <c r="O35" s="48">
        <v>0</v>
      </c>
      <c r="P35" s="48">
        <v>0</v>
      </c>
      <c r="Q35" s="48">
        <v>0</v>
      </c>
      <c r="R35" s="48">
        <v>0</v>
      </c>
      <c r="S35" s="48">
        <v>0</v>
      </c>
      <c r="T35" s="48">
        <v>0</v>
      </c>
      <c r="U35" s="48">
        <v>0</v>
      </c>
      <c r="V35" s="48">
        <v>0</v>
      </c>
      <c r="W35" s="48">
        <v>0</v>
      </c>
      <c r="X35" s="48">
        <v>0</v>
      </c>
      <c r="Y35" s="48">
        <v>0</v>
      </c>
      <c r="Z35" s="48">
        <v>0</v>
      </c>
      <c r="AA35" s="48">
        <v>0</v>
      </c>
      <c r="AB35" s="48">
        <v>0</v>
      </c>
      <c r="AC35" s="48">
        <v>0</v>
      </c>
      <c r="AD35" s="48">
        <v>0</v>
      </c>
      <c r="AE35" s="48">
        <v>0</v>
      </c>
      <c r="AF35" s="48">
        <v>0</v>
      </c>
      <c r="AG35" s="48">
        <v>0</v>
      </c>
      <c r="AH35" s="48">
        <v>0</v>
      </c>
      <c r="AI35" s="48">
        <v>0</v>
      </c>
      <c r="AJ35" s="48">
        <v>0</v>
      </c>
      <c r="AK35" s="8">
        <f t="shared" si="7"/>
        <v>1100</v>
      </c>
    </row>
    <row r="36" spans="1:37" ht="14.45" customHeight="1" x14ac:dyDescent="0.2">
      <c r="A36" t="s">
        <v>101</v>
      </c>
      <c r="B36" s="51" t="s">
        <v>99</v>
      </c>
      <c r="D36" s="48">
        <v>0</v>
      </c>
      <c r="E36" s="48"/>
      <c r="F36" s="48">
        <v>300</v>
      </c>
      <c r="G36" s="48">
        <v>1000</v>
      </c>
      <c r="H36" s="48">
        <v>1000</v>
      </c>
      <c r="I36" s="48">
        <v>200</v>
      </c>
      <c r="J36" s="48">
        <v>0</v>
      </c>
      <c r="K36" s="48">
        <v>0</v>
      </c>
      <c r="L36" s="48">
        <v>0</v>
      </c>
      <c r="M36" s="48">
        <v>0</v>
      </c>
      <c r="N36" s="48">
        <v>0</v>
      </c>
      <c r="O36" s="48">
        <v>0</v>
      </c>
      <c r="P36" s="48">
        <v>0</v>
      </c>
      <c r="Q36" s="48">
        <v>0</v>
      </c>
      <c r="R36" s="48">
        <v>0</v>
      </c>
      <c r="S36" s="48">
        <v>0</v>
      </c>
      <c r="T36" s="48">
        <v>0</v>
      </c>
      <c r="U36" s="48">
        <v>0</v>
      </c>
      <c r="V36" s="48">
        <v>0</v>
      </c>
      <c r="W36" s="48">
        <v>0</v>
      </c>
      <c r="X36" s="48">
        <v>0</v>
      </c>
      <c r="Y36" s="48">
        <v>0</v>
      </c>
      <c r="Z36" s="48">
        <v>0</v>
      </c>
      <c r="AA36" s="48">
        <v>0</v>
      </c>
      <c r="AB36" s="48">
        <v>0</v>
      </c>
      <c r="AC36" s="48">
        <v>0</v>
      </c>
      <c r="AD36" s="48">
        <v>0</v>
      </c>
      <c r="AE36" s="48">
        <v>0</v>
      </c>
      <c r="AF36" s="48">
        <v>0</v>
      </c>
      <c r="AG36" s="48">
        <v>0</v>
      </c>
      <c r="AH36" s="48">
        <v>0</v>
      </c>
      <c r="AI36" s="48">
        <v>0</v>
      </c>
      <c r="AJ36" s="48">
        <v>0</v>
      </c>
      <c r="AK36" s="8">
        <f t="shared" si="7"/>
        <v>2500</v>
      </c>
    </row>
    <row r="37" spans="1:37" ht="14.45" customHeight="1" x14ac:dyDescent="0.2">
      <c r="A37" t="s">
        <v>102</v>
      </c>
      <c r="B37" s="51" t="s">
        <v>99</v>
      </c>
      <c r="D37" s="48">
        <v>0</v>
      </c>
      <c r="E37" s="48">
        <v>0</v>
      </c>
      <c r="F37" s="48"/>
      <c r="G37" s="48">
        <v>50</v>
      </c>
      <c r="H37" s="48">
        <v>100</v>
      </c>
      <c r="I37" s="48">
        <v>50</v>
      </c>
      <c r="J37" s="48">
        <v>0</v>
      </c>
      <c r="K37" s="48">
        <v>0</v>
      </c>
      <c r="L37" s="48">
        <v>0</v>
      </c>
      <c r="M37" s="48">
        <v>0</v>
      </c>
      <c r="N37" s="48">
        <v>0</v>
      </c>
      <c r="O37" s="48">
        <v>0</v>
      </c>
      <c r="P37" s="48">
        <v>0</v>
      </c>
      <c r="Q37" s="48">
        <v>0</v>
      </c>
      <c r="R37" s="48">
        <v>0</v>
      </c>
      <c r="S37" s="48">
        <v>0</v>
      </c>
      <c r="T37" s="48">
        <v>0</v>
      </c>
      <c r="U37" s="48">
        <v>0</v>
      </c>
      <c r="V37" s="48">
        <v>0</v>
      </c>
      <c r="W37" s="48">
        <v>0</v>
      </c>
      <c r="X37" s="48">
        <v>0</v>
      </c>
      <c r="Y37" s="48">
        <v>0</v>
      </c>
      <c r="Z37" s="48">
        <v>0</v>
      </c>
      <c r="AA37" s="48">
        <v>0</v>
      </c>
      <c r="AB37" s="48">
        <v>0</v>
      </c>
      <c r="AC37" s="48">
        <v>0</v>
      </c>
      <c r="AD37" s="48">
        <v>0</v>
      </c>
      <c r="AE37" s="48">
        <v>0</v>
      </c>
      <c r="AF37" s="48">
        <v>0</v>
      </c>
      <c r="AG37" s="48">
        <v>0</v>
      </c>
      <c r="AH37" s="48">
        <v>0</v>
      </c>
      <c r="AI37" s="48">
        <v>0</v>
      </c>
      <c r="AJ37" s="48">
        <v>0</v>
      </c>
      <c r="AK37" s="8">
        <f t="shared" si="7"/>
        <v>200</v>
      </c>
    </row>
    <row r="38" spans="1:37" ht="14.45" customHeight="1" x14ac:dyDescent="0.2">
      <c r="A38" t="s">
        <v>103</v>
      </c>
      <c r="B38" s="51" t="s">
        <v>99</v>
      </c>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8">
        <f t="shared" si="7"/>
        <v>0</v>
      </c>
    </row>
    <row r="39" spans="1:37" s="52" customFormat="1" ht="14.45" customHeight="1" x14ac:dyDescent="0.2">
      <c r="A39" s="52" t="s">
        <v>104</v>
      </c>
      <c r="B39" s="100" t="s">
        <v>99</v>
      </c>
      <c r="D39" s="53">
        <v>0</v>
      </c>
      <c r="E39" s="53">
        <v>20</v>
      </c>
      <c r="F39" s="53">
        <v>50</v>
      </c>
      <c r="G39" s="53">
        <v>50</v>
      </c>
      <c r="H39" s="53">
        <v>50</v>
      </c>
      <c r="I39" s="53">
        <v>20</v>
      </c>
      <c r="J39" s="53">
        <v>0</v>
      </c>
      <c r="K39" s="53">
        <v>0</v>
      </c>
      <c r="L39" s="53">
        <v>0</v>
      </c>
      <c r="M39" s="53">
        <v>0</v>
      </c>
      <c r="N39" s="53">
        <v>0</v>
      </c>
      <c r="O39" s="53">
        <v>0</v>
      </c>
      <c r="P39" s="53">
        <v>0</v>
      </c>
      <c r="Q39" s="53">
        <v>0</v>
      </c>
      <c r="R39" s="53">
        <v>0</v>
      </c>
      <c r="S39" s="53">
        <v>0</v>
      </c>
      <c r="T39" s="53">
        <v>0</v>
      </c>
      <c r="U39" s="53">
        <v>0</v>
      </c>
      <c r="V39" s="53">
        <v>0</v>
      </c>
      <c r="W39" s="53">
        <v>0</v>
      </c>
      <c r="X39" s="53">
        <v>0</v>
      </c>
      <c r="Y39" s="53">
        <v>0</v>
      </c>
      <c r="Z39" s="53">
        <v>0</v>
      </c>
      <c r="AA39" s="53">
        <v>0</v>
      </c>
      <c r="AB39" s="53">
        <v>0</v>
      </c>
      <c r="AC39" s="53">
        <v>0</v>
      </c>
      <c r="AD39" s="53">
        <v>0</v>
      </c>
      <c r="AE39" s="53">
        <v>0</v>
      </c>
      <c r="AF39" s="53">
        <v>0</v>
      </c>
      <c r="AG39" s="53">
        <v>0</v>
      </c>
      <c r="AH39" s="53">
        <v>0</v>
      </c>
      <c r="AI39" s="53">
        <v>0</v>
      </c>
      <c r="AJ39" s="53">
        <v>0</v>
      </c>
      <c r="AK39" s="54">
        <f t="shared" si="7"/>
        <v>190</v>
      </c>
    </row>
    <row r="40" spans="1:37" ht="14.45" customHeight="1" x14ac:dyDescent="0.2">
      <c r="A40" t="s">
        <v>105</v>
      </c>
      <c r="B40" t="s">
        <v>99</v>
      </c>
      <c r="D40" s="8">
        <f t="shared" ref="D40:AK40" si="8">SUM(D34:D39)*$C$161</f>
        <v>200</v>
      </c>
      <c r="E40" s="8">
        <f t="shared" si="8"/>
        <v>420</v>
      </c>
      <c r="F40" s="8">
        <f t="shared" si="8"/>
        <v>850</v>
      </c>
      <c r="G40" s="8">
        <f t="shared" si="8"/>
        <v>1900</v>
      </c>
      <c r="H40" s="8">
        <f t="shared" si="8"/>
        <v>1650</v>
      </c>
      <c r="I40" s="8">
        <f t="shared" si="8"/>
        <v>270</v>
      </c>
      <c r="J40" s="8">
        <f t="shared" si="8"/>
        <v>0</v>
      </c>
      <c r="K40" s="8">
        <f t="shared" si="8"/>
        <v>0</v>
      </c>
      <c r="L40" s="8">
        <f t="shared" si="8"/>
        <v>0</v>
      </c>
      <c r="M40" s="8">
        <f t="shared" si="8"/>
        <v>0</v>
      </c>
      <c r="N40" s="8">
        <f t="shared" si="8"/>
        <v>0</v>
      </c>
      <c r="O40" s="8">
        <f t="shared" si="8"/>
        <v>0</v>
      </c>
      <c r="P40" s="8">
        <f t="shared" si="8"/>
        <v>0</v>
      </c>
      <c r="Q40" s="8">
        <f t="shared" si="8"/>
        <v>0</v>
      </c>
      <c r="R40" s="8">
        <f t="shared" si="8"/>
        <v>0</v>
      </c>
      <c r="S40" s="8">
        <f t="shared" si="8"/>
        <v>0</v>
      </c>
      <c r="T40" s="8">
        <f t="shared" si="8"/>
        <v>0</v>
      </c>
      <c r="U40" s="8">
        <f t="shared" si="8"/>
        <v>0</v>
      </c>
      <c r="V40" s="8">
        <f t="shared" si="8"/>
        <v>0</v>
      </c>
      <c r="W40" s="8">
        <f t="shared" si="8"/>
        <v>0</v>
      </c>
      <c r="X40" s="8">
        <f t="shared" si="8"/>
        <v>0</v>
      </c>
      <c r="Y40" s="8">
        <f t="shared" si="8"/>
        <v>0</v>
      </c>
      <c r="Z40" s="8">
        <f t="shared" si="8"/>
        <v>0</v>
      </c>
      <c r="AA40" s="8">
        <f t="shared" si="8"/>
        <v>0</v>
      </c>
      <c r="AB40" s="8">
        <f t="shared" si="8"/>
        <v>0</v>
      </c>
      <c r="AC40" s="8">
        <f t="shared" si="8"/>
        <v>0</v>
      </c>
      <c r="AD40" s="8">
        <f t="shared" si="8"/>
        <v>0</v>
      </c>
      <c r="AE40" s="8">
        <f t="shared" si="8"/>
        <v>0</v>
      </c>
      <c r="AF40" s="8">
        <f t="shared" si="8"/>
        <v>0</v>
      </c>
      <c r="AG40" s="8">
        <f t="shared" si="8"/>
        <v>0</v>
      </c>
      <c r="AH40" s="8">
        <f t="shared" si="8"/>
        <v>0</v>
      </c>
      <c r="AI40" s="8">
        <f t="shared" si="8"/>
        <v>0</v>
      </c>
      <c r="AJ40" s="8">
        <f t="shared" si="8"/>
        <v>0</v>
      </c>
      <c r="AK40" s="8">
        <f t="shared" si="8"/>
        <v>5290</v>
      </c>
    </row>
    <row r="41" spans="1:37" ht="14.45" customHeight="1" x14ac:dyDescent="0.2">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row>
    <row r="42" spans="1:37" s="69" customFormat="1" ht="14.45" customHeight="1" x14ac:dyDescent="0.2">
      <c r="A42" s="74" t="s">
        <v>106</v>
      </c>
    </row>
    <row r="43" spans="1:37" ht="14.45" customHeight="1" x14ac:dyDescent="0.2">
      <c r="A43" t="s">
        <v>98</v>
      </c>
      <c r="B43" s="51" t="s">
        <v>99</v>
      </c>
      <c r="D43" s="48">
        <v>0</v>
      </c>
      <c r="E43" s="48">
        <v>100</v>
      </c>
      <c r="F43" s="48">
        <v>200</v>
      </c>
      <c r="G43" s="48">
        <v>500</v>
      </c>
      <c r="H43" s="48">
        <v>500</v>
      </c>
      <c r="I43" s="48">
        <v>0</v>
      </c>
      <c r="J43" s="48">
        <v>0</v>
      </c>
      <c r="K43" s="48">
        <v>0</v>
      </c>
      <c r="L43" s="48">
        <v>0</v>
      </c>
      <c r="M43" s="48">
        <v>0</v>
      </c>
      <c r="N43" s="48">
        <v>0</v>
      </c>
      <c r="O43" s="48">
        <v>0</v>
      </c>
      <c r="P43" s="48">
        <v>0</v>
      </c>
      <c r="Q43" s="48">
        <v>0</v>
      </c>
      <c r="R43" s="48">
        <v>0</v>
      </c>
      <c r="S43" s="48">
        <v>0</v>
      </c>
      <c r="T43" s="48">
        <v>0</v>
      </c>
      <c r="U43" s="48">
        <v>0</v>
      </c>
      <c r="V43" s="48">
        <v>0</v>
      </c>
      <c r="W43" s="48">
        <v>0</v>
      </c>
      <c r="X43" s="48">
        <v>0</v>
      </c>
      <c r="Y43" s="48">
        <v>0</v>
      </c>
      <c r="Z43" s="48">
        <v>0</v>
      </c>
      <c r="AA43" s="48">
        <v>0</v>
      </c>
      <c r="AB43" s="48">
        <v>0</v>
      </c>
      <c r="AC43" s="48">
        <v>0</v>
      </c>
      <c r="AD43" s="48">
        <v>0</v>
      </c>
      <c r="AE43" s="48">
        <v>0</v>
      </c>
      <c r="AF43" s="48">
        <v>0</v>
      </c>
      <c r="AG43" s="48">
        <v>0</v>
      </c>
      <c r="AH43" s="48">
        <v>0</v>
      </c>
      <c r="AI43" s="48">
        <v>0</v>
      </c>
      <c r="AJ43" s="48">
        <v>0</v>
      </c>
      <c r="AK43" s="8">
        <f t="shared" ref="AK43:AK49" si="9">SUM(D43:AJ43)</f>
        <v>1300</v>
      </c>
    </row>
    <row r="44" spans="1:37" ht="14.45" customHeight="1" x14ac:dyDescent="0.25">
      <c r="A44" t="s">
        <v>100</v>
      </c>
      <c r="B44" s="51" t="s">
        <v>99</v>
      </c>
      <c r="D44" s="48">
        <v>200</v>
      </c>
      <c r="E44" s="48">
        <v>300</v>
      </c>
      <c r="F44" s="48">
        <v>300</v>
      </c>
      <c r="G44" s="48">
        <v>300</v>
      </c>
      <c r="H44" s="48">
        <v>0</v>
      </c>
      <c r="I44" s="48">
        <v>0</v>
      </c>
      <c r="J44" s="48">
        <v>0</v>
      </c>
      <c r="K44" s="48">
        <v>0</v>
      </c>
      <c r="L44" s="48">
        <v>0</v>
      </c>
      <c r="M44" s="48">
        <v>0</v>
      </c>
      <c r="N44" s="48">
        <v>0</v>
      </c>
      <c r="O44" s="48">
        <v>0</v>
      </c>
      <c r="P44" s="48">
        <v>0</v>
      </c>
      <c r="Q44" s="48">
        <v>0</v>
      </c>
      <c r="R44" s="48">
        <v>0</v>
      </c>
      <c r="S44" s="48">
        <v>0</v>
      </c>
      <c r="T44" s="48">
        <v>0</v>
      </c>
      <c r="U44" s="48">
        <v>0</v>
      </c>
      <c r="V44" s="48">
        <v>0</v>
      </c>
      <c r="W44" s="48">
        <v>0</v>
      </c>
      <c r="X44" s="48">
        <v>0</v>
      </c>
      <c r="Y44" s="48">
        <v>0</v>
      </c>
      <c r="Z44" s="48">
        <v>0</v>
      </c>
      <c r="AA44" s="48">
        <v>0</v>
      </c>
      <c r="AB44" s="48">
        <v>0</v>
      </c>
      <c r="AC44" s="48">
        <v>0</v>
      </c>
      <c r="AD44" s="48">
        <v>0</v>
      </c>
      <c r="AE44" s="48">
        <v>0</v>
      </c>
      <c r="AF44" s="48">
        <v>0</v>
      </c>
      <c r="AG44" s="48">
        <v>0</v>
      </c>
      <c r="AH44" s="48">
        <v>0</v>
      </c>
      <c r="AI44" s="48">
        <v>0</v>
      </c>
      <c r="AJ44" s="48">
        <v>0</v>
      </c>
      <c r="AK44" s="8">
        <f t="shared" si="9"/>
        <v>1100</v>
      </c>
    </row>
    <row r="45" spans="1:37" ht="14.45" customHeight="1" x14ac:dyDescent="0.25">
      <c r="A45" t="s">
        <v>101</v>
      </c>
      <c r="B45" s="51" t="s">
        <v>99</v>
      </c>
      <c r="D45" s="48">
        <v>0</v>
      </c>
      <c r="E45" s="48"/>
      <c r="F45" s="48">
        <v>300</v>
      </c>
      <c r="G45" s="48">
        <v>1000</v>
      </c>
      <c r="H45" s="48">
        <v>1000</v>
      </c>
      <c r="I45" s="48">
        <v>200</v>
      </c>
      <c r="J45" s="48">
        <v>0</v>
      </c>
      <c r="K45" s="48">
        <v>0</v>
      </c>
      <c r="L45" s="48">
        <v>0</v>
      </c>
      <c r="M45" s="48">
        <v>0</v>
      </c>
      <c r="N45" s="48">
        <v>0</v>
      </c>
      <c r="O45" s="48">
        <v>0</v>
      </c>
      <c r="P45" s="48">
        <v>0</v>
      </c>
      <c r="Q45" s="48">
        <v>0</v>
      </c>
      <c r="R45" s="48">
        <v>0</v>
      </c>
      <c r="S45" s="48">
        <v>0</v>
      </c>
      <c r="T45" s="48">
        <v>0</v>
      </c>
      <c r="U45" s="48">
        <v>0</v>
      </c>
      <c r="V45" s="48">
        <v>0</v>
      </c>
      <c r="W45" s="48">
        <v>0</v>
      </c>
      <c r="X45" s="48">
        <v>0</v>
      </c>
      <c r="Y45" s="48">
        <v>0</v>
      </c>
      <c r="Z45" s="48">
        <v>0</v>
      </c>
      <c r="AA45" s="48">
        <v>0</v>
      </c>
      <c r="AB45" s="48">
        <v>0</v>
      </c>
      <c r="AC45" s="48">
        <v>0</v>
      </c>
      <c r="AD45" s="48">
        <v>0</v>
      </c>
      <c r="AE45" s="48">
        <v>0</v>
      </c>
      <c r="AF45" s="48">
        <v>0</v>
      </c>
      <c r="AG45" s="48">
        <v>0</v>
      </c>
      <c r="AH45" s="48">
        <v>0</v>
      </c>
      <c r="AI45" s="48">
        <v>0</v>
      </c>
      <c r="AJ45" s="48">
        <v>0</v>
      </c>
      <c r="AK45" s="8">
        <f t="shared" si="9"/>
        <v>2500</v>
      </c>
    </row>
    <row r="46" spans="1:37" ht="14.45" customHeight="1" x14ac:dyDescent="0.25">
      <c r="A46" t="s">
        <v>102</v>
      </c>
      <c r="B46" s="51" t="s">
        <v>99</v>
      </c>
      <c r="D46" s="48">
        <v>0</v>
      </c>
      <c r="E46" s="48">
        <v>0</v>
      </c>
      <c r="F46" s="48"/>
      <c r="G46" s="48">
        <v>50</v>
      </c>
      <c r="H46" s="48">
        <v>100</v>
      </c>
      <c r="I46" s="48">
        <v>50</v>
      </c>
      <c r="J46" s="48">
        <v>0</v>
      </c>
      <c r="K46" s="48">
        <v>0</v>
      </c>
      <c r="L46" s="48">
        <v>0</v>
      </c>
      <c r="M46" s="48">
        <v>0</v>
      </c>
      <c r="N46" s="48">
        <v>0</v>
      </c>
      <c r="O46" s="48">
        <v>0</v>
      </c>
      <c r="P46" s="48">
        <v>0</v>
      </c>
      <c r="Q46" s="48">
        <v>0</v>
      </c>
      <c r="R46" s="48">
        <v>0</v>
      </c>
      <c r="S46" s="48">
        <v>0</v>
      </c>
      <c r="T46" s="48">
        <v>0</v>
      </c>
      <c r="U46" s="48">
        <v>0</v>
      </c>
      <c r="V46" s="48">
        <v>0</v>
      </c>
      <c r="W46" s="48">
        <v>0</v>
      </c>
      <c r="X46" s="48">
        <v>0</v>
      </c>
      <c r="Y46" s="48">
        <v>0</v>
      </c>
      <c r="Z46" s="48">
        <v>0</v>
      </c>
      <c r="AA46" s="48">
        <v>0</v>
      </c>
      <c r="AB46" s="48">
        <v>0</v>
      </c>
      <c r="AC46" s="48">
        <v>0</v>
      </c>
      <c r="AD46" s="48">
        <v>0</v>
      </c>
      <c r="AE46" s="48">
        <v>0</v>
      </c>
      <c r="AF46" s="48">
        <v>0</v>
      </c>
      <c r="AG46" s="48">
        <v>0</v>
      </c>
      <c r="AH46" s="48">
        <v>0</v>
      </c>
      <c r="AI46" s="48">
        <v>0</v>
      </c>
      <c r="AJ46" s="48">
        <v>0</v>
      </c>
      <c r="AK46" s="8">
        <f t="shared" si="9"/>
        <v>200</v>
      </c>
    </row>
    <row r="47" spans="1:37" ht="14.45" customHeight="1" x14ac:dyDescent="0.25">
      <c r="A47" t="s">
        <v>103</v>
      </c>
      <c r="B47" s="51" t="s">
        <v>99</v>
      </c>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8">
        <f t="shared" si="9"/>
        <v>0</v>
      </c>
    </row>
    <row r="48" spans="1:37" s="101" customFormat="1" ht="14.45" customHeight="1" x14ac:dyDescent="0.25">
      <c r="A48" s="101" t="s">
        <v>104</v>
      </c>
      <c r="B48" s="102" t="s">
        <v>99</v>
      </c>
      <c r="D48" s="53">
        <v>0</v>
      </c>
      <c r="E48" s="53">
        <v>20</v>
      </c>
      <c r="F48" s="53">
        <v>50</v>
      </c>
      <c r="G48" s="53">
        <v>50</v>
      </c>
      <c r="H48" s="53">
        <v>50</v>
      </c>
      <c r="I48" s="53">
        <v>20</v>
      </c>
      <c r="J48" s="103">
        <v>0</v>
      </c>
      <c r="K48" s="103">
        <v>0</v>
      </c>
      <c r="L48" s="103">
        <v>0</v>
      </c>
      <c r="M48" s="103">
        <v>0</v>
      </c>
      <c r="N48" s="103">
        <v>0</v>
      </c>
      <c r="O48" s="103">
        <v>0</v>
      </c>
      <c r="P48" s="103">
        <v>0</v>
      </c>
      <c r="Q48" s="103">
        <v>0</v>
      </c>
      <c r="R48" s="103">
        <v>0</v>
      </c>
      <c r="S48" s="103">
        <v>0</v>
      </c>
      <c r="T48" s="103">
        <v>0</v>
      </c>
      <c r="U48" s="103">
        <v>0</v>
      </c>
      <c r="V48" s="103">
        <v>0</v>
      </c>
      <c r="W48" s="103">
        <v>0</v>
      </c>
      <c r="X48" s="103">
        <v>0</v>
      </c>
      <c r="Y48" s="103">
        <v>0</v>
      </c>
      <c r="Z48" s="103">
        <v>0</v>
      </c>
      <c r="AA48" s="103">
        <v>0</v>
      </c>
      <c r="AB48" s="103">
        <v>0</v>
      </c>
      <c r="AC48" s="103">
        <v>0</v>
      </c>
      <c r="AD48" s="103">
        <v>0</v>
      </c>
      <c r="AE48" s="103">
        <v>0</v>
      </c>
      <c r="AF48" s="103">
        <v>0</v>
      </c>
      <c r="AG48" s="103">
        <v>0</v>
      </c>
      <c r="AH48" s="103">
        <v>0</v>
      </c>
      <c r="AI48" s="103">
        <v>0</v>
      </c>
      <c r="AJ48" s="103">
        <v>0</v>
      </c>
      <c r="AK48" s="104">
        <f t="shared" si="9"/>
        <v>190</v>
      </c>
    </row>
    <row r="49" spans="1:37" ht="14.45" customHeight="1" x14ac:dyDescent="0.25">
      <c r="A49" t="s">
        <v>107</v>
      </c>
      <c r="B49" s="51" t="s">
        <v>99</v>
      </c>
      <c r="D49" s="8">
        <f t="shared" ref="D49:AJ49" si="10">SUM(D43:D48)</f>
        <v>200</v>
      </c>
      <c r="E49" s="8">
        <f t="shared" si="10"/>
        <v>420</v>
      </c>
      <c r="F49" s="8">
        <f t="shared" si="10"/>
        <v>850</v>
      </c>
      <c r="G49" s="8">
        <f t="shared" si="10"/>
        <v>1900</v>
      </c>
      <c r="H49" s="8">
        <f t="shared" si="10"/>
        <v>1650</v>
      </c>
      <c r="I49" s="8">
        <f t="shared" si="10"/>
        <v>270</v>
      </c>
      <c r="J49" s="8">
        <f t="shared" si="10"/>
        <v>0</v>
      </c>
      <c r="K49" s="8">
        <f t="shared" si="10"/>
        <v>0</v>
      </c>
      <c r="L49" s="8">
        <f t="shared" si="10"/>
        <v>0</v>
      </c>
      <c r="M49" s="8">
        <f t="shared" si="10"/>
        <v>0</v>
      </c>
      <c r="N49" s="8">
        <f t="shared" si="10"/>
        <v>0</v>
      </c>
      <c r="O49" s="8">
        <f t="shared" si="10"/>
        <v>0</v>
      </c>
      <c r="P49" s="8">
        <f t="shared" si="10"/>
        <v>0</v>
      </c>
      <c r="Q49" s="8">
        <f t="shared" si="10"/>
        <v>0</v>
      </c>
      <c r="R49" s="8">
        <f t="shared" si="10"/>
        <v>0</v>
      </c>
      <c r="S49" s="8">
        <f t="shared" si="10"/>
        <v>0</v>
      </c>
      <c r="T49" s="8">
        <f t="shared" si="10"/>
        <v>0</v>
      </c>
      <c r="U49" s="8">
        <f t="shared" si="10"/>
        <v>0</v>
      </c>
      <c r="V49" s="8">
        <f t="shared" si="10"/>
        <v>0</v>
      </c>
      <c r="W49" s="8">
        <f t="shared" si="10"/>
        <v>0</v>
      </c>
      <c r="X49" s="8">
        <f t="shared" si="10"/>
        <v>0</v>
      </c>
      <c r="Y49" s="8">
        <f t="shared" si="10"/>
        <v>0</v>
      </c>
      <c r="Z49" s="8">
        <f t="shared" si="10"/>
        <v>0</v>
      </c>
      <c r="AA49" s="8">
        <f t="shared" si="10"/>
        <v>0</v>
      </c>
      <c r="AB49" s="8">
        <f t="shared" si="10"/>
        <v>0</v>
      </c>
      <c r="AC49" s="8">
        <f t="shared" si="10"/>
        <v>0</v>
      </c>
      <c r="AD49" s="8">
        <f t="shared" si="10"/>
        <v>0</v>
      </c>
      <c r="AE49" s="8">
        <f t="shared" si="10"/>
        <v>0</v>
      </c>
      <c r="AF49" s="8">
        <f t="shared" si="10"/>
        <v>0</v>
      </c>
      <c r="AG49" s="8">
        <f t="shared" si="10"/>
        <v>0</v>
      </c>
      <c r="AH49" s="8">
        <f t="shared" si="10"/>
        <v>0</v>
      </c>
      <c r="AI49" s="8">
        <f t="shared" si="10"/>
        <v>0</v>
      </c>
      <c r="AJ49" s="8">
        <f t="shared" si="10"/>
        <v>0</v>
      </c>
      <c r="AK49" s="8">
        <f t="shared" si="9"/>
        <v>5290</v>
      </c>
    </row>
    <row r="50" spans="1:37" ht="14.45" customHeight="1" x14ac:dyDescent="0.25">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row>
    <row r="51" spans="1:37" s="69" customFormat="1" ht="14.45" customHeight="1" x14ac:dyDescent="0.25">
      <c r="A51" s="74" t="s">
        <v>108</v>
      </c>
    </row>
    <row r="52" spans="1:37" ht="14.45" customHeight="1" x14ac:dyDescent="0.25">
      <c r="A52" t="s">
        <v>98</v>
      </c>
      <c r="B52" t="s">
        <v>99</v>
      </c>
      <c r="D52" s="48">
        <v>0</v>
      </c>
      <c r="E52" s="48">
        <v>0</v>
      </c>
      <c r="F52" s="48">
        <v>0</v>
      </c>
      <c r="G52" s="48">
        <v>0</v>
      </c>
      <c r="H52" s="48">
        <v>0</v>
      </c>
      <c r="I52" s="48">
        <v>0</v>
      </c>
      <c r="J52" s="48">
        <v>0</v>
      </c>
      <c r="K52" s="48">
        <v>0</v>
      </c>
      <c r="L52" s="48">
        <v>0</v>
      </c>
      <c r="M52" s="48">
        <v>0</v>
      </c>
      <c r="N52" s="48">
        <v>0</v>
      </c>
      <c r="O52" s="48">
        <v>0</v>
      </c>
      <c r="P52" s="48">
        <v>0</v>
      </c>
      <c r="Q52" s="48">
        <v>0</v>
      </c>
      <c r="R52" s="48">
        <v>0</v>
      </c>
      <c r="S52" s="48">
        <v>0</v>
      </c>
      <c r="T52" s="48">
        <v>0</v>
      </c>
      <c r="U52" s="48">
        <v>0</v>
      </c>
      <c r="V52" s="48">
        <v>0</v>
      </c>
      <c r="W52" s="48">
        <v>0</v>
      </c>
      <c r="X52" s="48">
        <v>0</v>
      </c>
      <c r="Y52" s="48">
        <v>0</v>
      </c>
      <c r="Z52" s="48">
        <v>0</v>
      </c>
      <c r="AA52" s="48">
        <v>0</v>
      </c>
      <c r="AB52" s="48">
        <v>0</v>
      </c>
      <c r="AC52" s="48">
        <v>0</v>
      </c>
      <c r="AD52" s="48">
        <v>0</v>
      </c>
      <c r="AE52" s="48">
        <v>0</v>
      </c>
      <c r="AF52" s="48">
        <v>0</v>
      </c>
      <c r="AG52" s="48">
        <v>0</v>
      </c>
      <c r="AH52" s="48">
        <v>0</v>
      </c>
      <c r="AI52" s="48">
        <v>0</v>
      </c>
      <c r="AJ52" s="48">
        <v>0</v>
      </c>
      <c r="AK52" s="8">
        <f t="shared" ref="AK52:AK58" si="11">SUM(D52:AJ52)</f>
        <v>0</v>
      </c>
    </row>
    <row r="53" spans="1:37" ht="14.45" customHeight="1" x14ac:dyDescent="0.25">
      <c r="A53" t="s">
        <v>100</v>
      </c>
      <c r="B53" t="s">
        <v>99</v>
      </c>
      <c r="D53" s="48">
        <v>0</v>
      </c>
      <c r="E53" s="48">
        <v>0</v>
      </c>
      <c r="F53" s="48">
        <v>0</v>
      </c>
      <c r="G53" s="48">
        <v>0</v>
      </c>
      <c r="H53" s="48">
        <v>0</v>
      </c>
      <c r="I53" s="48">
        <v>0</v>
      </c>
      <c r="J53" s="48">
        <v>0</v>
      </c>
      <c r="K53" s="48">
        <v>0</v>
      </c>
      <c r="L53" s="48">
        <v>0</v>
      </c>
      <c r="M53" s="48">
        <v>0</v>
      </c>
      <c r="N53" s="48">
        <v>0</v>
      </c>
      <c r="O53" s="48">
        <v>0</v>
      </c>
      <c r="P53" s="48">
        <v>0</v>
      </c>
      <c r="Q53" s="48">
        <v>0</v>
      </c>
      <c r="R53" s="48">
        <v>0</v>
      </c>
      <c r="S53" s="48">
        <v>0</v>
      </c>
      <c r="T53" s="48">
        <v>0</v>
      </c>
      <c r="U53" s="48">
        <v>0</v>
      </c>
      <c r="V53" s="48">
        <v>0</v>
      </c>
      <c r="W53" s="48">
        <v>0</v>
      </c>
      <c r="X53" s="48">
        <v>0</v>
      </c>
      <c r="Y53" s="48">
        <v>0</v>
      </c>
      <c r="Z53" s="48">
        <v>0</v>
      </c>
      <c r="AA53" s="48">
        <v>0</v>
      </c>
      <c r="AB53" s="48">
        <v>0</v>
      </c>
      <c r="AC53" s="48">
        <v>0</v>
      </c>
      <c r="AD53" s="48">
        <v>0</v>
      </c>
      <c r="AE53" s="48">
        <v>0</v>
      </c>
      <c r="AF53" s="48">
        <v>0</v>
      </c>
      <c r="AG53" s="48">
        <v>0</v>
      </c>
      <c r="AH53" s="48">
        <v>0</v>
      </c>
      <c r="AI53" s="48">
        <v>0</v>
      </c>
      <c r="AJ53" s="48">
        <v>0</v>
      </c>
      <c r="AK53" s="8">
        <f t="shared" si="11"/>
        <v>0</v>
      </c>
    </row>
    <row r="54" spans="1:37" ht="14.45" customHeight="1" x14ac:dyDescent="0.25">
      <c r="A54" t="s">
        <v>101</v>
      </c>
      <c r="B54" t="s">
        <v>99</v>
      </c>
      <c r="D54" s="48">
        <v>0</v>
      </c>
      <c r="E54" s="48">
        <v>0</v>
      </c>
      <c r="F54" s="48">
        <v>0</v>
      </c>
      <c r="G54" s="48">
        <v>0</v>
      </c>
      <c r="H54" s="48">
        <v>0</v>
      </c>
      <c r="I54" s="48">
        <v>0</v>
      </c>
      <c r="J54" s="48">
        <v>0</v>
      </c>
      <c r="K54" s="48">
        <v>0</v>
      </c>
      <c r="L54" s="48">
        <v>0</v>
      </c>
      <c r="M54" s="48">
        <v>0</v>
      </c>
      <c r="N54" s="48">
        <v>0</v>
      </c>
      <c r="O54" s="48">
        <v>0</v>
      </c>
      <c r="P54" s="48">
        <v>0</v>
      </c>
      <c r="Q54" s="48">
        <v>0</v>
      </c>
      <c r="R54" s="48">
        <v>0</v>
      </c>
      <c r="S54" s="48">
        <v>0</v>
      </c>
      <c r="T54" s="48">
        <v>0</v>
      </c>
      <c r="U54" s="48">
        <v>0</v>
      </c>
      <c r="V54" s="48">
        <v>0</v>
      </c>
      <c r="W54" s="48">
        <v>0</v>
      </c>
      <c r="X54" s="48">
        <v>0</v>
      </c>
      <c r="Y54" s="48">
        <v>0</v>
      </c>
      <c r="Z54" s="48">
        <v>0</v>
      </c>
      <c r="AA54" s="48">
        <v>0</v>
      </c>
      <c r="AB54" s="48">
        <v>0</v>
      </c>
      <c r="AC54" s="48">
        <v>0</v>
      </c>
      <c r="AD54" s="48">
        <v>0</v>
      </c>
      <c r="AE54" s="48">
        <v>0</v>
      </c>
      <c r="AF54" s="48">
        <v>0</v>
      </c>
      <c r="AG54" s="48">
        <v>0</v>
      </c>
      <c r="AH54" s="48">
        <v>0</v>
      </c>
      <c r="AI54" s="48">
        <v>0</v>
      </c>
      <c r="AJ54" s="48">
        <v>0</v>
      </c>
      <c r="AK54" s="8">
        <f t="shared" si="11"/>
        <v>0</v>
      </c>
    </row>
    <row r="55" spans="1:37" ht="14.45" customHeight="1" x14ac:dyDescent="0.25">
      <c r="A55" t="s">
        <v>102</v>
      </c>
      <c r="B55" t="s">
        <v>99</v>
      </c>
      <c r="D55" s="48">
        <v>0</v>
      </c>
      <c r="E55" s="48">
        <v>0</v>
      </c>
      <c r="F55" s="48">
        <v>0</v>
      </c>
      <c r="G55" s="48">
        <v>0</v>
      </c>
      <c r="H55" s="48">
        <v>0</v>
      </c>
      <c r="I55" s="48">
        <v>0</v>
      </c>
      <c r="J55" s="48">
        <v>0</v>
      </c>
      <c r="K55" s="48">
        <v>0</v>
      </c>
      <c r="L55" s="48">
        <v>0</v>
      </c>
      <c r="M55" s="48">
        <v>0</v>
      </c>
      <c r="N55" s="48">
        <v>0</v>
      </c>
      <c r="O55" s="48">
        <v>0</v>
      </c>
      <c r="P55" s="48">
        <v>0</v>
      </c>
      <c r="Q55" s="48">
        <v>0</v>
      </c>
      <c r="R55" s="48">
        <v>0</v>
      </c>
      <c r="S55" s="48">
        <v>0</v>
      </c>
      <c r="T55" s="48">
        <v>0</v>
      </c>
      <c r="U55" s="48">
        <v>0</v>
      </c>
      <c r="V55" s="48">
        <v>0</v>
      </c>
      <c r="W55" s="48">
        <v>0</v>
      </c>
      <c r="X55" s="48">
        <v>0</v>
      </c>
      <c r="Y55" s="48">
        <v>0</v>
      </c>
      <c r="Z55" s="48">
        <v>0</v>
      </c>
      <c r="AA55" s="48">
        <v>0</v>
      </c>
      <c r="AB55" s="48">
        <v>0</v>
      </c>
      <c r="AC55" s="48">
        <v>0</v>
      </c>
      <c r="AD55" s="48">
        <v>0</v>
      </c>
      <c r="AE55" s="48">
        <v>0</v>
      </c>
      <c r="AF55" s="48">
        <v>0</v>
      </c>
      <c r="AG55" s="48">
        <v>0</v>
      </c>
      <c r="AH55" s="48">
        <v>0</v>
      </c>
      <c r="AI55" s="48">
        <v>0</v>
      </c>
      <c r="AJ55" s="48">
        <v>0</v>
      </c>
      <c r="AK55" s="8">
        <f t="shared" si="11"/>
        <v>0</v>
      </c>
    </row>
    <row r="56" spans="1:37" ht="14.45" customHeight="1" x14ac:dyDescent="0.25">
      <c r="A56" t="s">
        <v>103</v>
      </c>
      <c r="B56" t="s">
        <v>99</v>
      </c>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8">
        <f t="shared" si="11"/>
        <v>0</v>
      </c>
    </row>
    <row r="57" spans="1:37" s="52" customFormat="1" ht="14.45" customHeight="1" x14ac:dyDescent="0.25">
      <c r="A57" s="52" t="s">
        <v>104</v>
      </c>
      <c r="B57" s="52" t="s">
        <v>99</v>
      </c>
      <c r="D57" s="53">
        <v>0</v>
      </c>
      <c r="E57" s="53">
        <v>0</v>
      </c>
      <c r="F57" s="53">
        <v>0</v>
      </c>
      <c r="G57" s="53">
        <v>0</v>
      </c>
      <c r="H57" s="53">
        <v>0</v>
      </c>
      <c r="I57" s="53">
        <v>0</v>
      </c>
      <c r="J57" s="53">
        <v>0</v>
      </c>
      <c r="K57" s="53">
        <v>0</v>
      </c>
      <c r="L57" s="53">
        <v>0</v>
      </c>
      <c r="M57" s="53">
        <v>0</v>
      </c>
      <c r="N57" s="53">
        <v>0</v>
      </c>
      <c r="O57" s="53">
        <v>0</v>
      </c>
      <c r="P57" s="53">
        <v>0</v>
      </c>
      <c r="Q57" s="53">
        <v>0</v>
      </c>
      <c r="R57" s="53">
        <v>0</v>
      </c>
      <c r="S57" s="53">
        <v>0</v>
      </c>
      <c r="T57" s="53">
        <v>0</v>
      </c>
      <c r="U57" s="53">
        <v>0</v>
      </c>
      <c r="V57" s="53">
        <v>0</v>
      </c>
      <c r="W57" s="53">
        <v>0</v>
      </c>
      <c r="X57" s="53">
        <v>0</v>
      </c>
      <c r="Y57" s="53">
        <v>0</v>
      </c>
      <c r="Z57" s="53">
        <v>0</v>
      </c>
      <c r="AA57" s="53">
        <v>0</v>
      </c>
      <c r="AB57" s="53">
        <v>0</v>
      </c>
      <c r="AC57" s="53">
        <v>0</v>
      </c>
      <c r="AD57" s="53">
        <v>0</v>
      </c>
      <c r="AE57" s="53">
        <v>0</v>
      </c>
      <c r="AF57" s="53">
        <v>0</v>
      </c>
      <c r="AG57" s="53">
        <v>0</v>
      </c>
      <c r="AH57" s="53">
        <v>0</v>
      </c>
      <c r="AI57" s="53">
        <v>0</v>
      </c>
      <c r="AJ57" s="53">
        <v>0</v>
      </c>
      <c r="AK57" s="54">
        <f t="shared" si="11"/>
        <v>0</v>
      </c>
    </row>
    <row r="58" spans="1:37" ht="14.45" customHeight="1" x14ac:dyDescent="0.25">
      <c r="A58" t="s">
        <v>109</v>
      </c>
      <c r="B58" t="s">
        <v>99</v>
      </c>
      <c r="D58" s="8">
        <f t="shared" ref="D58:AJ58" si="12">SUM(D52:D57)</f>
        <v>0</v>
      </c>
      <c r="E58" s="8">
        <f t="shared" si="12"/>
        <v>0</v>
      </c>
      <c r="F58" s="8">
        <f t="shared" si="12"/>
        <v>0</v>
      </c>
      <c r="G58" s="8">
        <f t="shared" si="12"/>
        <v>0</v>
      </c>
      <c r="H58" s="8">
        <f t="shared" si="12"/>
        <v>0</v>
      </c>
      <c r="I58" s="8">
        <f t="shared" si="12"/>
        <v>0</v>
      </c>
      <c r="J58" s="8">
        <f t="shared" si="12"/>
        <v>0</v>
      </c>
      <c r="K58" s="8">
        <f t="shared" si="12"/>
        <v>0</v>
      </c>
      <c r="L58" s="8">
        <f t="shared" si="12"/>
        <v>0</v>
      </c>
      <c r="M58" s="8">
        <f t="shared" si="12"/>
        <v>0</v>
      </c>
      <c r="N58" s="8">
        <f t="shared" si="12"/>
        <v>0</v>
      </c>
      <c r="O58" s="8">
        <f t="shared" si="12"/>
        <v>0</v>
      </c>
      <c r="P58" s="8">
        <f t="shared" si="12"/>
        <v>0</v>
      </c>
      <c r="Q58" s="8">
        <f t="shared" si="12"/>
        <v>0</v>
      </c>
      <c r="R58" s="8">
        <f t="shared" si="12"/>
        <v>0</v>
      </c>
      <c r="S58" s="8">
        <f t="shared" si="12"/>
        <v>0</v>
      </c>
      <c r="T58" s="8">
        <f t="shared" si="12"/>
        <v>0</v>
      </c>
      <c r="U58" s="8">
        <f t="shared" si="12"/>
        <v>0</v>
      </c>
      <c r="V58" s="8">
        <f t="shared" si="12"/>
        <v>0</v>
      </c>
      <c r="W58" s="8">
        <f t="shared" si="12"/>
        <v>0</v>
      </c>
      <c r="X58" s="8">
        <f t="shared" si="12"/>
        <v>0</v>
      </c>
      <c r="Y58" s="8">
        <f t="shared" si="12"/>
        <v>0</v>
      </c>
      <c r="Z58" s="8">
        <f t="shared" si="12"/>
        <v>0</v>
      </c>
      <c r="AA58" s="8">
        <f t="shared" si="12"/>
        <v>0</v>
      </c>
      <c r="AB58" s="8">
        <f t="shared" si="12"/>
        <v>0</v>
      </c>
      <c r="AC58" s="8">
        <f t="shared" si="12"/>
        <v>0</v>
      </c>
      <c r="AD58" s="8">
        <f t="shared" si="12"/>
        <v>0</v>
      </c>
      <c r="AE58" s="8">
        <f t="shared" si="12"/>
        <v>0</v>
      </c>
      <c r="AF58" s="8">
        <f t="shared" si="12"/>
        <v>0</v>
      </c>
      <c r="AG58" s="8">
        <f t="shared" si="12"/>
        <v>0</v>
      </c>
      <c r="AH58" s="8">
        <f t="shared" si="12"/>
        <v>0</v>
      </c>
      <c r="AI58" s="8">
        <f t="shared" si="12"/>
        <v>0</v>
      </c>
      <c r="AJ58" s="8">
        <f t="shared" si="12"/>
        <v>0</v>
      </c>
      <c r="AK58" s="8">
        <f t="shared" si="11"/>
        <v>0</v>
      </c>
    </row>
    <row r="59" spans="1:37" ht="14.45" customHeight="1" x14ac:dyDescent="0.25">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row>
    <row r="60" spans="1:37" s="69" customFormat="1" ht="14.45" customHeight="1" x14ac:dyDescent="0.25">
      <c r="A60" s="74" t="s">
        <v>110</v>
      </c>
      <c r="B60" s="74"/>
    </row>
    <row r="61" spans="1:37" s="79" customFormat="1" ht="30" x14ac:dyDescent="0.25">
      <c r="A61" s="137" t="s">
        <v>111</v>
      </c>
      <c r="B61" s="239" t="s">
        <v>579</v>
      </c>
    </row>
    <row r="62" spans="1:37" ht="14.45" customHeight="1" x14ac:dyDescent="0.25">
      <c r="A62" t="s">
        <v>100</v>
      </c>
      <c r="B62" t="s">
        <v>99</v>
      </c>
      <c r="C62" s="193">
        <v>2</v>
      </c>
      <c r="D62" s="48">
        <v>0</v>
      </c>
      <c r="E62" s="48">
        <v>30</v>
      </c>
      <c r="F62" s="48">
        <v>0</v>
      </c>
      <c r="G62" s="48">
        <v>0</v>
      </c>
      <c r="H62" s="48">
        <v>0</v>
      </c>
      <c r="I62" s="48">
        <v>0</v>
      </c>
      <c r="J62" s="48">
        <v>0</v>
      </c>
      <c r="K62" s="48">
        <v>0</v>
      </c>
      <c r="L62" s="48">
        <v>0</v>
      </c>
      <c r="M62" s="48">
        <v>0</v>
      </c>
      <c r="N62" s="48">
        <v>0</v>
      </c>
      <c r="O62" s="48">
        <v>0</v>
      </c>
      <c r="P62" s="48">
        <v>0</v>
      </c>
      <c r="Q62" s="48">
        <v>0</v>
      </c>
      <c r="R62" s="48">
        <v>0</v>
      </c>
      <c r="S62" s="48">
        <v>0</v>
      </c>
      <c r="T62" s="48">
        <v>0</v>
      </c>
      <c r="U62" s="48">
        <v>0</v>
      </c>
      <c r="V62" s="48">
        <v>0</v>
      </c>
      <c r="W62" s="48">
        <v>0</v>
      </c>
      <c r="X62" s="48">
        <v>0</v>
      </c>
      <c r="Y62" s="48">
        <v>0</v>
      </c>
      <c r="Z62" s="48">
        <v>0</v>
      </c>
      <c r="AA62" s="48">
        <v>0</v>
      </c>
      <c r="AB62" s="48">
        <v>0</v>
      </c>
      <c r="AC62" s="48">
        <v>0</v>
      </c>
      <c r="AD62" s="48">
        <v>0</v>
      </c>
      <c r="AE62" s="48">
        <v>0</v>
      </c>
      <c r="AF62" s="48">
        <v>0</v>
      </c>
      <c r="AG62" s="48">
        <v>0</v>
      </c>
      <c r="AH62" s="48">
        <v>0</v>
      </c>
      <c r="AI62" s="48">
        <v>0</v>
      </c>
      <c r="AJ62" s="48">
        <v>0</v>
      </c>
      <c r="AK62" s="8">
        <f>SUM(D62:AJ62)</f>
        <v>30</v>
      </c>
    </row>
    <row r="63" spans="1:37" ht="14.45" customHeight="1" x14ac:dyDescent="0.25">
      <c r="A63" t="s">
        <v>112</v>
      </c>
      <c r="B63" t="s">
        <v>99</v>
      </c>
      <c r="C63" s="193">
        <v>2</v>
      </c>
      <c r="D63" s="48">
        <v>0</v>
      </c>
      <c r="E63" s="48">
        <v>450</v>
      </c>
      <c r="F63" s="48">
        <v>600</v>
      </c>
      <c r="G63" s="48">
        <v>0</v>
      </c>
      <c r="H63" s="48">
        <v>0</v>
      </c>
      <c r="I63" s="48">
        <v>0</v>
      </c>
      <c r="J63" s="48">
        <v>0</v>
      </c>
      <c r="K63" s="48">
        <v>0</v>
      </c>
      <c r="L63" s="48">
        <v>0</v>
      </c>
      <c r="M63" s="48">
        <v>0</v>
      </c>
      <c r="N63" s="48">
        <v>0</v>
      </c>
      <c r="O63" s="48">
        <v>0</v>
      </c>
      <c r="P63" s="48">
        <v>0</v>
      </c>
      <c r="Q63" s="48">
        <v>0</v>
      </c>
      <c r="R63" s="48">
        <v>0</v>
      </c>
      <c r="S63" s="48">
        <v>0</v>
      </c>
      <c r="T63" s="48">
        <v>0</v>
      </c>
      <c r="U63" s="48">
        <v>0</v>
      </c>
      <c r="V63" s="48">
        <v>0</v>
      </c>
      <c r="W63" s="48">
        <v>0</v>
      </c>
      <c r="X63" s="48">
        <v>0</v>
      </c>
      <c r="Y63" s="48">
        <v>0</v>
      </c>
      <c r="Z63" s="48">
        <v>0</v>
      </c>
      <c r="AA63" s="48">
        <v>0</v>
      </c>
      <c r="AB63" s="48">
        <v>0</v>
      </c>
      <c r="AC63" s="48">
        <v>0</v>
      </c>
      <c r="AD63" s="48">
        <v>0</v>
      </c>
      <c r="AE63" s="48">
        <v>0</v>
      </c>
      <c r="AF63" s="48">
        <v>0</v>
      </c>
      <c r="AG63" s="48">
        <v>0</v>
      </c>
      <c r="AH63" s="48">
        <v>0</v>
      </c>
      <c r="AI63" s="48">
        <v>0</v>
      </c>
      <c r="AJ63" s="48">
        <v>0</v>
      </c>
      <c r="AK63" s="8">
        <f>SUM(D63:AJ63)</f>
        <v>1050</v>
      </c>
    </row>
    <row r="64" spans="1:37" s="52" customFormat="1" ht="14.45" customHeight="1" x14ac:dyDescent="0.25">
      <c r="A64" s="52" t="s">
        <v>104</v>
      </c>
      <c r="B64" t="s">
        <v>99</v>
      </c>
      <c r="C64" s="194">
        <v>2</v>
      </c>
      <c r="D64" s="53">
        <v>0</v>
      </c>
      <c r="E64" s="53">
        <v>65</v>
      </c>
      <c r="F64" s="53">
        <v>45</v>
      </c>
      <c r="G64" s="53">
        <v>0</v>
      </c>
      <c r="H64" s="53">
        <v>0</v>
      </c>
      <c r="I64" s="53">
        <v>0</v>
      </c>
      <c r="J64" s="53">
        <v>0</v>
      </c>
      <c r="K64" s="53">
        <v>0</v>
      </c>
      <c r="L64" s="53">
        <v>0</v>
      </c>
      <c r="M64" s="53">
        <v>0</v>
      </c>
      <c r="N64" s="53">
        <v>0</v>
      </c>
      <c r="O64" s="53">
        <v>0</v>
      </c>
      <c r="P64" s="53">
        <v>0</v>
      </c>
      <c r="Q64" s="53">
        <v>0</v>
      </c>
      <c r="R64" s="53">
        <v>0</v>
      </c>
      <c r="S64" s="53">
        <v>0</v>
      </c>
      <c r="T64" s="53">
        <v>0</v>
      </c>
      <c r="U64" s="53">
        <v>0</v>
      </c>
      <c r="V64" s="53">
        <v>0</v>
      </c>
      <c r="W64" s="53">
        <v>0</v>
      </c>
      <c r="X64" s="53">
        <v>0</v>
      </c>
      <c r="Y64" s="53">
        <v>0</v>
      </c>
      <c r="Z64" s="53">
        <v>0</v>
      </c>
      <c r="AA64" s="53">
        <v>0</v>
      </c>
      <c r="AB64" s="53">
        <v>0</v>
      </c>
      <c r="AC64" s="53">
        <v>0</v>
      </c>
      <c r="AD64" s="53">
        <v>0</v>
      </c>
      <c r="AE64" s="53">
        <v>0</v>
      </c>
      <c r="AF64" s="53">
        <v>0</v>
      </c>
      <c r="AG64" s="53">
        <v>0</v>
      </c>
      <c r="AH64" s="53">
        <v>0</v>
      </c>
      <c r="AI64" s="53">
        <v>0</v>
      </c>
      <c r="AJ64" s="53">
        <v>0</v>
      </c>
      <c r="AK64" s="81">
        <f>SUM(D64:AJ64)</f>
        <v>110</v>
      </c>
    </row>
    <row r="65" spans="1:37" ht="14.45" customHeight="1" x14ac:dyDescent="0.25">
      <c r="A65" t="s">
        <v>113</v>
      </c>
      <c r="B65" t="s">
        <v>99</v>
      </c>
      <c r="D65" s="8">
        <f t="shared" ref="D65:AJ65" si="13">SUM(D62:D64)</f>
        <v>0</v>
      </c>
      <c r="E65" s="8">
        <f t="shared" si="13"/>
        <v>545</v>
      </c>
      <c r="F65" s="8">
        <f t="shared" si="13"/>
        <v>645</v>
      </c>
      <c r="G65" s="8">
        <f t="shared" si="13"/>
        <v>0</v>
      </c>
      <c r="H65" s="8">
        <f t="shared" si="13"/>
        <v>0</v>
      </c>
      <c r="I65" s="8">
        <f t="shared" si="13"/>
        <v>0</v>
      </c>
      <c r="J65" s="8">
        <f t="shared" si="13"/>
        <v>0</v>
      </c>
      <c r="K65" s="8">
        <f t="shared" si="13"/>
        <v>0</v>
      </c>
      <c r="L65" s="8">
        <f t="shared" si="13"/>
        <v>0</v>
      </c>
      <c r="M65" s="8">
        <f t="shared" si="13"/>
        <v>0</v>
      </c>
      <c r="N65" s="8">
        <f t="shared" si="13"/>
        <v>0</v>
      </c>
      <c r="O65" s="8">
        <f t="shared" si="13"/>
        <v>0</v>
      </c>
      <c r="P65" s="8">
        <f t="shared" si="13"/>
        <v>0</v>
      </c>
      <c r="Q65" s="8">
        <f t="shared" si="13"/>
        <v>0</v>
      </c>
      <c r="R65" s="8">
        <f t="shared" si="13"/>
        <v>0</v>
      </c>
      <c r="S65" s="8">
        <f t="shared" si="13"/>
        <v>0</v>
      </c>
      <c r="T65" s="8">
        <f t="shared" si="13"/>
        <v>0</v>
      </c>
      <c r="U65" s="8">
        <f t="shared" si="13"/>
        <v>0</v>
      </c>
      <c r="V65" s="8">
        <f t="shared" si="13"/>
        <v>0</v>
      </c>
      <c r="W65" s="8">
        <f t="shared" si="13"/>
        <v>0</v>
      </c>
      <c r="X65" s="8">
        <f t="shared" si="13"/>
        <v>0</v>
      </c>
      <c r="Y65" s="8">
        <f t="shared" si="13"/>
        <v>0</v>
      </c>
      <c r="Z65" s="8">
        <f t="shared" si="13"/>
        <v>0</v>
      </c>
      <c r="AA65" s="8">
        <f t="shared" si="13"/>
        <v>0</v>
      </c>
      <c r="AB65" s="8">
        <f t="shared" si="13"/>
        <v>0</v>
      </c>
      <c r="AC65" s="8">
        <f t="shared" si="13"/>
        <v>0</v>
      </c>
      <c r="AD65" s="8">
        <f t="shared" si="13"/>
        <v>0</v>
      </c>
      <c r="AE65" s="8">
        <f t="shared" si="13"/>
        <v>0</v>
      </c>
      <c r="AF65" s="8">
        <f t="shared" si="13"/>
        <v>0</v>
      </c>
      <c r="AG65" s="8">
        <f t="shared" si="13"/>
        <v>0</v>
      </c>
      <c r="AH65" s="8">
        <f t="shared" si="13"/>
        <v>0</v>
      </c>
      <c r="AI65" s="8">
        <f t="shared" si="13"/>
        <v>0</v>
      </c>
      <c r="AJ65" s="8">
        <f t="shared" si="13"/>
        <v>0</v>
      </c>
      <c r="AK65" s="8">
        <f>SUM(D65:AJ65)</f>
        <v>1190</v>
      </c>
    </row>
    <row r="66" spans="1:37" ht="14.45" customHeight="1" x14ac:dyDescent="0.25">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row>
    <row r="67" spans="1:37" s="52" customFormat="1" ht="14.45" customHeight="1" x14ac:dyDescent="0.25">
      <c r="A67" s="55" t="s">
        <v>487</v>
      </c>
      <c r="B67" s="55"/>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row>
    <row r="68" spans="1:37" s="52" customFormat="1" ht="14.45" customHeight="1" x14ac:dyDescent="0.25">
      <c r="A68" s="52" t="s">
        <v>114</v>
      </c>
      <c r="C68" s="59">
        <v>0.5</v>
      </c>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row>
    <row r="69" spans="1:37" s="52" customFormat="1" ht="14.45" customHeight="1" x14ac:dyDescent="0.25">
      <c r="A69" s="52" t="s">
        <v>115</v>
      </c>
      <c r="C69" s="59">
        <v>0.5</v>
      </c>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row>
    <row r="70" spans="1:37" s="52" customFormat="1" ht="14.45" customHeight="1" x14ac:dyDescent="0.25">
      <c r="A70" s="52" t="s">
        <v>116</v>
      </c>
      <c r="C70" s="60">
        <v>0</v>
      </c>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row>
    <row r="71" spans="1:37" s="63" customFormat="1" ht="14.45" customHeight="1" x14ac:dyDescent="0.25">
      <c r="A71" s="64" t="s">
        <v>117</v>
      </c>
      <c r="B71" s="64"/>
      <c r="C71" s="57">
        <f>SUM(C68:C70)</f>
        <v>1</v>
      </c>
      <c r="D71" s="76" t="str">
        <f>IF(C71=1,"VALID","INVALID")</f>
        <v>VALID</v>
      </c>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row>
    <row r="72" spans="1:37" s="52" customFormat="1" ht="14.45" customHeight="1" x14ac:dyDescent="0.25">
      <c r="C72" s="58"/>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row>
    <row r="73" spans="1:37" ht="14.45" customHeight="1" x14ac:dyDescent="0.25">
      <c r="A73" s="26"/>
      <c r="B73" s="26"/>
      <c r="C73" s="18"/>
    </row>
    <row r="74" spans="1:37" s="69" customFormat="1" ht="14.45" customHeight="1" x14ac:dyDescent="0.25">
      <c r="A74" s="74" t="s">
        <v>118</v>
      </c>
      <c r="B74" s="74"/>
      <c r="C74" s="77"/>
    </row>
    <row r="75" spans="1:37" ht="30" x14ac:dyDescent="0.25">
      <c r="A75" s="136" t="s">
        <v>119</v>
      </c>
      <c r="B75" s="239" t="s">
        <v>579</v>
      </c>
      <c r="D75" s="8"/>
      <c r="E75" s="8"/>
      <c r="F75" s="8"/>
      <c r="G75" s="8"/>
      <c r="H75" s="8"/>
      <c r="I75" s="8"/>
      <c r="J75" s="8"/>
      <c r="K75" s="8"/>
      <c r="L75" s="8"/>
      <c r="M75" s="8"/>
      <c r="O75" s="8"/>
      <c r="P75" s="8"/>
      <c r="Q75" s="8"/>
      <c r="R75" s="8"/>
      <c r="S75" s="8"/>
      <c r="T75" s="8"/>
      <c r="U75" s="8"/>
      <c r="V75" s="8"/>
      <c r="W75" s="8"/>
      <c r="X75" s="8"/>
      <c r="Y75" s="8"/>
      <c r="Z75" s="8"/>
      <c r="AA75" s="8"/>
      <c r="AB75" s="8"/>
      <c r="AC75" s="8"/>
      <c r="AD75" s="8"/>
      <c r="AE75" s="8"/>
      <c r="AF75" s="8"/>
      <c r="AG75" s="8"/>
      <c r="AH75" s="8"/>
      <c r="AI75" s="8"/>
      <c r="AJ75" s="8"/>
      <c r="AK75" s="8"/>
    </row>
    <row r="76" spans="1:37" ht="14.45" customHeight="1" x14ac:dyDescent="0.25">
      <c r="A76" t="s">
        <v>120</v>
      </c>
      <c r="B76" t="s">
        <v>99</v>
      </c>
      <c r="C76" s="193">
        <v>2</v>
      </c>
      <c r="D76" s="48"/>
      <c r="E76" s="48">
        <v>334</v>
      </c>
      <c r="F76" s="48">
        <v>334</v>
      </c>
      <c r="G76" s="48">
        <v>0</v>
      </c>
      <c r="H76" s="48">
        <v>0</v>
      </c>
      <c r="I76" s="48">
        <v>0</v>
      </c>
      <c r="J76" s="48">
        <v>0</v>
      </c>
      <c r="K76" s="48">
        <v>0</v>
      </c>
      <c r="L76" s="48">
        <v>0</v>
      </c>
      <c r="M76" s="48">
        <v>0</v>
      </c>
      <c r="N76" s="48">
        <v>0</v>
      </c>
      <c r="O76" s="48">
        <v>0</v>
      </c>
      <c r="P76" s="48">
        <v>0</v>
      </c>
      <c r="Q76" s="48">
        <v>0</v>
      </c>
      <c r="R76" s="48">
        <v>0</v>
      </c>
      <c r="S76" s="48">
        <v>0</v>
      </c>
      <c r="T76" s="48">
        <v>0</v>
      </c>
      <c r="U76" s="48">
        <v>0</v>
      </c>
      <c r="V76" s="48">
        <v>0</v>
      </c>
      <c r="W76" s="48">
        <v>0</v>
      </c>
      <c r="X76" s="48">
        <v>0</v>
      </c>
      <c r="Y76" s="48">
        <v>0</v>
      </c>
      <c r="Z76" s="48">
        <v>0</v>
      </c>
      <c r="AA76" s="48">
        <v>0</v>
      </c>
      <c r="AB76" s="48">
        <v>0</v>
      </c>
      <c r="AC76" s="48">
        <v>0</v>
      </c>
      <c r="AD76" s="48">
        <v>0</v>
      </c>
      <c r="AE76" s="48">
        <v>0</v>
      </c>
      <c r="AF76" s="48">
        <v>0</v>
      </c>
      <c r="AG76" s="48">
        <v>0</v>
      </c>
      <c r="AH76" s="48">
        <v>0</v>
      </c>
      <c r="AI76" s="48">
        <v>0</v>
      </c>
      <c r="AJ76" s="48">
        <v>0</v>
      </c>
      <c r="AK76" s="8">
        <f t="shared" ref="AK76:AK83" si="14">SUM(D76:AJ76)</f>
        <v>668</v>
      </c>
    </row>
    <row r="77" spans="1:37" ht="14.45" customHeight="1" x14ac:dyDescent="0.25">
      <c r="A77" t="s">
        <v>121</v>
      </c>
      <c r="B77" t="s">
        <v>99</v>
      </c>
      <c r="C77" s="193">
        <v>2</v>
      </c>
      <c r="D77" s="48">
        <v>0</v>
      </c>
      <c r="E77" s="48">
        <v>167</v>
      </c>
      <c r="F77" s="48">
        <v>501</v>
      </c>
      <c r="G77" s="48">
        <v>334</v>
      </c>
      <c r="H77" s="48">
        <v>0</v>
      </c>
      <c r="I77" s="48">
        <v>0</v>
      </c>
      <c r="J77" s="48">
        <v>0</v>
      </c>
      <c r="K77" s="48">
        <v>0</v>
      </c>
      <c r="L77" s="48">
        <v>0</v>
      </c>
      <c r="M77" s="48">
        <v>0</v>
      </c>
      <c r="N77" s="48">
        <v>0</v>
      </c>
      <c r="O77" s="48">
        <v>0</v>
      </c>
      <c r="P77" s="48">
        <v>0</v>
      </c>
      <c r="Q77" s="48">
        <v>0</v>
      </c>
      <c r="R77" s="48">
        <v>0</v>
      </c>
      <c r="S77" s="48">
        <v>0</v>
      </c>
      <c r="T77" s="48">
        <v>0</v>
      </c>
      <c r="U77" s="48">
        <v>0</v>
      </c>
      <c r="V77" s="48">
        <v>0</v>
      </c>
      <c r="W77" s="48">
        <v>0</v>
      </c>
      <c r="X77" s="48">
        <v>0</v>
      </c>
      <c r="Y77" s="48">
        <v>0</v>
      </c>
      <c r="Z77" s="48">
        <v>0</v>
      </c>
      <c r="AA77" s="48">
        <v>0</v>
      </c>
      <c r="AB77" s="48">
        <v>0</v>
      </c>
      <c r="AC77" s="48">
        <v>0</v>
      </c>
      <c r="AD77" s="48">
        <v>0</v>
      </c>
      <c r="AE77" s="48">
        <v>0</v>
      </c>
      <c r="AF77" s="48">
        <v>0</v>
      </c>
      <c r="AG77" s="48">
        <v>0</v>
      </c>
      <c r="AH77" s="48">
        <v>0</v>
      </c>
      <c r="AI77" s="48">
        <v>0</v>
      </c>
      <c r="AJ77" s="48">
        <v>0</v>
      </c>
      <c r="AK77" s="8">
        <f t="shared" si="14"/>
        <v>1002</v>
      </c>
    </row>
    <row r="78" spans="1:37" ht="14.45" customHeight="1" x14ac:dyDescent="0.25">
      <c r="A78" t="s">
        <v>122</v>
      </c>
      <c r="B78" t="s">
        <v>99</v>
      </c>
      <c r="C78" s="193">
        <v>2</v>
      </c>
      <c r="D78" s="48"/>
      <c r="E78" s="48">
        <v>0</v>
      </c>
      <c r="F78" s="48">
        <v>0</v>
      </c>
      <c r="G78" s="48">
        <v>0</v>
      </c>
      <c r="H78" s="48">
        <v>0</v>
      </c>
      <c r="I78" s="48">
        <v>0</v>
      </c>
      <c r="J78" s="48">
        <v>0</v>
      </c>
      <c r="K78" s="48">
        <v>0</v>
      </c>
      <c r="L78" s="48">
        <v>0</v>
      </c>
      <c r="M78" s="48">
        <v>0</v>
      </c>
      <c r="N78" s="48">
        <v>0</v>
      </c>
      <c r="O78" s="48">
        <v>0</v>
      </c>
      <c r="P78" s="48">
        <v>0</v>
      </c>
      <c r="Q78" s="48">
        <v>0</v>
      </c>
      <c r="R78" s="48">
        <v>0</v>
      </c>
      <c r="S78" s="48">
        <v>0</v>
      </c>
      <c r="T78" s="48">
        <v>0</v>
      </c>
      <c r="U78" s="48">
        <v>0</v>
      </c>
      <c r="V78" s="48">
        <v>0</v>
      </c>
      <c r="W78" s="48">
        <v>0</v>
      </c>
      <c r="X78" s="48">
        <v>0</v>
      </c>
      <c r="Y78" s="48">
        <v>0</v>
      </c>
      <c r="Z78" s="48">
        <v>0</v>
      </c>
      <c r="AA78" s="48">
        <v>0</v>
      </c>
      <c r="AB78" s="48">
        <v>0</v>
      </c>
      <c r="AC78" s="48">
        <v>0</v>
      </c>
      <c r="AD78" s="48">
        <v>0</v>
      </c>
      <c r="AE78" s="48">
        <v>0</v>
      </c>
      <c r="AF78" s="48">
        <v>0</v>
      </c>
      <c r="AG78" s="48">
        <v>0</v>
      </c>
      <c r="AH78" s="48">
        <v>0</v>
      </c>
      <c r="AI78" s="48">
        <v>0</v>
      </c>
      <c r="AJ78" s="48">
        <v>0</v>
      </c>
      <c r="AK78" s="8">
        <f t="shared" si="14"/>
        <v>0</v>
      </c>
    </row>
    <row r="79" spans="1:37" ht="14.45" customHeight="1" x14ac:dyDescent="0.25">
      <c r="A79" t="s">
        <v>556</v>
      </c>
      <c r="B79" t="s">
        <v>99</v>
      </c>
      <c r="C79" s="193">
        <v>2</v>
      </c>
      <c r="D79" s="48">
        <v>0</v>
      </c>
      <c r="E79" s="48">
        <v>3340</v>
      </c>
      <c r="F79" s="48">
        <v>5010</v>
      </c>
      <c r="G79" s="48">
        <v>6680</v>
      </c>
      <c r="H79" s="48">
        <v>0</v>
      </c>
      <c r="I79" s="48">
        <v>0</v>
      </c>
      <c r="J79" s="48">
        <v>0</v>
      </c>
      <c r="K79" s="48">
        <v>0</v>
      </c>
      <c r="L79" s="48">
        <v>0</v>
      </c>
      <c r="M79" s="48">
        <v>0</v>
      </c>
      <c r="N79" s="48">
        <v>0</v>
      </c>
      <c r="O79" s="48">
        <v>0</v>
      </c>
      <c r="P79" s="48">
        <v>0</v>
      </c>
      <c r="Q79" s="48">
        <v>0</v>
      </c>
      <c r="R79" s="48">
        <v>0</v>
      </c>
      <c r="S79" s="48">
        <v>0</v>
      </c>
      <c r="T79" s="48">
        <v>0</v>
      </c>
      <c r="U79" s="48">
        <v>0</v>
      </c>
      <c r="V79" s="48">
        <v>0</v>
      </c>
      <c r="W79" s="48">
        <v>0</v>
      </c>
      <c r="X79" s="48">
        <v>0</v>
      </c>
      <c r="Y79" s="48">
        <v>0</v>
      </c>
      <c r="Z79" s="48">
        <v>0</v>
      </c>
      <c r="AA79" s="48">
        <v>0</v>
      </c>
      <c r="AB79" s="48">
        <v>0</v>
      </c>
      <c r="AC79" s="48">
        <v>0</v>
      </c>
      <c r="AD79" s="48">
        <v>0</v>
      </c>
      <c r="AE79" s="48">
        <v>0</v>
      </c>
      <c r="AF79" s="48">
        <v>0</v>
      </c>
      <c r="AG79" s="48">
        <v>0</v>
      </c>
      <c r="AH79" s="48">
        <v>0</v>
      </c>
      <c r="AI79" s="48">
        <v>0</v>
      </c>
      <c r="AJ79" s="48">
        <v>0</v>
      </c>
      <c r="AK79" s="8">
        <f t="shared" si="14"/>
        <v>15030</v>
      </c>
    </row>
    <row r="80" spans="1:37" ht="14.45" customHeight="1" x14ac:dyDescent="0.25">
      <c r="A80" t="s">
        <v>123</v>
      </c>
      <c r="B80" t="s">
        <v>99</v>
      </c>
      <c r="C80" s="193">
        <v>2</v>
      </c>
      <c r="D80" s="48">
        <v>0</v>
      </c>
      <c r="E80" s="48">
        <v>0</v>
      </c>
      <c r="F80" s="48">
        <v>0</v>
      </c>
      <c r="G80" s="48">
        <v>0</v>
      </c>
      <c r="H80" s="48">
        <v>0</v>
      </c>
      <c r="I80" s="48">
        <v>0</v>
      </c>
      <c r="J80" s="48">
        <v>0</v>
      </c>
      <c r="K80" s="48">
        <v>0</v>
      </c>
      <c r="L80" s="48">
        <v>0</v>
      </c>
      <c r="M80" s="48">
        <v>0</v>
      </c>
      <c r="N80" s="48">
        <v>0</v>
      </c>
      <c r="O80" s="48">
        <v>0</v>
      </c>
      <c r="P80" s="48">
        <v>0</v>
      </c>
      <c r="Q80" s="48">
        <v>0</v>
      </c>
      <c r="R80" s="48">
        <v>0</v>
      </c>
      <c r="S80" s="48">
        <v>0</v>
      </c>
      <c r="T80" s="48">
        <v>0</v>
      </c>
      <c r="U80" s="48">
        <v>0</v>
      </c>
      <c r="V80" s="48">
        <v>0</v>
      </c>
      <c r="W80" s="48">
        <v>0</v>
      </c>
      <c r="X80" s="48">
        <v>0</v>
      </c>
      <c r="Y80" s="48">
        <v>0</v>
      </c>
      <c r="Z80" s="48">
        <v>0</v>
      </c>
      <c r="AA80" s="48">
        <v>0</v>
      </c>
      <c r="AB80" s="48">
        <v>0</v>
      </c>
      <c r="AC80" s="48">
        <v>0</v>
      </c>
      <c r="AD80" s="48">
        <v>0</v>
      </c>
      <c r="AE80" s="48">
        <v>0</v>
      </c>
      <c r="AF80" s="48">
        <v>0</v>
      </c>
      <c r="AG80" s="48">
        <v>0</v>
      </c>
      <c r="AH80" s="48">
        <v>0</v>
      </c>
      <c r="AI80" s="48">
        <v>0</v>
      </c>
      <c r="AJ80" s="48">
        <v>0</v>
      </c>
      <c r="AK80" s="8">
        <f t="shared" si="14"/>
        <v>0</v>
      </c>
    </row>
    <row r="81" spans="1:37" ht="14.45" customHeight="1" x14ac:dyDescent="0.25">
      <c r="A81" t="s">
        <v>124</v>
      </c>
      <c r="B81" t="s">
        <v>99</v>
      </c>
      <c r="C81" s="193">
        <v>2</v>
      </c>
      <c r="D81" s="48">
        <v>0</v>
      </c>
      <c r="E81" s="48">
        <v>0</v>
      </c>
      <c r="F81" s="48">
        <v>0</v>
      </c>
      <c r="G81" s="48">
        <v>0</v>
      </c>
      <c r="H81" s="48">
        <v>0</v>
      </c>
      <c r="I81" s="48">
        <v>0</v>
      </c>
      <c r="J81" s="48">
        <v>0</v>
      </c>
      <c r="K81" s="48">
        <v>0</v>
      </c>
      <c r="L81" s="48">
        <v>0</v>
      </c>
      <c r="M81" s="48">
        <v>0</v>
      </c>
      <c r="N81" s="48">
        <v>0</v>
      </c>
      <c r="O81" s="48">
        <v>0</v>
      </c>
      <c r="P81" s="48">
        <v>0</v>
      </c>
      <c r="Q81" s="48">
        <v>0</v>
      </c>
      <c r="R81" s="48">
        <v>0</v>
      </c>
      <c r="S81" s="48">
        <v>0</v>
      </c>
      <c r="T81" s="48">
        <v>0</v>
      </c>
      <c r="U81" s="48">
        <v>0</v>
      </c>
      <c r="V81" s="48">
        <v>0</v>
      </c>
      <c r="W81" s="48">
        <v>0</v>
      </c>
      <c r="X81" s="48">
        <v>0</v>
      </c>
      <c r="Y81" s="48">
        <v>0</v>
      </c>
      <c r="Z81" s="48">
        <v>0</v>
      </c>
      <c r="AA81" s="48">
        <v>0</v>
      </c>
      <c r="AB81" s="48">
        <v>0</v>
      </c>
      <c r="AC81" s="48">
        <v>0</v>
      </c>
      <c r="AD81" s="48">
        <v>0</v>
      </c>
      <c r="AE81" s="48">
        <v>0</v>
      </c>
      <c r="AF81" s="48">
        <v>0</v>
      </c>
      <c r="AG81" s="48">
        <v>0</v>
      </c>
      <c r="AH81" s="48">
        <v>0</v>
      </c>
      <c r="AI81" s="48">
        <v>0</v>
      </c>
      <c r="AJ81" s="48">
        <v>0</v>
      </c>
      <c r="AK81" s="8">
        <f t="shared" si="14"/>
        <v>0</v>
      </c>
    </row>
    <row r="82" spans="1:37" ht="14.45" customHeight="1" x14ac:dyDescent="0.25">
      <c r="A82" t="s">
        <v>125</v>
      </c>
      <c r="B82" t="s">
        <v>99</v>
      </c>
      <c r="C82" s="193">
        <v>2</v>
      </c>
      <c r="D82" s="53">
        <v>17</v>
      </c>
      <c r="E82" s="53">
        <v>17</v>
      </c>
      <c r="F82" s="53">
        <v>17</v>
      </c>
      <c r="G82" s="53">
        <v>17</v>
      </c>
      <c r="H82" s="53">
        <v>0</v>
      </c>
      <c r="I82" s="53">
        <v>0</v>
      </c>
      <c r="J82" s="53">
        <v>0</v>
      </c>
      <c r="K82" s="53">
        <v>0</v>
      </c>
      <c r="L82" s="53">
        <v>0</v>
      </c>
      <c r="M82" s="53">
        <v>0</v>
      </c>
      <c r="N82" s="53">
        <v>0</v>
      </c>
      <c r="O82" s="53">
        <v>0</v>
      </c>
      <c r="P82" s="53">
        <v>0</v>
      </c>
      <c r="Q82" s="53">
        <v>0</v>
      </c>
      <c r="R82" s="53">
        <v>0</v>
      </c>
      <c r="S82" s="53">
        <v>0</v>
      </c>
      <c r="T82" s="53">
        <v>0</v>
      </c>
      <c r="U82" s="53">
        <v>0</v>
      </c>
      <c r="V82" s="53">
        <v>0</v>
      </c>
      <c r="W82" s="53">
        <v>0</v>
      </c>
      <c r="X82" s="53">
        <v>0</v>
      </c>
      <c r="Y82" s="53">
        <v>0</v>
      </c>
      <c r="Z82" s="53">
        <v>0</v>
      </c>
      <c r="AA82" s="53">
        <v>0</v>
      </c>
      <c r="AB82" s="53">
        <v>0</v>
      </c>
      <c r="AC82" s="53">
        <v>0</v>
      </c>
      <c r="AD82" s="53">
        <v>0</v>
      </c>
      <c r="AE82" s="53">
        <v>0</v>
      </c>
      <c r="AF82" s="53">
        <v>0</v>
      </c>
      <c r="AG82" s="53">
        <v>0</v>
      </c>
      <c r="AH82" s="53">
        <v>0</v>
      </c>
      <c r="AI82" s="53">
        <v>0</v>
      </c>
      <c r="AJ82" s="53">
        <v>0</v>
      </c>
      <c r="AK82" s="53">
        <f t="shared" si="14"/>
        <v>68</v>
      </c>
    </row>
    <row r="83" spans="1:37" ht="14.45" customHeight="1" x14ac:dyDescent="0.25">
      <c r="A83" s="4" t="s">
        <v>126</v>
      </c>
      <c r="B83" t="s">
        <v>99</v>
      </c>
      <c r="D83" s="8">
        <f t="shared" ref="D83:AJ83" si="15">SUM(D76:D82)*$C$162</f>
        <v>17</v>
      </c>
      <c r="E83" s="8">
        <f t="shared" si="15"/>
        <v>3858</v>
      </c>
      <c r="F83" s="8">
        <f t="shared" si="15"/>
        <v>5862</v>
      </c>
      <c r="G83" s="8">
        <f t="shared" si="15"/>
        <v>7031</v>
      </c>
      <c r="H83" s="8">
        <f t="shared" si="15"/>
        <v>0</v>
      </c>
      <c r="I83" s="8">
        <f t="shared" si="15"/>
        <v>0</v>
      </c>
      <c r="J83" s="8">
        <f t="shared" si="15"/>
        <v>0</v>
      </c>
      <c r="K83" s="8">
        <f t="shared" si="15"/>
        <v>0</v>
      </c>
      <c r="L83" s="8">
        <f t="shared" si="15"/>
        <v>0</v>
      </c>
      <c r="M83" s="8">
        <f t="shared" si="15"/>
        <v>0</v>
      </c>
      <c r="N83" s="8">
        <f t="shared" si="15"/>
        <v>0</v>
      </c>
      <c r="O83" s="8">
        <f t="shared" si="15"/>
        <v>0</v>
      </c>
      <c r="P83" s="8">
        <f t="shared" si="15"/>
        <v>0</v>
      </c>
      <c r="Q83" s="8">
        <f t="shared" si="15"/>
        <v>0</v>
      </c>
      <c r="R83" s="8">
        <f t="shared" si="15"/>
        <v>0</v>
      </c>
      <c r="S83" s="8">
        <f t="shared" si="15"/>
        <v>0</v>
      </c>
      <c r="T83" s="8">
        <f t="shared" si="15"/>
        <v>0</v>
      </c>
      <c r="U83" s="8">
        <f t="shared" si="15"/>
        <v>0</v>
      </c>
      <c r="V83" s="8">
        <f t="shared" si="15"/>
        <v>0</v>
      </c>
      <c r="W83" s="8">
        <f t="shared" si="15"/>
        <v>0</v>
      </c>
      <c r="X83" s="8">
        <f t="shared" si="15"/>
        <v>0</v>
      </c>
      <c r="Y83" s="8">
        <f t="shared" si="15"/>
        <v>0</v>
      </c>
      <c r="Z83" s="8">
        <f t="shared" si="15"/>
        <v>0</v>
      </c>
      <c r="AA83" s="8">
        <f t="shared" si="15"/>
        <v>0</v>
      </c>
      <c r="AB83" s="8">
        <f t="shared" si="15"/>
        <v>0</v>
      </c>
      <c r="AC83" s="8">
        <f t="shared" si="15"/>
        <v>0</v>
      </c>
      <c r="AD83" s="8">
        <f t="shared" si="15"/>
        <v>0</v>
      </c>
      <c r="AE83" s="8">
        <f t="shared" si="15"/>
        <v>0</v>
      </c>
      <c r="AF83" s="8">
        <f t="shared" si="15"/>
        <v>0</v>
      </c>
      <c r="AG83" s="8">
        <f t="shared" si="15"/>
        <v>0</v>
      </c>
      <c r="AH83" s="8">
        <f t="shared" si="15"/>
        <v>0</v>
      </c>
      <c r="AI83" s="8">
        <f t="shared" si="15"/>
        <v>0</v>
      </c>
      <c r="AJ83" s="8">
        <f t="shared" si="15"/>
        <v>0</v>
      </c>
      <c r="AK83" s="8">
        <f t="shared" si="14"/>
        <v>16768</v>
      </c>
    </row>
    <row r="84" spans="1:37" ht="14.45" customHeight="1" thickBot="1" x14ac:dyDescent="0.3">
      <c r="A84" s="4"/>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row>
    <row r="85" spans="1:37" ht="14.45" customHeight="1" thickBot="1" x14ac:dyDescent="0.3">
      <c r="A85" s="399" t="s">
        <v>560</v>
      </c>
      <c r="C85" s="400">
        <v>0</v>
      </c>
      <c r="D85" s="399" t="s">
        <v>557</v>
      </c>
    </row>
    <row r="86" spans="1:37" ht="14.45" customHeight="1" x14ac:dyDescent="0.25">
      <c r="A86" s="4" t="s">
        <v>554</v>
      </c>
      <c r="B86" t="s">
        <v>99</v>
      </c>
      <c r="C86" s="398"/>
      <c r="D86" s="48">
        <v>0</v>
      </c>
      <c r="E86" s="48">
        <v>0</v>
      </c>
      <c r="F86" s="48">
        <v>0</v>
      </c>
      <c r="G86" s="48">
        <v>0</v>
      </c>
      <c r="H86" s="48">
        <v>1500</v>
      </c>
      <c r="I86" s="48">
        <v>1500</v>
      </c>
      <c r="J86" s="48">
        <v>1500</v>
      </c>
      <c r="K86" s="48">
        <v>1500</v>
      </c>
      <c r="L86" s="48">
        <v>1500</v>
      </c>
      <c r="M86" s="48">
        <v>1500</v>
      </c>
      <c r="N86" s="48">
        <v>1500</v>
      </c>
      <c r="O86" s="48">
        <v>1500</v>
      </c>
      <c r="P86" s="48">
        <v>1500</v>
      </c>
      <c r="Q86" s="48">
        <v>1500</v>
      </c>
      <c r="R86" s="48">
        <v>1500</v>
      </c>
      <c r="S86" s="48">
        <v>1500</v>
      </c>
      <c r="T86" s="48">
        <v>1500</v>
      </c>
      <c r="U86" s="48">
        <v>1500</v>
      </c>
      <c r="V86" s="48">
        <v>1500</v>
      </c>
      <c r="W86" s="48">
        <v>1500</v>
      </c>
      <c r="X86" s="48">
        <v>1500</v>
      </c>
      <c r="Y86" s="48">
        <v>1500</v>
      </c>
      <c r="Z86" s="48">
        <v>1500</v>
      </c>
      <c r="AA86" s="48">
        <v>1500</v>
      </c>
      <c r="AB86" s="48">
        <v>1500</v>
      </c>
      <c r="AC86" s="48">
        <v>1500</v>
      </c>
      <c r="AD86" s="48">
        <v>1500</v>
      </c>
      <c r="AE86" s="48">
        <v>1500</v>
      </c>
      <c r="AF86" s="48">
        <v>1500</v>
      </c>
      <c r="AG86" s="48">
        <v>1500</v>
      </c>
      <c r="AH86" s="48">
        <v>1500</v>
      </c>
      <c r="AI86" s="48">
        <v>1500</v>
      </c>
      <c r="AJ86" s="48">
        <v>1500</v>
      </c>
      <c r="AK86" s="8">
        <f>SUM(D86:AJ86)</f>
        <v>43500</v>
      </c>
    </row>
    <row r="87" spans="1:37" ht="14.45" customHeight="1" x14ac:dyDescent="0.25">
      <c r="A87" s="4" t="s">
        <v>561</v>
      </c>
      <c r="C87" s="404">
        <v>0</v>
      </c>
      <c r="D87" s="399" t="s">
        <v>562</v>
      </c>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row>
    <row r="88" spans="1:37" ht="14.45" customHeight="1" x14ac:dyDescent="0.25">
      <c r="A88" s="4"/>
      <c r="B88" s="4"/>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row>
    <row r="89" spans="1:37" ht="14.45" customHeight="1" x14ac:dyDescent="0.25">
      <c r="A89" s="1" t="s">
        <v>488</v>
      </c>
      <c r="B89" s="1"/>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row>
    <row r="90" spans="1:37" ht="14.45" customHeight="1" x14ac:dyDescent="0.25">
      <c r="A90" t="s">
        <v>114</v>
      </c>
      <c r="C90" s="66">
        <v>0.5</v>
      </c>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row>
    <row r="91" spans="1:37" ht="14.45" customHeight="1" x14ac:dyDescent="0.25">
      <c r="A91" t="s">
        <v>115</v>
      </c>
      <c r="C91" s="66">
        <v>0.5</v>
      </c>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row>
    <row r="92" spans="1:37" ht="14.45" customHeight="1" x14ac:dyDescent="0.25">
      <c r="A92" t="s">
        <v>116</v>
      </c>
      <c r="C92" s="67">
        <v>0</v>
      </c>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row>
    <row r="93" spans="1:37" s="37" customFormat="1" ht="14.45" customHeight="1" x14ac:dyDescent="0.25">
      <c r="A93" s="65" t="s">
        <v>127</v>
      </c>
      <c r="B93" s="65"/>
      <c r="C93" s="42">
        <f>SUM(C90:C92)</f>
        <v>1</v>
      </c>
      <c r="D93" s="76" t="str">
        <f>IF(C93=1,"VALID","INVALID")</f>
        <v>VALID</v>
      </c>
    </row>
    <row r="94" spans="1:37" ht="14.45" customHeight="1" x14ac:dyDescent="0.3">
      <c r="A94" s="19"/>
      <c r="B94" s="19"/>
      <c r="D94" s="25"/>
    </row>
    <row r="95" spans="1:37" s="69" customFormat="1" x14ac:dyDescent="0.25">
      <c r="A95" s="68" t="s">
        <v>128</v>
      </c>
      <c r="B95" s="68"/>
    </row>
    <row r="96" spans="1:37" x14ac:dyDescent="0.25">
      <c r="A96" t="s">
        <v>129</v>
      </c>
      <c r="B96" t="s">
        <v>130</v>
      </c>
      <c r="D96" s="44">
        <v>0.2</v>
      </c>
      <c r="E96" s="44">
        <v>0.2</v>
      </c>
      <c r="F96" s="44">
        <v>0.2</v>
      </c>
      <c r="G96" s="44">
        <v>0.2</v>
      </c>
      <c r="H96" s="44">
        <v>0.2</v>
      </c>
      <c r="I96" s="44">
        <v>0.2</v>
      </c>
      <c r="J96" s="44">
        <v>0.2</v>
      </c>
      <c r="K96" s="44">
        <v>0.2</v>
      </c>
      <c r="L96" s="44">
        <v>0.2</v>
      </c>
      <c r="M96" s="44">
        <v>0.2</v>
      </c>
      <c r="N96" s="44">
        <v>0.2</v>
      </c>
      <c r="O96" s="44">
        <v>0.2</v>
      </c>
      <c r="P96" s="44">
        <v>0.2</v>
      </c>
      <c r="Q96" s="44">
        <v>0.2</v>
      </c>
      <c r="R96" s="44">
        <v>0.2</v>
      </c>
      <c r="S96" s="44">
        <v>0.2</v>
      </c>
      <c r="T96" s="44">
        <v>0.2</v>
      </c>
      <c r="U96" s="44">
        <v>0.2</v>
      </c>
      <c r="V96" s="44">
        <v>0.2</v>
      </c>
      <c r="W96" s="44">
        <v>0.2</v>
      </c>
      <c r="X96" s="44">
        <v>0.2</v>
      </c>
      <c r="Y96" s="44">
        <v>0.2</v>
      </c>
      <c r="Z96" s="44">
        <v>0.2</v>
      </c>
      <c r="AA96" s="44">
        <v>0.2</v>
      </c>
      <c r="AB96" s="44">
        <v>0.2</v>
      </c>
      <c r="AC96" s="44">
        <v>0.2</v>
      </c>
      <c r="AD96" s="44">
        <v>0.2</v>
      </c>
      <c r="AE96" s="44">
        <v>0.2</v>
      </c>
      <c r="AF96" s="44">
        <v>0.2</v>
      </c>
      <c r="AG96" s="44">
        <v>0.2</v>
      </c>
      <c r="AH96" s="44">
        <v>0.2</v>
      </c>
      <c r="AI96" s="44">
        <v>0.2</v>
      </c>
      <c r="AJ96" s="44">
        <v>0.2</v>
      </c>
    </row>
    <row r="97" spans="1:52" x14ac:dyDescent="0.25">
      <c r="A97" t="s">
        <v>131</v>
      </c>
      <c r="C97" s="193">
        <v>1</v>
      </c>
      <c r="D97" s="239" t="s">
        <v>580</v>
      </c>
      <c r="E97" s="199"/>
      <c r="F97" s="199"/>
      <c r="G97" s="199"/>
      <c r="H97" s="199"/>
      <c r="I97" s="199"/>
      <c r="J97" s="199"/>
      <c r="K97" s="199"/>
      <c r="L97" s="199"/>
      <c r="M97" s="199"/>
      <c r="N97" s="199"/>
      <c r="O97" s="199"/>
      <c r="P97" s="199"/>
      <c r="Q97" s="199"/>
      <c r="R97" s="199"/>
      <c r="S97" s="199"/>
      <c r="T97" s="199"/>
      <c r="U97" s="199"/>
      <c r="V97" s="199"/>
      <c r="W97" s="199"/>
      <c r="X97" s="199"/>
      <c r="Y97" s="199"/>
      <c r="Z97" s="199"/>
      <c r="AA97" s="199"/>
      <c r="AB97" s="199"/>
      <c r="AC97" s="199"/>
      <c r="AD97" s="199"/>
      <c r="AE97" s="199"/>
      <c r="AF97" s="199"/>
      <c r="AG97" s="199"/>
      <c r="AH97" s="199"/>
      <c r="AI97" s="199"/>
      <c r="AJ97" s="199"/>
    </row>
    <row r="98" spans="1:52" x14ac:dyDescent="0.25">
      <c r="A98" t="s">
        <v>132</v>
      </c>
      <c r="B98" t="s">
        <v>67</v>
      </c>
      <c r="D98" s="206">
        <f t="shared" ref="D98:AJ98" si="16">D99*$C$160</f>
        <v>4.5</v>
      </c>
      <c r="E98" s="206">
        <f t="shared" si="16"/>
        <v>4.5</v>
      </c>
      <c r="F98" s="206">
        <f t="shared" si="16"/>
        <v>4.5</v>
      </c>
      <c r="G98" s="206">
        <f t="shared" si="16"/>
        <v>4.5</v>
      </c>
      <c r="H98" s="206">
        <f t="shared" si="16"/>
        <v>4.5</v>
      </c>
      <c r="I98" s="206">
        <f t="shared" si="16"/>
        <v>4.5</v>
      </c>
      <c r="J98" s="206">
        <f t="shared" si="16"/>
        <v>4.5</v>
      </c>
      <c r="K98" s="206">
        <f t="shared" si="16"/>
        <v>4.5</v>
      </c>
      <c r="L98" s="206">
        <f t="shared" si="16"/>
        <v>4.5</v>
      </c>
      <c r="M98" s="206">
        <f t="shared" si="16"/>
        <v>4.5</v>
      </c>
      <c r="N98" s="206">
        <f t="shared" si="16"/>
        <v>4.5</v>
      </c>
      <c r="O98" s="206">
        <f t="shared" si="16"/>
        <v>4.5</v>
      </c>
      <c r="P98" s="206">
        <f t="shared" si="16"/>
        <v>4.5</v>
      </c>
      <c r="Q98" s="206">
        <f t="shared" si="16"/>
        <v>4.5</v>
      </c>
      <c r="R98" s="206">
        <f t="shared" si="16"/>
        <v>4.5</v>
      </c>
      <c r="S98" s="206">
        <f t="shared" si="16"/>
        <v>4.5</v>
      </c>
      <c r="T98" s="206">
        <f t="shared" si="16"/>
        <v>4.5</v>
      </c>
      <c r="U98" s="206">
        <f t="shared" si="16"/>
        <v>4.5</v>
      </c>
      <c r="V98" s="206">
        <f t="shared" si="16"/>
        <v>4.5</v>
      </c>
      <c r="W98" s="206">
        <f t="shared" si="16"/>
        <v>4.5</v>
      </c>
      <c r="X98" s="206">
        <f t="shared" si="16"/>
        <v>4.5</v>
      </c>
      <c r="Y98" s="206">
        <f t="shared" si="16"/>
        <v>4.5</v>
      </c>
      <c r="Z98" s="206">
        <f t="shared" si="16"/>
        <v>4.5</v>
      </c>
      <c r="AA98" s="206">
        <f t="shared" si="16"/>
        <v>4.5</v>
      </c>
      <c r="AB98" s="206">
        <f t="shared" si="16"/>
        <v>4.5</v>
      </c>
      <c r="AC98" s="206">
        <f t="shared" si="16"/>
        <v>4.5</v>
      </c>
      <c r="AD98" s="206">
        <f t="shared" si="16"/>
        <v>4.5</v>
      </c>
      <c r="AE98" s="206">
        <f t="shared" si="16"/>
        <v>4.5</v>
      </c>
      <c r="AF98" s="206">
        <f t="shared" si="16"/>
        <v>4.5</v>
      </c>
      <c r="AG98" s="206">
        <f t="shared" si="16"/>
        <v>4.5</v>
      </c>
      <c r="AH98" s="206">
        <f t="shared" si="16"/>
        <v>4.5</v>
      </c>
      <c r="AI98" s="206">
        <f t="shared" si="16"/>
        <v>4.5</v>
      </c>
      <c r="AJ98" s="206">
        <f t="shared" si="16"/>
        <v>4.5</v>
      </c>
      <c r="AK98" s="185"/>
    </row>
    <row r="99" spans="1:52" x14ac:dyDescent="0.25">
      <c r="A99" t="s">
        <v>133</v>
      </c>
      <c r="B99" t="s">
        <v>67</v>
      </c>
      <c r="D99" s="44">
        <v>4.5</v>
      </c>
      <c r="E99" s="44">
        <v>4.5</v>
      </c>
      <c r="F99" s="44">
        <v>4.5</v>
      </c>
      <c r="G99" s="44">
        <v>4.5</v>
      </c>
      <c r="H99" s="44">
        <v>4.5</v>
      </c>
      <c r="I99" s="44">
        <v>4.5</v>
      </c>
      <c r="J99" s="44">
        <v>4.5</v>
      </c>
      <c r="K99" s="44">
        <v>4.5</v>
      </c>
      <c r="L99" s="44">
        <v>4.5</v>
      </c>
      <c r="M99" s="44">
        <v>4.5</v>
      </c>
      <c r="N99" s="44">
        <v>4.5</v>
      </c>
      <c r="O99" s="44">
        <v>4.5</v>
      </c>
      <c r="P99" s="44">
        <v>4.5</v>
      </c>
      <c r="Q99" s="44">
        <v>4.5</v>
      </c>
      <c r="R99" s="44">
        <v>4.5</v>
      </c>
      <c r="S99" s="44">
        <v>4.5</v>
      </c>
      <c r="T99" s="44">
        <v>4.5</v>
      </c>
      <c r="U99" s="44">
        <v>4.5</v>
      </c>
      <c r="V99" s="44">
        <v>4.5</v>
      </c>
      <c r="W99" s="44">
        <v>4.5</v>
      </c>
      <c r="X99" s="44">
        <v>4.5</v>
      </c>
      <c r="Y99" s="44">
        <v>4.5</v>
      </c>
      <c r="Z99" s="44">
        <v>4.5</v>
      </c>
      <c r="AA99" s="44">
        <v>4.5</v>
      </c>
      <c r="AB99" s="44">
        <v>4.5</v>
      </c>
      <c r="AC99" s="44">
        <v>4.5</v>
      </c>
      <c r="AD99" s="44">
        <v>4.5</v>
      </c>
      <c r="AE99" s="44">
        <v>4.5</v>
      </c>
      <c r="AF99" s="44">
        <v>4.5</v>
      </c>
      <c r="AG99" s="44">
        <v>4.5</v>
      </c>
      <c r="AH99" s="44">
        <v>4.5</v>
      </c>
      <c r="AI99" s="44">
        <v>4.5</v>
      </c>
      <c r="AJ99" s="44">
        <v>4.5</v>
      </c>
    </row>
    <row r="100" spans="1:52" x14ac:dyDescent="0.25">
      <c r="A100" t="s">
        <v>134</v>
      </c>
      <c r="B100" t="s">
        <v>130</v>
      </c>
      <c r="D100" s="44">
        <v>1</v>
      </c>
      <c r="E100" s="44">
        <v>1</v>
      </c>
      <c r="F100" s="44">
        <v>1</v>
      </c>
      <c r="G100" s="44">
        <v>1</v>
      </c>
      <c r="H100" s="44">
        <v>1</v>
      </c>
      <c r="I100" s="44">
        <v>1</v>
      </c>
      <c r="J100" s="44">
        <v>1</v>
      </c>
      <c r="K100" s="44">
        <v>1</v>
      </c>
      <c r="L100" s="44">
        <v>1</v>
      </c>
      <c r="M100" s="44">
        <v>1</v>
      </c>
      <c r="N100" s="44">
        <v>1</v>
      </c>
      <c r="O100" s="44">
        <v>1</v>
      </c>
      <c r="P100" s="44">
        <v>1</v>
      </c>
      <c r="Q100" s="44">
        <v>1</v>
      </c>
      <c r="R100" s="44">
        <v>1</v>
      </c>
      <c r="S100" s="44">
        <v>1</v>
      </c>
      <c r="T100" s="44">
        <v>1</v>
      </c>
      <c r="U100" s="44">
        <v>1</v>
      </c>
      <c r="V100" s="44">
        <v>1</v>
      </c>
      <c r="W100" s="44">
        <v>1</v>
      </c>
      <c r="X100" s="44">
        <v>1</v>
      </c>
      <c r="Y100" s="44">
        <v>1</v>
      </c>
      <c r="Z100" s="44">
        <v>1</v>
      </c>
      <c r="AA100" s="44">
        <v>1</v>
      </c>
      <c r="AB100" s="44">
        <v>1</v>
      </c>
      <c r="AC100" s="44">
        <v>1</v>
      </c>
      <c r="AD100" s="44">
        <v>1</v>
      </c>
      <c r="AE100" s="44">
        <v>1</v>
      </c>
      <c r="AF100" s="44">
        <v>1</v>
      </c>
      <c r="AG100" s="44">
        <v>1</v>
      </c>
      <c r="AH100" s="44">
        <v>1</v>
      </c>
      <c r="AI100" s="44">
        <v>1</v>
      </c>
      <c r="AJ100" s="44">
        <v>1</v>
      </c>
    </row>
    <row r="101" spans="1:52" x14ac:dyDescent="0.25">
      <c r="A101" t="s">
        <v>135</v>
      </c>
      <c r="B101" t="s">
        <v>136</v>
      </c>
      <c r="D101" s="44">
        <v>0.08</v>
      </c>
      <c r="E101" s="44">
        <v>0.08</v>
      </c>
      <c r="F101" s="44">
        <v>0.08</v>
      </c>
      <c r="G101" s="44">
        <v>0.08</v>
      </c>
      <c r="H101" s="44">
        <v>0.08</v>
      </c>
      <c r="I101" s="44">
        <v>0.08</v>
      </c>
      <c r="J101" s="44">
        <v>0.08</v>
      </c>
      <c r="K101" s="44">
        <v>0.08</v>
      </c>
      <c r="L101" s="44">
        <v>0.08</v>
      </c>
      <c r="M101" s="44">
        <v>0.08</v>
      </c>
      <c r="N101" s="44">
        <v>0.08</v>
      </c>
      <c r="O101" s="44">
        <v>0.08</v>
      </c>
      <c r="P101" s="44">
        <v>0.08</v>
      </c>
      <c r="Q101" s="44">
        <v>0.08</v>
      </c>
      <c r="R101" s="44">
        <v>0.08</v>
      </c>
      <c r="S101" s="44">
        <v>0.08</v>
      </c>
      <c r="T101" s="44">
        <v>0.08</v>
      </c>
      <c r="U101" s="44">
        <v>0.08</v>
      </c>
      <c r="V101" s="44">
        <v>0.08</v>
      </c>
      <c r="W101" s="44">
        <v>0.08</v>
      </c>
      <c r="X101" s="44">
        <v>0.08</v>
      </c>
      <c r="Y101" s="44">
        <v>0.08</v>
      </c>
      <c r="Z101" s="44">
        <v>0.08</v>
      </c>
      <c r="AA101" s="44">
        <v>0.08</v>
      </c>
      <c r="AB101" s="44">
        <v>0.08</v>
      </c>
      <c r="AC101" s="44">
        <v>0.08</v>
      </c>
      <c r="AD101" s="44">
        <v>0.08</v>
      </c>
      <c r="AE101" s="44">
        <v>0.08</v>
      </c>
      <c r="AF101" s="44">
        <v>0.08</v>
      </c>
      <c r="AG101" s="44">
        <v>0.08</v>
      </c>
      <c r="AH101" s="44">
        <v>0.08</v>
      </c>
      <c r="AI101" s="44">
        <v>0.08</v>
      </c>
      <c r="AJ101" s="44">
        <v>0.08</v>
      </c>
    </row>
    <row r="102" spans="1:52" x14ac:dyDescent="0.25">
      <c r="A102" t="s">
        <v>137</v>
      </c>
      <c r="B102" t="s">
        <v>138</v>
      </c>
      <c r="D102" s="44">
        <v>2</v>
      </c>
      <c r="E102" s="44">
        <v>2</v>
      </c>
      <c r="F102" s="44">
        <v>2</v>
      </c>
      <c r="G102" s="44">
        <v>2</v>
      </c>
      <c r="H102" s="44">
        <v>2</v>
      </c>
      <c r="I102" s="44">
        <v>2</v>
      </c>
      <c r="J102" s="44">
        <v>2</v>
      </c>
      <c r="K102" s="44">
        <v>2</v>
      </c>
      <c r="L102" s="44">
        <v>2</v>
      </c>
      <c r="M102" s="44">
        <v>2</v>
      </c>
      <c r="N102" s="44">
        <v>2</v>
      </c>
      <c r="O102" s="44">
        <v>2</v>
      </c>
      <c r="P102" s="44">
        <v>2</v>
      </c>
      <c r="Q102" s="44">
        <v>2</v>
      </c>
      <c r="R102" s="44">
        <v>2</v>
      </c>
      <c r="S102" s="44">
        <v>2</v>
      </c>
      <c r="T102" s="44">
        <v>2</v>
      </c>
      <c r="U102" s="44">
        <v>2</v>
      </c>
      <c r="V102" s="44">
        <v>2</v>
      </c>
      <c r="W102" s="44">
        <v>2</v>
      </c>
      <c r="X102" s="44">
        <v>2</v>
      </c>
      <c r="Y102" s="44">
        <v>2</v>
      </c>
      <c r="Z102" s="44">
        <v>2</v>
      </c>
      <c r="AA102" s="44">
        <v>2</v>
      </c>
      <c r="AB102" s="44">
        <v>2</v>
      </c>
      <c r="AC102" s="44">
        <v>2</v>
      </c>
      <c r="AD102" s="44">
        <v>2</v>
      </c>
      <c r="AE102" s="44">
        <v>2</v>
      </c>
      <c r="AF102" s="44">
        <v>2</v>
      </c>
      <c r="AG102" s="44">
        <v>2</v>
      </c>
      <c r="AH102" s="44">
        <v>2</v>
      </c>
      <c r="AI102" s="44">
        <v>2</v>
      </c>
      <c r="AJ102" s="44">
        <v>2</v>
      </c>
    </row>
    <row r="103" spans="1:52" ht="14.1" customHeight="1" x14ac:dyDescent="0.25">
      <c r="A103" t="s">
        <v>139</v>
      </c>
      <c r="B103" s="4" t="s">
        <v>69</v>
      </c>
      <c r="D103" s="43">
        <v>0.3</v>
      </c>
      <c r="E103" s="43">
        <v>0.3</v>
      </c>
      <c r="F103" s="43">
        <v>0.3</v>
      </c>
      <c r="G103" s="43">
        <v>0.3</v>
      </c>
      <c r="H103" s="43">
        <v>0.3</v>
      </c>
      <c r="I103" s="43">
        <v>0.3</v>
      </c>
      <c r="J103" s="43">
        <v>0.3</v>
      </c>
      <c r="K103" s="43">
        <v>0.3</v>
      </c>
      <c r="L103" s="43">
        <v>0.3</v>
      </c>
      <c r="M103" s="43">
        <v>0.3</v>
      </c>
      <c r="N103" s="43">
        <v>0.3</v>
      </c>
      <c r="O103" s="43">
        <v>0.3</v>
      </c>
      <c r="P103" s="43">
        <v>0.3</v>
      </c>
      <c r="Q103" s="43">
        <v>0.3</v>
      </c>
      <c r="R103" s="43">
        <v>0.3</v>
      </c>
      <c r="S103" s="43">
        <v>0.3</v>
      </c>
      <c r="T103" s="43">
        <v>0.3</v>
      </c>
      <c r="U103" s="43">
        <v>0.3</v>
      </c>
      <c r="V103" s="43">
        <v>0.3</v>
      </c>
      <c r="W103" s="43">
        <v>0.3</v>
      </c>
      <c r="X103" s="43">
        <v>0.3</v>
      </c>
      <c r="Y103" s="43">
        <v>0.3</v>
      </c>
      <c r="Z103" s="43">
        <v>0.3</v>
      </c>
      <c r="AA103" s="43">
        <v>0.3</v>
      </c>
      <c r="AB103" s="43">
        <v>0.3</v>
      </c>
      <c r="AC103" s="43">
        <v>0.3</v>
      </c>
      <c r="AD103" s="43">
        <v>0.3</v>
      </c>
      <c r="AE103" s="43">
        <v>0.3</v>
      </c>
      <c r="AF103" s="43">
        <v>0.3</v>
      </c>
      <c r="AG103" s="43">
        <v>0.3</v>
      </c>
      <c r="AH103" s="43">
        <v>0.3</v>
      </c>
      <c r="AI103" s="43">
        <v>0.3</v>
      </c>
      <c r="AJ103" s="43">
        <v>0.3</v>
      </c>
    </row>
    <row r="104" spans="1:52" x14ac:dyDescent="0.25">
      <c r="A104" t="s">
        <v>140</v>
      </c>
      <c r="B104" t="s">
        <v>141</v>
      </c>
      <c r="D104" s="80">
        <v>0</v>
      </c>
      <c r="E104" s="80">
        <v>0</v>
      </c>
      <c r="F104" s="80">
        <v>0</v>
      </c>
      <c r="G104" s="80">
        <v>0</v>
      </c>
      <c r="H104" s="80">
        <v>0</v>
      </c>
      <c r="I104" s="80">
        <v>0</v>
      </c>
      <c r="J104" s="80">
        <v>0</v>
      </c>
      <c r="K104" s="80">
        <v>0</v>
      </c>
      <c r="L104" s="80">
        <v>0</v>
      </c>
      <c r="M104" s="80">
        <v>0</v>
      </c>
      <c r="N104" s="80">
        <v>0</v>
      </c>
      <c r="O104" s="80">
        <v>0</v>
      </c>
      <c r="P104" s="80">
        <v>0</v>
      </c>
      <c r="Q104" s="80">
        <v>0</v>
      </c>
      <c r="R104" s="80">
        <v>0</v>
      </c>
      <c r="S104" s="80">
        <v>0</v>
      </c>
      <c r="T104" s="80">
        <v>0</v>
      </c>
      <c r="U104" s="80">
        <v>0</v>
      </c>
      <c r="V104" s="80">
        <v>0</v>
      </c>
      <c r="W104" s="80">
        <v>0</v>
      </c>
      <c r="X104" s="80">
        <v>0</v>
      </c>
      <c r="Y104" s="80">
        <v>0</v>
      </c>
      <c r="Z104" s="80">
        <v>0</v>
      </c>
      <c r="AA104" s="80">
        <v>0</v>
      </c>
      <c r="AB104" s="80">
        <v>0</v>
      </c>
      <c r="AC104" s="80">
        <v>0</v>
      </c>
      <c r="AD104" s="80">
        <v>0</v>
      </c>
      <c r="AE104" s="80">
        <v>0</v>
      </c>
      <c r="AF104" s="80">
        <v>0</v>
      </c>
      <c r="AG104" s="80">
        <v>0</v>
      </c>
      <c r="AH104" s="80">
        <v>0</v>
      </c>
      <c r="AI104" s="80">
        <v>0</v>
      </c>
      <c r="AJ104" s="80">
        <v>0</v>
      </c>
    </row>
    <row r="105" spans="1:52" x14ac:dyDescent="0.25">
      <c r="A105" t="s">
        <v>142</v>
      </c>
      <c r="B105" t="s">
        <v>99</v>
      </c>
      <c r="D105" s="48">
        <v>0</v>
      </c>
      <c r="E105" s="48">
        <v>0</v>
      </c>
      <c r="F105" s="48">
        <v>0</v>
      </c>
      <c r="G105" s="48">
        <v>0</v>
      </c>
      <c r="H105" s="48">
        <v>500</v>
      </c>
      <c r="I105" s="48">
        <v>1000</v>
      </c>
      <c r="J105" s="48">
        <v>1000</v>
      </c>
      <c r="K105" s="48">
        <v>1000</v>
      </c>
      <c r="L105" s="48">
        <v>1000</v>
      </c>
      <c r="M105" s="48">
        <v>1000</v>
      </c>
      <c r="N105" s="48">
        <v>1000</v>
      </c>
      <c r="O105" s="48">
        <v>1000</v>
      </c>
      <c r="P105" s="48">
        <v>1000</v>
      </c>
      <c r="Q105" s="48">
        <v>1000</v>
      </c>
      <c r="R105" s="48">
        <v>1000</v>
      </c>
      <c r="S105" s="48">
        <v>1000</v>
      </c>
      <c r="T105" s="48">
        <v>1000</v>
      </c>
      <c r="U105" s="48">
        <v>1000</v>
      </c>
      <c r="V105" s="48">
        <v>1000</v>
      </c>
      <c r="W105" s="48">
        <v>1000</v>
      </c>
      <c r="X105" s="48">
        <v>1000</v>
      </c>
      <c r="Y105" s="48">
        <v>1000</v>
      </c>
      <c r="Z105" s="48">
        <v>1000</v>
      </c>
      <c r="AA105" s="48">
        <v>1000</v>
      </c>
      <c r="AB105" s="48">
        <v>1000</v>
      </c>
      <c r="AC105" s="48">
        <v>1000</v>
      </c>
      <c r="AD105" s="48">
        <v>1000</v>
      </c>
      <c r="AE105" s="48">
        <v>1000</v>
      </c>
      <c r="AF105" s="48">
        <v>1000</v>
      </c>
      <c r="AG105" s="48">
        <v>1000</v>
      </c>
      <c r="AH105" s="48">
        <v>1000</v>
      </c>
      <c r="AI105" s="48">
        <v>1000</v>
      </c>
      <c r="AJ105" s="48">
        <v>1000</v>
      </c>
      <c r="AK105" s="10"/>
    </row>
    <row r="106" spans="1:52" x14ac:dyDescent="0.25">
      <c r="A106" t="s">
        <v>143</v>
      </c>
      <c r="B106" t="s">
        <v>99</v>
      </c>
      <c r="D106" s="48">
        <v>15</v>
      </c>
      <c r="E106" s="48">
        <v>15</v>
      </c>
      <c r="F106" s="48">
        <v>15</v>
      </c>
      <c r="G106" s="48">
        <v>15</v>
      </c>
      <c r="H106" s="48">
        <v>15</v>
      </c>
      <c r="I106" s="48">
        <v>15</v>
      </c>
      <c r="J106" s="48">
        <v>15</v>
      </c>
      <c r="K106" s="48">
        <v>15</v>
      </c>
      <c r="L106" s="48">
        <v>15</v>
      </c>
      <c r="M106" s="48">
        <v>15</v>
      </c>
      <c r="N106" s="48">
        <v>15</v>
      </c>
      <c r="O106" s="48">
        <v>15</v>
      </c>
      <c r="P106" s="48">
        <v>15</v>
      </c>
      <c r="Q106" s="48">
        <v>15</v>
      </c>
      <c r="R106" s="48">
        <v>15</v>
      </c>
      <c r="S106" s="48">
        <v>15</v>
      </c>
      <c r="T106" s="48">
        <v>15</v>
      </c>
      <c r="U106" s="48">
        <v>15</v>
      </c>
      <c r="V106" s="48">
        <v>15</v>
      </c>
      <c r="W106" s="48">
        <v>15</v>
      </c>
      <c r="X106" s="48">
        <v>15</v>
      </c>
      <c r="Y106" s="48">
        <v>15</v>
      </c>
      <c r="Z106" s="48">
        <v>15</v>
      </c>
      <c r="AA106" s="48">
        <v>15</v>
      </c>
      <c r="AB106" s="48">
        <v>15</v>
      </c>
      <c r="AC106" s="48">
        <v>15</v>
      </c>
      <c r="AD106" s="48">
        <v>15</v>
      </c>
      <c r="AE106" s="48">
        <v>15</v>
      </c>
      <c r="AF106" s="48">
        <v>15</v>
      </c>
      <c r="AG106" s="48">
        <v>15</v>
      </c>
      <c r="AH106" s="48">
        <v>15</v>
      </c>
      <c r="AI106" s="48">
        <v>15</v>
      </c>
      <c r="AJ106" s="48">
        <v>15</v>
      </c>
      <c r="AK106" s="10"/>
    </row>
    <row r="107" spans="1:52" x14ac:dyDescent="0.25">
      <c r="A107" t="s">
        <v>144</v>
      </c>
      <c r="B107" t="s">
        <v>99</v>
      </c>
      <c r="D107" s="48">
        <v>100</v>
      </c>
      <c r="E107" s="48">
        <v>100</v>
      </c>
      <c r="F107" s="48">
        <v>100</v>
      </c>
      <c r="G107" s="48">
        <v>100</v>
      </c>
      <c r="H107" s="48">
        <v>100</v>
      </c>
      <c r="I107" s="48">
        <v>100</v>
      </c>
      <c r="J107" s="48">
        <v>100</v>
      </c>
      <c r="K107" s="48">
        <v>100</v>
      </c>
      <c r="L107" s="48">
        <v>100</v>
      </c>
      <c r="M107" s="48">
        <v>100</v>
      </c>
      <c r="N107" s="48">
        <v>100</v>
      </c>
      <c r="O107" s="48">
        <v>100</v>
      </c>
      <c r="P107" s="48">
        <v>100</v>
      </c>
      <c r="Q107" s="48">
        <v>100</v>
      </c>
      <c r="R107" s="48">
        <v>100</v>
      </c>
      <c r="S107" s="48">
        <v>100</v>
      </c>
      <c r="T107" s="48">
        <v>100</v>
      </c>
      <c r="U107" s="48">
        <v>100</v>
      </c>
      <c r="V107" s="48">
        <v>100</v>
      </c>
      <c r="W107" s="48">
        <v>100</v>
      </c>
      <c r="X107" s="48">
        <v>100</v>
      </c>
      <c r="Y107" s="48">
        <v>100</v>
      </c>
      <c r="Z107" s="48">
        <v>100</v>
      </c>
      <c r="AA107" s="48">
        <v>100</v>
      </c>
      <c r="AB107" s="48">
        <v>100</v>
      </c>
      <c r="AC107" s="48">
        <v>100</v>
      </c>
      <c r="AD107" s="48">
        <v>100</v>
      </c>
      <c r="AE107" s="48">
        <v>100</v>
      </c>
      <c r="AF107" s="48">
        <v>100</v>
      </c>
      <c r="AG107" s="48">
        <v>100</v>
      </c>
      <c r="AH107" s="48">
        <v>100</v>
      </c>
      <c r="AI107" s="48">
        <v>100</v>
      </c>
      <c r="AJ107" s="48">
        <v>100</v>
      </c>
      <c r="AK107" s="10"/>
    </row>
    <row r="108" spans="1:52" x14ac:dyDescent="0.25">
      <c r="A108" t="s">
        <v>145</v>
      </c>
      <c r="B108" t="s">
        <v>99</v>
      </c>
      <c r="D108" s="48">
        <v>0</v>
      </c>
      <c r="E108" s="48">
        <v>0</v>
      </c>
      <c r="F108" s="48">
        <v>0</v>
      </c>
      <c r="G108" s="48">
        <v>0</v>
      </c>
      <c r="H108" s="48">
        <v>0</v>
      </c>
      <c r="I108" s="48">
        <v>0</v>
      </c>
      <c r="J108" s="48">
        <v>0</v>
      </c>
      <c r="K108" s="48">
        <v>0</v>
      </c>
      <c r="L108" s="48">
        <v>0</v>
      </c>
      <c r="M108" s="48">
        <v>0</v>
      </c>
      <c r="N108" s="48">
        <v>0</v>
      </c>
      <c r="O108" s="48">
        <v>0</v>
      </c>
      <c r="P108" s="48">
        <v>0</v>
      </c>
      <c r="Q108" s="48">
        <v>0</v>
      </c>
      <c r="R108" s="48">
        <v>0</v>
      </c>
      <c r="S108" s="48">
        <v>0</v>
      </c>
      <c r="T108" s="48">
        <v>0</v>
      </c>
      <c r="U108" s="48">
        <v>0</v>
      </c>
      <c r="V108" s="48">
        <v>0</v>
      </c>
      <c r="W108" s="48">
        <v>0</v>
      </c>
      <c r="X108" s="48">
        <v>0</v>
      </c>
      <c r="Y108" s="48">
        <v>0</v>
      </c>
      <c r="Z108" s="48">
        <v>0</v>
      </c>
      <c r="AA108" s="48">
        <v>0</v>
      </c>
      <c r="AB108" s="48">
        <v>0</v>
      </c>
      <c r="AC108" s="48">
        <v>0</v>
      </c>
      <c r="AD108" s="48">
        <v>0</v>
      </c>
      <c r="AE108" s="48">
        <v>0</v>
      </c>
      <c r="AF108" s="48">
        <v>0</v>
      </c>
      <c r="AG108" s="48">
        <v>0</v>
      </c>
      <c r="AH108" s="48">
        <v>300</v>
      </c>
      <c r="AI108" s="48">
        <v>300</v>
      </c>
      <c r="AJ108" s="48">
        <v>600</v>
      </c>
      <c r="AK108" s="8">
        <f>SUM(D108:AJ108)</f>
        <v>1200</v>
      </c>
    </row>
    <row r="109" spans="1:52" x14ac:dyDescent="0.25">
      <c r="A109" t="s">
        <v>146</v>
      </c>
      <c r="B109" t="s">
        <v>99</v>
      </c>
      <c r="D109" s="48">
        <v>0</v>
      </c>
      <c r="E109" s="48">
        <v>0</v>
      </c>
      <c r="F109" s="48">
        <v>0</v>
      </c>
      <c r="G109" s="48">
        <v>0</v>
      </c>
      <c r="H109" s="48">
        <v>0</v>
      </c>
      <c r="I109" s="48">
        <v>0</v>
      </c>
      <c r="J109" s="48">
        <v>0</v>
      </c>
      <c r="K109" s="48">
        <v>0</v>
      </c>
      <c r="L109" s="48">
        <v>0</v>
      </c>
      <c r="M109" s="48">
        <v>0</v>
      </c>
      <c r="N109" s="48">
        <v>0</v>
      </c>
      <c r="O109" s="48">
        <v>0</v>
      </c>
      <c r="P109" s="48">
        <v>0</v>
      </c>
      <c r="Q109" s="48">
        <v>0</v>
      </c>
      <c r="R109" s="48">
        <v>0</v>
      </c>
      <c r="S109" s="48">
        <v>0</v>
      </c>
      <c r="T109" s="48">
        <v>0</v>
      </c>
      <c r="U109" s="48">
        <v>0</v>
      </c>
      <c r="V109" s="48">
        <v>0</v>
      </c>
      <c r="W109" s="48">
        <v>0</v>
      </c>
      <c r="X109" s="48">
        <v>0</v>
      </c>
      <c r="Y109" s="48">
        <v>0</v>
      </c>
      <c r="Z109" s="48">
        <v>0</v>
      </c>
      <c r="AA109" s="48">
        <v>0</v>
      </c>
      <c r="AB109" s="48">
        <v>0</v>
      </c>
      <c r="AC109" s="48">
        <v>0</v>
      </c>
      <c r="AD109" s="48">
        <v>0</v>
      </c>
      <c r="AE109" s="48">
        <v>0</v>
      </c>
      <c r="AF109" s="48">
        <v>0</v>
      </c>
      <c r="AG109" s="48">
        <v>0</v>
      </c>
      <c r="AH109" s="48">
        <v>300</v>
      </c>
      <c r="AI109" s="48">
        <v>300</v>
      </c>
      <c r="AJ109" s="48">
        <v>600</v>
      </c>
      <c r="AK109" s="8">
        <f>SUM(D109:AJ109)</f>
        <v>1200</v>
      </c>
      <c r="AL109" s="8"/>
      <c r="AM109" s="8"/>
      <c r="AN109" s="8"/>
      <c r="AO109" s="8"/>
      <c r="AP109" s="8"/>
      <c r="AQ109" s="8"/>
      <c r="AR109" s="8"/>
      <c r="AS109" s="8"/>
      <c r="AT109" s="8"/>
      <c r="AU109" s="8"/>
      <c r="AV109" s="8"/>
      <c r="AW109" s="8"/>
      <c r="AX109" s="8"/>
      <c r="AY109" s="8"/>
      <c r="AZ109" s="8"/>
    </row>
    <row r="110" spans="1:52" x14ac:dyDescent="0.25">
      <c r="A110" t="s">
        <v>147</v>
      </c>
      <c r="B110" t="s">
        <v>99</v>
      </c>
      <c r="D110" s="48">
        <v>0</v>
      </c>
      <c r="E110" s="48">
        <v>0</v>
      </c>
      <c r="F110" s="48">
        <v>0</v>
      </c>
      <c r="G110" s="48">
        <v>0</v>
      </c>
      <c r="H110" s="48">
        <v>0</v>
      </c>
      <c r="I110" s="48">
        <v>0</v>
      </c>
      <c r="J110" s="48">
        <v>0</v>
      </c>
      <c r="K110" s="48">
        <v>0</v>
      </c>
      <c r="L110" s="48">
        <v>0</v>
      </c>
      <c r="M110" s="48">
        <v>0</v>
      </c>
      <c r="N110" s="48">
        <v>0</v>
      </c>
      <c r="O110" s="48">
        <v>0</v>
      </c>
      <c r="P110" s="48">
        <v>0</v>
      </c>
      <c r="Q110" s="48">
        <v>0</v>
      </c>
      <c r="R110" s="48">
        <v>0</v>
      </c>
      <c r="S110" s="48">
        <v>0</v>
      </c>
      <c r="T110" s="48">
        <v>0</v>
      </c>
      <c r="U110" s="48">
        <v>0</v>
      </c>
      <c r="V110" s="48">
        <v>0</v>
      </c>
      <c r="W110" s="48">
        <v>0</v>
      </c>
      <c r="X110" s="48">
        <v>0</v>
      </c>
      <c r="Y110" s="48">
        <v>0</v>
      </c>
      <c r="Z110" s="48">
        <v>0</v>
      </c>
      <c r="AA110" s="48">
        <v>0</v>
      </c>
      <c r="AB110" s="48">
        <v>0</v>
      </c>
      <c r="AC110" s="48">
        <v>0</v>
      </c>
      <c r="AD110" s="48">
        <v>0</v>
      </c>
      <c r="AE110" s="48">
        <v>0</v>
      </c>
      <c r="AF110" s="48">
        <v>0</v>
      </c>
      <c r="AG110" s="48">
        <v>0</v>
      </c>
      <c r="AH110" s="48">
        <v>0</v>
      </c>
      <c r="AI110" s="48">
        <v>0</v>
      </c>
      <c r="AJ110" s="48">
        <v>0</v>
      </c>
      <c r="AK110" s="8">
        <f>SUM(D110:AJ110)</f>
        <v>0</v>
      </c>
      <c r="AL110" s="8"/>
      <c r="AM110" s="8"/>
      <c r="AN110" s="8"/>
      <c r="AO110" s="8"/>
      <c r="AP110" s="8"/>
      <c r="AQ110" s="8"/>
      <c r="AR110" s="8"/>
      <c r="AS110" s="8"/>
      <c r="AT110" s="8"/>
      <c r="AU110" s="8"/>
      <c r="AV110" s="8"/>
      <c r="AW110" s="8"/>
      <c r="AX110" s="8"/>
      <c r="AY110" s="8"/>
      <c r="AZ110" s="8"/>
    </row>
    <row r="111" spans="1:52" x14ac:dyDescent="0.25">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row>
    <row r="112" spans="1:52" s="69" customFormat="1" x14ac:dyDescent="0.25">
      <c r="A112" s="82" t="s">
        <v>148</v>
      </c>
      <c r="B112" s="82"/>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row>
    <row r="113" spans="1:52" x14ac:dyDescent="0.25">
      <c r="A113" t="s">
        <v>149</v>
      </c>
      <c r="B113" t="s">
        <v>99</v>
      </c>
      <c r="C113" s="48">
        <v>1000</v>
      </c>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row>
    <row r="114" spans="1:52" x14ac:dyDescent="0.25">
      <c r="A114" t="s">
        <v>150</v>
      </c>
      <c r="B114" t="s">
        <v>99</v>
      </c>
      <c r="C114" s="48">
        <v>1000</v>
      </c>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row>
    <row r="115" spans="1:52" x14ac:dyDescent="0.25">
      <c r="A115" t="s">
        <v>151</v>
      </c>
      <c r="B115" t="s">
        <v>99</v>
      </c>
      <c r="C115" s="48">
        <v>0</v>
      </c>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row>
    <row r="117" spans="1:52" s="69" customFormat="1" x14ac:dyDescent="0.25">
      <c r="A117" s="68" t="s">
        <v>152</v>
      </c>
      <c r="B117" s="68"/>
    </row>
    <row r="118" spans="1:52" x14ac:dyDescent="0.25">
      <c r="A118" t="s">
        <v>153</v>
      </c>
      <c r="B118" t="s">
        <v>154</v>
      </c>
      <c r="C118" s="204">
        <v>0.65</v>
      </c>
    </row>
    <row r="119" spans="1:52" x14ac:dyDescent="0.25">
      <c r="A119" t="s">
        <v>564</v>
      </c>
      <c r="B119" t="s">
        <v>155</v>
      </c>
      <c r="C119" s="205">
        <v>4</v>
      </c>
    </row>
    <row r="120" spans="1:52" x14ac:dyDescent="0.25">
      <c r="A120" t="s">
        <v>565</v>
      </c>
      <c r="B120" t="s">
        <v>155</v>
      </c>
      <c r="C120" s="205">
        <v>8</v>
      </c>
    </row>
    <row r="121" spans="1:52" x14ac:dyDescent="0.25">
      <c r="A121" t="s">
        <v>566</v>
      </c>
      <c r="B121" t="s">
        <v>155</v>
      </c>
      <c r="C121" s="205">
        <v>10</v>
      </c>
    </row>
    <row r="122" spans="1:52" x14ac:dyDescent="0.25">
      <c r="A122" t="s">
        <v>156</v>
      </c>
      <c r="B122" t="s">
        <v>157</v>
      </c>
      <c r="C122" s="204">
        <v>0.32</v>
      </c>
    </row>
    <row r="123" spans="1:52" x14ac:dyDescent="0.25">
      <c r="A123" t="s">
        <v>158</v>
      </c>
      <c r="B123" t="s">
        <v>157</v>
      </c>
      <c r="C123" s="204">
        <v>0.32</v>
      </c>
    </row>
    <row r="124" spans="1:52" x14ac:dyDescent="0.25">
      <c r="A124" t="s">
        <v>159</v>
      </c>
      <c r="B124" t="s">
        <v>157</v>
      </c>
      <c r="C124" s="204">
        <v>0.32</v>
      </c>
    </row>
    <row r="125" spans="1:52" x14ac:dyDescent="0.25">
      <c r="A125" t="s">
        <v>160</v>
      </c>
      <c r="B125" t="s">
        <v>161</v>
      </c>
      <c r="C125" s="204">
        <v>0.03</v>
      </c>
    </row>
    <row r="126" spans="1:52" x14ac:dyDescent="0.25">
      <c r="A126" t="s">
        <v>162</v>
      </c>
      <c r="B126" t="s">
        <v>163</v>
      </c>
      <c r="C126" s="204">
        <v>0</v>
      </c>
    </row>
    <row r="127" spans="1:52" ht="15.75" x14ac:dyDescent="0.25">
      <c r="A127" s="16" t="s">
        <v>490</v>
      </c>
      <c r="B127" t="s">
        <v>99</v>
      </c>
      <c r="C127" s="366">
        <v>2</v>
      </c>
      <c r="D127" s="19"/>
      <c r="E127" s="257"/>
    </row>
    <row r="128" spans="1:52" x14ac:dyDescent="0.25">
      <c r="A128" t="s">
        <v>164</v>
      </c>
      <c r="B128" s="4" t="s">
        <v>165</v>
      </c>
      <c r="D128" s="43">
        <v>0</v>
      </c>
      <c r="E128" s="43">
        <v>0</v>
      </c>
      <c r="F128" s="43">
        <v>0</v>
      </c>
      <c r="G128" s="43">
        <v>0</v>
      </c>
      <c r="H128" s="43">
        <v>0</v>
      </c>
      <c r="I128" s="43">
        <v>0</v>
      </c>
      <c r="J128" s="43">
        <v>0</v>
      </c>
      <c r="K128" s="43">
        <v>0</v>
      </c>
      <c r="L128" s="43">
        <v>0</v>
      </c>
      <c r="M128" s="43">
        <v>0</v>
      </c>
      <c r="N128" s="43">
        <v>0</v>
      </c>
      <c r="O128" s="43">
        <v>0</v>
      </c>
      <c r="P128" s="43">
        <v>0</v>
      </c>
      <c r="Q128" s="43">
        <v>0</v>
      </c>
      <c r="R128" s="43">
        <v>0</v>
      </c>
      <c r="S128" s="43">
        <v>0</v>
      </c>
      <c r="T128" s="43">
        <v>0</v>
      </c>
      <c r="U128" s="43">
        <v>0</v>
      </c>
      <c r="V128" s="43">
        <v>0</v>
      </c>
      <c r="W128" s="43">
        <v>0</v>
      </c>
      <c r="X128" s="43">
        <v>0</v>
      </c>
      <c r="Y128" s="43">
        <v>0</v>
      </c>
      <c r="Z128" s="43">
        <v>0</v>
      </c>
      <c r="AA128" s="43">
        <v>0</v>
      </c>
      <c r="AB128" s="43">
        <v>0</v>
      </c>
      <c r="AC128" s="43">
        <v>0</v>
      </c>
      <c r="AD128" s="43">
        <v>0</v>
      </c>
      <c r="AE128" s="43">
        <v>0</v>
      </c>
      <c r="AF128" s="43">
        <v>0</v>
      </c>
      <c r="AG128" s="43">
        <v>0</v>
      </c>
      <c r="AH128" s="43">
        <v>0</v>
      </c>
      <c r="AI128" s="43">
        <v>0</v>
      </c>
      <c r="AJ128" s="43">
        <v>0</v>
      </c>
      <c r="AK128" s="6"/>
    </row>
    <row r="129" spans="1:41" x14ac:dyDescent="0.25">
      <c r="B129" s="4"/>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c r="AE129" s="153"/>
      <c r="AF129" s="153"/>
      <c r="AG129" s="153"/>
      <c r="AH129" s="153"/>
      <c r="AI129" s="153"/>
      <c r="AJ129" s="153"/>
      <c r="AK129" s="153"/>
      <c r="AL129" s="79"/>
      <c r="AM129" s="79"/>
      <c r="AN129" s="79"/>
      <c r="AO129" s="79"/>
    </row>
    <row r="130" spans="1:41" ht="15.75" x14ac:dyDescent="0.25">
      <c r="A130" s="167" t="s">
        <v>489</v>
      </c>
      <c r="C130" s="195">
        <v>1</v>
      </c>
    </row>
    <row r="131" spans="1:41" x14ac:dyDescent="0.25">
      <c r="A131" t="s">
        <v>166</v>
      </c>
      <c r="C131" s="85">
        <v>0</v>
      </c>
      <c r="D131" s="86">
        <v>1</v>
      </c>
      <c r="E131" s="87">
        <v>1.5</v>
      </c>
      <c r="F131" s="87">
        <v>2</v>
      </c>
      <c r="G131" s="87">
        <v>2.5</v>
      </c>
      <c r="H131" s="87">
        <v>3</v>
      </c>
      <c r="I131" s="87">
        <v>4</v>
      </c>
      <c r="J131" s="87">
        <v>5</v>
      </c>
      <c r="K131" s="88">
        <v>6</v>
      </c>
    </row>
    <row r="132" spans="1:41" x14ac:dyDescent="0.25">
      <c r="A132" t="s">
        <v>167</v>
      </c>
      <c r="B132" t="s">
        <v>69</v>
      </c>
      <c r="C132" s="89">
        <v>0.1</v>
      </c>
      <c r="D132" s="90">
        <v>0.2</v>
      </c>
      <c r="E132" s="90">
        <v>0.2</v>
      </c>
      <c r="F132" s="90">
        <v>0.3</v>
      </c>
      <c r="G132" s="90">
        <v>0.3</v>
      </c>
      <c r="H132" s="90">
        <v>0.5</v>
      </c>
      <c r="I132" s="90">
        <v>0.6</v>
      </c>
      <c r="J132" s="90">
        <v>0.6</v>
      </c>
      <c r="K132" s="91">
        <v>0.6</v>
      </c>
    </row>
    <row r="133" spans="1:41" x14ac:dyDescent="0.25">
      <c r="C133" s="15"/>
      <c r="D133" s="15"/>
      <c r="E133" s="15"/>
      <c r="F133" s="15"/>
      <c r="G133" s="15"/>
      <c r="H133" s="15"/>
      <c r="I133" s="15"/>
      <c r="J133" s="15"/>
      <c r="K133" s="15"/>
    </row>
    <row r="134" spans="1:41" x14ac:dyDescent="0.25">
      <c r="A134" s="79" t="s">
        <v>168</v>
      </c>
      <c r="C134" s="79"/>
      <c r="D134" s="15"/>
      <c r="E134" s="15"/>
      <c r="F134" s="15"/>
      <c r="G134" s="15"/>
      <c r="H134" s="15"/>
      <c r="I134" s="15"/>
      <c r="J134" s="15"/>
      <c r="K134" s="15"/>
    </row>
    <row r="135" spans="1:41" x14ac:dyDescent="0.25">
      <c r="A135" t="s">
        <v>169</v>
      </c>
      <c r="B135" t="s">
        <v>170</v>
      </c>
      <c r="C135" s="47">
        <v>300</v>
      </c>
      <c r="D135" s="15"/>
      <c r="E135" s="15"/>
      <c r="F135" s="15"/>
      <c r="G135" s="15"/>
      <c r="H135" s="15"/>
      <c r="I135" s="15"/>
      <c r="J135" s="15"/>
      <c r="K135" s="15"/>
    </row>
    <row r="136" spans="1:41" x14ac:dyDescent="0.25">
      <c r="A136" t="s">
        <v>171</v>
      </c>
      <c r="B136" t="s">
        <v>170</v>
      </c>
      <c r="C136" s="47">
        <v>600</v>
      </c>
      <c r="D136" s="15"/>
      <c r="E136" s="15"/>
      <c r="F136" s="15"/>
      <c r="G136" s="15"/>
      <c r="H136" s="15"/>
      <c r="I136" s="15"/>
      <c r="J136" s="15"/>
      <c r="K136" s="15"/>
    </row>
    <row r="137" spans="1:41" x14ac:dyDescent="0.25">
      <c r="A137" t="s">
        <v>172</v>
      </c>
      <c r="B137" t="s">
        <v>170</v>
      </c>
      <c r="C137" s="47">
        <v>900</v>
      </c>
      <c r="D137" s="15"/>
      <c r="E137" s="15"/>
      <c r="F137" s="15"/>
      <c r="G137" s="15"/>
      <c r="H137" s="15"/>
      <c r="I137" s="15"/>
      <c r="J137" s="15"/>
      <c r="K137" s="15"/>
    </row>
    <row r="138" spans="1:41" x14ac:dyDescent="0.25">
      <c r="A138" t="s">
        <v>173</v>
      </c>
      <c r="B138" t="s">
        <v>170</v>
      </c>
      <c r="C138" s="47">
        <v>1200</v>
      </c>
      <c r="D138" s="15"/>
      <c r="E138" s="15"/>
      <c r="F138" s="15"/>
      <c r="G138" s="15"/>
      <c r="H138" s="15"/>
      <c r="I138" s="15"/>
      <c r="J138" s="15"/>
      <c r="K138" s="15"/>
    </row>
    <row r="139" spans="1:41" x14ac:dyDescent="0.25">
      <c r="A139" t="s">
        <v>174</v>
      </c>
      <c r="B139" t="s">
        <v>170</v>
      </c>
      <c r="C139" s="47">
        <v>1500</v>
      </c>
      <c r="D139" s="15"/>
      <c r="E139" s="15"/>
      <c r="F139" s="15"/>
      <c r="G139" s="15"/>
      <c r="H139" s="15"/>
      <c r="I139" s="15"/>
      <c r="J139" s="15"/>
      <c r="K139" s="15"/>
    </row>
    <row r="140" spans="1:41" x14ac:dyDescent="0.25">
      <c r="C140" s="79"/>
      <c r="D140" s="15"/>
      <c r="E140" s="15"/>
      <c r="F140" s="15"/>
      <c r="G140" s="15"/>
      <c r="H140" s="15"/>
      <c r="I140" s="15"/>
      <c r="J140" s="15"/>
      <c r="K140" s="15"/>
    </row>
    <row r="141" spans="1:41" x14ac:dyDescent="0.25">
      <c r="A141" t="s">
        <v>175</v>
      </c>
      <c r="B141" t="s">
        <v>69</v>
      </c>
      <c r="C141" s="166">
        <v>0.3</v>
      </c>
      <c r="D141" s="15"/>
      <c r="E141" s="15"/>
      <c r="F141" s="15"/>
      <c r="G141" s="15"/>
      <c r="H141" s="15"/>
      <c r="I141" s="15"/>
      <c r="J141" s="15"/>
      <c r="K141" s="15"/>
    </row>
    <row r="142" spans="1:41" ht="15.95" customHeight="1" x14ac:dyDescent="0.25">
      <c r="A142" t="s">
        <v>176</v>
      </c>
      <c r="B142" t="s">
        <v>69</v>
      </c>
      <c r="C142" s="166">
        <v>0.35</v>
      </c>
      <c r="D142" s="15"/>
      <c r="E142" s="15"/>
      <c r="F142" s="15"/>
      <c r="G142" s="15"/>
      <c r="H142" s="15"/>
      <c r="I142" s="15"/>
      <c r="J142" s="15"/>
      <c r="K142" s="15"/>
    </row>
    <row r="143" spans="1:41" x14ac:dyDescent="0.25">
      <c r="A143" t="s">
        <v>177</v>
      </c>
      <c r="B143" t="s">
        <v>69</v>
      </c>
      <c r="C143" s="166">
        <v>0.375</v>
      </c>
      <c r="D143" s="15"/>
      <c r="E143" s="15"/>
      <c r="F143" s="15"/>
      <c r="G143" s="15"/>
      <c r="H143" s="15"/>
      <c r="I143" s="15"/>
      <c r="J143" s="15"/>
      <c r="K143" s="15"/>
    </row>
    <row r="144" spans="1:41" x14ac:dyDescent="0.25">
      <c r="A144" t="s">
        <v>178</v>
      </c>
      <c r="B144" t="s">
        <v>69</v>
      </c>
      <c r="C144" s="166">
        <v>0.4</v>
      </c>
      <c r="D144" s="15"/>
      <c r="E144" s="15"/>
      <c r="F144" s="15"/>
      <c r="G144" s="15"/>
      <c r="H144" s="15"/>
      <c r="I144" s="15"/>
      <c r="J144" s="15"/>
      <c r="K144" s="15"/>
    </row>
    <row r="145" spans="1:52" x14ac:dyDescent="0.25">
      <c r="A145" t="s">
        <v>179</v>
      </c>
      <c r="B145" t="s">
        <v>69</v>
      </c>
      <c r="C145" s="166">
        <v>0.45</v>
      </c>
      <c r="D145" s="15"/>
      <c r="E145" s="15"/>
      <c r="F145" s="15"/>
      <c r="G145" s="15"/>
      <c r="H145" s="15"/>
      <c r="I145" s="15"/>
      <c r="J145" s="15"/>
      <c r="K145" s="15"/>
    </row>
    <row r="146" spans="1:52" x14ac:dyDescent="0.25">
      <c r="A146" t="s">
        <v>180</v>
      </c>
      <c r="B146" t="s">
        <v>69</v>
      </c>
      <c r="C146" s="166">
        <v>0.5</v>
      </c>
      <c r="D146" s="15"/>
      <c r="E146" s="15"/>
      <c r="F146" s="15"/>
      <c r="G146" s="15"/>
      <c r="H146" s="15"/>
      <c r="I146" s="15"/>
      <c r="J146" s="15"/>
      <c r="K146" s="15"/>
    </row>
    <row r="147" spans="1:52" x14ac:dyDescent="0.25">
      <c r="C147" s="166"/>
      <c r="D147" s="15"/>
      <c r="E147" s="15"/>
      <c r="F147" s="15"/>
      <c r="G147" s="15"/>
      <c r="H147" s="15"/>
      <c r="I147" s="15"/>
      <c r="J147" s="15"/>
      <c r="K147" s="15"/>
    </row>
    <row r="148" spans="1:52" s="69" customFormat="1" x14ac:dyDescent="0.25">
      <c r="A148" s="68" t="s">
        <v>537</v>
      </c>
      <c r="B148" s="68"/>
      <c r="E148" s="92"/>
    </row>
    <row r="149" spans="1:52" x14ac:dyDescent="0.25">
      <c r="A149" s="384" t="s">
        <v>396</v>
      </c>
      <c r="B149" s="185"/>
      <c r="C149" s="166">
        <v>0.7</v>
      </c>
      <c r="D149" s="15"/>
      <c r="E149" s="15"/>
      <c r="F149" s="15"/>
      <c r="G149" s="15"/>
      <c r="H149" s="15"/>
      <c r="I149" s="15"/>
      <c r="J149" s="15"/>
      <c r="K149" s="15"/>
    </row>
    <row r="150" spans="1:52" x14ac:dyDescent="0.25">
      <c r="A150" s="384" t="s">
        <v>397</v>
      </c>
      <c r="B150" s="185"/>
      <c r="C150" s="47">
        <v>8</v>
      </c>
      <c r="D150" s="15"/>
      <c r="E150" s="15"/>
      <c r="F150" s="15"/>
      <c r="G150" s="15"/>
      <c r="H150" s="15"/>
      <c r="I150" s="15"/>
      <c r="J150" s="15"/>
      <c r="K150" s="15"/>
    </row>
    <row r="151" spans="1:52" x14ac:dyDescent="0.25">
      <c r="A151" s="384" t="s">
        <v>398</v>
      </c>
      <c r="B151" s="185"/>
      <c r="C151" s="166">
        <v>0.08</v>
      </c>
      <c r="D151" s="15"/>
      <c r="E151" s="15"/>
      <c r="F151" s="15"/>
      <c r="G151" s="15"/>
      <c r="H151" s="15"/>
      <c r="I151" s="15"/>
      <c r="J151" s="15"/>
      <c r="K151" s="15"/>
    </row>
    <row r="152" spans="1:52" x14ac:dyDescent="0.25">
      <c r="C152" s="4"/>
      <c r="E152" s="6"/>
    </row>
    <row r="153" spans="1:52" s="69" customFormat="1" x14ac:dyDescent="0.25">
      <c r="A153" s="68" t="s">
        <v>541</v>
      </c>
      <c r="B153" s="68"/>
      <c r="E153" s="92"/>
    </row>
    <row r="154" spans="1:52" x14ac:dyDescent="0.25">
      <c r="A154" t="s">
        <v>547</v>
      </c>
      <c r="B154" t="s">
        <v>69</v>
      </c>
      <c r="C154" s="43">
        <v>0.1</v>
      </c>
    </row>
    <row r="155" spans="1:52" ht="15.75" x14ac:dyDescent="0.25">
      <c r="B155" s="1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row>
    <row r="156" spans="1:52" s="69" customFormat="1" x14ac:dyDescent="0.25">
      <c r="A156" s="82" t="s">
        <v>542</v>
      </c>
      <c r="B156" s="82"/>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row>
    <row r="157" spans="1:52" s="69" customFormat="1" x14ac:dyDescent="0.25">
      <c r="A157" t="s">
        <v>183</v>
      </c>
      <c r="B157" t="s">
        <v>69</v>
      </c>
      <c r="C157" s="43">
        <v>1</v>
      </c>
      <c r="D157"/>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c r="AL157"/>
      <c r="AM157"/>
      <c r="AN157"/>
      <c r="AO157"/>
      <c r="AP157"/>
      <c r="AQ157"/>
      <c r="AR157"/>
      <c r="AS157"/>
      <c r="AT157"/>
      <c r="AU157"/>
      <c r="AV157"/>
      <c r="AW157"/>
      <c r="AX157"/>
      <c r="AY157"/>
      <c r="AZ157"/>
    </row>
    <row r="158" spans="1:52" x14ac:dyDescent="0.25">
      <c r="A158" t="s">
        <v>184</v>
      </c>
      <c r="B158" t="s">
        <v>69</v>
      </c>
      <c r="C158" s="43">
        <v>1</v>
      </c>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row>
    <row r="159" spans="1:52" x14ac:dyDescent="0.25">
      <c r="A159" t="s">
        <v>185</v>
      </c>
      <c r="B159" t="s">
        <v>69</v>
      </c>
      <c r="C159" s="43">
        <v>1</v>
      </c>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row>
    <row r="160" spans="1:52" x14ac:dyDescent="0.25">
      <c r="A160" t="s">
        <v>186</v>
      </c>
      <c r="B160" t="s">
        <v>69</v>
      </c>
      <c r="C160" s="43">
        <v>1</v>
      </c>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row>
    <row r="161" spans="1:52" x14ac:dyDescent="0.25">
      <c r="A161" t="s">
        <v>187</v>
      </c>
      <c r="B161" t="s">
        <v>69</v>
      </c>
      <c r="C161" s="43">
        <v>1</v>
      </c>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row>
    <row r="162" spans="1:52" x14ac:dyDescent="0.25">
      <c r="A162" t="s">
        <v>188</v>
      </c>
      <c r="B162" t="s">
        <v>69</v>
      </c>
      <c r="C162" s="43">
        <v>1</v>
      </c>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row>
    <row r="163" spans="1:52" x14ac:dyDescent="0.25">
      <c r="A163" t="s">
        <v>550</v>
      </c>
      <c r="B163" t="s">
        <v>69</v>
      </c>
      <c r="C163" s="43">
        <v>1</v>
      </c>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row>
    <row r="164" spans="1:52" x14ac:dyDescent="0.25">
      <c r="C164" s="153"/>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row>
    <row r="165" spans="1:52" s="69" customFormat="1" x14ac:dyDescent="0.25">
      <c r="A165" s="82" t="s">
        <v>535</v>
      </c>
      <c r="B165" s="82"/>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row>
    <row r="166" spans="1:52" ht="15.75" x14ac:dyDescent="0.25">
      <c r="A166" t="s">
        <v>453</v>
      </c>
      <c r="B166" t="s">
        <v>69</v>
      </c>
      <c r="C166" s="43">
        <v>0.1</v>
      </c>
      <c r="D166" s="19"/>
      <c r="E166" s="273"/>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row>
    <row r="167" spans="1:52" ht="15.75" x14ac:dyDescent="0.25">
      <c r="A167" t="s">
        <v>461</v>
      </c>
      <c r="C167" s="405">
        <v>1</v>
      </c>
      <c r="D167" s="274" t="s">
        <v>448</v>
      </c>
      <c r="E167" s="273"/>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row>
    <row r="168" spans="1:52" ht="15.75" x14ac:dyDescent="0.25">
      <c r="A168" t="s">
        <v>472</v>
      </c>
      <c r="C168" s="47">
        <v>0</v>
      </c>
      <c r="D168" s="274"/>
      <c r="E168" s="273"/>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row>
    <row r="169" spans="1:52" ht="15.75" x14ac:dyDescent="0.25">
      <c r="A169" t="s">
        <v>455</v>
      </c>
      <c r="B169" t="s">
        <v>69</v>
      </c>
      <c r="C169" s="43">
        <v>0.08</v>
      </c>
      <c r="D169" s="257"/>
      <c r="E169" s="275"/>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row>
    <row r="170" spans="1:52" ht="15.75" x14ac:dyDescent="0.25">
      <c r="B170" s="79"/>
      <c r="C170" s="341"/>
      <c r="D170" s="257"/>
      <c r="E170" s="275"/>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row>
    <row r="171" spans="1:52" s="69" customFormat="1" x14ac:dyDescent="0.25">
      <c r="A171" s="82" t="s">
        <v>536</v>
      </c>
      <c r="B171" s="82"/>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row>
    <row r="172" spans="1:52" ht="47.25" x14ac:dyDescent="0.25">
      <c r="A172" s="304" t="s">
        <v>408</v>
      </c>
      <c r="B172" s="29"/>
      <c r="C172" s="232">
        <v>1</v>
      </c>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row>
    <row r="173" spans="1:52" ht="15.75" x14ac:dyDescent="0.25">
      <c r="A173" t="s">
        <v>182</v>
      </c>
      <c r="B173" s="1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row>
    <row r="174" spans="1:52" x14ac:dyDescent="0.25">
      <c r="N174" s="185"/>
      <c r="O174" s="185"/>
      <c r="P174" s="185"/>
      <c r="Q174" s="185"/>
      <c r="R174" s="185"/>
      <c r="S174" s="185"/>
      <c r="T174" s="185"/>
      <c r="U174" s="185"/>
      <c r="V174" s="185"/>
      <c r="W174" s="185"/>
      <c r="X174" s="185"/>
      <c r="Y174" s="185"/>
      <c r="Z174" s="185"/>
      <c r="AA174" s="185"/>
      <c r="AB174" s="185"/>
      <c r="AC174" s="185"/>
      <c r="AD174" s="185"/>
      <c r="AE174" s="185"/>
      <c r="AF174" s="185"/>
      <c r="AG174" s="185"/>
      <c r="AH174" s="185"/>
      <c r="AI174" s="185"/>
      <c r="AJ174" s="185"/>
    </row>
    <row r="175" spans="1:52" ht="20.100000000000001" customHeight="1" x14ac:dyDescent="0.4">
      <c r="A175" s="170" t="s">
        <v>189</v>
      </c>
      <c r="B175" s="149"/>
      <c r="D175" s="38"/>
      <c r="E175" s="340"/>
      <c r="F175" s="340"/>
      <c r="G175" s="340"/>
      <c r="H175" s="340"/>
      <c r="I175" s="340"/>
      <c r="J175" s="340"/>
      <c r="K175" s="340"/>
      <c r="L175" s="340"/>
      <c r="M175" s="340"/>
      <c r="N175" s="185"/>
      <c r="O175" s="340"/>
      <c r="P175" s="340"/>
      <c r="Q175" s="340"/>
      <c r="R175" s="340"/>
      <c r="S175" s="340"/>
      <c r="T175" s="340"/>
      <c r="U175" s="340"/>
      <c r="V175" s="340"/>
      <c r="W175" s="340"/>
      <c r="X175" s="185"/>
      <c r="Y175" s="185"/>
      <c r="Z175" s="340"/>
      <c r="AA175" s="340"/>
      <c r="AB175" s="340"/>
      <c r="AC175" s="340"/>
      <c r="AD175" s="340"/>
      <c r="AE175" s="340"/>
      <c r="AF175" s="340"/>
      <c r="AG175" s="340"/>
      <c r="AH175" s="340"/>
      <c r="AI175" s="185"/>
      <c r="AJ175" s="185"/>
    </row>
    <row r="176" spans="1:52" ht="20.100000000000001" customHeight="1" x14ac:dyDescent="0.3">
      <c r="A176" s="343" t="s">
        <v>538</v>
      </c>
      <c r="B176" s="149"/>
      <c r="D176" s="38"/>
      <c r="E176" s="340"/>
      <c r="F176" s="340"/>
      <c r="G176" s="340"/>
      <c r="H176" s="340"/>
      <c r="I176" s="340"/>
      <c r="J176" s="340"/>
      <c r="K176" s="340"/>
      <c r="L176" s="340"/>
      <c r="M176" s="340"/>
      <c r="N176" s="185"/>
      <c r="O176" s="340"/>
      <c r="P176" s="340"/>
      <c r="Q176" s="340"/>
      <c r="R176" s="340"/>
      <c r="S176" s="340"/>
      <c r="T176" s="340"/>
      <c r="U176" s="340"/>
      <c r="V176" s="340"/>
      <c r="W176" s="340"/>
      <c r="X176" s="185"/>
      <c r="Y176" s="185"/>
      <c r="Z176" s="340"/>
      <c r="AA176" s="340"/>
      <c r="AB176" s="340"/>
      <c r="AC176" s="340"/>
      <c r="AD176" s="340"/>
      <c r="AE176" s="340"/>
      <c r="AF176" s="340"/>
      <c r="AG176" s="340"/>
      <c r="AH176" s="340"/>
      <c r="AI176" s="185"/>
      <c r="AJ176" s="185"/>
    </row>
    <row r="177" spans="1:36" ht="14.1" customHeight="1" x14ac:dyDescent="0.25">
      <c r="A177" s="150" t="s">
        <v>545</v>
      </c>
      <c r="B177" t="s">
        <v>69</v>
      </c>
      <c r="C177" s="386">
        <f>IF(C172=3,"NA",'Field 1 Investor'!C40)</f>
        <v>0.18780377659573078</v>
      </c>
      <c r="D177" s="38"/>
      <c r="E177" s="340"/>
      <c r="F177" s="340"/>
      <c r="G177" s="340"/>
      <c r="H177" s="340"/>
      <c r="I177" s="340"/>
      <c r="J177" s="340"/>
      <c r="K177" s="340"/>
      <c r="L177" s="340"/>
      <c r="M177" s="340"/>
      <c r="N177" s="185"/>
      <c r="O177" s="340"/>
      <c r="P177" s="340"/>
      <c r="Q177" s="340"/>
      <c r="R177" s="340"/>
      <c r="S177" s="340"/>
      <c r="T177" s="340"/>
      <c r="U177" s="340"/>
      <c r="V177" s="340"/>
      <c r="W177" s="340"/>
      <c r="X177" s="185"/>
      <c r="Y177" s="185"/>
      <c r="Z177" s="340"/>
      <c r="AA177" s="340"/>
      <c r="AB177" s="340"/>
      <c r="AC177" s="340"/>
      <c r="AD177" s="340"/>
      <c r="AE177" s="340"/>
      <c r="AF177" s="340"/>
      <c r="AG177" s="340"/>
      <c r="AH177" s="340"/>
      <c r="AI177" s="185"/>
      <c r="AJ177" s="185"/>
    </row>
    <row r="178" spans="1:36" ht="14.1" customHeight="1" x14ac:dyDescent="0.25">
      <c r="A178" s="150" t="s">
        <v>584</v>
      </c>
      <c r="B178" t="s">
        <v>69</v>
      </c>
      <c r="C178" s="386">
        <f>IF(C172=3,"NA",'Field 2 Investor'!C40)</f>
        <v>0.18780377659573078</v>
      </c>
      <c r="D178" s="38"/>
      <c r="E178" s="340"/>
      <c r="F178" s="340"/>
      <c r="G178" s="340"/>
      <c r="H178" s="340"/>
      <c r="I178" s="340"/>
      <c r="J178" s="340"/>
      <c r="K178" s="340"/>
      <c r="L178" s="340"/>
      <c r="M178" s="340"/>
      <c r="N178" s="185"/>
      <c r="O178" s="340"/>
      <c r="P178" s="340"/>
      <c r="Q178" s="340"/>
      <c r="R178" s="340"/>
      <c r="S178" s="340"/>
      <c r="T178" s="340"/>
      <c r="U178" s="340"/>
      <c r="V178" s="340"/>
      <c r="W178" s="340"/>
      <c r="X178" s="185"/>
      <c r="Y178" s="185"/>
      <c r="Z178" s="340"/>
      <c r="AA178" s="340"/>
      <c r="AB178" s="340"/>
      <c r="AC178" s="340"/>
      <c r="AD178" s="340"/>
      <c r="AE178" s="340"/>
      <c r="AF178" s="340"/>
      <c r="AG178" s="340"/>
      <c r="AH178" s="340"/>
      <c r="AI178" s="185"/>
      <c r="AJ178" s="185"/>
    </row>
    <row r="179" spans="1:36" x14ac:dyDescent="0.25">
      <c r="A179" s="150" t="s">
        <v>585</v>
      </c>
      <c r="B179" t="s">
        <v>69</v>
      </c>
      <c r="C179" s="386" t="e">
        <f>IF(C172=3,"NA",'Field 3 Investor'!C40)</f>
        <v>#NUM!</v>
      </c>
      <c r="D179" s="38"/>
      <c r="E179" s="38"/>
      <c r="F179" s="38"/>
      <c r="G179" s="38"/>
      <c r="H179" s="38"/>
      <c r="I179" s="38"/>
      <c r="J179" s="38"/>
      <c r="K179" s="38"/>
      <c r="L179" s="38"/>
      <c r="M179" s="38"/>
      <c r="N179" s="185"/>
      <c r="O179" s="185"/>
      <c r="P179" s="185"/>
      <c r="Q179" s="185"/>
      <c r="R179" s="185"/>
      <c r="S179" s="185"/>
      <c r="T179" s="185"/>
      <c r="U179" s="185"/>
      <c r="V179" s="185"/>
      <c r="W179" s="185"/>
      <c r="X179" s="185"/>
      <c r="Y179" s="185"/>
      <c r="Z179" s="185"/>
      <c r="AA179" s="185"/>
      <c r="AB179" s="185"/>
      <c r="AC179" s="185"/>
      <c r="AD179" s="185"/>
      <c r="AE179" s="185"/>
      <c r="AF179" s="185"/>
      <c r="AG179" s="185"/>
      <c r="AH179" s="185"/>
      <c r="AI179" s="185"/>
      <c r="AJ179" s="185"/>
    </row>
    <row r="180" spans="1:36" x14ac:dyDescent="0.25">
      <c r="A180" s="150" t="s">
        <v>190</v>
      </c>
      <c r="B180" t="s">
        <v>69</v>
      </c>
      <c r="C180" s="386">
        <f>IF($C$172=3,"NA",'Gas PL'!C40)</f>
        <v>8.9852284476093613E-2</v>
      </c>
      <c r="D180" s="38"/>
      <c r="E180" s="38"/>
      <c r="F180" s="38"/>
      <c r="G180" s="38"/>
      <c r="H180" s="38"/>
      <c r="I180" s="38"/>
      <c r="J180" s="38"/>
      <c r="K180" s="38"/>
      <c r="L180" s="38"/>
      <c r="M180" s="38"/>
      <c r="N180" s="185"/>
      <c r="O180" s="185"/>
      <c r="P180" s="185"/>
      <c r="Q180" s="185"/>
      <c r="R180" s="185"/>
      <c r="S180" s="185"/>
      <c r="T180" s="185"/>
      <c r="U180" s="185"/>
      <c r="V180" s="185"/>
      <c r="W180" s="185"/>
      <c r="X180" s="185"/>
      <c r="Y180" s="185"/>
      <c r="Z180" s="185"/>
      <c r="AA180" s="185"/>
      <c r="AB180" s="185"/>
      <c r="AC180" s="185"/>
      <c r="AD180" s="185"/>
      <c r="AE180" s="185"/>
      <c r="AF180" s="185"/>
      <c r="AG180" s="185"/>
      <c r="AH180" s="185"/>
      <c r="AI180" s="185"/>
      <c r="AJ180" s="185"/>
    </row>
    <row r="181" spans="1:36" x14ac:dyDescent="0.25">
      <c r="A181" s="150" t="s">
        <v>528</v>
      </c>
      <c r="B181" t="s">
        <v>69</v>
      </c>
      <c r="C181" s="387">
        <f>IF($C$172=3,"NA",(IF($C$172=1,'LNG Tolling'!C40,IF($C$172=2,'LNG Equity '!C50))))</f>
        <v>0.14004073682421914</v>
      </c>
      <c r="D181" s="38"/>
      <c r="E181" s="38"/>
      <c r="F181" s="38"/>
      <c r="G181" s="38"/>
      <c r="H181" s="38"/>
      <c r="I181" s="38"/>
      <c r="J181" s="38"/>
      <c r="K181" s="38"/>
      <c r="L181" s="38"/>
      <c r="M181" s="38"/>
      <c r="N181" s="185"/>
      <c r="O181" s="185"/>
      <c r="P181" s="185"/>
      <c r="Q181" s="185"/>
      <c r="R181" s="185"/>
      <c r="S181" s="185"/>
      <c r="T181" s="185"/>
      <c r="U181" s="185"/>
      <c r="V181" s="185"/>
      <c r="W181" s="185"/>
      <c r="X181" s="185"/>
      <c r="Y181" s="185"/>
      <c r="Z181" s="185"/>
      <c r="AA181" s="185"/>
      <c r="AB181" s="185"/>
      <c r="AC181" s="185"/>
      <c r="AD181" s="185"/>
      <c r="AE181" s="185"/>
      <c r="AF181" s="185"/>
      <c r="AG181" s="185"/>
      <c r="AH181" s="185"/>
      <c r="AI181" s="185"/>
      <c r="AJ181" s="185"/>
    </row>
    <row r="182" spans="1:36" x14ac:dyDescent="0.25">
      <c r="A182" s="353" t="s">
        <v>529</v>
      </c>
      <c r="B182" t="s">
        <v>69</v>
      </c>
      <c r="C182" s="387">
        <f>IF($C$172=1,'Consolidated LNG Tolling'!C30,IF($C$172=2,'Consolidated LNG Equity'!C32,IF($C$172=3,'Consolidated One Ring Fence'!C30)))</f>
        <v>0.1512861269408301</v>
      </c>
      <c r="D182" s="38"/>
      <c r="E182" s="38"/>
      <c r="F182" s="38"/>
      <c r="G182" s="38"/>
      <c r="H182" s="38"/>
      <c r="I182" s="38"/>
      <c r="J182" s="38"/>
      <c r="K182" s="38"/>
      <c r="L182" s="38"/>
      <c r="M182" s="38"/>
      <c r="N182" s="185"/>
      <c r="O182" s="185"/>
      <c r="P182" s="185"/>
      <c r="Q182" s="185"/>
      <c r="R182" s="185"/>
      <c r="S182" s="185"/>
      <c r="T182" s="185"/>
      <c r="U182" s="185"/>
      <c r="V182" s="185"/>
      <c r="W182" s="185"/>
      <c r="X182" s="185"/>
      <c r="Y182" s="185"/>
      <c r="Z182" s="185"/>
      <c r="AA182" s="185"/>
      <c r="AB182" s="185"/>
      <c r="AC182" s="185"/>
      <c r="AD182" s="185"/>
      <c r="AE182" s="185"/>
      <c r="AF182" s="185"/>
      <c r="AG182" s="185"/>
      <c r="AH182" s="185"/>
      <c r="AI182" s="185"/>
      <c r="AJ182" s="185"/>
    </row>
    <row r="183" spans="1:36" x14ac:dyDescent="0.25">
      <c r="A183" s="385" t="s">
        <v>539</v>
      </c>
      <c r="B183" t="s">
        <v>69</v>
      </c>
      <c r="C183" s="387">
        <f>'NOC &amp; IOC Shares'!C84</f>
        <v>0.15010771563561898</v>
      </c>
      <c r="D183" s="38"/>
      <c r="E183" s="38"/>
      <c r="F183" s="38"/>
      <c r="G183" s="38"/>
      <c r="H183" s="38"/>
      <c r="I183" s="38"/>
      <c r="J183" s="38"/>
      <c r="K183" s="38"/>
      <c r="L183" s="38"/>
      <c r="M183" s="38"/>
      <c r="N183" s="185"/>
      <c r="O183" s="185"/>
      <c r="P183" s="185"/>
      <c r="Q183" s="185"/>
      <c r="R183" s="185"/>
      <c r="S183" s="185"/>
      <c r="T183" s="185"/>
      <c r="U183" s="185"/>
      <c r="V183" s="185"/>
      <c r="W183" s="185"/>
      <c r="X183" s="185"/>
      <c r="Y183" s="185"/>
      <c r="Z183" s="185"/>
      <c r="AA183" s="185"/>
      <c r="AB183" s="185"/>
      <c r="AC183" s="185"/>
      <c r="AD183" s="185"/>
      <c r="AE183" s="185"/>
      <c r="AF183" s="185"/>
      <c r="AG183" s="185"/>
      <c r="AH183" s="185"/>
      <c r="AI183" s="185"/>
      <c r="AJ183" s="185"/>
    </row>
    <row r="184" spans="1:36" x14ac:dyDescent="0.25">
      <c r="A184" s="385" t="s">
        <v>540</v>
      </c>
      <c r="B184" t="s">
        <v>69</v>
      </c>
      <c r="C184" s="387">
        <f>'NOC &amp; IOC Shares'!C53</f>
        <v>0.16459849152314598</v>
      </c>
      <c r="D184" s="38"/>
      <c r="E184" s="38"/>
      <c r="F184" s="38"/>
      <c r="G184" s="38"/>
      <c r="H184" s="38"/>
      <c r="I184" s="38"/>
      <c r="J184" s="38"/>
      <c r="K184" s="38"/>
      <c r="L184" s="38"/>
      <c r="M184" s="38"/>
      <c r="N184" s="185"/>
      <c r="O184" s="185"/>
      <c r="P184" s="185"/>
      <c r="Q184" s="185"/>
      <c r="R184" s="185"/>
      <c r="S184" s="185"/>
      <c r="T184" s="185"/>
      <c r="U184" s="185"/>
      <c r="V184" s="185"/>
      <c r="W184" s="185"/>
      <c r="X184" s="185"/>
      <c r="Y184" s="185"/>
      <c r="Z184" s="185"/>
      <c r="AA184" s="185"/>
      <c r="AB184" s="185"/>
      <c r="AC184" s="185"/>
      <c r="AD184" s="185"/>
      <c r="AE184" s="185"/>
      <c r="AF184" s="185"/>
      <c r="AG184" s="185"/>
      <c r="AH184" s="185"/>
      <c r="AI184" s="185"/>
      <c r="AJ184" s="185"/>
    </row>
    <row r="185" spans="1:36" x14ac:dyDescent="0.25">
      <c r="A185" s="38"/>
      <c r="C185" s="15"/>
      <c r="D185" s="38"/>
      <c r="E185" s="38"/>
      <c r="F185" s="38"/>
      <c r="G185" s="38"/>
      <c r="H185" s="38"/>
      <c r="I185" s="38"/>
      <c r="J185" s="38"/>
      <c r="K185" s="38"/>
      <c r="L185" s="38"/>
      <c r="M185" s="38"/>
      <c r="N185" s="185"/>
      <c r="O185" s="185"/>
      <c r="P185" s="185"/>
      <c r="Q185" s="185"/>
      <c r="R185" s="185"/>
      <c r="S185" s="185"/>
      <c r="T185" s="185"/>
      <c r="U185" s="185"/>
      <c r="V185" s="185"/>
      <c r="W185" s="185"/>
      <c r="X185" s="185"/>
      <c r="Y185" s="185"/>
      <c r="Z185" s="185"/>
      <c r="AA185" s="185"/>
      <c r="AB185" s="185"/>
      <c r="AC185" s="185"/>
      <c r="AD185" s="185"/>
      <c r="AE185" s="185"/>
      <c r="AF185" s="185"/>
      <c r="AG185" s="185"/>
      <c r="AH185" s="185"/>
      <c r="AI185" s="185"/>
      <c r="AJ185" s="185"/>
    </row>
    <row r="186" spans="1:36" ht="18.75" x14ac:dyDescent="0.3">
      <c r="A186" s="343" t="s">
        <v>533</v>
      </c>
      <c r="B186" s="51"/>
      <c r="C186" s="344"/>
      <c r="D186" s="38"/>
      <c r="E186" s="38"/>
      <c r="F186" s="38"/>
      <c r="G186" s="38"/>
      <c r="H186" s="38"/>
      <c r="I186" s="38"/>
      <c r="J186" s="38"/>
      <c r="K186" s="38"/>
      <c r="L186" s="38"/>
      <c r="M186" s="38"/>
      <c r="N186" s="185"/>
      <c r="O186" s="185"/>
      <c r="P186" s="185"/>
      <c r="Q186" s="185"/>
      <c r="R186" s="185"/>
      <c r="S186" s="185"/>
      <c r="T186" s="185"/>
      <c r="U186" s="185"/>
      <c r="V186" s="185"/>
      <c r="W186" s="185"/>
      <c r="X186" s="185"/>
      <c r="Y186" s="185"/>
      <c r="Z186" s="185"/>
      <c r="AA186" s="185"/>
      <c r="AB186" s="185"/>
      <c r="AC186" s="185"/>
      <c r="AD186" s="185"/>
      <c r="AE186" s="185"/>
      <c r="AF186" s="185"/>
      <c r="AG186" s="185"/>
      <c r="AH186" s="185"/>
      <c r="AI186" s="185"/>
      <c r="AJ186" s="185"/>
    </row>
    <row r="187" spans="1:36" ht="15.75" x14ac:dyDescent="0.25">
      <c r="A187" s="351" t="s">
        <v>530</v>
      </c>
      <c r="B187" s="348"/>
      <c r="C187" s="348"/>
      <c r="D187" s="38"/>
      <c r="E187" s="38"/>
      <c r="F187" s="38"/>
      <c r="G187" s="38"/>
      <c r="H187" s="38"/>
      <c r="I187" s="38"/>
      <c r="J187" s="38"/>
      <c r="K187" s="38"/>
      <c r="L187" s="38"/>
      <c r="M187" s="38"/>
      <c r="N187" s="185"/>
      <c r="O187" s="185"/>
      <c r="P187" s="185"/>
      <c r="Q187" s="185"/>
      <c r="R187" s="185"/>
      <c r="S187" s="185"/>
      <c r="T187" s="185"/>
      <c r="U187" s="185"/>
      <c r="V187" s="185"/>
      <c r="W187" s="185"/>
      <c r="X187" s="185"/>
      <c r="Y187" s="185"/>
      <c r="Z187" s="185"/>
      <c r="AA187" s="185"/>
      <c r="AB187" s="185"/>
      <c r="AC187" s="185"/>
      <c r="AD187" s="185"/>
      <c r="AE187" s="185"/>
      <c r="AF187" s="185"/>
      <c r="AG187" s="185"/>
      <c r="AH187" s="185"/>
      <c r="AI187" s="185"/>
      <c r="AJ187" s="185"/>
    </row>
    <row r="188" spans="1:36" x14ac:dyDescent="0.25">
      <c r="A188" s="352" t="s">
        <v>548</v>
      </c>
      <c r="B188" s="349">
        <v>0</v>
      </c>
      <c r="C188" s="349">
        <f>C154</f>
        <v>0.1</v>
      </c>
      <c r="D188" s="38"/>
      <c r="E188" s="38"/>
      <c r="F188" s="38"/>
      <c r="G188" s="38"/>
      <c r="H188" s="38"/>
      <c r="I188" s="38"/>
      <c r="J188" s="38"/>
      <c r="K188" s="38"/>
      <c r="L188" s="38"/>
      <c r="M188" s="38"/>
      <c r="N188" s="185"/>
      <c r="O188" s="185"/>
      <c r="P188" s="185"/>
      <c r="Q188" s="185"/>
      <c r="R188" s="185"/>
      <c r="S188" s="185"/>
      <c r="T188" s="185"/>
      <c r="U188" s="185"/>
      <c r="V188" s="185"/>
      <c r="W188" s="185"/>
      <c r="X188" s="185"/>
      <c r="Y188" s="185"/>
      <c r="Z188" s="185"/>
      <c r="AA188" s="185"/>
      <c r="AB188" s="185"/>
      <c r="AC188" s="185"/>
      <c r="AD188" s="185"/>
      <c r="AE188" s="185"/>
      <c r="AF188" s="185"/>
      <c r="AG188" s="185"/>
      <c r="AH188" s="185"/>
      <c r="AI188" s="185"/>
      <c r="AJ188" s="185"/>
    </row>
    <row r="189" spans="1:36" x14ac:dyDescent="0.25">
      <c r="A189" s="350" t="s">
        <v>198</v>
      </c>
      <c r="B189" s="363">
        <f>IF($C$172=1,SUM('Consolidated LNG Tolling'!C10:AI10),IF($C$172=2,SUM('Consolidated LNG Equity'!C10:AI10),IF($C$172=3,SUM('Consolidated One Ring Fence'!C10:AI10))))</f>
        <v>167882.94698750004</v>
      </c>
      <c r="C189" s="363">
        <f>IF($C$172=1,NPV($C$188,'Consolidated LNG Tolling'!D10:AJ10),IF($C$172=2,NPV($C$188,'Consolidated LNG Equity'!D10:AJ10),IF($C$172=3,NPV($C$188,'Consolidated One Ring Fence'!D10:AJ10))))</f>
        <v>31525.883529834864</v>
      </c>
      <c r="D189" s="364"/>
      <c r="E189" s="38"/>
      <c r="F189" s="38"/>
      <c r="G189" s="38"/>
      <c r="H189" s="38"/>
      <c r="I189" s="38"/>
      <c r="J189" s="38"/>
      <c r="K189" s="38"/>
      <c r="L189" s="38"/>
      <c r="M189" s="38"/>
      <c r="N189" s="185"/>
      <c r="O189" s="185"/>
      <c r="P189" s="185"/>
      <c r="Q189" s="185"/>
      <c r="R189" s="185"/>
      <c r="S189" s="185"/>
      <c r="T189" s="185"/>
      <c r="U189" s="185"/>
      <c r="V189" s="185"/>
      <c r="W189" s="185"/>
      <c r="X189" s="185"/>
      <c r="Y189" s="185"/>
      <c r="Z189" s="185"/>
      <c r="AA189" s="185"/>
      <c r="AB189" s="185"/>
      <c r="AC189" s="185"/>
      <c r="AD189" s="185"/>
      <c r="AE189" s="185"/>
      <c r="AF189" s="185"/>
      <c r="AG189" s="185"/>
      <c r="AH189" s="185"/>
      <c r="AI189" s="185"/>
      <c r="AJ189" s="185"/>
    </row>
    <row r="190" spans="1:36" x14ac:dyDescent="0.25">
      <c r="A190" s="350" t="s">
        <v>199</v>
      </c>
      <c r="B190" s="363">
        <f>IF($C$172=1,SUM('Consolidated LNG Tolling'!C23:AI23),IF($C$172=2,SUM('Consolidated LNG Equity'!C25:AI25),IF($C$172=3,SUM('Consolidated One Ring Fence'!C25:AI25))))</f>
        <v>84300.311918847772</v>
      </c>
      <c r="C190" s="363">
        <f>IF($C$172=1,NPV($C$188, 'Consolidated LNG Tolling'!D23:AJ23),IF($C$172=2,NPV($C$188,'Consolidated LNG Equity'!D25:AJ25),IF($C$172=3,NPV($C$188,'Consolidated One Ring Fence'!D25:AJ25))))</f>
        <v>13393.457259752795</v>
      </c>
      <c r="D190" s="364"/>
      <c r="E190" s="38"/>
      <c r="F190" s="38"/>
      <c r="G190" s="38"/>
      <c r="H190" s="38"/>
      <c r="I190" s="38"/>
      <c r="J190" s="38"/>
      <c r="K190" s="38"/>
      <c r="L190" s="38"/>
      <c r="M190" s="38"/>
      <c r="N190" s="185"/>
      <c r="O190" s="185"/>
      <c r="P190" s="185"/>
      <c r="Q190" s="185"/>
      <c r="R190" s="185"/>
      <c r="S190" s="185"/>
      <c r="T190" s="185"/>
      <c r="U190" s="185"/>
      <c r="V190" s="185"/>
      <c r="W190" s="185"/>
      <c r="X190" s="185"/>
      <c r="Y190" s="185"/>
      <c r="Z190" s="185"/>
      <c r="AA190" s="185"/>
      <c r="AB190" s="185"/>
      <c r="AC190" s="185"/>
      <c r="AD190" s="185"/>
      <c r="AE190" s="185"/>
      <c r="AF190" s="185"/>
      <c r="AG190" s="185"/>
      <c r="AH190" s="185"/>
      <c r="AI190" s="185"/>
      <c r="AJ190" s="185"/>
    </row>
    <row r="191" spans="1:36" x14ac:dyDescent="0.25">
      <c r="A191" s="350" t="s">
        <v>200</v>
      </c>
      <c r="B191" s="363">
        <f>IF($C$172=1,SUM('Consolidated LNG Tolling'!C21:AI21),IF($C$172=2,SUM('Consolidated LNG Equity'!C23:AI23),IF($C$172=3,SUM('Consolidated One Ring Fence'!C23:AI23))))</f>
        <v>83582.635068652293</v>
      </c>
      <c r="C191" s="363">
        <f>IF($C$172=1,NPV($C$188,'Consolidated LNG Tolling'!D21:AJ21),IF($C$172=2,NPV($C$188,'Consolidated LNG Equity'!D23:AJ23),IF($C$172=3,NPV($C$188,'Consolidated One Ring Fence'!D23:AJ23))))</f>
        <v>18132.426270082073</v>
      </c>
      <c r="D191" s="364"/>
      <c r="E191" s="38"/>
      <c r="F191" s="38"/>
      <c r="G191" s="38"/>
      <c r="H191" s="38"/>
      <c r="I191" s="38"/>
      <c r="J191" s="38"/>
      <c r="K191" s="38"/>
      <c r="L191" s="38"/>
      <c r="M191" s="38"/>
      <c r="N191" s="185"/>
      <c r="O191" s="185"/>
      <c r="P191" s="185"/>
      <c r="Q191" s="185"/>
      <c r="R191" s="185"/>
      <c r="S191" s="185"/>
      <c r="T191" s="185"/>
      <c r="U191" s="185"/>
      <c r="V191" s="185"/>
      <c r="W191" s="185"/>
      <c r="X191" s="185"/>
      <c r="Y191" s="185"/>
      <c r="Z191" s="185"/>
      <c r="AA191" s="185"/>
      <c r="AB191" s="185"/>
      <c r="AC191" s="185"/>
      <c r="AD191" s="185"/>
      <c r="AE191" s="185"/>
      <c r="AF191" s="185"/>
      <c r="AG191" s="185"/>
      <c r="AH191" s="185"/>
      <c r="AI191" s="185"/>
      <c r="AJ191" s="185"/>
    </row>
    <row r="192" spans="1:36" ht="15.75" x14ac:dyDescent="0.25">
      <c r="A192" s="351" t="s">
        <v>201</v>
      </c>
      <c r="B192" s="348" t="s">
        <v>202</v>
      </c>
      <c r="C192" s="348" t="s">
        <v>203</v>
      </c>
      <c r="D192" s="38"/>
      <c r="E192" s="38"/>
      <c r="F192" s="38"/>
      <c r="G192" s="38"/>
      <c r="H192" s="38"/>
      <c r="I192" s="38"/>
      <c r="J192" s="38"/>
      <c r="K192" s="38"/>
      <c r="L192" s="38"/>
      <c r="M192" s="38"/>
      <c r="N192" s="185"/>
      <c r="O192" s="185"/>
      <c r="P192" s="185"/>
      <c r="Q192" s="185"/>
      <c r="R192" s="185"/>
      <c r="S192" s="185"/>
      <c r="T192" s="185"/>
      <c r="U192" s="185"/>
      <c r="V192" s="185"/>
      <c r="W192" s="185"/>
      <c r="X192" s="185"/>
      <c r="Y192" s="185"/>
      <c r="Z192" s="185"/>
      <c r="AA192" s="185"/>
      <c r="AB192" s="185"/>
      <c r="AC192" s="185"/>
      <c r="AD192" s="185"/>
      <c r="AE192" s="185"/>
      <c r="AF192" s="185"/>
      <c r="AG192" s="185"/>
      <c r="AH192" s="185"/>
      <c r="AI192" s="185"/>
      <c r="AJ192" s="185"/>
    </row>
    <row r="193" spans="1:36" x14ac:dyDescent="0.25">
      <c r="A193" s="350" t="s">
        <v>204</v>
      </c>
      <c r="B193" s="365">
        <f>B190/B189</f>
        <v>0.5021374322498906</v>
      </c>
      <c r="C193" s="365">
        <f>C190/C189</f>
        <v>0.42484002857771619</v>
      </c>
      <c r="D193" s="38"/>
      <c r="E193" s="38"/>
      <c r="F193" s="38"/>
      <c r="G193" s="38"/>
      <c r="H193" s="38"/>
      <c r="I193" s="38"/>
      <c r="J193" s="38"/>
      <c r="K193" s="38"/>
      <c r="L193" s="38"/>
      <c r="M193" s="38"/>
      <c r="N193" s="185"/>
      <c r="O193" s="185"/>
      <c r="P193" s="185"/>
      <c r="Q193" s="185"/>
      <c r="R193" s="185"/>
      <c r="S193" s="185"/>
      <c r="T193" s="185"/>
      <c r="U193" s="185"/>
      <c r="V193" s="185"/>
      <c r="W193" s="185"/>
      <c r="X193" s="185"/>
      <c r="Y193" s="185"/>
      <c r="Z193" s="185"/>
      <c r="AA193" s="185"/>
      <c r="AB193" s="185"/>
      <c r="AC193" s="185"/>
      <c r="AD193" s="185"/>
      <c r="AE193" s="185"/>
      <c r="AF193" s="185"/>
      <c r="AG193" s="185"/>
      <c r="AH193" s="185"/>
      <c r="AI193" s="185"/>
      <c r="AJ193" s="185"/>
    </row>
    <row r="194" spans="1:36" x14ac:dyDescent="0.25">
      <c r="A194" s="350" t="s">
        <v>181</v>
      </c>
      <c r="B194" s="365">
        <f>B191/B189</f>
        <v>0.49786256775010956</v>
      </c>
      <c r="C194" s="365">
        <f>C191/C189</f>
        <v>0.57515997142228392</v>
      </c>
      <c r="D194" s="38"/>
      <c r="E194" s="38"/>
      <c r="F194" s="38"/>
      <c r="G194" s="38"/>
      <c r="H194" s="38"/>
      <c r="I194" s="38"/>
      <c r="J194" s="38"/>
      <c r="K194" s="38"/>
      <c r="L194" s="38"/>
      <c r="M194" s="38"/>
      <c r="N194" s="185"/>
      <c r="O194" s="185"/>
      <c r="P194" s="185"/>
      <c r="Q194" s="185"/>
      <c r="R194" s="185"/>
      <c r="S194" s="185"/>
      <c r="T194" s="185"/>
      <c r="U194" s="185"/>
      <c r="V194" s="185"/>
      <c r="W194" s="185"/>
      <c r="X194" s="185"/>
      <c r="Y194" s="185"/>
      <c r="Z194" s="185"/>
      <c r="AA194" s="185"/>
      <c r="AB194" s="185"/>
      <c r="AC194" s="185"/>
      <c r="AD194" s="185"/>
      <c r="AE194" s="185"/>
      <c r="AF194" s="185"/>
      <c r="AG194" s="185"/>
      <c r="AH194" s="185"/>
      <c r="AI194" s="185"/>
      <c r="AJ194" s="185"/>
    </row>
    <row r="195" spans="1:36" x14ac:dyDescent="0.25">
      <c r="D195" s="38"/>
      <c r="E195" s="38"/>
      <c r="F195" s="38"/>
      <c r="G195" s="38"/>
      <c r="H195" s="38"/>
      <c r="I195" s="38"/>
      <c r="J195" s="38"/>
      <c r="K195" s="38"/>
      <c r="L195" s="38"/>
      <c r="M195" s="38"/>
      <c r="N195" s="185"/>
      <c r="O195" s="185"/>
      <c r="P195" s="185"/>
      <c r="Q195" s="185"/>
      <c r="R195" s="185"/>
      <c r="S195" s="185"/>
      <c r="T195" s="185"/>
      <c r="U195" s="185"/>
      <c r="V195" s="185"/>
      <c r="W195" s="185"/>
      <c r="X195" s="185"/>
      <c r="Y195" s="185"/>
      <c r="Z195" s="185"/>
      <c r="AA195" s="185"/>
      <c r="AB195" s="185"/>
      <c r="AC195" s="185"/>
      <c r="AD195" s="185"/>
      <c r="AE195" s="185"/>
      <c r="AF195" s="185"/>
      <c r="AG195" s="185"/>
      <c r="AH195" s="185"/>
      <c r="AI195" s="185"/>
      <c r="AJ195" s="185"/>
    </row>
    <row r="196" spans="1:36" ht="18.75" x14ac:dyDescent="0.3">
      <c r="A196" s="343" t="s">
        <v>534</v>
      </c>
      <c r="C196" s="15"/>
      <c r="D196" s="38"/>
      <c r="E196" s="38"/>
      <c r="F196" s="38"/>
      <c r="G196" s="38"/>
      <c r="H196" s="38"/>
      <c r="I196" s="38"/>
      <c r="J196" s="38"/>
      <c r="K196" s="38"/>
      <c r="L196" s="38"/>
      <c r="M196" s="38"/>
      <c r="N196" s="185"/>
      <c r="O196" s="185"/>
      <c r="P196" s="185"/>
      <c r="Q196" s="185"/>
      <c r="R196" s="185"/>
      <c r="S196" s="185"/>
      <c r="T196" s="185"/>
      <c r="U196" s="185"/>
      <c r="V196" s="185"/>
      <c r="W196" s="185"/>
      <c r="X196" s="185"/>
      <c r="Y196" s="185"/>
      <c r="Z196" s="185"/>
      <c r="AA196" s="185"/>
      <c r="AB196" s="185"/>
      <c r="AC196" s="185"/>
      <c r="AD196" s="185"/>
      <c r="AE196" s="185"/>
      <c r="AF196" s="185"/>
      <c r="AG196" s="185"/>
      <c r="AH196" s="185"/>
      <c r="AI196" s="185"/>
      <c r="AJ196" s="185"/>
    </row>
    <row r="197" spans="1:36" x14ac:dyDescent="0.25">
      <c r="A197" s="150" t="s">
        <v>191</v>
      </c>
      <c r="B197" t="s">
        <v>99</v>
      </c>
      <c r="C197" s="363">
        <f>IF($C$172=1,'Consolidated LNG Tolling'!AJ12,IF($C$172=2,'Consolidated LNG Equity'!AJ12,IF($C$172=3,'Consolidated One Ring Fence'!AJ12)))</f>
        <v>36923.454027981257</v>
      </c>
      <c r="D197" s="38"/>
      <c r="E197" s="38"/>
      <c r="F197" s="38"/>
      <c r="G197" s="38"/>
      <c r="H197" s="38"/>
      <c r="I197" s="38"/>
      <c r="J197" s="38"/>
      <c r="K197" s="38"/>
      <c r="L197" s="38"/>
      <c r="M197" s="38"/>
      <c r="N197" s="185"/>
      <c r="O197" s="185"/>
      <c r="P197" s="185"/>
      <c r="Q197" s="185"/>
      <c r="R197" s="185"/>
      <c r="S197" s="185"/>
      <c r="T197" s="185"/>
      <c r="U197" s="185"/>
      <c r="V197" s="185"/>
      <c r="W197" s="185"/>
      <c r="X197" s="185"/>
      <c r="Y197" s="185"/>
      <c r="Z197" s="185"/>
      <c r="AA197" s="185"/>
      <c r="AB197" s="185"/>
      <c r="AC197" s="185"/>
      <c r="AD197" s="185"/>
      <c r="AE197" s="185"/>
      <c r="AF197" s="185"/>
      <c r="AG197" s="185"/>
      <c r="AH197" s="185"/>
      <c r="AI197" s="185"/>
      <c r="AJ197" s="185"/>
    </row>
    <row r="198" spans="1:36" x14ac:dyDescent="0.25">
      <c r="A198" s="151" t="s">
        <v>192</v>
      </c>
      <c r="B198" t="s">
        <v>99</v>
      </c>
      <c r="C198" s="363">
        <f>IF($C$172=1,'Consolidated LNG Tolling'!AJ14,IF($C$172=2,'Consolidated LNG Equity'!AJ15,IF($C$172=3,'Consolidated One Ring Fence'!AJ15)))</f>
        <v>7929.6224906249981</v>
      </c>
      <c r="D198" s="38"/>
      <c r="E198" s="38"/>
      <c r="F198" s="38"/>
      <c r="G198" s="38"/>
      <c r="H198" s="38"/>
      <c r="I198" s="38"/>
      <c r="J198" s="38"/>
      <c r="K198" s="38"/>
      <c r="L198" s="38"/>
      <c r="M198" s="38"/>
      <c r="N198" s="185"/>
      <c r="O198" s="185"/>
      <c r="P198" s="185"/>
      <c r="Q198" s="185"/>
      <c r="R198" s="185"/>
      <c r="S198" s="185"/>
      <c r="T198" s="185"/>
      <c r="U198" s="185"/>
      <c r="V198" s="185"/>
      <c r="W198" s="185"/>
      <c r="X198" s="185"/>
      <c r="Y198" s="185"/>
      <c r="Z198" s="185"/>
      <c r="AA198" s="185"/>
      <c r="AB198" s="185"/>
      <c r="AC198" s="185"/>
      <c r="AD198" s="185"/>
      <c r="AE198" s="185"/>
      <c r="AF198" s="185"/>
      <c r="AG198" s="185"/>
      <c r="AH198" s="185"/>
      <c r="AI198" s="185"/>
      <c r="AJ198" s="185"/>
    </row>
    <row r="199" spans="1:36" x14ac:dyDescent="0.25">
      <c r="A199" s="151" t="s">
        <v>197</v>
      </c>
      <c r="B199" t="s">
        <v>99</v>
      </c>
      <c r="C199" s="363">
        <f>IF($C$172=1,0,IF($C$172=2,'Consolidated LNG Equity'!AJ16,IF($C$172=3,'Consolidated One Ring Fence'!AJ16)))</f>
        <v>0</v>
      </c>
      <c r="D199" s="38"/>
      <c r="E199" s="38"/>
      <c r="F199" s="38"/>
      <c r="G199" s="38"/>
      <c r="H199" s="38"/>
      <c r="I199" s="38"/>
      <c r="J199" s="38"/>
      <c r="K199" s="38"/>
      <c r="L199" s="38"/>
      <c r="M199" s="38"/>
      <c r="N199" s="185"/>
      <c r="O199" s="185"/>
      <c r="P199" s="185"/>
      <c r="Q199" s="185"/>
      <c r="R199" s="185"/>
      <c r="S199" s="185"/>
      <c r="T199" s="185"/>
      <c r="U199" s="185"/>
      <c r="V199" s="185"/>
      <c r="W199" s="185"/>
      <c r="X199" s="185"/>
      <c r="Y199" s="185"/>
      <c r="Z199" s="185"/>
      <c r="AA199" s="185"/>
      <c r="AB199" s="185"/>
      <c r="AC199" s="185"/>
      <c r="AD199" s="185"/>
      <c r="AE199" s="185"/>
      <c r="AF199" s="185"/>
      <c r="AG199" s="185"/>
      <c r="AH199" s="185"/>
      <c r="AI199" s="185"/>
      <c r="AJ199" s="185"/>
    </row>
    <row r="200" spans="1:36" x14ac:dyDescent="0.25">
      <c r="A200" s="151" t="s">
        <v>193</v>
      </c>
      <c r="B200" t="s">
        <v>99</v>
      </c>
      <c r="C200" s="363">
        <f>IF($C$172=1,'Consolidated LNG Tolling'!AJ17,IF($C$172=2,'Consolidated LNG Equity'!AJ19,IF($C$172=3,'Consolidated One Ring Fence'!AJ19)))</f>
        <v>11579.598628046009</v>
      </c>
      <c r="D200" s="38"/>
      <c r="E200" s="38"/>
      <c r="F200" s="38"/>
      <c r="G200" s="38"/>
      <c r="H200" s="38"/>
      <c r="I200" s="38"/>
      <c r="J200" s="38"/>
      <c r="K200" s="38"/>
      <c r="L200" s="38"/>
      <c r="M200" s="38"/>
      <c r="N200" s="185"/>
      <c r="O200" s="185"/>
      <c r="P200" s="185"/>
      <c r="Q200" s="185"/>
      <c r="R200" s="185"/>
      <c r="S200" s="185"/>
      <c r="T200" s="185"/>
      <c r="U200" s="185"/>
      <c r="V200" s="185"/>
      <c r="W200" s="185"/>
      <c r="X200" s="185"/>
      <c r="Y200" s="185"/>
      <c r="Z200" s="185"/>
      <c r="AA200" s="185"/>
      <c r="AB200" s="185"/>
      <c r="AC200" s="185"/>
      <c r="AD200" s="185"/>
      <c r="AE200" s="185"/>
      <c r="AF200" s="185"/>
      <c r="AG200" s="185"/>
      <c r="AH200" s="185"/>
      <c r="AI200" s="185"/>
      <c r="AJ200" s="185"/>
    </row>
    <row r="201" spans="1:36" x14ac:dyDescent="0.25">
      <c r="A201" s="151" t="s">
        <v>194</v>
      </c>
      <c r="B201" t="s">
        <v>99</v>
      </c>
      <c r="C201" s="363">
        <f>IF($C$172=1,'Consolidated LNG Tolling'!AJ18,IF($C$172=2,'Consolidated LNG Equity'!AJ20,IF($C$172=3,'Consolidated One Ring Fence'!AJ20)))</f>
        <v>1119.6152</v>
      </c>
      <c r="D201" s="38"/>
      <c r="E201" s="38"/>
      <c r="F201" s="38"/>
      <c r="G201" s="38"/>
      <c r="H201" s="38"/>
      <c r="I201" s="38"/>
      <c r="J201" s="38"/>
      <c r="K201" s="38"/>
      <c r="L201" s="38"/>
      <c r="M201" s="38"/>
      <c r="N201" s="185"/>
      <c r="O201" s="185"/>
      <c r="P201" s="185"/>
      <c r="Q201" s="185"/>
      <c r="R201" s="185"/>
      <c r="S201" s="185"/>
      <c r="T201" s="185"/>
      <c r="U201" s="185"/>
      <c r="V201" s="185"/>
      <c r="W201" s="185"/>
      <c r="X201" s="185"/>
      <c r="Y201" s="185"/>
      <c r="Z201" s="185"/>
      <c r="AA201" s="185"/>
      <c r="AB201" s="185"/>
      <c r="AC201" s="185"/>
      <c r="AD201" s="185"/>
      <c r="AE201" s="185"/>
      <c r="AF201" s="185"/>
      <c r="AG201" s="185"/>
      <c r="AH201" s="185"/>
      <c r="AI201" s="185"/>
      <c r="AJ201" s="185"/>
    </row>
    <row r="202" spans="1:36" x14ac:dyDescent="0.25">
      <c r="A202" s="151" t="s">
        <v>195</v>
      </c>
      <c r="B202" t="s">
        <v>99</v>
      </c>
      <c r="C202" s="363">
        <f>IF($C$172=1,'Consolidated LNG Tolling'!AJ19,IF($C$172=2,'Consolidated LNG Equity'!AJ21,IF($C$172=3,'Consolidated One Ring Fence'!AJ21)))</f>
        <v>26030.344722000002</v>
      </c>
      <c r="D202" s="38"/>
      <c r="E202" s="38"/>
      <c r="F202" s="38"/>
      <c r="G202" s="38"/>
      <c r="H202" s="38"/>
      <c r="I202" s="38"/>
      <c r="J202" s="38"/>
      <c r="K202" s="38"/>
      <c r="L202" s="38"/>
      <c r="M202" s="38"/>
      <c r="N202" s="185"/>
      <c r="O202" s="185"/>
      <c r="P202" s="185"/>
      <c r="Q202" s="185"/>
      <c r="R202" s="185"/>
      <c r="S202" s="185"/>
      <c r="T202" s="185"/>
      <c r="U202" s="185"/>
      <c r="V202" s="185"/>
      <c r="W202" s="185"/>
      <c r="X202" s="185"/>
      <c r="Y202" s="185"/>
      <c r="Z202" s="185"/>
      <c r="AA202" s="185"/>
      <c r="AB202" s="185"/>
      <c r="AC202" s="185"/>
      <c r="AD202" s="185"/>
      <c r="AE202" s="185"/>
      <c r="AF202" s="185"/>
      <c r="AG202" s="185"/>
      <c r="AH202" s="185"/>
      <c r="AI202" s="185"/>
      <c r="AJ202" s="185"/>
    </row>
    <row r="203" spans="1:36" x14ac:dyDescent="0.25">
      <c r="A203" s="151" t="s">
        <v>521</v>
      </c>
      <c r="B203" t="s">
        <v>99</v>
      </c>
      <c r="C203" s="363">
        <f>IF($C$172=1,0,IF($C$172=2,0,IF($C$172=3,'Consolidated One Ring Fence'!AJ18)))</f>
        <v>0</v>
      </c>
      <c r="D203" s="38"/>
      <c r="E203" s="38"/>
      <c r="F203" s="38"/>
      <c r="G203" s="38"/>
      <c r="H203" s="38"/>
      <c r="I203" s="38"/>
      <c r="J203" s="38"/>
      <c r="K203" s="38"/>
      <c r="L203" s="38"/>
      <c r="M203" s="38"/>
      <c r="N203" s="185"/>
      <c r="O203" s="185"/>
      <c r="P203" s="185"/>
      <c r="Q203" s="185"/>
      <c r="R203" s="185"/>
      <c r="S203" s="185"/>
      <c r="T203" s="185"/>
      <c r="U203" s="185"/>
      <c r="V203" s="185"/>
      <c r="W203" s="185"/>
      <c r="X203" s="185"/>
      <c r="Y203" s="185"/>
      <c r="Z203" s="185"/>
      <c r="AA203" s="185"/>
      <c r="AB203" s="185"/>
      <c r="AC203" s="185"/>
      <c r="AD203" s="185"/>
      <c r="AE203" s="185"/>
      <c r="AF203" s="185"/>
      <c r="AG203" s="185"/>
      <c r="AH203" s="185"/>
      <c r="AI203" s="185"/>
      <c r="AJ203" s="185"/>
    </row>
    <row r="204" spans="1:36" x14ac:dyDescent="0.25">
      <c r="A204" s="152" t="s">
        <v>113</v>
      </c>
      <c r="B204" t="s">
        <v>99</v>
      </c>
      <c r="C204" s="363">
        <f>SUM(C197:C203)</f>
        <v>83582.635068652278</v>
      </c>
      <c r="D204" s="38"/>
      <c r="E204" s="38"/>
      <c r="F204" s="38"/>
      <c r="G204" s="38"/>
      <c r="H204" s="38"/>
      <c r="I204" s="38"/>
      <c r="J204" s="38"/>
      <c r="K204" s="38"/>
      <c r="L204" s="38"/>
      <c r="M204" s="38"/>
      <c r="N204" s="185"/>
      <c r="O204" s="185"/>
      <c r="P204" s="185"/>
      <c r="Q204" s="185"/>
      <c r="R204" s="185"/>
      <c r="S204" s="185"/>
      <c r="T204" s="185"/>
      <c r="U204" s="185"/>
      <c r="V204" s="185"/>
      <c r="W204" s="185"/>
      <c r="X204" s="185"/>
      <c r="Y204" s="185"/>
      <c r="Z204" s="185"/>
      <c r="AA204" s="185"/>
      <c r="AB204" s="185"/>
      <c r="AC204" s="185"/>
      <c r="AD204" s="185"/>
      <c r="AE204" s="185"/>
      <c r="AF204" s="185"/>
      <c r="AG204" s="185"/>
      <c r="AH204" s="185"/>
      <c r="AI204" s="185"/>
      <c r="AJ204" s="185"/>
    </row>
    <row r="205" spans="1:36" x14ac:dyDescent="0.25">
      <c r="D205" s="38"/>
      <c r="E205" s="38"/>
      <c r="F205" s="38"/>
      <c r="G205" s="38"/>
      <c r="H205" s="38"/>
      <c r="I205" s="38"/>
      <c r="J205" s="38"/>
      <c r="K205" s="38"/>
      <c r="L205" s="38"/>
      <c r="M205" s="38"/>
      <c r="N205" s="185"/>
      <c r="O205" s="185"/>
      <c r="P205" s="185"/>
      <c r="Q205" s="185"/>
      <c r="R205" s="185"/>
      <c r="S205" s="185"/>
      <c r="T205" s="185"/>
      <c r="U205" s="185"/>
      <c r="V205" s="185"/>
      <c r="W205" s="185"/>
      <c r="X205" s="185"/>
      <c r="Y205" s="185"/>
      <c r="Z205" s="185"/>
      <c r="AA205" s="185"/>
      <c r="AB205" s="185"/>
      <c r="AC205" s="185"/>
      <c r="AD205" s="185"/>
      <c r="AE205" s="185"/>
      <c r="AF205" s="185"/>
      <c r="AG205" s="185"/>
      <c r="AH205" s="185"/>
      <c r="AI205" s="185"/>
      <c r="AJ205" s="185"/>
    </row>
    <row r="206" spans="1:36" ht="18.75" x14ac:dyDescent="0.3">
      <c r="A206" s="171"/>
      <c r="D206" s="38"/>
      <c r="E206" s="38"/>
      <c r="F206" s="38"/>
      <c r="G206" s="38"/>
      <c r="H206" s="38"/>
      <c r="I206" s="38"/>
      <c r="J206" s="38"/>
      <c r="K206" s="38"/>
      <c r="L206" s="38"/>
      <c r="M206" s="38"/>
      <c r="N206" s="185"/>
      <c r="O206" s="185"/>
      <c r="P206" s="185"/>
      <c r="Q206" s="185"/>
      <c r="R206" s="185"/>
      <c r="S206" s="185"/>
      <c r="T206" s="185"/>
      <c r="U206" s="185"/>
      <c r="V206" s="185"/>
      <c r="W206" s="185"/>
      <c r="X206" s="185"/>
      <c r="Y206" s="185"/>
      <c r="Z206" s="185"/>
      <c r="AA206" s="185"/>
      <c r="AB206" s="185"/>
      <c r="AC206" s="185"/>
      <c r="AD206" s="185"/>
      <c r="AE206" s="185"/>
      <c r="AF206" s="185"/>
      <c r="AG206" s="185"/>
      <c r="AH206" s="185"/>
      <c r="AI206" s="185"/>
      <c r="AJ206" s="185"/>
    </row>
    <row r="207" spans="1:36" x14ac:dyDescent="0.25">
      <c r="A207" s="152"/>
      <c r="D207" s="38"/>
      <c r="E207" s="38"/>
      <c r="F207" s="38"/>
      <c r="G207" s="38"/>
      <c r="H207" s="38"/>
      <c r="I207" s="38"/>
      <c r="J207" s="38"/>
      <c r="K207" s="38"/>
      <c r="L207" s="38"/>
      <c r="M207" s="38"/>
      <c r="N207" s="185"/>
      <c r="O207" s="185"/>
      <c r="P207" s="185"/>
      <c r="Q207" s="185"/>
      <c r="R207" s="185"/>
      <c r="S207" s="185"/>
      <c r="T207" s="185"/>
      <c r="U207" s="185"/>
      <c r="V207" s="185"/>
      <c r="W207" s="185"/>
      <c r="X207" s="185"/>
      <c r="Y207" s="185"/>
      <c r="Z207" s="185"/>
      <c r="AA207" s="185"/>
      <c r="AB207" s="185"/>
      <c r="AC207" s="185"/>
      <c r="AD207" s="185"/>
      <c r="AE207" s="185"/>
      <c r="AF207" s="185"/>
      <c r="AG207" s="185"/>
      <c r="AH207" s="185"/>
      <c r="AI207" s="185"/>
      <c r="AJ207" s="185"/>
    </row>
    <row r="208" spans="1:36" x14ac:dyDescent="0.25">
      <c r="A208" s="152"/>
      <c r="D208" s="38"/>
      <c r="E208" s="38"/>
      <c r="F208" s="38"/>
      <c r="G208" s="38"/>
      <c r="H208" s="38"/>
      <c r="I208" s="38"/>
      <c r="J208" s="38"/>
      <c r="K208" s="38"/>
      <c r="L208" s="38"/>
      <c r="M208" s="38"/>
      <c r="N208" s="185"/>
      <c r="O208" s="185"/>
      <c r="P208" s="185"/>
      <c r="Q208" s="185"/>
      <c r="R208" s="185"/>
      <c r="S208" s="185"/>
      <c r="T208" s="185"/>
      <c r="U208" s="185"/>
      <c r="V208" s="185"/>
      <c r="W208" s="185"/>
      <c r="X208" s="185"/>
      <c r="Y208" s="185"/>
      <c r="Z208" s="185"/>
      <c r="AA208" s="185"/>
      <c r="AB208" s="185"/>
      <c r="AC208" s="185"/>
      <c r="AD208" s="185"/>
      <c r="AE208" s="185"/>
      <c r="AF208" s="185"/>
      <c r="AG208" s="185"/>
      <c r="AH208" s="185"/>
      <c r="AI208" s="185"/>
      <c r="AJ208" s="185"/>
    </row>
    <row r="209" spans="1:36" x14ac:dyDescent="0.25">
      <c r="A209" s="152"/>
      <c r="D209" s="38"/>
      <c r="E209" s="38"/>
      <c r="F209" s="38"/>
      <c r="G209" s="38"/>
      <c r="H209" s="38"/>
      <c r="I209" s="38"/>
      <c r="J209" s="38"/>
      <c r="K209" s="38"/>
      <c r="L209" s="38"/>
      <c r="M209" s="38"/>
      <c r="N209" s="185"/>
      <c r="O209" s="185"/>
      <c r="P209" s="185"/>
      <c r="Q209" s="185"/>
      <c r="R209" s="185"/>
      <c r="S209" s="185"/>
      <c r="T209" s="185"/>
      <c r="U209" s="185"/>
      <c r="V209" s="185"/>
      <c r="W209" s="185"/>
      <c r="X209" s="185"/>
      <c r="Y209" s="185"/>
      <c r="Z209" s="185"/>
      <c r="AA209" s="185"/>
      <c r="AB209" s="185"/>
      <c r="AC209" s="185"/>
      <c r="AD209" s="185"/>
      <c r="AE209" s="185"/>
      <c r="AF209" s="185"/>
      <c r="AG209" s="185"/>
      <c r="AH209" s="185"/>
      <c r="AI209" s="185"/>
      <c r="AJ209" s="185"/>
    </row>
    <row r="210" spans="1:36" x14ac:dyDescent="0.25">
      <c r="A210" s="152"/>
      <c r="B210" s="185"/>
      <c r="C210" s="334"/>
      <c r="D210" s="38"/>
      <c r="E210" s="38"/>
      <c r="F210" s="38"/>
      <c r="G210" s="38"/>
      <c r="H210" s="38"/>
      <c r="I210" s="38"/>
      <c r="J210" s="38"/>
      <c r="K210" s="38"/>
      <c r="L210" s="38"/>
      <c r="M210" s="38"/>
      <c r="N210" s="185"/>
      <c r="O210" s="185"/>
      <c r="P210" s="185"/>
      <c r="Q210" s="185"/>
      <c r="R210" s="185"/>
      <c r="S210" s="185"/>
      <c r="T210" s="185"/>
      <c r="U210" s="185"/>
      <c r="V210" s="185"/>
      <c r="W210" s="185"/>
      <c r="X210" s="185"/>
      <c r="Y210" s="185"/>
      <c r="Z210" s="185"/>
      <c r="AA210" s="185"/>
      <c r="AB210" s="185"/>
      <c r="AC210" s="185"/>
      <c r="AD210" s="185"/>
      <c r="AE210" s="185"/>
      <c r="AF210" s="185"/>
      <c r="AG210" s="185"/>
      <c r="AH210" s="185"/>
      <c r="AI210" s="185"/>
      <c r="AJ210" s="185"/>
    </row>
    <row r="211" spans="1:36" x14ac:dyDescent="0.25">
      <c r="A211" s="185"/>
      <c r="B211" s="185"/>
      <c r="C211" s="185"/>
      <c r="D211" s="38"/>
      <c r="E211" s="38"/>
      <c r="F211" s="38"/>
      <c r="G211" s="38"/>
      <c r="H211" s="38"/>
      <c r="I211" s="38"/>
      <c r="J211" s="38"/>
      <c r="K211" s="38"/>
      <c r="L211" s="38"/>
      <c r="M211" s="38"/>
      <c r="N211" s="185"/>
      <c r="O211" s="185"/>
      <c r="P211" s="185"/>
      <c r="Q211" s="185"/>
      <c r="R211" s="185"/>
      <c r="S211" s="185"/>
      <c r="T211" s="185"/>
      <c r="U211" s="185"/>
      <c r="V211" s="185"/>
      <c r="W211" s="185"/>
      <c r="X211" s="185"/>
      <c r="Y211" s="185"/>
      <c r="Z211" s="185"/>
      <c r="AA211" s="185"/>
      <c r="AB211" s="185"/>
      <c r="AC211" s="185"/>
      <c r="AD211" s="185"/>
      <c r="AE211" s="185"/>
      <c r="AF211" s="185"/>
      <c r="AG211" s="185"/>
      <c r="AH211" s="185"/>
      <c r="AI211" s="185"/>
      <c r="AJ211" s="185"/>
    </row>
    <row r="212" spans="1:36" ht="15.75" x14ac:dyDescent="0.25">
      <c r="A212" s="338"/>
      <c r="B212" s="185"/>
      <c r="C212" s="185"/>
      <c r="D212" s="38"/>
      <c r="E212" s="38"/>
      <c r="F212" s="38"/>
      <c r="G212" s="38"/>
      <c r="H212" s="38"/>
      <c r="I212" s="38"/>
      <c r="J212" s="38"/>
      <c r="K212" s="38"/>
      <c r="L212" s="38"/>
      <c r="M212" s="38"/>
      <c r="N212" s="185"/>
      <c r="O212" s="185"/>
      <c r="P212" s="185"/>
      <c r="Q212" s="185"/>
      <c r="R212" s="185"/>
      <c r="S212" s="185"/>
      <c r="T212" s="185"/>
      <c r="U212" s="185"/>
      <c r="V212" s="185"/>
      <c r="W212" s="185"/>
      <c r="X212" s="185"/>
      <c r="Y212" s="185"/>
      <c r="Z212" s="185"/>
      <c r="AA212" s="185"/>
      <c r="AB212" s="185"/>
      <c r="AC212" s="185"/>
      <c r="AD212" s="185"/>
      <c r="AE212" s="185"/>
      <c r="AF212" s="185"/>
      <c r="AG212" s="185"/>
      <c r="AH212" s="185"/>
      <c r="AI212" s="185"/>
      <c r="AJ212" s="185"/>
    </row>
    <row r="213" spans="1:36" x14ac:dyDescent="0.25">
      <c r="A213" s="339"/>
      <c r="B213" s="185"/>
      <c r="C213" s="339"/>
      <c r="D213" s="38"/>
      <c r="E213" s="38"/>
      <c r="F213" s="38"/>
      <c r="G213" s="38"/>
      <c r="H213" s="38"/>
      <c r="I213" s="38"/>
      <c r="J213" s="38"/>
      <c r="K213" s="38"/>
      <c r="L213" s="38"/>
      <c r="M213" s="38"/>
      <c r="N213" s="185"/>
      <c r="O213" s="185"/>
      <c r="P213" s="185"/>
      <c r="Q213" s="185"/>
      <c r="R213" s="185"/>
      <c r="S213" s="185"/>
      <c r="T213" s="185"/>
      <c r="U213" s="185"/>
      <c r="V213" s="185"/>
      <c r="W213" s="185"/>
      <c r="X213" s="185"/>
      <c r="Y213" s="185"/>
      <c r="Z213" s="185"/>
      <c r="AA213" s="185"/>
      <c r="AB213" s="185"/>
      <c r="AC213" s="185"/>
      <c r="AD213" s="185"/>
      <c r="AE213" s="185"/>
      <c r="AF213" s="185"/>
      <c r="AG213" s="185"/>
      <c r="AH213" s="185"/>
      <c r="AI213" s="185"/>
      <c r="AJ213" s="185"/>
    </row>
    <row r="214" spans="1:36" x14ac:dyDescent="0.25">
      <c r="A214" s="185"/>
      <c r="B214" s="345"/>
      <c r="C214" s="345"/>
      <c r="D214" s="38"/>
      <c r="E214" s="38"/>
      <c r="F214" s="38"/>
      <c r="G214" s="38"/>
      <c r="H214" s="38"/>
      <c r="I214" s="38"/>
      <c r="J214" s="38"/>
      <c r="K214" s="38"/>
      <c r="L214" s="38"/>
      <c r="M214" s="38"/>
      <c r="N214" s="185"/>
      <c r="O214" s="185"/>
      <c r="P214" s="185"/>
      <c r="Q214" s="185"/>
      <c r="R214" s="185"/>
      <c r="S214" s="185"/>
      <c r="T214" s="185"/>
      <c r="U214" s="185"/>
      <c r="V214" s="185"/>
      <c r="W214" s="185"/>
      <c r="X214" s="185"/>
      <c r="Y214" s="185"/>
      <c r="Z214" s="185"/>
      <c r="AA214" s="185"/>
      <c r="AB214" s="185"/>
      <c r="AC214" s="185"/>
      <c r="AD214" s="185"/>
      <c r="AE214" s="185"/>
      <c r="AF214" s="185"/>
      <c r="AG214" s="185"/>
      <c r="AH214" s="185"/>
      <c r="AI214" s="185"/>
      <c r="AJ214" s="185"/>
    </row>
    <row r="215" spans="1:36" x14ac:dyDescent="0.25">
      <c r="A215" s="185"/>
      <c r="B215" s="345"/>
      <c r="C215" s="345"/>
      <c r="D215" s="38"/>
      <c r="E215" s="38"/>
      <c r="F215" s="38"/>
      <c r="G215" s="38"/>
      <c r="H215" s="38"/>
      <c r="I215" s="38"/>
      <c r="J215" s="38"/>
      <c r="K215" s="38"/>
      <c r="L215" s="38"/>
      <c r="M215" s="38"/>
      <c r="N215" s="185"/>
      <c r="O215" s="185"/>
      <c r="P215" s="185"/>
      <c r="Q215" s="185"/>
      <c r="R215" s="185"/>
      <c r="S215" s="185"/>
      <c r="T215" s="185"/>
      <c r="U215" s="185"/>
      <c r="V215" s="185"/>
      <c r="W215" s="185"/>
      <c r="X215" s="185"/>
      <c r="Y215" s="185"/>
      <c r="Z215" s="185"/>
      <c r="AA215" s="185"/>
      <c r="AB215" s="185"/>
      <c r="AC215" s="185"/>
      <c r="AD215" s="185"/>
      <c r="AE215" s="185"/>
      <c r="AF215" s="185"/>
      <c r="AG215" s="185"/>
      <c r="AH215" s="185"/>
      <c r="AI215" s="185"/>
      <c r="AJ215" s="185"/>
    </row>
    <row r="216" spans="1:36" x14ac:dyDescent="0.25">
      <c r="A216" s="185"/>
      <c r="B216" s="345"/>
      <c r="C216" s="345"/>
      <c r="D216" s="38"/>
      <c r="E216" s="38"/>
      <c r="F216" s="38"/>
      <c r="G216" s="38"/>
      <c r="H216" s="38"/>
      <c r="I216" s="38"/>
      <c r="J216" s="38"/>
      <c r="K216" s="38"/>
      <c r="L216" s="38"/>
      <c r="M216" s="38"/>
      <c r="N216" s="185"/>
      <c r="O216" s="185"/>
      <c r="P216" s="185"/>
      <c r="Q216" s="185"/>
      <c r="R216" s="185"/>
      <c r="S216" s="185"/>
      <c r="T216" s="185"/>
      <c r="U216" s="185"/>
      <c r="V216" s="185"/>
      <c r="W216" s="185"/>
      <c r="X216" s="185"/>
      <c r="Y216" s="185"/>
      <c r="Z216" s="185"/>
      <c r="AA216" s="185"/>
      <c r="AB216" s="185"/>
      <c r="AC216" s="185"/>
      <c r="AD216" s="185"/>
      <c r="AE216" s="185"/>
      <c r="AF216" s="185"/>
      <c r="AG216" s="185"/>
      <c r="AH216" s="185"/>
      <c r="AI216" s="185"/>
      <c r="AJ216" s="185"/>
    </row>
    <row r="217" spans="1:36" x14ac:dyDescent="0.25">
      <c r="A217" s="185"/>
      <c r="B217" s="346"/>
      <c r="C217" s="347"/>
      <c r="D217" s="38"/>
      <c r="E217" s="38"/>
      <c r="F217" s="38"/>
      <c r="G217" s="38"/>
      <c r="H217" s="38"/>
      <c r="I217" s="38"/>
      <c r="J217" s="38"/>
      <c r="K217" s="38"/>
      <c r="L217" s="38"/>
      <c r="M217" s="38"/>
      <c r="N217" s="185"/>
      <c r="O217" s="185"/>
      <c r="P217" s="185"/>
      <c r="Q217" s="185"/>
      <c r="R217" s="185"/>
      <c r="S217" s="185"/>
      <c r="T217" s="185"/>
      <c r="U217" s="185"/>
      <c r="V217" s="185"/>
      <c r="W217" s="185"/>
      <c r="X217" s="185"/>
      <c r="Y217" s="185"/>
      <c r="Z217" s="185"/>
      <c r="AA217" s="185"/>
      <c r="AB217" s="185"/>
      <c r="AC217" s="185"/>
      <c r="AD217" s="185"/>
      <c r="AE217" s="185"/>
      <c r="AF217" s="185"/>
      <c r="AG217" s="185"/>
      <c r="AH217" s="185"/>
      <c r="AI217" s="185"/>
      <c r="AJ217" s="185"/>
    </row>
    <row r="218" spans="1:36" ht="15.75" x14ac:dyDescent="0.25">
      <c r="A218" s="338"/>
      <c r="B218" s="185"/>
      <c r="C218" s="185"/>
      <c r="D218" s="38"/>
      <c r="E218" s="38"/>
      <c r="F218" s="38"/>
      <c r="G218" s="38"/>
      <c r="H218" s="38"/>
      <c r="I218" s="38"/>
      <c r="J218" s="38"/>
      <c r="K218" s="38"/>
      <c r="L218" s="38"/>
      <c r="M218" s="38"/>
      <c r="N218" s="185"/>
      <c r="O218" s="185"/>
      <c r="P218" s="185"/>
      <c r="Q218" s="185"/>
      <c r="R218" s="185"/>
      <c r="S218" s="185"/>
      <c r="T218" s="185"/>
      <c r="U218" s="185"/>
      <c r="V218" s="185"/>
      <c r="W218" s="185"/>
      <c r="X218" s="185"/>
      <c r="Y218" s="185"/>
      <c r="Z218" s="185"/>
      <c r="AA218" s="185"/>
      <c r="AB218" s="185"/>
      <c r="AC218" s="185"/>
      <c r="AD218" s="185"/>
      <c r="AE218" s="185"/>
      <c r="AF218" s="185"/>
      <c r="AG218" s="185"/>
      <c r="AH218" s="185"/>
      <c r="AI218" s="185"/>
      <c r="AJ218" s="185"/>
    </row>
    <row r="219" spans="1:36" x14ac:dyDescent="0.25">
      <c r="A219" s="185"/>
      <c r="B219" s="337"/>
      <c r="C219" s="337"/>
      <c r="D219" s="38"/>
      <c r="E219" s="38"/>
      <c r="F219" s="38"/>
      <c r="G219" s="38"/>
      <c r="H219" s="38"/>
      <c r="I219" s="38"/>
      <c r="J219" s="38"/>
      <c r="K219" s="38"/>
      <c r="L219" s="38"/>
      <c r="M219" s="38"/>
      <c r="N219" s="185"/>
      <c r="O219" s="185"/>
      <c r="P219" s="185"/>
      <c r="Q219" s="185"/>
      <c r="R219" s="185"/>
      <c r="S219" s="185"/>
      <c r="T219" s="185"/>
      <c r="U219" s="185"/>
      <c r="V219" s="185"/>
      <c r="W219" s="185"/>
      <c r="X219" s="185"/>
      <c r="Y219" s="185"/>
      <c r="Z219" s="185"/>
      <c r="AA219" s="185"/>
      <c r="AB219" s="185"/>
      <c r="AC219" s="185"/>
      <c r="AD219" s="185"/>
      <c r="AE219" s="185"/>
      <c r="AF219" s="185"/>
      <c r="AG219" s="185"/>
      <c r="AH219" s="185"/>
      <c r="AI219" s="185"/>
      <c r="AJ219" s="185"/>
    </row>
    <row r="220" spans="1:36" x14ac:dyDescent="0.25">
      <c r="A220" s="185"/>
      <c r="B220" s="337"/>
      <c r="C220" s="337"/>
      <c r="D220" s="169"/>
      <c r="E220" s="38"/>
      <c r="F220" s="38"/>
      <c r="G220" s="38"/>
      <c r="H220" s="38"/>
      <c r="I220" s="38"/>
      <c r="J220" s="38"/>
      <c r="K220" s="38"/>
      <c r="L220" s="38"/>
      <c r="M220" s="38"/>
      <c r="N220" s="185"/>
      <c r="O220" s="185"/>
      <c r="P220" s="185"/>
      <c r="Q220" s="185"/>
      <c r="R220" s="185"/>
      <c r="S220" s="185"/>
      <c r="T220" s="185"/>
      <c r="U220" s="185"/>
      <c r="V220" s="185"/>
      <c r="W220" s="185"/>
      <c r="X220" s="185"/>
      <c r="Y220" s="185"/>
      <c r="Z220" s="185"/>
      <c r="AA220" s="185"/>
      <c r="AB220" s="185"/>
      <c r="AC220" s="185"/>
      <c r="AD220" s="185"/>
      <c r="AE220" s="185"/>
      <c r="AF220" s="185"/>
      <c r="AG220" s="185"/>
      <c r="AH220" s="185"/>
      <c r="AI220" s="185"/>
      <c r="AJ220" s="185"/>
    </row>
    <row r="221" spans="1:36" x14ac:dyDescent="0.25">
      <c r="A221" s="152"/>
      <c r="B221" s="79"/>
      <c r="C221" s="335"/>
      <c r="D221" s="38"/>
      <c r="E221" s="38"/>
      <c r="F221" s="38"/>
      <c r="G221" s="38"/>
      <c r="H221" s="38"/>
      <c r="I221" s="38"/>
      <c r="J221" s="38"/>
      <c r="K221" s="38"/>
      <c r="L221" s="38"/>
      <c r="M221" s="38"/>
      <c r="N221" s="185"/>
      <c r="O221" s="185"/>
      <c r="P221" s="185"/>
      <c r="Q221" s="185"/>
      <c r="R221" s="185"/>
      <c r="S221" s="185"/>
      <c r="T221" s="185"/>
      <c r="U221" s="185"/>
      <c r="V221" s="185"/>
      <c r="W221" s="185"/>
      <c r="X221" s="185"/>
      <c r="Y221" s="185"/>
      <c r="Z221" s="185"/>
      <c r="AA221" s="185"/>
      <c r="AB221" s="185"/>
      <c r="AC221" s="185"/>
      <c r="AD221" s="185"/>
      <c r="AE221" s="185"/>
      <c r="AF221" s="185"/>
      <c r="AG221" s="185"/>
      <c r="AH221" s="185"/>
      <c r="AI221" s="185"/>
      <c r="AJ221" s="185"/>
    </row>
    <row r="222" spans="1:36" ht="18.75" x14ac:dyDescent="0.3">
      <c r="A222" s="342"/>
      <c r="B222" s="15"/>
      <c r="C222" s="15"/>
      <c r="D222" s="38"/>
      <c r="E222" s="38"/>
      <c r="F222" s="38"/>
      <c r="G222" s="38"/>
      <c r="H222" s="38"/>
      <c r="I222" s="38"/>
      <c r="J222" s="38"/>
      <c r="K222" s="38"/>
      <c r="L222" s="38"/>
      <c r="M222" s="38"/>
      <c r="N222" s="185"/>
      <c r="O222" s="185"/>
      <c r="P222" s="185"/>
      <c r="Q222" s="185"/>
      <c r="R222" s="185"/>
      <c r="S222" s="185"/>
      <c r="T222" s="185"/>
      <c r="U222" s="185"/>
      <c r="V222" s="185"/>
      <c r="W222" s="185"/>
      <c r="X222" s="185"/>
      <c r="Y222" s="185"/>
      <c r="Z222" s="185"/>
      <c r="AA222" s="185"/>
      <c r="AB222" s="185"/>
      <c r="AC222" s="185"/>
      <c r="AD222" s="185"/>
      <c r="AE222" s="185"/>
      <c r="AF222" s="185"/>
      <c r="AG222" s="185"/>
      <c r="AH222" s="185"/>
      <c r="AI222" s="185"/>
      <c r="AJ222" s="185"/>
    </row>
    <row r="223" spans="1:36" x14ac:dyDescent="0.25">
      <c r="A223" s="336"/>
      <c r="B223" s="79"/>
      <c r="C223" s="15"/>
      <c r="D223" s="38"/>
      <c r="E223" s="38"/>
      <c r="F223" s="38"/>
      <c r="G223" s="38"/>
      <c r="H223" s="38"/>
      <c r="I223" s="38"/>
      <c r="J223" s="38"/>
      <c r="K223" s="38"/>
      <c r="L223" s="38"/>
      <c r="M223" s="38"/>
      <c r="N223" s="185"/>
      <c r="O223" s="185"/>
      <c r="P223" s="185"/>
      <c r="Q223" s="185"/>
      <c r="R223" s="185"/>
      <c r="S223" s="185"/>
      <c r="T223" s="185"/>
      <c r="U223" s="185"/>
      <c r="V223" s="185"/>
      <c r="W223" s="185"/>
      <c r="X223" s="185"/>
      <c r="Y223" s="185"/>
      <c r="Z223" s="185"/>
      <c r="AA223" s="185"/>
      <c r="AB223" s="185"/>
      <c r="AC223" s="185"/>
      <c r="AD223" s="185"/>
      <c r="AE223" s="185"/>
      <c r="AF223" s="185"/>
      <c r="AG223" s="185"/>
      <c r="AH223" s="185"/>
      <c r="AI223" s="185"/>
      <c r="AJ223" s="185"/>
    </row>
    <row r="224" spans="1:36" ht="17.100000000000001" customHeight="1" x14ac:dyDescent="0.25">
      <c r="A224" s="336"/>
      <c r="B224" s="79"/>
      <c r="C224" s="15"/>
      <c r="D224" s="38"/>
      <c r="E224" s="38"/>
      <c r="F224" s="38"/>
      <c r="G224" s="38"/>
      <c r="H224" s="38"/>
      <c r="I224" s="38"/>
      <c r="J224" s="38"/>
      <c r="K224" s="38"/>
      <c r="L224" s="38"/>
      <c r="M224" s="38"/>
      <c r="N224" s="185"/>
      <c r="O224" s="185"/>
      <c r="P224" s="185"/>
      <c r="Q224" s="185"/>
      <c r="R224" s="185"/>
      <c r="S224" s="185"/>
      <c r="T224" s="185"/>
      <c r="U224" s="185"/>
      <c r="V224" s="185"/>
      <c r="W224" s="185"/>
      <c r="X224" s="185"/>
      <c r="Y224" s="185"/>
      <c r="Z224" s="185"/>
      <c r="AA224" s="185"/>
      <c r="AB224" s="185"/>
      <c r="AC224" s="185"/>
      <c r="AD224" s="185"/>
      <c r="AE224" s="185"/>
      <c r="AF224" s="185"/>
      <c r="AG224" s="185"/>
      <c r="AH224" s="185"/>
      <c r="AI224" s="185"/>
      <c r="AJ224" s="185"/>
    </row>
    <row r="225" spans="1:26" ht="18.75" x14ac:dyDescent="0.3">
      <c r="A225" s="171" t="s">
        <v>543</v>
      </c>
      <c r="B225" s="169"/>
      <c r="C225" s="169"/>
      <c r="D225" s="155"/>
      <c r="E225" s="155"/>
      <c r="F225" s="155"/>
      <c r="G225" s="172"/>
      <c r="H225" s="185"/>
      <c r="I225" s="185"/>
      <c r="J225" s="185"/>
      <c r="K225" s="185"/>
      <c r="L225" s="185"/>
      <c r="M225" s="185"/>
      <c r="N225" s="185"/>
      <c r="O225" s="185"/>
      <c r="P225" s="185"/>
      <c r="Q225" s="185"/>
      <c r="R225" s="185"/>
      <c r="S225" s="185"/>
      <c r="T225" s="185"/>
      <c r="U225" s="185"/>
      <c r="V225" s="185"/>
      <c r="W225" s="185"/>
      <c r="X225" s="185"/>
      <c r="Y225" s="185"/>
      <c r="Z225" s="185"/>
    </row>
    <row r="226" spans="1:26" ht="15" customHeight="1" x14ac:dyDescent="0.4">
      <c r="A226" s="336"/>
      <c r="B226" s="175"/>
      <c r="C226" s="172"/>
      <c r="D226" s="172"/>
      <c r="E226" s="172"/>
      <c r="F226" s="172"/>
      <c r="G226" s="172"/>
      <c r="H226" s="185"/>
      <c r="I226" s="185"/>
      <c r="J226" s="185"/>
      <c r="K226" s="185"/>
      <c r="L226" s="185"/>
      <c r="M226" s="185"/>
      <c r="N226" s="356"/>
      <c r="O226" s="356"/>
      <c r="P226" s="356"/>
      <c r="Q226" s="356"/>
      <c r="R226" s="356"/>
      <c r="S226" s="185"/>
      <c r="T226" s="185"/>
      <c r="U226" s="185"/>
      <c r="V226" s="185"/>
      <c r="W226" s="185"/>
      <c r="X226" s="185"/>
      <c r="Y226" s="185"/>
      <c r="Z226" s="185"/>
    </row>
    <row r="227" spans="1:26" ht="15" customHeight="1" x14ac:dyDescent="0.4">
      <c r="A227" s="156" t="s">
        <v>205</v>
      </c>
      <c r="B227" s="154"/>
      <c r="C227" s="155"/>
      <c r="D227" s="155"/>
      <c r="E227" s="155"/>
      <c r="F227" s="155"/>
      <c r="G227" s="172"/>
      <c r="H227" s="185"/>
      <c r="I227" s="185"/>
      <c r="J227" s="185"/>
      <c r="K227" s="185"/>
      <c r="L227" s="185"/>
      <c r="M227" s="185"/>
      <c r="N227" s="356"/>
      <c r="O227" s="356"/>
      <c r="P227" s="356"/>
      <c r="Q227" s="356"/>
      <c r="R227" s="356"/>
      <c r="S227" s="185"/>
      <c r="T227" s="185"/>
      <c r="U227" s="185"/>
      <c r="V227" s="185"/>
      <c r="W227" s="185"/>
      <c r="X227" s="185"/>
      <c r="Y227" s="185"/>
      <c r="Z227" s="185"/>
    </row>
    <row r="228" spans="1:26" x14ac:dyDescent="0.25">
      <c r="A228" s="157"/>
      <c r="B228" s="158" t="s">
        <v>206</v>
      </c>
      <c r="C228" s="159">
        <v>0.6</v>
      </c>
      <c r="D228" s="159">
        <v>0.8</v>
      </c>
      <c r="E228" s="159">
        <v>1</v>
      </c>
      <c r="F228" s="159">
        <v>1.2</v>
      </c>
      <c r="G228" s="357">
        <v>1.5</v>
      </c>
      <c r="H228" s="185"/>
      <c r="I228" s="185"/>
      <c r="J228" s="185"/>
      <c r="K228" s="185"/>
      <c r="L228" s="185"/>
      <c r="M228" s="185"/>
      <c r="N228" s="185"/>
      <c r="O228" s="185"/>
      <c r="P228" s="185"/>
      <c r="Q228" s="185"/>
      <c r="R228" s="185"/>
      <c r="S228" s="185"/>
      <c r="T228" s="185"/>
      <c r="U228" s="185"/>
      <c r="V228" s="185"/>
      <c r="W228" s="185"/>
      <c r="X228" s="185"/>
      <c r="Y228" s="185"/>
      <c r="Z228" s="185"/>
    </row>
    <row r="229" spans="1:26" x14ac:dyDescent="0.25">
      <c r="A229" s="160" t="s">
        <v>207</v>
      </c>
      <c r="B229" s="354">
        <f>$B$194</f>
        <v>0.49786256775010956</v>
      </c>
      <c r="C229" s="162">
        <f t="dataTable" ref="C229:G232" dt2D="0" dtr="1" r1="C157"/>
        <v>0.4926713048543479</v>
      </c>
      <c r="D229" s="162">
        <v>0.49491326331696173</v>
      </c>
      <c r="E229" s="162">
        <v>0.49786256775010956</v>
      </c>
      <c r="F229" s="162">
        <v>0.49977788941966678</v>
      </c>
      <c r="G229" s="358">
        <v>0.50218915144856302</v>
      </c>
      <c r="H229" s="185"/>
      <c r="I229" s="185"/>
      <c r="J229" s="185"/>
      <c r="K229" s="185"/>
      <c r="L229" s="185"/>
      <c r="M229" s="185"/>
      <c r="N229" s="185"/>
      <c r="O229" s="185"/>
      <c r="P229" s="185"/>
      <c r="Q229" s="185"/>
      <c r="R229" s="185"/>
      <c r="S229" s="185"/>
      <c r="T229" s="185"/>
      <c r="U229" s="185"/>
      <c r="V229" s="185"/>
      <c r="W229" s="185"/>
      <c r="X229" s="185"/>
      <c r="Y229" s="185"/>
      <c r="Z229" s="185"/>
    </row>
    <row r="230" spans="1:26" x14ac:dyDescent="0.25">
      <c r="A230" s="160" t="s">
        <v>208</v>
      </c>
      <c r="B230" s="355">
        <f>$C$191</f>
        <v>18132.426270082073</v>
      </c>
      <c r="C230" s="179">
        <v>12587.234365578028</v>
      </c>
      <c r="D230" s="179">
        <v>15271.641919452264</v>
      </c>
      <c r="E230" s="179">
        <v>18132.426270082073</v>
      </c>
      <c r="F230" s="179">
        <v>21080.712275003545</v>
      </c>
      <c r="G230" s="359">
        <v>25709.73757951906</v>
      </c>
      <c r="H230" s="185"/>
      <c r="I230" s="185"/>
      <c r="J230" s="185"/>
      <c r="K230" s="185"/>
      <c r="L230" s="185"/>
      <c r="M230" s="185"/>
      <c r="N230" s="185"/>
      <c r="O230" s="185"/>
      <c r="P230" s="185"/>
      <c r="Q230" s="185"/>
      <c r="R230" s="185"/>
      <c r="S230" s="185"/>
      <c r="T230" s="185"/>
      <c r="U230" s="185"/>
      <c r="V230" s="185"/>
      <c r="W230" s="185"/>
      <c r="X230" s="185"/>
      <c r="Y230" s="185"/>
      <c r="Z230" s="185"/>
    </row>
    <row r="231" spans="1:26" x14ac:dyDescent="0.25">
      <c r="A231" s="160" t="s">
        <v>209</v>
      </c>
      <c r="B231" s="354">
        <f>$C$182</f>
        <v>0.1512861269408301</v>
      </c>
      <c r="C231" s="162">
        <v>0.11798091399099331</v>
      </c>
      <c r="D231" s="162">
        <v>0.13535002442687349</v>
      </c>
      <c r="E231" s="162">
        <v>0.1512861269408301</v>
      </c>
      <c r="F231" s="162">
        <v>0.16620633967012144</v>
      </c>
      <c r="G231" s="358">
        <v>0.18641995245214171</v>
      </c>
      <c r="H231" s="185"/>
      <c r="I231" s="185"/>
      <c r="J231" s="185"/>
      <c r="K231" s="185"/>
      <c r="L231" s="185"/>
      <c r="M231" s="185"/>
      <c r="N231" s="185"/>
      <c r="O231" s="185"/>
      <c r="P231" s="185"/>
      <c r="Q231" s="185"/>
      <c r="R231" s="185"/>
      <c r="S231" s="185"/>
      <c r="T231" s="185"/>
      <c r="U231" s="185"/>
      <c r="V231" s="185"/>
      <c r="W231" s="185"/>
      <c r="X231" s="185"/>
      <c r="Y231" s="185"/>
      <c r="Z231" s="185"/>
    </row>
    <row r="232" spans="1:26" x14ac:dyDescent="0.25">
      <c r="A232" s="160" t="s">
        <v>210</v>
      </c>
      <c r="B232" s="355">
        <f>$C$190</f>
        <v>13393.457259752795</v>
      </c>
      <c r="C232" s="179">
        <v>6269.1705347286052</v>
      </c>
      <c r="D232" s="179">
        <v>9919.5022956184839</v>
      </c>
      <c r="E232" s="179">
        <v>13393.457259752795</v>
      </c>
      <c r="F232" s="179">
        <v>16779.910569595446</v>
      </c>
      <c r="G232" s="359">
        <v>21652.994237226078</v>
      </c>
      <c r="H232" s="185"/>
      <c r="I232" s="185"/>
      <c r="J232" s="185"/>
      <c r="K232" s="185"/>
      <c r="L232" s="185"/>
      <c r="M232" s="185"/>
      <c r="N232" s="185"/>
      <c r="O232" s="185"/>
      <c r="P232" s="185"/>
      <c r="Q232" s="185"/>
      <c r="R232" s="185"/>
      <c r="S232" s="185"/>
      <c r="T232" s="185"/>
      <c r="U232" s="185"/>
      <c r="V232" s="185"/>
      <c r="W232" s="185"/>
      <c r="X232" s="185"/>
      <c r="Y232" s="185"/>
      <c r="Z232" s="185"/>
    </row>
    <row r="233" spans="1:26" x14ac:dyDescent="0.25">
      <c r="A233" s="177"/>
      <c r="B233" s="354"/>
      <c r="C233" s="172"/>
      <c r="D233" s="172"/>
      <c r="E233" s="172"/>
      <c r="F233" s="172"/>
      <c r="G233" s="172"/>
      <c r="H233" s="185"/>
      <c r="I233" s="185"/>
      <c r="J233" s="185"/>
      <c r="K233" s="185"/>
      <c r="L233" s="185"/>
      <c r="M233" s="185"/>
      <c r="N233" s="185"/>
      <c r="O233" s="185"/>
      <c r="P233" s="185"/>
      <c r="Q233" s="185"/>
      <c r="R233" s="185"/>
      <c r="S233" s="185"/>
      <c r="T233" s="185"/>
      <c r="U233" s="185"/>
      <c r="V233" s="185"/>
      <c r="W233" s="185"/>
      <c r="X233" s="185"/>
      <c r="Y233" s="185"/>
      <c r="Z233" s="185"/>
    </row>
    <row r="234" spans="1:26" x14ac:dyDescent="0.25">
      <c r="A234" s="156" t="s">
        <v>211</v>
      </c>
      <c r="B234" s="154"/>
      <c r="C234" s="155"/>
      <c r="D234" s="155"/>
      <c r="E234" s="155"/>
      <c r="F234" s="155"/>
      <c r="G234" s="172"/>
      <c r="H234" s="185"/>
      <c r="I234" s="185"/>
      <c r="J234" s="185"/>
      <c r="K234" s="185"/>
      <c r="L234" s="185"/>
      <c r="M234" s="185"/>
      <c r="N234" s="185"/>
      <c r="O234" s="185"/>
      <c r="P234" s="185"/>
      <c r="Q234" s="185"/>
      <c r="R234" s="185"/>
      <c r="S234" s="185"/>
      <c r="T234" s="185"/>
      <c r="U234" s="185"/>
      <c r="V234" s="185"/>
      <c r="W234" s="185"/>
      <c r="X234" s="185"/>
      <c r="Y234" s="185"/>
      <c r="Z234" s="185"/>
    </row>
    <row r="235" spans="1:26" x14ac:dyDescent="0.25">
      <c r="A235" s="157"/>
      <c r="B235" s="158" t="s">
        <v>212</v>
      </c>
      <c r="C235" s="159">
        <v>0.6</v>
      </c>
      <c r="D235" s="159">
        <v>0.8</v>
      </c>
      <c r="E235" s="159">
        <v>1</v>
      </c>
      <c r="F235" s="159">
        <v>1.2</v>
      </c>
      <c r="G235" s="357">
        <v>1.5</v>
      </c>
      <c r="H235" s="185"/>
      <c r="I235" s="185"/>
      <c r="J235" s="185"/>
      <c r="K235" s="185"/>
      <c r="L235" s="185"/>
      <c r="M235" s="185"/>
      <c r="N235" s="185"/>
      <c r="O235" s="185"/>
      <c r="P235" s="185"/>
      <c r="Q235" s="185"/>
      <c r="R235" s="185"/>
      <c r="S235" s="185"/>
      <c r="T235" s="185"/>
      <c r="U235" s="185"/>
      <c r="V235" s="185"/>
      <c r="W235" s="185"/>
      <c r="X235" s="185"/>
      <c r="Y235" s="185"/>
      <c r="Z235" s="185"/>
    </row>
    <row r="236" spans="1:26" x14ac:dyDescent="0.25">
      <c r="A236" s="160" t="s">
        <v>207</v>
      </c>
      <c r="B236" s="354">
        <f>$B$194</f>
        <v>0.49786256775010956</v>
      </c>
      <c r="C236" s="162" t="e">
        <f t="dataTable" ref="C236:G239" dt2D="0" dtr="1" r1="C158" ca="1"/>
        <v>#N/A</v>
      </c>
      <c r="D236" s="162">
        <v>0.39687351189175069</v>
      </c>
      <c r="E236" s="162">
        <v>0.49786256775010956</v>
      </c>
      <c r="F236" s="162">
        <v>0.55758909294214654</v>
      </c>
      <c r="G236" s="358">
        <v>0.60483759939395088</v>
      </c>
      <c r="H236" s="185"/>
      <c r="I236" s="185"/>
      <c r="J236" s="185"/>
      <c r="K236" s="185"/>
      <c r="L236" s="185"/>
      <c r="M236" s="185"/>
      <c r="N236" s="185"/>
      <c r="O236" s="185"/>
      <c r="P236" s="185"/>
      <c r="Q236" s="185"/>
      <c r="R236" s="185"/>
      <c r="S236" s="185"/>
      <c r="T236" s="185"/>
      <c r="U236" s="185"/>
      <c r="V236" s="185"/>
      <c r="W236" s="185"/>
      <c r="X236" s="185"/>
      <c r="Y236" s="185"/>
      <c r="Z236" s="185"/>
    </row>
    <row r="237" spans="1:26" x14ac:dyDescent="0.25">
      <c r="A237" s="160" t="s">
        <v>208</v>
      </c>
      <c r="B237" s="355">
        <f>$C$191</f>
        <v>18132.426270082073</v>
      </c>
      <c r="C237" s="179" t="e">
        <v>#N/A</v>
      </c>
      <c r="D237" s="179">
        <v>9877.1934567109565</v>
      </c>
      <c r="E237" s="179">
        <v>18132.426270082073</v>
      </c>
      <c r="F237" s="179">
        <v>27949.41755138501</v>
      </c>
      <c r="G237" s="359">
        <v>43084.283936702712</v>
      </c>
      <c r="H237" s="185"/>
      <c r="I237" s="185"/>
      <c r="J237" s="185"/>
      <c r="K237" s="185"/>
      <c r="L237" s="185"/>
      <c r="M237" s="185"/>
      <c r="N237" s="185"/>
      <c r="O237" s="185"/>
      <c r="P237" s="185"/>
      <c r="Q237" s="185"/>
      <c r="R237" s="185"/>
      <c r="S237" s="185"/>
      <c r="T237" s="185"/>
      <c r="U237" s="185"/>
      <c r="V237" s="185"/>
      <c r="W237" s="185"/>
      <c r="X237" s="185"/>
      <c r="Y237" s="185"/>
      <c r="Z237" s="185"/>
    </row>
    <row r="238" spans="1:26" x14ac:dyDescent="0.25">
      <c r="A238" s="160" t="s">
        <v>209</v>
      </c>
      <c r="B238" s="354">
        <f>$C$182</f>
        <v>0.1512861269408301</v>
      </c>
      <c r="C238" s="162" t="e">
        <v>#VALUE!</v>
      </c>
      <c r="D238" s="162">
        <v>0.11922299885632892</v>
      </c>
      <c r="E238" s="162">
        <v>0.1512861269408301</v>
      </c>
      <c r="F238" s="162">
        <v>0.17562732932146141</v>
      </c>
      <c r="G238" s="358">
        <v>0.20792388037231158</v>
      </c>
      <c r="H238" s="185"/>
      <c r="I238" s="185"/>
      <c r="J238" s="185"/>
      <c r="K238" s="185"/>
      <c r="L238" s="185"/>
      <c r="M238" s="185"/>
      <c r="N238" s="185"/>
      <c r="O238" s="185"/>
      <c r="P238" s="185"/>
      <c r="Q238" s="185"/>
      <c r="R238" s="185"/>
      <c r="S238" s="185"/>
      <c r="T238" s="185"/>
      <c r="U238" s="185"/>
      <c r="V238" s="185"/>
      <c r="W238" s="185"/>
      <c r="X238" s="185"/>
      <c r="Y238" s="185"/>
      <c r="Z238" s="185"/>
    </row>
    <row r="239" spans="1:26" x14ac:dyDescent="0.25">
      <c r="A239" s="160" t="s">
        <v>210</v>
      </c>
      <c r="B239" s="355">
        <f>$C$190</f>
        <v>13393.457259752795</v>
      </c>
      <c r="C239" s="179" t="e">
        <v>#N/A</v>
      </c>
      <c r="D239" s="179">
        <v>7048.9437999694974</v>
      </c>
      <c r="E239" s="179">
        <v>13393.457259752795</v>
      </c>
      <c r="F239" s="179">
        <v>18176.212251604262</v>
      </c>
      <c r="G239" s="359">
        <v>24940.965276018171</v>
      </c>
      <c r="H239" s="185"/>
      <c r="I239" s="185"/>
      <c r="J239" s="185"/>
      <c r="K239" s="185"/>
      <c r="L239" s="185"/>
      <c r="M239" s="185"/>
      <c r="N239" s="185"/>
      <c r="O239" s="185"/>
      <c r="P239" s="185"/>
      <c r="Q239" s="185"/>
      <c r="R239" s="185"/>
      <c r="S239" s="185"/>
      <c r="T239" s="185"/>
      <c r="U239" s="185"/>
      <c r="V239" s="185"/>
      <c r="W239" s="185"/>
      <c r="X239" s="185"/>
      <c r="Y239" s="185"/>
      <c r="Z239" s="185"/>
    </row>
    <row r="240" spans="1:26" x14ac:dyDescent="0.25">
      <c r="A240" s="163"/>
      <c r="B240" s="154"/>
      <c r="C240" s="155"/>
      <c r="D240" s="155"/>
      <c r="E240" s="155"/>
      <c r="F240" s="155"/>
      <c r="G240" s="172"/>
      <c r="H240" s="185"/>
      <c r="I240" s="185"/>
      <c r="J240" s="185"/>
      <c r="K240" s="185"/>
      <c r="L240" s="185"/>
      <c r="M240" s="185"/>
      <c r="N240" s="185"/>
      <c r="O240" s="185"/>
      <c r="P240" s="185"/>
      <c r="Q240" s="185"/>
      <c r="R240" s="185"/>
      <c r="S240" s="185"/>
      <c r="T240" s="185"/>
      <c r="U240" s="185"/>
      <c r="V240" s="185"/>
      <c r="W240" s="185"/>
      <c r="X240" s="185"/>
      <c r="Y240" s="185"/>
      <c r="Z240" s="185"/>
    </row>
    <row r="241" spans="1:26" x14ac:dyDescent="0.25">
      <c r="A241" s="156" t="s">
        <v>186</v>
      </c>
      <c r="B241" s="154"/>
      <c r="C241" s="155"/>
      <c r="D241" s="155"/>
      <c r="E241" s="155"/>
      <c r="F241" s="155"/>
      <c r="G241" s="172"/>
      <c r="H241" s="185"/>
      <c r="I241" s="185"/>
      <c r="J241" s="185"/>
      <c r="K241" s="185"/>
      <c r="L241" s="185"/>
      <c r="M241" s="185"/>
      <c r="N241" s="185"/>
      <c r="O241" s="185"/>
      <c r="P241" s="185"/>
      <c r="Q241" s="185"/>
      <c r="R241" s="185"/>
      <c r="S241" s="185"/>
      <c r="T241" s="185"/>
      <c r="U241" s="185"/>
      <c r="V241" s="185"/>
      <c r="W241" s="185"/>
      <c r="X241" s="185"/>
      <c r="Y241" s="185"/>
      <c r="Z241" s="185"/>
    </row>
    <row r="242" spans="1:26" x14ac:dyDescent="0.25">
      <c r="A242" s="157"/>
      <c r="B242" s="158" t="s">
        <v>186</v>
      </c>
      <c r="C242" s="159">
        <v>0.6</v>
      </c>
      <c r="D242" s="159">
        <v>0.8</v>
      </c>
      <c r="E242" s="159">
        <v>1</v>
      </c>
      <c r="F242" s="159">
        <v>1.2</v>
      </c>
      <c r="G242" s="357">
        <v>1.5</v>
      </c>
      <c r="H242" s="185"/>
      <c r="I242" s="185"/>
      <c r="J242" s="185"/>
      <c r="K242" s="185"/>
      <c r="L242" s="185"/>
      <c r="M242" s="185"/>
      <c r="N242" s="185"/>
      <c r="O242" s="185"/>
      <c r="P242" s="185"/>
      <c r="Q242" s="185"/>
      <c r="R242" s="185"/>
      <c r="S242" s="185"/>
      <c r="T242" s="185"/>
      <c r="U242" s="185"/>
      <c r="V242" s="185"/>
      <c r="W242" s="185"/>
      <c r="X242" s="185"/>
      <c r="Y242" s="185"/>
      <c r="Z242" s="185"/>
    </row>
    <row r="243" spans="1:26" x14ac:dyDescent="0.25">
      <c r="A243" s="160" t="s">
        <v>207</v>
      </c>
      <c r="B243" s="354">
        <f>$B$194</f>
        <v>0.49786256775010956</v>
      </c>
      <c r="C243" s="162">
        <f t="dataTable" ref="C243:G246" dt2D="0" dtr="1" r1="C160" ca="1"/>
        <v>0.62758164706371156</v>
      </c>
      <c r="D243" s="162">
        <v>0.56172372393829773</v>
      </c>
      <c r="E243" s="162">
        <v>0.49786256775010956</v>
      </c>
      <c r="F243" s="162">
        <v>0.43318376919446383</v>
      </c>
      <c r="G243" s="358">
        <v>0.36611057148576498</v>
      </c>
      <c r="H243" s="185"/>
      <c r="I243" s="185"/>
      <c r="J243" s="185"/>
      <c r="K243" s="185"/>
      <c r="L243" s="185"/>
      <c r="M243" s="185"/>
      <c r="N243" s="185"/>
      <c r="O243" s="185"/>
      <c r="P243" s="185"/>
      <c r="Q243" s="185"/>
      <c r="R243" s="185"/>
      <c r="S243" s="185"/>
      <c r="T243" s="185"/>
      <c r="U243" s="185"/>
      <c r="V243" s="185"/>
      <c r="W243" s="185"/>
      <c r="X243" s="185"/>
      <c r="Y243" s="185"/>
      <c r="Z243" s="185"/>
    </row>
    <row r="244" spans="1:26" x14ac:dyDescent="0.25">
      <c r="A244" s="160" t="s">
        <v>208</v>
      </c>
      <c r="B244" s="355">
        <f>$C$191</f>
        <v>18132.426270082073</v>
      </c>
      <c r="C244" s="179">
        <v>23661.738087908197</v>
      </c>
      <c r="D244" s="179">
        <v>20615.913732807549</v>
      </c>
      <c r="E244" s="179">
        <v>18132.426270082073</v>
      </c>
      <c r="F244" s="179">
        <v>16039.789949618844</v>
      </c>
      <c r="G244" s="359">
        <v>14842.286787651221</v>
      </c>
      <c r="H244" s="185"/>
      <c r="I244" s="185"/>
      <c r="J244" s="185"/>
      <c r="K244" s="185"/>
      <c r="L244" s="185"/>
      <c r="M244" s="185"/>
      <c r="N244" s="185"/>
      <c r="O244" s="185"/>
      <c r="P244" s="185"/>
      <c r="Q244" s="185"/>
      <c r="R244" s="185"/>
      <c r="S244" s="185"/>
      <c r="T244" s="185"/>
      <c r="U244" s="185"/>
      <c r="V244" s="185"/>
      <c r="W244" s="185"/>
      <c r="X244" s="185"/>
      <c r="Y244" s="185"/>
      <c r="Z244" s="185"/>
    </row>
    <row r="245" spans="1:26" x14ac:dyDescent="0.25">
      <c r="A245" s="160" t="s">
        <v>209</v>
      </c>
      <c r="B245" s="354">
        <f>$C$182</f>
        <v>0.1512861269408301</v>
      </c>
      <c r="C245" s="162">
        <v>0.12864715270767713</v>
      </c>
      <c r="D245" s="162">
        <v>0.14229854789550966</v>
      </c>
      <c r="E245" s="162">
        <v>0.1512861269408301</v>
      </c>
      <c r="F245" s="162">
        <v>0.15673973551675391</v>
      </c>
      <c r="G245" s="358">
        <v>0.15604931304938097</v>
      </c>
      <c r="H245" s="185"/>
      <c r="I245" s="185"/>
      <c r="J245" s="185"/>
      <c r="K245" s="185"/>
      <c r="L245" s="185"/>
      <c r="M245" s="185"/>
      <c r="N245" s="185"/>
      <c r="O245" s="185"/>
      <c r="P245" s="185"/>
      <c r="Q245" s="185"/>
      <c r="R245" s="185"/>
      <c r="S245" s="185"/>
      <c r="T245" s="185"/>
      <c r="U245" s="185"/>
      <c r="V245" s="185"/>
      <c r="W245" s="185"/>
      <c r="X245" s="185"/>
      <c r="Y245" s="185"/>
      <c r="Z245" s="185"/>
    </row>
    <row r="246" spans="1:26" x14ac:dyDescent="0.25">
      <c r="A246" s="174" t="s">
        <v>210</v>
      </c>
      <c r="B246" s="355">
        <f>$C$190</f>
        <v>13393.457259752795</v>
      </c>
      <c r="C246" s="179">
        <v>7864.1454419266629</v>
      </c>
      <c r="D246" s="179">
        <v>10909.969797027314</v>
      </c>
      <c r="E246" s="179">
        <v>13393.457259752795</v>
      </c>
      <c r="F246" s="179">
        <v>15486.09358021602</v>
      </c>
      <c r="G246" s="359">
        <v>16683.596742183647</v>
      </c>
      <c r="H246" s="185"/>
      <c r="I246" s="185"/>
      <c r="J246" s="185"/>
      <c r="K246" s="185"/>
      <c r="L246" s="185"/>
      <c r="M246" s="185"/>
      <c r="N246" s="185"/>
      <c r="O246" s="185"/>
      <c r="P246" s="185"/>
      <c r="Q246" s="185"/>
      <c r="R246" s="185"/>
      <c r="S246" s="185"/>
      <c r="T246" s="185"/>
      <c r="U246" s="185"/>
      <c r="V246" s="185"/>
      <c r="W246" s="185"/>
      <c r="X246" s="185"/>
      <c r="Y246" s="185"/>
      <c r="Z246" s="185"/>
    </row>
    <row r="247" spans="1:26" x14ac:dyDescent="0.25">
      <c r="A247" s="174"/>
      <c r="B247" s="161"/>
      <c r="C247" s="162"/>
      <c r="D247" s="162"/>
      <c r="E247" s="155"/>
      <c r="F247" s="162"/>
      <c r="G247" s="358"/>
      <c r="H247" s="185"/>
      <c r="I247" s="185"/>
      <c r="J247" s="185"/>
      <c r="K247" s="185"/>
      <c r="L247" s="185"/>
      <c r="M247" s="185"/>
      <c r="N247" s="185"/>
      <c r="O247" s="185"/>
      <c r="P247" s="185"/>
      <c r="Q247" s="185"/>
      <c r="R247" s="185"/>
      <c r="S247" s="185"/>
      <c r="T247" s="185"/>
      <c r="U247" s="185"/>
      <c r="V247" s="185"/>
      <c r="W247" s="185"/>
      <c r="X247" s="185"/>
      <c r="Y247" s="185"/>
      <c r="Z247" s="185"/>
    </row>
    <row r="248" spans="1:26" x14ac:dyDescent="0.25">
      <c r="A248" s="156" t="s">
        <v>213</v>
      </c>
      <c r="B248" s="154"/>
      <c r="C248" s="155"/>
      <c r="D248" s="155"/>
      <c r="E248" s="155"/>
      <c r="F248" s="155"/>
      <c r="G248" s="172"/>
      <c r="H248" s="185"/>
      <c r="I248" s="185"/>
      <c r="J248" s="185"/>
      <c r="K248" s="185"/>
      <c r="L248" s="185"/>
      <c r="M248" s="185"/>
      <c r="N248" s="185"/>
      <c r="O248" s="185"/>
      <c r="P248" s="185"/>
      <c r="Q248" s="185"/>
      <c r="R248" s="185"/>
      <c r="S248" s="185"/>
      <c r="T248" s="185"/>
      <c r="U248" s="185"/>
      <c r="V248" s="185"/>
      <c r="W248" s="185"/>
      <c r="X248" s="185"/>
      <c r="Y248" s="185"/>
      <c r="Z248" s="185"/>
    </row>
    <row r="249" spans="1:26" x14ac:dyDescent="0.25">
      <c r="A249" s="157"/>
      <c r="B249" s="158" t="s">
        <v>214</v>
      </c>
      <c r="C249" s="159">
        <v>0.6</v>
      </c>
      <c r="D249" s="159">
        <v>0.8</v>
      </c>
      <c r="E249" s="159">
        <v>1</v>
      </c>
      <c r="F249" s="159">
        <v>1.2</v>
      </c>
      <c r="G249" s="357">
        <v>1.5</v>
      </c>
      <c r="H249" s="185"/>
      <c r="I249" s="185"/>
      <c r="J249" s="185"/>
      <c r="K249" s="185"/>
      <c r="L249" s="185"/>
      <c r="M249" s="185"/>
      <c r="N249" s="185"/>
      <c r="O249" s="185"/>
      <c r="P249" s="185"/>
      <c r="Q249" s="185"/>
      <c r="R249" s="185"/>
      <c r="S249" s="185"/>
      <c r="T249" s="185"/>
      <c r="U249" s="185"/>
      <c r="V249" s="185"/>
      <c r="W249" s="185"/>
      <c r="X249" s="185"/>
      <c r="Y249" s="185"/>
      <c r="Z249" s="185"/>
    </row>
    <row r="250" spans="1:26" x14ac:dyDescent="0.25">
      <c r="A250" s="160" t="s">
        <v>207</v>
      </c>
      <c r="B250" s="354">
        <f>$B$194</f>
        <v>0.49786256775010956</v>
      </c>
      <c r="C250" s="162">
        <f t="dataTable" ref="C250:G253" dt2D="0" dtr="1" r1="C161" ca="1"/>
        <v>0.50971198805214457</v>
      </c>
      <c r="D250" s="162">
        <v>0.50355308143459032</v>
      </c>
      <c r="E250" s="162">
        <v>0.49786256775010956</v>
      </c>
      <c r="F250" s="162">
        <v>0.49162124098317572</v>
      </c>
      <c r="G250" s="358">
        <v>0.48135917983238291</v>
      </c>
      <c r="H250" s="185"/>
      <c r="I250" s="185"/>
      <c r="J250" s="185"/>
      <c r="K250" s="185"/>
      <c r="L250" s="185"/>
      <c r="M250" s="185"/>
      <c r="N250" s="185"/>
      <c r="O250" s="185"/>
      <c r="P250" s="185"/>
      <c r="Q250" s="185"/>
      <c r="R250" s="185"/>
      <c r="S250" s="185"/>
      <c r="T250" s="185"/>
      <c r="U250" s="185"/>
      <c r="V250" s="185"/>
      <c r="W250" s="185"/>
      <c r="X250" s="185"/>
      <c r="Y250" s="185"/>
      <c r="Z250" s="185"/>
    </row>
    <row r="251" spans="1:26" x14ac:dyDescent="0.25">
      <c r="A251" s="160" t="s">
        <v>208</v>
      </c>
      <c r="B251" s="355">
        <f>$C$191</f>
        <v>18132.426270082073</v>
      </c>
      <c r="C251" s="179">
        <v>19263.811270952774</v>
      </c>
      <c r="D251" s="179">
        <v>18648.296615128776</v>
      </c>
      <c r="E251" s="179">
        <v>18132.426270082073</v>
      </c>
      <c r="F251" s="179">
        <v>17663.694499662015</v>
      </c>
      <c r="G251" s="359">
        <v>17022.267624975306</v>
      </c>
      <c r="H251" s="185"/>
      <c r="I251" s="185"/>
      <c r="J251" s="185"/>
      <c r="K251" s="185"/>
      <c r="L251" s="185"/>
      <c r="M251" s="185"/>
      <c r="N251" s="185"/>
      <c r="O251" s="185"/>
      <c r="P251" s="185"/>
      <c r="Q251" s="185"/>
      <c r="R251" s="185"/>
      <c r="S251" s="185"/>
      <c r="T251" s="185"/>
      <c r="U251" s="185"/>
      <c r="V251" s="185"/>
      <c r="W251" s="185"/>
      <c r="X251" s="185"/>
      <c r="Y251" s="185"/>
      <c r="Z251" s="185"/>
    </row>
    <row r="252" spans="1:26" x14ac:dyDescent="0.25">
      <c r="A252" s="160" t="s">
        <v>209</v>
      </c>
      <c r="B252" s="354">
        <f>$C$182</f>
        <v>0.1512861269408301</v>
      </c>
      <c r="C252" s="162">
        <v>0.15828148799872088</v>
      </c>
      <c r="D252" s="162">
        <v>0.15498537182291439</v>
      </c>
      <c r="E252" s="162">
        <v>0.1512861269408301</v>
      </c>
      <c r="F252" s="162">
        <v>0.14749731422866441</v>
      </c>
      <c r="G252" s="358">
        <v>0.14183879490210805</v>
      </c>
      <c r="H252" s="185"/>
      <c r="I252" s="185"/>
      <c r="J252" s="185"/>
      <c r="K252" s="185"/>
      <c r="L252" s="185"/>
      <c r="M252" s="185"/>
      <c r="N252" s="185"/>
      <c r="O252" s="185"/>
      <c r="P252" s="185"/>
      <c r="Q252" s="185"/>
      <c r="R252" s="185"/>
      <c r="S252" s="185"/>
      <c r="T252" s="185"/>
      <c r="U252" s="185"/>
      <c r="V252" s="185"/>
      <c r="W252" s="185"/>
      <c r="X252" s="185"/>
      <c r="Y252" s="185"/>
      <c r="Z252" s="185"/>
    </row>
    <row r="253" spans="1:26" x14ac:dyDescent="0.25">
      <c r="A253" s="173" t="s">
        <v>215</v>
      </c>
      <c r="B253" s="355">
        <f>$C$190</f>
        <v>13393.457259752795</v>
      </c>
      <c r="C253" s="179">
        <v>13875.747012550295</v>
      </c>
      <c r="D253" s="179">
        <v>13684.42429154019</v>
      </c>
      <c r="E253" s="179">
        <v>13393.457259752795</v>
      </c>
      <c r="F253" s="179">
        <v>13055.351653338752</v>
      </c>
      <c r="G253" s="359">
        <v>12486.522462774299</v>
      </c>
      <c r="H253" s="185"/>
      <c r="I253" s="185"/>
      <c r="J253" s="185"/>
      <c r="K253" s="185"/>
      <c r="L253" s="185"/>
      <c r="M253" s="185"/>
      <c r="N253" s="185"/>
      <c r="O253" s="185"/>
      <c r="P253" s="185"/>
      <c r="Q253" s="185"/>
      <c r="R253" s="185"/>
      <c r="S253" s="185"/>
      <c r="T253" s="185"/>
      <c r="U253" s="185"/>
      <c r="V253" s="185"/>
      <c r="W253" s="185"/>
      <c r="X253" s="185"/>
      <c r="Y253" s="185"/>
      <c r="Z253" s="185"/>
    </row>
    <row r="254" spans="1:26" x14ac:dyDescent="0.25">
      <c r="B254" s="354"/>
      <c r="G254" s="38"/>
      <c r="H254" s="185"/>
      <c r="I254" s="185"/>
      <c r="J254" s="185"/>
      <c r="K254" s="185"/>
      <c r="L254" s="185"/>
      <c r="M254" s="185"/>
      <c r="N254" s="185"/>
      <c r="O254" s="185"/>
      <c r="P254" s="185"/>
      <c r="Q254" s="185"/>
      <c r="R254" s="185"/>
      <c r="S254" s="185"/>
      <c r="T254" s="185"/>
      <c r="U254" s="185"/>
      <c r="V254" s="185"/>
      <c r="W254" s="185"/>
      <c r="X254" s="185"/>
      <c r="Y254" s="185"/>
      <c r="Z254" s="185"/>
    </row>
    <row r="255" spans="1:26" x14ac:dyDescent="0.25">
      <c r="A255" s="156" t="s">
        <v>216</v>
      </c>
      <c r="G255" s="38"/>
      <c r="H255" s="185"/>
      <c r="I255" s="185"/>
      <c r="J255" s="185"/>
      <c r="K255" s="185"/>
      <c r="L255" s="185"/>
      <c r="M255" s="185"/>
      <c r="N255" s="185"/>
      <c r="O255" s="185"/>
      <c r="P255" s="185"/>
      <c r="Q255" s="185"/>
      <c r="R255" s="185"/>
      <c r="S255" s="185"/>
      <c r="T255" s="185"/>
      <c r="U255" s="185"/>
      <c r="V255" s="185"/>
      <c r="W255" s="185"/>
      <c r="X255" s="185"/>
      <c r="Y255" s="185"/>
      <c r="Z255" s="185"/>
    </row>
    <row r="256" spans="1:26" x14ac:dyDescent="0.25">
      <c r="A256" s="157"/>
      <c r="B256" t="s">
        <v>217</v>
      </c>
      <c r="C256" s="159">
        <v>0.6</v>
      </c>
      <c r="D256" s="159">
        <v>0.8</v>
      </c>
      <c r="E256" s="159">
        <v>1</v>
      </c>
      <c r="F256" s="159">
        <v>1.2</v>
      </c>
      <c r="G256" s="357">
        <v>1.5</v>
      </c>
      <c r="H256" s="185"/>
      <c r="I256" s="185"/>
      <c r="J256" s="185"/>
      <c r="K256" s="185"/>
      <c r="L256" s="185"/>
      <c r="M256" s="185"/>
      <c r="N256" s="185"/>
      <c r="O256" s="185"/>
      <c r="P256" s="185"/>
      <c r="Q256" s="185"/>
      <c r="R256" s="185"/>
      <c r="S256" s="185"/>
      <c r="T256" s="185"/>
      <c r="U256" s="185"/>
      <c r="V256" s="185"/>
      <c r="W256" s="185"/>
      <c r="X256" s="185"/>
      <c r="Y256" s="185"/>
      <c r="Z256" s="185"/>
    </row>
    <row r="257" spans="1:26" x14ac:dyDescent="0.25">
      <c r="A257" s="160" t="s">
        <v>207</v>
      </c>
      <c r="B257" s="354">
        <f>$B$194</f>
        <v>0.49786256775010956</v>
      </c>
      <c r="C257" s="6">
        <f t="dataTable" ref="C257:G260" dt2D="0" dtr="1" r1="C162" ca="1"/>
        <v>0.49102965171791824</v>
      </c>
      <c r="D257" s="6">
        <v>0.49437919975594935</v>
      </c>
      <c r="E257" s="6">
        <v>0.49786256775010956</v>
      </c>
      <c r="F257" s="6">
        <v>0.50148793865279762</v>
      </c>
      <c r="G257" s="169">
        <v>0.50721184432015343</v>
      </c>
      <c r="H257" s="185"/>
      <c r="I257" s="185"/>
      <c r="J257" s="185"/>
      <c r="K257" s="185"/>
      <c r="L257" s="185"/>
      <c r="M257" s="185"/>
      <c r="N257" s="185"/>
      <c r="O257" s="185"/>
      <c r="P257" s="185"/>
      <c r="Q257" s="185"/>
      <c r="R257" s="185"/>
      <c r="S257" s="185"/>
      <c r="T257" s="185"/>
      <c r="U257" s="185"/>
      <c r="V257" s="185"/>
      <c r="W257" s="185"/>
      <c r="X257" s="185"/>
      <c r="Y257" s="185"/>
      <c r="Z257" s="185"/>
    </row>
    <row r="258" spans="1:26" x14ac:dyDescent="0.25">
      <c r="A258" s="160" t="s">
        <v>208</v>
      </c>
      <c r="B258" s="355">
        <f>$C$191</f>
        <v>18132.426270082073</v>
      </c>
      <c r="C258" s="180">
        <v>19331.021449085831</v>
      </c>
      <c r="D258" s="180">
        <v>18714.307651248735</v>
      </c>
      <c r="E258" s="180">
        <v>18132.426270082073</v>
      </c>
      <c r="F258" s="180">
        <v>17620.254338430077</v>
      </c>
      <c r="G258" s="360">
        <v>16960.580879381527</v>
      </c>
      <c r="H258" s="185"/>
      <c r="I258" s="185"/>
      <c r="J258" s="185"/>
      <c r="K258" s="185"/>
      <c r="L258" s="185"/>
      <c r="M258" s="185"/>
      <c r="N258" s="185"/>
      <c r="O258" s="185"/>
      <c r="P258" s="185"/>
      <c r="Q258" s="185"/>
      <c r="R258" s="185"/>
      <c r="S258" s="185"/>
      <c r="T258" s="185"/>
      <c r="U258" s="185"/>
      <c r="V258" s="185"/>
      <c r="W258" s="185"/>
      <c r="X258" s="185"/>
      <c r="Y258" s="185"/>
      <c r="Z258" s="185"/>
    </row>
    <row r="259" spans="1:26" x14ac:dyDescent="0.25">
      <c r="A259" s="160" t="s">
        <v>209</v>
      </c>
      <c r="B259" s="354">
        <f>$C$182</f>
        <v>0.1512861269408301</v>
      </c>
      <c r="C259" s="6">
        <v>0.19452506447904039</v>
      </c>
      <c r="D259" s="6">
        <v>0.17051211448133996</v>
      </c>
      <c r="E259" s="6">
        <v>0.1512861269408301</v>
      </c>
      <c r="F259" s="6">
        <v>0.13522680852756963</v>
      </c>
      <c r="G259" s="169">
        <v>0.11559386056287568</v>
      </c>
      <c r="H259" s="185"/>
      <c r="I259" s="185"/>
      <c r="J259" s="185"/>
      <c r="K259" s="185"/>
      <c r="L259" s="185"/>
      <c r="M259" s="185"/>
      <c r="N259" s="185"/>
      <c r="O259" s="185"/>
      <c r="P259" s="185"/>
      <c r="Q259" s="185"/>
      <c r="R259" s="185"/>
      <c r="S259" s="185"/>
      <c r="T259" s="185"/>
      <c r="U259" s="185"/>
      <c r="V259" s="185"/>
      <c r="W259" s="185"/>
      <c r="X259" s="185"/>
      <c r="Y259" s="185"/>
      <c r="Z259" s="185"/>
    </row>
    <row r="260" spans="1:26" x14ac:dyDescent="0.25">
      <c r="A260" s="174" t="s">
        <v>210</v>
      </c>
      <c r="B260" s="355">
        <f>$C$190</f>
        <v>13393.457259752795</v>
      </c>
      <c r="C260" s="22">
        <v>17937.410486986144</v>
      </c>
      <c r="D260" s="22">
        <v>15682.850081704688</v>
      </c>
      <c r="E260" s="22">
        <v>13393.457259752795</v>
      </c>
      <c r="F260" s="22">
        <v>11034.354988286235</v>
      </c>
      <c r="G260" s="178">
        <v>7387.1171426569508</v>
      </c>
      <c r="H260" s="185"/>
      <c r="I260" s="185"/>
      <c r="J260" s="185"/>
      <c r="K260" s="185"/>
      <c r="L260" s="185"/>
      <c r="M260" s="185"/>
      <c r="N260" s="185"/>
      <c r="O260" s="185"/>
      <c r="P260" s="185"/>
      <c r="Q260" s="185"/>
      <c r="R260" s="185"/>
      <c r="S260" s="185"/>
      <c r="T260" s="185"/>
      <c r="U260" s="185"/>
      <c r="V260" s="185"/>
      <c r="W260" s="185"/>
      <c r="X260" s="185"/>
      <c r="Y260" s="185"/>
      <c r="Z260" s="185"/>
    </row>
    <row r="261" spans="1:26" x14ac:dyDescent="0.25">
      <c r="G261" s="38"/>
      <c r="H261" s="185"/>
      <c r="I261" s="185"/>
      <c r="J261" s="185"/>
      <c r="K261" s="185"/>
      <c r="L261" s="185"/>
      <c r="M261" s="185"/>
      <c r="N261" s="185"/>
      <c r="O261" s="185"/>
      <c r="P261" s="185"/>
      <c r="Q261" s="185"/>
      <c r="R261" s="185"/>
      <c r="S261" s="185"/>
      <c r="T261" s="185"/>
      <c r="U261" s="185"/>
      <c r="V261" s="185"/>
      <c r="W261" s="185"/>
      <c r="X261" s="185"/>
      <c r="Y261" s="185"/>
      <c r="Z261" s="185"/>
    </row>
    <row r="262" spans="1:26" x14ac:dyDescent="0.25">
      <c r="A262" s="156" t="s">
        <v>218</v>
      </c>
      <c r="G262" s="38"/>
      <c r="H262" s="185"/>
      <c r="I262" s="185"/>
      <c r="J262" s="185"/>
      <c r="K262" s="185"/>
      <c r="L262" s="185"/>
      <c r="M262" s="185"/>
      <c r="N262" s="185"/>
      <c r="O262" s="185"/>
      <c r="P262" s="185"/>
      <c r="Q262" s="185"/>
      <c r="R262" s="185"/>
      <c r="S262" s="185"/>
      <c r="T262" s="185"/>
      <c r="U262" s="185"/>
      <c r="V262" s="185"/>
      <c r="W262" s="185"/>
      <c r="X262" s="185"/>
      <c r="Y262" s="185"/>
      <c r="Z262" s="185"/>
    </row>
    <row r="263" spans="1:26" x14ac:dyDescent="0.25">
      <c r="B263" t="s">
        <v>219</v>
      </c>
      <c r="C263" s="16">
        <v>2018</v>
      </c>
      <c r="D263" s="16">
        <v>2020</v>
      </c>
      <c r="E263" s="16">
        <v>2022</v>
      </c>
      <c r="F263" s="16">
        <v>2030</v>
      </c>
      <c r="G263" s="395">
        <v>2040</v>
      </c>
      <c r="H263" s="185"/>
      <c r="I263" s="185"/>
      <c r="J263" s="185"/>
      <c r="K263" s="185"/>
      <c r="L263" s="185"/>
      <c r="M263" s="185"/>
      <c r="N263" s="185"/>
      <c r="O263" s="185"/>
      <c r="P263" s="185"/>
      <c r="Q263" s="185"/>
      <c r="R263" s="185"/>
      <c r="S263" s="185"/>
      <c r="T263" s="185"/>
      <c r="U263" s="185"/>
      <c r="V263" s="185"/>
      <c r="W263" s="185"/>
      <c r="X263" s="185"/>
      <c r="Y263" s="185"/>
      <c r="Z263" s="185"/>
    </row>
    <row r="264" spans="1:26" x14ac:dyDescent="0.25">
      <c r="A264" s="160" t="s">
        <v>207</v>
      </c>
      <c r="B264" s="354">
        <f>$B$194</f>
        <v>0.49786256775010956</v>
      </c>
      <c r="C264" s="6">
        <f t="dataTable" ref="C264:G267" dt2D="0" dtr="1" r1="C16" ca="1"/>
        <v>0.49984274501007137</v>
      </c>
      <c r="D264" s="6">
        <v>0.49823700830482698</v>
      </c>
      <c r="E264" s="6">
        <v>0.49746921319780185</v>
      </c>
      <c r="F264" s="6">
        <v>0.49307533933270259</v>
      </c>
      <c r="G264" s="169">
        <v>0.50080494954134169</v>
      </c>
      <c r="H264" s="185"/>
      <c r="I264" s="185"/>
      <c r="J264" s="185"/>
      <c r="K264" s="185"/>
      <c r="L264" s="185"/>
      <c r="M264" s="185"/>
      <c r="N264" s="185"/>
      <c r="O264" s="185"/>
      <c r="P264" s="185"/>
      <c r="Q264" s="185"/>
      <c r="R264" s="185"/>
      <c r="S264" s="185"/>
      <c r="T264" s="185"/>
      <c r="U264" s="185"/>
      <c r="V264" s="185"/>
      <c r="W264" s="185"/>
      <c r="X264" s="185"/>
      <c r="Y264" s="185"/>
      <c r="Z264" s="185"/>
    </row>
    <row r="265" spans="1:26" x14ac:dyDescent="0.25">
      <c r="A265" s="160" t="s">
        <v>208</v>
      </c>
      <c r="B265" s="355">
        <f>$C$191</f>
        <v>18132.426270082073</v>
      </c>
      <c r="C265" s="180">
        <v>21970.610793152984</v>
      </c>
      <c r="D265" s="180">
        <v>19180.402822104032</v>
      </c>
      <c r="E265" s="180">
        <v>17198.879613559966</v>
      </c>
      <c r="F265" s="180">
        <v>11896.68914137391</v>
      </c>
      <c r="G265" s="360">
        <v>8362.7749935742104</v>
      </c>
      <c r="H265" s="185"/>
      <c r="I265" s="185"/>
      <c r="J265" s="185"/>
      <c r="K265" s="185"/>
      <c r="L265" s="185"/>
      <c r="M265" s="185"/>
      <c r="N265" s="185"/>
      <c r="O265" s="185"/>
      <c r="P265" s="185"/>
      <c r="Q265" s="185"/>
      <c r="R265" s="185"/>
      <c r="S265" s="185"/>
      <c r="T265" s="185"/>
      <c r="U265" s="185"/>
      <c r="V265" s="185"/>
      <c r="W265" s="185"/>
      <c r="X265" s="185"/>
      <c r="Y265" s="185"/>
      <c r="Z265" s="185"/>
    </row>
    <row r="266" spans="1:26" x14ac:dyDescent="0.25">
      <c r="A266" s="160" t="s">
        <v>209</v>
      </c>
      <c r="B266" s="354">
        <f>$C$182</f>
        <v>0.1512861269408301</v>
      </c>
      <c r="C266" s="6">
        <v>0.21831123752709081</v>
      </c>
      <c r="D266" s="6">
        <v>0.16716067025355508</v>
      </c>
      <c r="E266" s="6">
        <v>0.13904835305040186</v>
      </c>
      <c r="F266" s="6">
        <v>9.2322330062750479E-2</v>
      </c>
      <c r="G266" s="169">
        <v>6.7566193233293603E-2</v>
      </c>
      <c r="H266" s="185"/>
      <c r="I266" s="185"/>
      <c r="J266" s="185"/>
      <c r="K266" s="185"/>
      <c r="L266" s="185"/>
      <c r="M266" s="185"/>
      <c r="N266" s="185"/>
      <c r="O266" s="185"/>
      <c r="P266" s="185"/>
      <c r="Q266" s="185"/>
      <c r="R266" s="185"/>
      <c r="S266" s="185"/>
      <c r="T266" s="185"/>
      <c r="U266" s="185"/>
      <c r="V266" s="185"/>
      <c r="W266" s="185"/>
      <c r="X266" s="185"/>
      <c r="Y266" s="185"/>
      <c r="Z266" s="185"/>
    </row>
    <row r="267" spans="1:26" x14ac:dyDescent="0.25">
      <c r="A267" s="174" t="s">
        <v>210</v>
      </c>
      <c r="B267" s="355">
        <f>$C$190</f>
        <v>13393.457259752795</v>
      </c>
      <c r="C267" s="22">
        <v>19663.892902090836</v>
      </c>
      <c r="D267" s="22">
        <v>15415.730299212008</v>
      </c>
      <c r="E267" s="22">
        <v>11520.059718038719</v>
      </c>
      <c r="F267" s="22">
        <v>1595.6355471787913</v>
      </c>
      <c r="G267" s="178">
        <v>-4063.1614048169267</v>
      </c>
      <c r="H267" s="185"/>
      <c r="I267" s="185"/>
      <c r="J267" s="185"/>
      <c r="K267" s="185"/>
      <c r="L267" s="185"/>
      <c r="M267" s="185"/>
      <c r="N267" s="185"/>
      <c r="O267" s="185"/>
      <c r="P267" s="185"/>
      <c r="Q267" s="185"/>
      <c r="R267" s="185"/>
      <c r="S267" s="185"/>
      <c r="T267" s="185"/>
      <c r="U267" s="185"/>
      <c r="V267" s="185"/>
      <c r="W267" s="185"/>
      <c r="X267" s="185"/>
      <c r="Y267" s="185"/>
      <c r="Z267" s="185"/>
    </row>
    <row r="268" spans="1:26" x14ac:dyDescent="0.25">
      <c r="A268" s="310"/>
      <c r="B268" s="161"/>
      <c r="C268" s="22"/>
      <c r="D268" s="22"/>
      <c r="E268" s="22"/>
      <c r="F268" s="22"/>
      <c r="G268" s="178"/>
      <c r="H268" s="185"/>
      <c r="I268" s="185"/>
      <c r="J268" s="185"/>
      <c r="K268" s="185"/>
      <c r="L268" s="185"/>
      <c r="M268" s="185"/>
      <c r="N268" s="185"/>
      <c r="O268" s="185"/>
      <c r="P268" s="185"/>
      <c r="Q268" s="185"/>
      <c r="R268" s="185"/>
      <c r="S268" s="185"/>
      <c r="T268" s="185"/>
      <c r="U268" s="185"/>
      <c r="V268" s="185"/>
      <c r="W268" s="185"/>
      <c r="X268" s="185"/>
      <c r="Y268" s="185"/>
      <c r="Z268" s="185"/>
    </row>
    <row r="269" spans="1:26" x14ac:dyDescent="0.25">
      <c r="A269" s="156" t="s">
        <v>220</v>
      </c>
      <c r="G269" s="38"/>
      <c r="H269" s="38"/>
      <c r="I269" s="38"/>
      <c r="J269" s="38"/>
      <c r="K269" s="38"/>
      <c r="L269" s="38"/>
      <c r="M269" s="38"/>
      <c r="N269" s="38"/>
      <c r="O269" s="38"/>
      <c r="P269" s="38"/>
      <c r="Q269" s="38"/>
      <c r="R269" s="38"/>
      <c r="S269" s="38"/>
      <c r="T269" s="38"/>
      <c r="U269" s="38"/>
      <c r="V269" s="38"/>
      <c r="W269" s="38"/>
      <c r="X269" s="38"/>
      <c r="Y269" s="38"/>
      <c r="Z269" s="38"/>
    </row>
    <row r="270" spans="1:26" x14ac:dyDescent="0.25">
      <c r="B270" t="s">
        <v>220</v>
      </c>
      <c r="C270" s="159">
        <v>0.6</v>
      </c>
      <c r="D270" s="159">
        <v>0.8</v>
      </c>
      <c r="E270" s="159">
        <v>1</v>
      </c>
      <c r="F270" s="159">
        <v>1.2</v>
      </c>
      <c r="G270" s="357">
        <v>1.5</v>
      </c>
      <c r="H270" s="38"/>
      <c r="I270" s="38"/>
      <c r="J270" s="38"/>
      <c r="K270" s="38"/>
      <c r="L270" s="38"/>
      <c r="M270" s="38"/>
      <c r="N270" s="38"/>
      <c r="O270" s="38"/>
      <c r="P270" s="38"/>
      <c r="Q270" s="38"/>
      <c r="R270" s="38"/>
      <c r="S270" s="38"/>
      <c r="T270" s="38"/>
      <c r="U270" s="38"/>
      <c r="V270" s="38"/>
      <c r="W270" s="38"/>
      <c r="X270" s="38"/>
      <c r="Y270" s="38"/>
      <c r="Z270" s="38"/>
    </row>
    <row r="271" spans="1:26" x14ac:dyDescent="0.25">
      <c r="A271" s="160" t="s">
        <v>207</v>
      </c>
      <c r="B271" s="354">
        <f>$B$194</f>
        <v>0.49786256775010956</v>
      </c>
      <c r="C271" s="6">
        <f t="dataTable" ref="C271:G274" dt2D="0" dtr="1" r1="C159" ca="1"/>
        <v>0.49786256775010956</v>
      </c>
      <c r="D271" s="6">
        <v>0.49786256775010956</v>
      </c>
      <c r="E271" s="6">
        <v>0.49786256775010956</v>
      </c>
      <c r="F271" s="6">
        <v>0.49786256775010956</v>
      </c>
      <c r="G271" s="169">
        <v>0.49786256775010956</v>
      </c>
      <c r="H271" s="38"/>
      <c r="I271" s="38"/>
      <c r="J271" s="38"/>
      <c r="K271" s="38"/>
      <c r="L271" s="38"/>
      <c r="M271" s="38"/>
      <c r="N271" s="38"/>
      <c r="O271" s="38"/>
      <c r="P271" s="38"/>
      <c r="Q271" s="38"/>
      <c r="R271" s="38"/>
      <c r="S271" s="38"/>
      <c r="T271" s="38"/>
      <c r="U271" s="38"/>
      <c r="V271" s="38"/>
      <c r="W271" s="38"/>
      <c r="X271" s="38"/>
      <c r="Y271" s="38"/>
      <c r="Z271" s="38"/>
    </row>
    <row r="272" spans="1:26" x14ac:dyDescent="0.25">
      <c r="A272" s="160" t="s">
        <v>208</v>
      </c>
      <c r="B272" s="355">
        <f>$C$191</f>
        <v>18132.426270082073</v>
      </c>
      <c r="C272" s="200">
        <v>18132.426270082073</v>
      </c>
      <c r="D272" s="200">
        <v>18132.426270082073</v>
      </c>
      <c r="E272" s="200">
        <v>18132.426270082073</v>
      </c>
      <c r="F272" s="200">
        <v>18132.426270082073</v>
      </c>
      <c r="G272" s="361">
        <v>18132.426270082073</v>
      </c>
      <c r="H272" s="38"/>
      <c r="I272" s="38"/>
      <c r="J272" s="38"/>
      <c r="K272" s="38"/>
      <c r="L272" s="38"/>
      <c r="M272" s="38"/>
      <c r="N272" s="38"/>
      <c r="O272" s="38"/>
      <c r="P272" s="38"/>
      <c r="Q272" s="38"/>
      <c r="R272" s="38"/>
      <c r="S272" s="38"/>
      <c r="T272" s="38"/>
      <c r="U272" s="38"/>
      <c r="V272" s="38"/>
      <c r="W272" s="38"/>
      <c r="X272" s="38"/>
      <c r="Y272" s="38"/>
      <c r="Z272" s="38"/>
    </row>
    <row r="273" spans="1:26" x14ac:dyDescent="0.25">
      <c r="A273" s="160" t="s">
        <v>209</v>
      </c>
      <c r="B273" s="354">
        <f>$C$182</f>
        <v>0.1512861269408301</v>
      </c>
      <c r="C273" s="6">
        <v>0.1512861269408301</v>
      </c>
      <c r="D273" s="6">
        <v>0.1512861269408301</v>
      </c>
      <c r="E273" s="6">
        <v>0.1512861269408301</v>
      </c>
      <c r="F273" s="6">
        <v>0.1512861269408301</v>
      </c>
      <c r="G273" s="169">
        <v>0.1512861269408301</v>
      </c>
      <c r="H273" s="38"/>
      <c r="I273" s="38"/>
      <c r="J273" s="38"/>
      <c r="K273" s="38"/>
      <c r="L273" s="38"/>
      <c r="M273" s="38"/>
      <c r="N273" s="38"/>
      <c r="O273" s="38"/>
      <c r="P273" s="38"/>
      <c r="Q273" s="38"/>
      <c r="R273" s="38"/>
      <c r="S273" s="38"/>
      <c r="T273" s="38"/>
      <c r="U273" s="38"/>
      <c r="V273" s="38"/>
      <c r="W273" s="38"/>
      <c r="X273" s="38"/>
      <c r="Y273" s="38"/>
      <c r="Z273" s="38"/>
    </row>
    <row r="274" spans="1:26" x14ac:dyDescent="0.25">
      <c r="A274" s="174" t="s">
        <v>210</v>
      </c>
      <c r="B274" s="355">
        <f>$C$190</f>
        <v>13393.457259752795</v>
      </c>
      <c r="C274" s="200">
        <v>13393.457259752795</v>
      </c>
      <c r="D274" s="200">
        <v>13393.457259752795</v>
      </c>
      <c r="E274" s="200">
        <v>13393.457259752795</v>
      </c>
      <c r="F274" s="200">
        <v>13393.457259752795</v>
      </c>
      <c r="G274" s="361">
        <v>13393.457259752795</v>
      </c>
      <c r="H274" s="38"/>
      <c r="I274" s="38"/>
      <c r="J274" s="38"/>
      <c r="K274" s="38"/>
      <c r="L274" s="38"/>
      <c r="M274" s="38"/>
      <c r="N274" s="38"/>
      <c r="O274" s="38"/>
      <c r="P274" s="38"/>
      <c r="Q274" s="38"/>
      <c r="R274" s="38"/>
      <c r="S274" s="38"/>
      <c r="T274" s="38"/>
      <c r="U274" s="38"/>
      <c r="V274" s="38"/>
      <c r="W274" s="38"/>
      <c r="X274" s="38"/>
      <c r="Y274" s="38"/>
      <c r="Z274" s="38"/>
    </row>
    <row r="275" spans="1:26" x14ac:dyDescent="0.25">
      <c r="A275" s="160"/>
      <c r="B275" s="161"/>
      <c r="C275" s="162"/>
      <c r="D275" s="162"/>
      <c r="E275" s="162"/>
      <c r="F275" s="162"/>
      <c r="G275" s="358"/>
      <c r="H275" s="38"/>
      <c r="I275" s="38"/>
      <c r="J275" s="38"/>
      <c r="K275" s="38"/>
      <c r="L275" s="38"/>
      <c r="M275" s="38"/>
      <c r="N275" s="38"/>
      <c r="O275" s="38"/>
      <c r="P275" s="38"/>
      <c r="Q275" s="38"/>
      <c r="R275" s="38"/>
      <c r="S275" s="38"/>
      <c r="T275" s="38"/>
      <c r="U275" s="38"/>
      <c r="V275" s="38"/>
      <c r="W275" s="38"/>
      <c r="X275" s="38"/>
      <c r="Y275" s="38"/>
      <c r="Z275" s="38"/>
    </row>
    <row r="276" spans="1:26" x14ac:dyDescent="0.25">
      <c r="A276" s="156" t="s">
        <v>491</v>
      </c>
      <c r="E276" s="181"/>
      <c r="F276" s="181"/>
      <c r="G276" s="362"/>
      <c r="H276" s="38"/>
      <c r="I276" s="38"/>
      <c r="J276" s="38"/>
      <c r="K276" s="38"/>
      <c r="L276" s="38"/>
      <c r="M276" s="185"/>
      <c r="N276" s="185"/>
      <c r="O276" s="185"/>
      <c r="P276" s="185"/>
      <c r="Q276" s="185"/>
      <c r="R276" s="185"/>
      <c r="S276" s="185"/>
      <c r="T276" s="185"/>
      <c r="U276" s="185"/>
      <c r="V276" s="38"/>
      <c r="W276" s="38"/>
      <c r="X276" s="38"/>
      <c r="Y276" s="38"/>
      <c r="Z276" s="38"/>
    </row>
    <row r="277" spans="1:26" ht="14.1" customHeight="1" x14ac:dyDescent="0.4">
      <c r="B277" t="s">
        <v>546</v>
      </c>
      <c r="C277" s="312">
        <v>1</v>
      </c>
      <c r="D277" s="312">
        <v>2</v>
      </c>
      <c r="G277" s="38"/>
      <c r="H277" s="38"/>
      <c r="I277" s="38"/>
      <c r="J277" s="38"/>
      <c r="K277" s="38"/>
      <c r="L277" s="38"/>
      <c r="M277" s="185"/>
      <c r="N277" s="356"/>
      <c r="O277" s="356"/>
      <c r="P277" s="356"/>
      <c r="Q277" s="356"/>
      <c r="R277" s="356"/>
      <c r="S277" s="185"/>
      <c r="T277" s="185"/>
      <c r="U277" s="185"/>
      <c r="V277" s="38"/>
      <c r="W277" s="38"/>
      <c r="X277" s="38"/>
      <c r="Y277" s="38"/>
      <c r="Z277" s="38"/>
    </row>
    <row r="278" spans="1:26" ht="14.1" customHeight="1" x14ac:dyDescent="0.4">
      <c r="A278" s="160" t="s">
        <v>207</v>
      </c>
      <c r="B278" s="354">
        <f>$B$194</f>
        <v>0.49786256775010956</v>
      </c>
      <c r="C278" s="6">
        <f t="dataTable" ref="C278:D281" dt2D="0" dtr="1" r1="C127" ca="1"/>
        <v>0.47725750110155413</v>
      </c>
      <c r="D278" s="6">
        <v>0.49786256775010956</v>
      </c>
      <c r="G278" s="38"/>
      <c r="H278" s="38"/>
      <c r="I278" s="38"/>
      <c r="J278" s="38"/>
      <c r="K278" s="38"/>
      <c r="L278" s="38"/>
      <c r="M278" s="185"/>
      <c r="N278" s="356"/>
      <c r="O278" s="356"/>
      <c r="P278" s="356"/>
      <c r="Q278" s="356"/>
      <c r="R278" s="356"/>
      <c r="S278" s="185"/>
      <c r="T278" s="185"/>
      <c r="U278" s="185"/>
      <c r="V278" s="38"/>
      <c r="W278" s="38"/>
      <c r="X278" s="38"/>
      <c r="Y278" s="38"/>
      <c r="Z278" s="38"/>
    </row>
    <row r="279" spans="1:26" x14ac:dyDescent="0.25">
      <c r="A279" s="160" t="s">
        <v>208</v>
      </c>
      <c r="B279" s="355">
        <f>$C$191</f>
        <v>18132.426270082073</v>
      </c>
      <c r="C279" s="311">
        <v>16623.705389633727</v>
      </c>
      <c r="D279" s="311">
        <v>18132.426270082073</v>
      </c>
      <c r="E279" s="159"/>
      <c r="F279" s="159"/>
      <c r="G279" s="357"/>
      <c r="H279" s="38"/>
      <c r="I279" s="38"/>
      <c r="J279" s="38"/>
      <c r="K279" s="38"/>
      <c r="L279" s="38"/>
      <c r="M279" s="185"/>
      <c r="N279" s="185"/>
      <c r="O279" s="185"/>
      <c r="P279" s="185"/>
      <c r="Q279" s="185"/>
      <c r="R279" s="185"/>
      <c r="S279" s="185"/>
      <c r="T279" s="185"/>
      <c r="U279" s="185"/>
      <c r="V279" s="38"/>
      <c r="W279" s="38"/>
      <c r="X279" s="38"/>
      <c r="Y279" s="38"/>
      <c r="Z279" s="38"/>
    </row>
    <row r="280" spans="1:26" x14ac:dyDescent="0.25">
      <c r="A280" s="160" t="s">
        <v>209</v>
      </c>
      <c r="B280" s="354">
        <f>$C$182</f>
        <v>0.1512861269408301</v>
      </c>
      <c r="C280" s="6">
        <v>0.15840868304529132</v>
      </c>
      <c r="D280" s="6">
        <v>0.1512861269408301</v>
      </c>
      <c r="E280" s="6"/>
      <c r="F280" s="6"/>
      <c r="G280" s="169"/>
      <c r="H280" s="38"/>
      <c r="I280" s="38"/>
      <c r="J280" s="38"/>
      <c r="K280" s="38"/>
      <c r="L280" s="38"/>
      <c r="M280" s="185"/>
      <c r="N280" s="185"/>
      <c r="O280" s="185"/>
      <c r="P280" s="185"/>
      <c r="Q280" s="185"/>
      <c r="R280" s="185"/>
      <c r="S280" s="185"/>
      <c r="T280" s="185"/>
      <c r="U280" s="185"/>
      <c r="V280" s="38"/>
      <c r="W280" s="38"/>
      <c r="X280" s="38"/>
      <c r="Y280" s="38"/>
      <c r="Z280" s="38"/>
    </row>
    <row r="281" spans="1:26" x14ac:dyDescent="0.25">
      <c r="A281" s="174" t="s">
        <v>210</v>
      </c>
      <c r="B281" s="355">
        <f>$C$190</f>
        <v>13393.457259752795</v>
      </c>
      <c r="C281" s="311">
        <v>14902.178140201138</v>
      </c>
      <c r="D281" s="311">
        <v>13393.457259752795</v>
      </c>
      <c r="E281" s="180"/>
      <c r="F281" s="180"/>
      <c r="G281" s="360"/>
      <c r="H281" s="38"/>
      <c r="I281" s="38"/>
      <c r="J281" s="38"/>
      <c r="K281" s="38"/>
      <c r="L281" s="38"/>
      <c r="M281" s="185"/>
      <c r="N281" s="185"/>
      <c r="O281" s="185"/>
      <c r="P281" s="185"/>
      <c r="Q281" s="185"/>
      <c r="R281" s="185"/>
      <c r="S281" s="185"/>
      <c r="T281" s="185"/>
      <c r="U281" s="185"/>
      <c r="V281" s="38"/>
      <c r="W281" s="38"/>
      <c r="X281" s="38"/>
      <c r="Y281" s="38"/>
      <c r="Z281" s="38"/>
    </row>
    <row r="282" spans="1:26" x14ac:dyDescent="0.25">
      <c r="A282" s="310"/>
      <c r="B282" s="355"/>
      <c r="C282" s="311"/>
      <c r="D282" s="311"/>
      <c r="E282" s="180"/>
      <c r="F282" s="180"/>
      <c r="G282" s="360"/>
      <c r="H282" s="38"/>
      <c r="I282" s="38"/>
      <c r="J282" s="38"/>
      <c r="K282" s="38"/>
      <c r="L282" s="38"/>
      <c r="M282" s="185"/>
      <c r="N282" s="185"/>
      <c r="O282" s="185"/>
      <c r="P282" s="185"/>
      <c r="Q282" s="185"/>
      <c r="R282" s="185"/>
      <c r="S282" s="185"/>
      <c r="T282" s="185"/>
      <c r="U282" s="185"/>
      <c r="V282" s="38"/>
      <c r="W282" s="38"/>
      <c r="X282" s="38"/>
      <c r="Y282" s="38"/>
      <c r="Z282" s="38"/>
    </row>
    <row r="283" spans="1:26" x14ac:dyDescent="0.25">
      <c r="A283" s="156" t="s">
        <v>550</v>
      </c>
      <c r="B283" s="355"/>
      <c r="C283" s="311"/>
      <c r="D283" s="311"/>
      <c r="E283" s="180"/>
      <c r="F283" s="180"/>
      <c r="G283" s="360"/>
      <c r="H283" s="38"/>
      <c r="I283" s="38"/>
      <c r="J283" s="38"/>
      <c r="K283" s="38"/>
      <c r="L283" s="38"/>
      <c r="M283" s="185"/>
      <c r="N283" s="185"/>
      <c r="O283" s="185"/>
      <c r="P283" s="185"/>
      <c r="Q283" s="185"/>
      <c r="R283" s="185"/>
      <c r="S283" s="185"/>
      <c r="T283" s="185"/>
      <c r="U283" s="185"/>
      <c r="V283" s="38"/>
      <c r="W283" s="38"/>
      <c r="X283" s="38"/>
      <c r="Y283" s="38"/>
      <c r="Z283" s="38"/>
    </row>
    <row r="284" spans="1:26" x14ac:dyDescent="0.25">
      <c r="A284" s="310"/>
      <c r="B284" t="s">
        <v>553</v>
      </c>
      <c r="C284" s="159">
        <v>0.6</v>
      </c>
      <c r="D284" s="159">
        <v>0.8</v>
      </c>
      <c r="E284" s="159">
        <v>1</v>
      </c>
      <c r="F284" s="159">
        <v>1.2</v>
      </c>
      <c r="G284" s="357">
        <v>1.5</v>
      </c>
      <c r="H284" s="38"/>
      <c r="I284" s="38"/>
      <c r="J284" s="38"/>
      <c r="K284" s="38"/>
      <c r="L284" s="38"/>
      <c r="M284" s="185"/>
      <c r="N284" s="185"/>
      <c r="O284" s="185"/>
      <c r="P284" s="185"/>
      <c r="Q284" s="185"/>
      <c r="R284" s="185"/>
      <c r="S284" s="185"/>
      <c r="T284" s="185"/>
      <c r="U284" s="185"/>
      <c r="V284" s="38"/>
      <c r="W284" s="38"/>
      <c r="X284" s="38"/>
      <c r="Y284" s="38"/>
      <c r="Z284" s="38"/>
    </row>
    <row r="285" spans="1:26" x14ac:dyDescent="0.25">
      <c r="A285" s="310" t="s">
        <v>551</v>
      </c>
      <c r="B285" s="396">
        <f>$C$183</f>
        <v>0.15010771563561898</v>
      </c>
      <c r="C285" s="7">
        <f t="dataTable" ref="C285:G286" dt2D="0" dtr="1" r1="C163"/>
        <v>0.14971341427833162</v>
      </c>
      <c r="D285" s="7">
        <v>0.14990345516380144</v>
      </c>
      <c r="E285" s="7">
        <v>0.15010771563561898</v>
      </c>
      <c r="F285" s="7">
        <v>0.15032472940147135</v>
      </c>
      <c r="G285" s="397">
        <v>0.15069918903086621</v>
      </c>
      <c r="H285" s="38"/>
      <c r="I285" s="38"/>
      <c r="J285" s="38"/>
      <c r="K285" s="38"/>
      <c r="L285" s="38"/>
      <c r="M285" s="185"/>
      <c r="N285" s="185"/>
      <c r="O285" s="185"/>
      <c r="P285" s="185"/>
      <c r="Q285" s="185"/>
      <c r="R285" s="185"/>
      <c r="S285" s="185"/>
      <c r="T285" s="185"/>
      <c r="U285" s="185"/>
      <c r="V285" s="38"/>
      <c r="W285" s="38"/>
      <c r="X285" s="38"/>
      <c r="Y285" s="38"/>
      <c r="Z285" s="38"/>
    </row>
    <row r="286" spans="1:26" x14ac:dyDescent="0.25">
      <c r="A286" s="310" t="s">
        <v>552</v>
      </c>
      <c r="B286" s="396">
        <f>$C$184</f>
        <v>0.16459849152314598</v>
      </c>
      <c r="C286" s="7">
        <v>0.16907477436678153</v>
      </c>
      <c r="D286" s="7">
        <v>0.16691225083385475</v>
      </c>
      <c r="E286" s="7">
        <v>0.16459849152314598</v>
      </c>
      <c r="F286" s="7">
        <v>0.16215924328246833</v>
      </c>
      <c r="G286" s="397">
        <v>0.15793539131142253</v>
      </c>
      <c r="H286" s="38"/>
      <c r="I286" s="38"/>
      <c r="J286" s="38"/>
      <c r="K286" s="38"/>
      <c r="L286" s="38"/>
      <c r="M286" s="185"/>
      <c r="N286" s="185"/>
      <c r="O286" s="185"/>
      <c r="P286" s="185"/>
      <c r="Q286" s="185"/>
      <c r="R286" s="185"/>
      <c r="S286" s="185"/>
      <c r="T286" s="185"/>
      <c r="U286" s="185"/>
      <c r="V286" s="38"/>
      <c r="W286" s="38"/>
      <c r="X286" s="38"/>
      <c r="Y286" s="38"/>
      <c r="Z286" s="38"/>
    </row>
    <row r="287" spans="1:26" x14ac:dyDescent="0.25">
      <c r="A287" s="310"/>
      <c r="B287" s="355"/>
      <c r="C287" s="311"/>
      <c r="D287" s="311"/>
      <c r="E287" s="180"/>
      <c r="F287" s="180"/>
      <c r="G287" s="360"/>
      <c r="H287" s="38"/>
      <c r="I287" s="38"/>
      <c r="J287" s="38"/>
      <c r="K287" s="38"/>
      <c r="L287" s="38"/>
      <c r="M287" s="185"/>
      <c r="N287" s="185"/>
      <c r="O287" s="185"/>
      <c r="P287" s="185"/>
      <c r="Q287" s="185"/>
      <c r="R287" s="185"/>
      <c r="S287" s="185"/>
      <c r="T287" s="185"/>
      <c r="U287" s="185"/>
      <c r="V287" s="38"/>
      <c r="W287" s="38"/>
      <c r="X287" s="38"/>
      <c r="Y287" s="38"/>
      <c r="Z287" s="38"/>
    </row>
    <row r="288" spans="1:26" x14ac:dyDescent="0.25">
      <c r="H288" s="38"/>
      <c r="I288" s="38"/>
      <c r="J288" s="38"/>
      <c r="K288" s="38"/>
      <c r="L288" s="38"/>
      <c r="M288" s="38"/>
      <c r="N288" s="38"/>
      <c r="O288" s="38"/>
      <c r="P288" s="38"/>
      <c r="Q288" s="38"/>
      <c r="R288" s="38"/>
      <c r="S288" s="38"/>
      <c r="T288" s="38"/>
      <c r="U288" s="38"/>
      <c r="V288" s="38"/>
      <c r="W288" s="38"/>
      <c r="X288" s="38"/>
      <c r="Y288" s="38"/>
      <c r="Z288" s="38"/>
    </row>
    <row r="303" spans="4:4" x14ac:dyDescent="0.25">
      <c r="D303" s="319"/>
    </row>
  </sheetData>
  <conditionalFormatting sqref="E175:E176 O175:O176 Z175:Z176 E179:M224">
    <cfRule type="colorScale" priority="7">
      <colorScale>
        <cfvo type="formula" val="$C$172=2"/>
        <cfvo type="formula" val="$C$172=1"/>
        <color rgb="FFFF7128"/>
        <color theme="0"/>
      </colorScale>
    </cfRule>
  </conditionalFormatting>
  <pageMargins left="0.7" right="0.7" top="0.75" bottom="0.75" header="0.3" footer="0.3"/>
  <pageSetup orientation="portrait" horizontalDpi="4294967292" verticalDpi="4294967292"/>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sheetPr>
  <dimension ref="A1:AJ45"/>
  <sheetViews>
    <sheetView topLeftCell="A2" workbookViewId="0">
      <selection activeCell="C37" sqref="C37"/>
    </sheetView>
  </sheetViews>
  <sheetFormatPr defaultColWidth="8.85546875" defaultRowHeight="15" x14ac:dyDescent="0.25"/>
  <cols>
    <col min="1" max="1" width="41.42578125" customWidth="1"/>
    <col min="3" max="3" width="11.42578125" customWidth="1"/>
    <col min="6" max="6" width="9.85546875" customWidth="1"/>
    <col min="7" max="7" width="10" customWidth="1"/>
    <col min="36" max="36" width="13.42578125" customWidth="1"/>
  </cols>
  <sheetData>
    <row r="1" spans="1:36" ht="21" x14ac:dyDescent="0.25">
      <c r="A1" s="197" t="s">
        <v>432</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132"/>
    </row>
    <row r="2" spans="1:36" ht="21" x14ac:dyDescent="0.25">
      <c r="A2" s="117" t="str">
        <f>IF('Assumptions &amp; Results'!$C$172=3,"VALID","INVALID")</f>
        <v>INVALID</v>
      </c>
      <c r="C2" s="258" t="s">
        <v>575</v>
      </c>
      <c r="AJ2" s="124"/>
    </row>
    <row r="3" spans="1:36" x14ac:dyDescent="0.2">
      <c r="B3" t="s">
        <v>234</v>
      </c>
      <c r="C3" s="1">
        <f>'Assumptions &amp; Results'!D2</f>
        <v>2017</v>
      </c>
      <c r="D3" s="1">
        <f>'Assumptions &amp; Results'!E2</f>
        <v>2018</v>
      </c>
      <c r="E3" s="1">
        <f>'Assumptions &amp; Results'!F2</f>
        <v>2019</v>
      </c>
      <c r="F3" s="1">
        <f>'Assumptions &amp; Results'!G2</f>
        <v>2020</v>
      </c>
      <c r="G3" s="1">
        <f>'Assumptions &amp; Results'!H2</f>
        <v>2021</v>
      </c>
      <c r="H3" s="1">
        <f>'Assumptions &amp; Results'!I2</f>
        <v>2022</v>
      </c>
      <c r="I3" s="1">
        <f>'Assumptions &amp; Results'!J2</f>
        <v>2023</v>
      </c>
      <c r="J3" s="1">
        <f>'Assumptions &amp; Results'!K2</f>
        <v>2024</v>
      </c>
      <c r="K3" s="1">
        <f>'Assumptions &amp; Results'!L2</f>
        <v>2025</v>
      </c>
      <c r="L3" s="1">
        <f>'Assumptions &amp; Results'!M2</f>
        <v>2026</v>
      </c>
      <c r="M3" s="1">
        <f>'Assumptions &amp; Results'!N2</f>
        <v>2027</v>
      </c>
      <c r="N3" s="1">
        <f>'Assumptions &amp; Results'!O2</f>
        <v>2028</v>
      </c>
      <c r="O3" s="1">
        <f>'Assumptions &amp; Results'!P2</f>
        <v>2029</v>
      </c>
      <c r="P3" s="1">
        <f>'Assumptions &amp; Results'!Q2</f>
        <v>2030</v>
      </c>
      <c r="Q3" s="1">
        <f>'Assumptions &amp; Results'!R2</f>
        <v>2031</v>
      </c>
      <c r="R3" s="1">
        <f>'Assumptions &amp; Results'!S2</f>
        <v>2032</v>
      </c>
      <c r="S3" s="1">
        <f>'Assumptions &amp; Results'!T2</f>
        <v>2033</v>
      </c>
      <c r="T3" s="1">
        <f>'Assumptions &amp; Results'!U2</f>
        <v>2034</v>
      </c>
      <c r="U3" s="1">
        <f>'Assumptions &amp; Results'!V2</f>
        <v>2035</v>
      </c>
      <c r="V3" s="1">
        <f>'Assumptions &amp; Results'!W2</f>
        <v>2036</v>
      </c>
      <c r="W3" s="1">
        <f>'Assumptions &amp; Results'!X2</f>
        <v>2037</v>
      </c>
      <c r="X3" s="1">
        <f>'Assumptions &amp; Results'!Y2</f>
        <v>2038</v>
      </c>
      <c r="Y3" s="1">
        <f>'Assumptions &amp; Results'!Z2</f>
        <v>2039</v>
      </c>
      <c r="Z3" s="1">
        <f>'Assumptions &amp; Results'!AA2</f>
        <v>2040</v>
      </c>
      <c r="AA3" s="1">
        <f>'Assumptions &amp; Results'!AB2</f>
        <v>2041</v>
      </c>
      <c r="AB3" s="1">
        <f>'Assumptions &amp; Results'!AC2</f>
        <v>2042</v>
      </c>
      <c r="AC3" s="1">
        <f>'Assumptions &amp; Results'!AD2</f>
        <v>2043</v>
      </c>
      <c r="AD3" s="1">
        <f>'Assumptions &amp; Results'!AE2</f>
        <v>2044</v>
      </c>
      <c r="AE3" s="1">
        <f>'Assumptions &amp; Results'!AF2</f>
        <v>2045</v>
      </c>
      <c r="AF3" s="1">
        <f>'Assumptions &amp; Results'!AG2</f>
        <v>2046</v>
      </c>
      <c r="AG3" s="1">
        <f>'Assumptions &amp; Results'!AH2</f>
        <v>2047</v>
      </c>
      <c r="AH3" s="1">
        <f>'Assumptions &amp; Results'!AI2</f>
        <v>2048</v>
      </c>
      <c r="AI3" s="1">
        <f>'Assumptions &amp; Results'!AJ2</f>
        <v>2049</v>
      </c>
      <c r="AJ3" s="123" t="s">
        <v>63</v>
      </c>
    </row>
    <row r="4" spans="1:36" x14ac:dyDescent="0.2">
      <c r="A4" s="37" t="s">
        <v>379</v>
      </c>
      <c r="B4" t="s">
        <v>99</v>
      </c>
      <c r="C4" s="32">
        <f>'Field 1 Investor'!C16+'Field 2 Investor'!C16+'Field 3 Investor'!C16+'LNG Equity '!C34</f>
        <v>0</v>
      </c>
      <c r="D4" s="32">
        <f>'Field 1 Investor'!D16+'Field 2 Investor'!D16+'Field 3 Investor'!D16+'LNG Equity '!D34</f>
        <v>0</v>
      </c>
      <c r="E4" s="32">
        <f>'Field 1 Investor'!E16+'Field 2 Investor'!E16+'Field 3 Investor'!E16+'LNG Equity '!E34</f>
        <v>0</v>
      </c>
      <c r="F4" s="32">
        <f>'Field 1 Investor'!F16+'Field 2 Investor'!F16+'Field 3 Investor'!F16+'LNG Equity '!F34</f>
        <v>0</v>
      </c>
      <c r="G4" s="32">
        <f>'Field 1 Investor'!G16+'Field 2 Investor'!G16+'Field 3 Investor'!G16+'LNG Equity '!G34</f>
        <v>4677.9768750000012</v>
      </c>
      <c r="H4" s="32">
        <f>'Field 1 Investor'!H16+'Field 2 Investor'!H16+'Field 3 Investor'!H16+'LNG Equity '!H34</f>
        <v>9355.9537500000024</v>
      </c>
      <c r="I4" s="32">
        <f>'Field 1 Investor'!I16+'Field 2 Investor'!I16+'Field 3 Investor'!I16+'LNG Equity '!I34</f>
        <v>9355.9537500000024</v>
      </c>
      <c r="J4" s="32">
        <f>'Field 1 Investor'!J16+'Field 2 Investor'!J16+'Field 3 Investor'!J16+'LNG Equity '!J34</f>
        <v>8891.1673124999998</v>
      </c>
      <c r="K4" s="32">
        <f>'Field 1 Investor'!K16+'Field 2 Investor'!K16+'Field 3 Investor'!K16+'LNG Equity '!K34</f>
        <v>9355.9537500000024</v>
      </c>
      <c r="L4" s="32">
        <f>'Field 1 Investor'!L16+'Field 2 Investor'!L16+'Field 3 Investor'!L16+'LNG Equity '!L34</f>
        <v>9355.9537500000024</v>
      </c>
      <c r="M4" s="32">
        <f>'Field 1 Investor'!M16+'Field 2 Investor'!M16+'Field 3 Investor'!M16+'LNG Equity '!M34</f>
        <v>9355.9537500000024</v>
      </c>
      <c r="N4" s="32">
        <f>'Field 1 Investor'!N16+'Field 2 Investor'!N16+'Field 3 Investor'!N16+'LNG Equity '!N34</f>
        <v>9355.9537500000024</v>
      </c>
      <c r="O4" s="32">
        <f>'Field 1 Investor'!O16+'Field 2 Investor'!O16+'Field 3 Investor'!O16+'LNG Equity '!O34</f>
        <v>8891.1673124999998</v>
      </c>
      <c r="P4" s="32">
        <f>'Field 1 Investor'!P16+'Field 2 Investor'!P16+'Field 3 Investor'!P16+'LNG Equity '!P34</f>
        <v>9355.9537500000024</v>
      </c>
      <c r="Q4" s="32">
        <f>'Field 1 Investor'!Q16+'Field 2 Investor'!Q16+'Field 3 Investor'!Q16+'LNG Equity '!Q34</f>
        <v>9355.9537500000024</v>
      </c>
      <c r="R4" s="32">
        <f>'Field 1 Investor'!R16+'Field 2 Investor'!R16+'Field 3 Investor'!R16+'LNG Equity '!R34</f>
        <v>9355.9537500000024</v>
      </c>
      <c r="S4" s="32">
        <f>'Field 1 Investor'!S16+'Field 2 Investor'!S16+'Field 3 Investor'!S16+'LNG Equity '!S34</f>
        <v>9355.9537500000024</v>
      </c>
      <c r="T4" s="32">
        <f>'Field 1 Investor'!T16+'Field 2 Investor'!T16+'Field 3 Investor'!T16+'LNG Equity '!T34</f>
        <v>8891.1673124999998</v>
      </c>
      <c r="U4" s="32">
        <f>'Field 1 Investor'!U16+'Field 2 Investor'!U16+'Field 3 Investor'!U16+'LNG Equity '!U34</f>
        <v>9355.9537500000024</v>
      </c>
      <c r="V4" s="32">
        <f>'Field 1 Investor'!V16+'Field 2 Investor'!V16+'Field 3 Investor'!V16+'LNG Equity '!V34</f>
        <v>9355.9537500000024</v>
      </c>
      <c r="W4" s="32">
        <f>'Field 1 Investor'!W16+'Field 2 Investor'!W16+'Field 3 Investor'!W16+'LNG Equity '!W34</f>
        <v>9355.9537500000024</v>
      </c>
      <c r="X4" s="32">
        <f>'Field 1 Investor'!X16+'Field 2 Investor'!X16+'Field 3 Investor'!X16+'LNG Equity '!X34</f>
        <v>9355.9537500000024</v>
      </c>
      <c r="Y4" s="32">
        <f>'Field 1 Investor'!Y16+'Field 2 Investor'!Y16+'Field 3 Investor'!Y16+'LNG Equity '!Y34</f>
        <v>8891.1673124999998</v>
      </c>
      <c r="Z4" s="32">
        <f>'Field 1 Investor'!Z16+'Field 2 Investor'!Z16+'Field 3 Investor'!Z16+'LNG Equity '!Z34</f>
        <v>9355.9537500000024</v>
      </c>
      <c r="AA4" s="32">
        <f>'Field 1 Investor'!AA16+'Field 2 Investor'!AA16+'Field 3 Investor'!AA16+'LNG Equity '!AA34</f>
        <v>9355.9537500000024</v>
      </c>
      <c r="AB4" s="32">
        <f>'Field 1 Investor'!AB16+'Field 2 Investor'!AB16+'Field 3 Investor'!AB16+'LNG Equity '!AB34</f>
        <v>9355.9537500000024</v>
      </c>
      <c r="AC4" s="32">
        <f>'Field 1 Investor'!AC16+'Field 2 Investor'!AC16+'Field 3 Investor'!AC16+'LNG Equity '!AC34</f>
        <v>9355.9537500000024</v>
      </c>
      <c r="AD4" s="32">
        <f>'Field 1 Investor'!AD16+'Field 2 Investor'!AD16+'Field 3 Investor'!AD16+'LNG Equity '!AD34</f>
        <v>8891.1673124999998</v>
      </c>
      <c r="AE4" s="32">
        <f>'Field 1 Investor'!AE16+'Field 2 Investor'!AE16+'Field 3 Investor'!AE16+'LNG Equity '!AE34</f>
        <v>9355.9537500000024</v>
      </c>
      <c r="AF4" s="32">
        <f>'Field 1 Investor'!AF16+'Field 2 Investor'!AF16+'Field 3 Investor'!AF16+'LNG Equity '!AF34</f>
        <v>9355.9537500000024</v>
      </c>
      <c r="AG4" s="32">
        <f>'Field 1 Investor'!AG16+'Field 2 Investor'!AG16+'Field 3 Investor'!AG16+'LNG Equity '!AG34</f>
        <v>9355.9537500000024</v>
      </c>
      <c r="AH4" s="32">
        <f>'Field 1 Investor'!AH16+'Field 2 Investor'!AH16+'Field 3 Investor'!AH16+'LNG Equity '!AH34</f>
        <v>9355.9537500000024</v>
      </c>
      <c r="AI4" s="32">
        <f>'Field 1 Investor'!AI16+'Field 2 Investor'!AI16+'Field 3 Investor'!AI16+'LNG Equity '!AI34</f>
        <v>9355.9537500000024</v>
      </c>
      <c r="AJ4" s="135">
        <f>SUM(C4:AI4)</f>
        <v>264320.74968750018</v>
      </c>
    </row>
    <row r="5" spans="1:36" x14ac:dyDescent="0.2">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124"/>
    </row>
    <row r="6" spans="1:36" x14ac:dyDescent="0.2">
      <c r="A6" s="37" t="s">
        <v>380</v>
      </c>
      <c r="B6" t="s">
        <v>99</v>
      </c>
      <c r="C6" s="8">
        <f>-('Assumptions &amp; Results'!D105+'LNG Equity '!C14+'LNG Equity '!C15+'Gas PL'!C14+'Gas PL'!C15+'Field 1 Investor'!C23+'Field 1 Investor'!C24+'Field 1 Investor'!C27+'Field 1 Investor'!C28+'Field 2 Investor'!C23+'Field 2 Investor'!C24+'Field 2 Investor'!C27+'Field 2 Investor'!C28+'Field 3 Investor'!C23+'Field 3 Investor'!C24+'Field 3 Investor'!C27+'Field 3 Investor'!C28)</f>
        <v>0</v>
      </c>
      <c r="D6" s="8">
        <f>-('Assumptions &amp; Results'!E105+'LNG Equity '!D14+'LNG Equity '!D15+'Gas PL'!D14+'Gas PL'!D15+'Field 1 Investor'!D23+'Field 1 Investor'!D24+'Field 1 Investor'!D27+'Field 1 Investor'!D28+'Field 2 Investor'!D23+'Field 2 Investor'!D24+'Field 2 Investor'!D27+'Field 2 Investor'!D28+'Field 3 Investor'!D23+'Field 3 Investor'!D24+'Field 3 Investor'!D27+'Field 3 Investor'!D28)</f>
        <v>0</v>
      </c>
      <c r="E6" s="8">
        <f>-('Assumptions &amp; Results'!F105+'LNG Equity '!E14+'LNG Equity '!E15+'Gas PL'!E14+'Gas PL'!E15+'Field 1 Investor'!E23+'Field 1 Investor'!E24+'Field 1 Investor'!E27+'Field 1 Investor'!E28+'Field 2 Investor'!E23+'Field 2 Investor'!E24+'Field 2 Investor'!E27+'Field 2 Investor'!E28+'Field 3 Investor'!E23+'Field 3 Investor'!E24+'Field 3 Investor'!E27+'Field 3 Investor'!E28)</f>
        <v>0</v>
      </c>
      <c r="F6" s="8">
        <f>-('Assumptions &amp; Results'!G105+'LNG Equity '!F14+'LNG Equity '!F15+'Gas PL'!F14+'Gas PL'!F15+'Field 1 Investor'!F23+'Field 1 Investor'!F24+'Field 1 Investor'!F27+'Field 1 Investor'!F28+'Field 2 Investor'!F23+'Field 2 Investor'!F24+'Field 2 Investor'!F27+'Field 2 Investor'!F28+'Field 3 Investor'!F23+'Field 3 Investor'!F24+'Field 3 Investor'!F27+'Field 3 Investor'!F28)</f>
        <v>0</v>
      </c>
      <c r="G6" s="8">
        <f>-('Assumptions &amp; Results'!H105+'LNG Equity '!G14+'LNG Equity '!G15+'Gas PL'!G14+'Gas PL'!G15+'Field 1 Investor'!G23+'Field 1 Investor'!G24+'Field 1 Investor'!G27+'Field 1 Investor'!G28+'Field 2 Investor'!G23+'Field 2 Investor'!G24+'Field 2 Investor'!G27+'Field 2 Investor'!G28+'Field 3 Investor'!G23+'Field 3 Investor'!G24+'Field 3 Investor'!G27+'Field 3 Investor'!G28)</f>
        <v>-1139.3486</v>
      </c>
      <c r="H6" s="8">
        <f>-('Assumptions &amp; Results'!I105+'LNG Equity '!H14+'LNG Equity '!H15+'Gas PL'!H14+'Gas PL'!H15+'Field 1 Investor'!H23+'Field 1 Investor'!H24+'Field 1 Investor'!H27+'Field 1 Investor'!H28+'Field 2 Investor'!H23+'Field 2 Investor'!H24+'Field 2 Investor'!H27+'Field 2 Investor'!H28+'Field 3 Investor'!H23+'Field 3 Investor'!H24+'Field 3 Investor'!H27+'Field 3 Investor'!H28)</f>
        <v>-2278.6972000000001</v>
      </c>
      <c r="I6" s="8">
        <f>-('Assumptions &amp; Results'!J105+'LNG Equity '!I14+'LNG Equity '!I15+'Gas PL'!I14+'Gas PL'!I15+'Field 1 Investor'!I23+'Field 1 Investor'!I24+'Field 1 Investor'!I27+'Field 1 Investor'!I28+'Field 2 Investor'!I23+'Field 2 Investor'!I24+'Field 2 Investor'!I27+'Field 2 Investor'!I28+'Field 3 Investor'!I23+'Field 3 Investor'!I24+'Field 3 Investor'!I27+'Field 3 Investor'!I28)</f>
        <v>-2278.6972000000001</v>
      </c>
      <c r="J6" s="8">
        <f>-('Assumptions &amp; Results'!K105+'LNG Equity '!J14+'LNG Equity '!J15+'Gas PL'!J14+'Gas PL'!J15+'Field 1 Investor'!J23+'Field 1 Investor'!J24+'Field 1 Investor'!J27+'Field 1 Investor'!J28+'Field 2 Investor'!J23+'Field 2 Investor'!J24+'Field 2 Investor'!J27+'Field 2 Investor'!J28+'Field 3 Investor'!J23+'Field 3 Investor'!J24+'Field 3 Investor'!J27+'Field 3 Investor'!J28)</f>
        <v>-2390.0837000000001</v>
      </c>
      <c r="K6" s="8">
        <f>-('Assumptions &amp; Results'!L105+'LNG Equity '!K14+'LNG Equity '!K15+'Gas PL'!K14+'Gas PL'!K15+'Field 1 Investor'!K23+'Field 1 Investor'!K24+'Field 1 Investor'!K27+'Field 1 Investor'!K28+'Field 2 Investor'!K23+'Field 2 Investor'!K24+'Field 2 Investor'!K27+'Field 2 Investor'!K28+'Field 3 Investor'!K23+'Field 3 Investor'!K24+'Field 3 Investor'!K27+'Field 3 Investor'!K28)</f>
        <v>-2278.6972000000001</v>
      </c>
      <c r="L6" s="8">
        <f>-('Assumptions &amp; Results'!M105+'LNG Equity '!L14+'LNG Equity '!L15+'Gas PL'!L14+'Gas PL'!L15+'Field 1 Investor'!L23+'Field 1 Investor'!L24+'Field 1 Investor'!L27+'Field 1 Investor'!L28+'Field 2 Investor'!L23+'Field 2 Investor'!L24+'Field 2 Investor'!L27+'Field 2 Investor'!L28+'Field 3 Investor'!L23+'Field 3 Investor'!L24+'Field 3 Investor'!L27+'Field 3 Investor'!L28)</f>
        <v>-2278.6972000000001</v>
      </c>
      <c r="M6" s="8">
        <f>-('Assumptions &amp; Results'!N105+'LNG Equity '!M14+'LNG Equity '!M15+'Gas PL'!M14+'Gas PL'!M15+'Field 1 Investor'!M23+'Field 1 Investor'!M24+'Field 1 Investor'!M27+'Field 1 Investor'!M28+'Field 2 Investor'!M23+'Field 2 Investor'!M24+'Field 2 Investor'!M27+'Field 2 Investor'!M28+'Field 3 Investor'!M23+'Field 3 Investor'!M24+'Field 3 Investor'!M27+'Field 3 Investor'!M28)</f>
        <v>-2278.6972000000001</v>
      </c>
      <c r="N6" s="8">
        <f>-('Assumptions &amp; Results'!O105+'LNG Equity '!N14+'LNG Equity '!N15+'Gas PL'!N14+'Gas PL'!N15+'Field 1 Investor'!N23+'Field 1 Investor'!N24+'Field 1 Investor'!N27+'Field 1 Investor'!N28+'Field 2 Investor'!N23+'Field 2 Investor'!N24+'Field 2 Investor'!N27+'Field 2 Investor'!N28+'Field 3 Investor'!N23+'Field 3 Investor'!N24+'Field 3 Investor'!N27+'Field 3 Investor'!N28)</f>
        <v>-2278.6972000000001</v>
      </c>
      <c r="O6" s="8">
        <f>-('Assumptions &amp; Results'!P105+'LNG Equity '!O14+'LNG Equity '!O15+'Gas PL'!O14+'Gas PL'!O15+'Field 1 Investor'!O23+'Field 1 Investor'!O24+'Field 1 Investor'!O27+'Field 1 Investor'!O28+'Field 2 Investor'!O23+'Field 2 Investor'!O24+'Field 2 Investor'!O27+'Field 2 Investor'!O28+'Field 3 Investor'!O23+'Field 3 Investor'!O24+'Field 3 Investor'!O27+'Field 3 Investor'!O28)</f>
        <v>-2390.0837000000001</v>
      </c>
      <c r="P6" s="8">
        <f>-('Assumptions &amp; Results'!Q105+'LNG Equity '!P14+'LNG Equity '!P15+'Gas PL'!P14+'Gas PL'!P15+'Field 1 Investor'!P23+'Field 1 Investor'!P24+'Field 1 Investor'!P27+'Field 1 Investor'!P28+'Field 2 Investor'!P23+'Field 2 Investor'!P24+'Field 2 Investor'!P27+'Field 2 Investor'!P28+'Field 3 Investor'!P23+'Field 3 Investor'!P24+'Field 3 Investor'!P27+'Field 3 Investor'!P28)</f>
        <v>-2278.6972000000001</v>
      </c>
      <c r="Q6" s="8">
        <f>-('Assumptions &amp; Results'!R105+'LNG Equity '!Q14+'LNG Equity '!Q15+'Gas PL'!Q14+'Gas PL'!Q15+'Field 1 Investor'!Q23+'Field 1 Investor'!Q24+'Field 1 Investor'!Q27+'Field 1 Investor'!Q28+'Field 2 Investor'!Q23+'Field 2 Investor'!Q24+'Field 2 Investor'!Q27+'Field 2 Investor'!Q28+'Field 3 Investor'!Q23+'Field 3 Investor'!Q24+'Field 3 Investor'!Q27+'Field 3 Investor'!Q28)</f>
        <v>-2278.6972000000001</v>
      </c>
      <c r="R6" s="8">
        <f>-('Assumptions &amp; Results'!S105+'LNG Equity '!R14+'LNG Equity '!R15+'Gas PL'!R14+'Gas PL'!R15+'Field 1 Investor'!R23+'Field 1 Investor'!R24+'Field 1 Investor'!R27+'Field 1 Investor'!R28+'Field 2 Investor'!R23+'Field 2 Investor'!R24+'Field 2 Investor'!R27+'Field 2 Investor'!R28+'Field 3 Investor'!R23+'Field 3 Investor'!R24+'Field 3 Investor'!R27+'Field 3 Investor'!R28)</f>
        <v>-2278.6972000000001</v>
      </c>
      <c r="S6" s="8">
        <f>-('Assumptions &amp; Results'!T105+'LNG Equity '!S14+'LNG Equity '!S15+'Gas PL'!S14+'Gas PL'!S15+'Field 1 Investor'!S23+'Field 1 Investor'!S24+'Field 1 Investor'!S27+'Field 1 Investor'!S28+'Field 2 Investor'!S23+'Field 2 Investor'!S24+'Field 2 Investor'!S27+'Field 2 Investor'!S28+'Field 3 Investor'!S23+'Field 3 Investor'!S24+'Field 3 Investor'!S27+'Field 3 Investor'!S28)</f>
        <v>-2278.6972000000001</v>
      </c>
      <c r="T6" s="8">
        <f>-('Assumptions &amp; Results'!U105+'LNG Equity '!T14+'LNG Equity '!T15+'Gas PL'!T14+'Gas PL'!T15+'Field 1 Investor'!T23+'Field 1 Investor'!T24+'Field 1 Investor'!T27+'Field 1 Investor'!T28+'Field 2 Investor'!T23+'Field 2 Investor'!T24+'Field 2 Investor'!T27+'Field 2 Investor'!T28+'Field 3 Investor'!T23+'Field 3 Investor'!T24+'Field 3 Investor'!T27+'Field 3 Investor'!T28)</f>
        <v>-2390.0837000000001</v>
      </c>
      <c r="U6" s="8">
        <f>-('Assumptions &amp; Results'!V105+'LNG Equity '!U14+'LNG Equity '!U15+'Gas PL'!U14+'Gas PL'!U15+'Field 1 Investor'!U23+'Field 1 Investor'!U24+'Field 1 Investor'!U27+'Field 1 Investor'!U28+'Field 2 Investor'!U23+'Field 2 Investor'!U24+'Field 2 Investor'!U27+'Field 2 Investor'!U28+'Field 3 Investor'!U23+'Field 3 Investor'!U24+'Field 3 Investor'!U27+'Field 3 Investor'!U28)</f>
        <v>-2278.6972000000001</v>
      </c>
      <c r="V6" s="8">
        <f>-('Assumptions &amp; Results'!W105+'LNG Equity '!V14+'LNG Equity '!V15+'Gas PL'!V14+'Gas PL'!V15+'Field 1 Investor'!V23+'Field 1 Investor'!V24+'Field 1 Investor'!V27+'Field 1 Investor'!V28+'Field 2 Investor'!V23+'Field 2 Investor'!V24+'Field 2 Investor'!V27+'Field 2 Investor'!V28+'Field 3 Investor'!V23+'Field 3 Investor'!V24+'Field 3 Investor'!V27+'Field 3 Investor'!V28)</f>
        <v>-2278.6972000000001</v>
      </c>
      <c r="W6" s="8">
        <f>-('Assumptions &amp; Results'!X105+'LNG Equity '!W14+'LNG Equity '!W15+'Gas PL'!W14+'Gas PL'!W15+'Field 1 Investor'!W23+'Field 1 Investor'!W24+'Field 1 Investor'!W27+'Field 1 Investor'!W28+'Field 2 Investor'!W23+'Field 2 Investor'!W24+'Field 2 Investor'!W27+'Field 2 Investor'!W28+'Field 3 Investor'!W23+'Field 3 Investor'!W24+'Field 3 Investor'!W27+'Field 3 Investor'!W28)</f>
        <v>-2278.6972000000001</v>
      </c>
      <c r="X6" s="8">
        <f>-('Assumptions &amp; Results'!Y105+'LNG Equity '!X14+'LNG Equity '!X15+'Gas PL'!X14+'Gas PL'!X15+'Field 1 Investor'!X23+'Field 1 Investor'!X24+'Field 1 Investor'!X27+'Field 1 Investor'!X28+'Field 2 Investor'!X23+'Field 2 Investor'!X24+'Field 2 Investor'!X27+'Field 2 Investor'!X28+'Field 3 Investor'!X23+'Field 3 Investor'!X24+'Field 3 Investor'!X27+'Field 3 Investor'!X28)</f>
        <v>-2278.6972000000001</v>
      </c>
      <c r="Y6" s="8">
        <f>-('Assumptions &amp; Results'!Z105+'LNG Equity '!Y14+'LNG Equity '!Y15+'Gas PL'!Y14+'Gas PL'!Y15+'Field 1 Investor'!Y23+'Field 1 Investor'!Y24+'Field 1 Investor'!Y27+'Field 1 Investor'!Y28+'Field 2 Investor'!Y23+'Field 2 Investor'!Y24+'Field 2 Investor'!Y27+'Field 2 Investor'!Y28+'Field 3 Investor'!Y23+'Field 3 Investor'!Y24+'Field 3 Investor'!Y27+'Field 3 Investor'!Y28)</f>
        <v>-2390.0837000000001</v>
      </c>
      <c r="Z6" s="8">
        <f>-('Assumptions &amp; Results'!AA105+'LNG Equity '!Z14+'LNG Equity '!Z15+'Gas PL'!Z14+'Gas PL'!Z15+'Field 1 Investor'!Z23+'Field 1 Investor'!Z24+'Field 1 Investor'!Z27+'Field 1 Investor'!Z28+'Field 2 Investor'!Z23+'Field 2 Investor'!Z24+'Field 2 Investor'!Z27+'Field 2 Investor'!Z28+'Field 3 Investor'!Z23+'Field 3 Investor'!Z24+'Field 3 Investor'!Z27+'Field 3 Investor'!Z28)</f>
        <v>-2278.6972000000001</v>
      </c>
      <c r="AA6" s="8">
        <f>-('Assumptions &amp; Results'!AB105+'LNG Equity '!AA14+'LNG Equity '!AA15+'Gas PL'!AA14+'Gas PL'!AA15+'Field 1 Investor'!AA23+'Field 1 Investor'!AA24+'Field 1 Investor'!AA27+'Field 1 Investor'!AA28+'Field 2 Investor'!AA23+'Field 2 Investor'!AA24+'Field 2 Investor'!AA27+'Field 2 Investor'!AA28+'Field 3 Investor'!AA23+'Field 3 Investor'!AA24+'Field 3 Investor'!AA27+'Field 3 Investor'!AA28)</f>
        <v>-2278.6972000000001</v>
      </c>
      <c r="AB6" s="8">
        <f>-('Assumptions &amp; Results'!AC105+'LNG Equity '!AB14+'LNG Equity '!AB15+'Gas PL'!AB14+'Gas PL'!AB15+'Field 1 Investor'!AB23+'Field 1 Investor'!AB24+'Field 1 Investor'!AB27+'Field 1 Investor'!AB28+'Field 2 Investor'!AB23+'Field 2 Investor'!AB24+'Field 2 Investor'!AB27+'Field 2 Investor'!AB28+'Field 3 Investor'!AB23+'Field 3 Investor'!AB24+'Field 3 Investor'!AB27+'Field 3 Investor'!AB28)</f>
        <v>-2278.6972000000001</v>
      </c>
      <c r="AC6" s="8">
        <f>-('Assumptions &amp; Results'!AD105+'LNG Equity '!AC14+'LNG Equity '!AC15+'Gas PL'!AC14+'Gas PL'!AC15+'Field 1 Investor'!AC23+'Field 1 Investor'!AC24+'Field 1 Investor'!AC27+'Field 1 Investor'!AC28+'Field 2 Investor'!AC23+'Field 2 Investor'!AC24+'Field 2 Investor'!AC27+'Field 2 Investor'!AC28+'Field 3 Investor'!AC23+'Field 3 Investor'!AC24+'Field 3 Investor'!AC27+'Field 3 Investor'!AC28)</f>
        <v>-2278.6972000000001</v>
      </c>
      <c r="AD6" s="8">
        <f>-('Assumptions &amp; Results'!AE105+'LNG Equity '!AD14+'LNG Equity '!AD15+'Gas PL'!AD14+'Gas PL'!AD15+'Field 1 Investor'!AD23+'Field 1 Investor'!AD24+'Field 1 Investor'!AD27+'Field 1 Investor'!AD28+'Field 2 Investor'!AD23+'Field 2 Investor'!AD24+'Field 2 Investor'!AD27+'Field 2 Investor'!AD28+'Field 3 Investor'!AD23+'Field 3 Investor'!AD24+'Field 3 Investor'!AD27+'Field 3 Investor'!AD28)</f>
        <v>-2390.0837000000001</v>
      </c>
      <c r="AE6" s="8">
        <f>-('Assumptions &amp; Results'!AF105+'LNG Equity '!AE14+'LNG Equity '!AE15+'Gas PL'!AE14+'Gas PL'!AE15+'Field 1 Investor'!AE23+'Field 1 Investor'!AE24+'Field 1 Investor'!AE27+'Field 1 Investor'!AE28+'Field 2 Investor'!AE23+'Field 2 Investor'!AE24+'Field 2 Investor'!AE27+'Field 2 Investor'!AE28+'Field 3 Investor'!AE23+'Field 3 Investor'!AE24+'Field 3 Investor'!AE27+'Field 3 Investor'!AE28)</f>
        <v>-2278.6972000000001</v>
      </c>
      <c r="AF6" s="8">
        <f>-('Assumptions &amp; Results'!AG105+'LNG Equity '!AF14+'LNG Equity '!AF15+'Gas PL'!AF14+'Gas PL'!AF15+'Field 1 Investor'!AF23+'Field 1 Investor'!AF24+'Field 1 Investor'!AF27+'Field 1 Investor'!AF28+'Field 2 Investor'!AF23+'Field 2 Investor'!AF24+'Field 2 Investor'!AF27+'Field 2 Investor'!AF28+'Field 3 Investor'!AF23+'Field 3 Investor'!AF24+'Field 3 Investor'!AF27+'Field 3 Investor'!AF28)</f>
        <v>-2278.6972000000001</v>
      </c>
      <c r="AG6" s="8">
        <f>-('Assumptions &amp; Results'!AH105+'LNG Equity '!AG14+'LNG Equity '!AG15+'Gas PL'!AG14+'Gas PL'!AG15+'Field 1 Investor'!AG23+'Field 1 Investor'!AG24+'Field 1 Investor'!AG27+'Field 1 Investor'!AG28+'Field 2 Investor'!AG23+'Field 2 Investor'!AG24+'Field 2 Investor'!AG27+'Field 2 Investor'!AG28+'Field 3 Investor'!AG23+'Field 3 Investor'!AG24+'Field 3 Investor'!AG27+'Field 3 Investor'!AG28)</f>
        <v>-2878.6972000000001</v>
      </c>
      <c r="AH6" s="8">
        <f>-('Assumptions &amp; Results'!AI105+'LNG Equity '!AH14+'LNG Equity '!AH15+'Gas PL'!AH14+'Gas PL'!AH15+'Field 1 Investor'!AH23+'Field 1 Investor'!AH24+'Field 1 Investor'!AH27+'Field 1 Investor'!AH28+'Field 2 Investor'!AH23+'Field 2 Investor'!AH24+'Field 2 Investor'!AH27+'Field 2 Investor'!AH28+'Field 3 Investor'!AH23+'Field 3 Investor'!AH24+'Field 3 Investor'!AH27+'Field 3 Investor'!AH28)</f>
        <v>-2878.6972000000001</v>
      </c>
      <c r="AI6" s="8">
        <f>-('Assumptions &amp; Results'!AJ105+'LNG Equity '!AI14+'LNG Equity '!AI15+'Gas PL'!AI14+'Gas PL'!AI15+'Field 1 Investor'!AI23+'Field 1 Investor'!AI24+'Field 1 Investor'!AI27+'Field 1 Investor'!AI28+'Field 2 Investor'!AI23+'Field 2 Investor'!AI24+'Field 2 Investor'!AI27+'Field 2 Investor'!AI28+'Field 3 Investor'!AI23+'Field 3 Investor'!AI24+'Field 3 Investor'!AI27+'Field 3 Investor'!AI28)</f>
        <v>-3478.6972000000001</v>
      </c>
      <c r="AJ6" s="135">
        <f>SUM(C6:AI6)</f>
        <v>-67899.802700000029</v>
      </c>
    </row>
    <row r="7" spans="1:36" x14ac:dyDescent="0.2">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124"/>
    </row>
    <row r="8" spans="1:36" x14ac:dyDescent="0.2">
      <c r="A8" s="37" t="s">
        <v>381</v>
      </c>
      <c r="B8" t="s">
        <v>99</v>
      </c>
      <c r="C8" s="8">
        <f>-'One Ring Fence Depr'!C6</f>
        <v>-417</v>
      </c>
      <c r="D8" s="8">
        <f>-'One Ring Fence Depr'!D6</f>
        <v>-5243</v>
      </c>
      <c r="E8" s="8">
        <f>-'One Ring Fence Depr'!E6</f>
        <v>-8207</v>
      </c>
      <c r="F8" s="8">
        <f>-'One Ring Fence Depr'!F6</f>
        <v>-10831</v>
      </c>
      <c r="G8" s="8">
        <f>-'One Ring Fence Depr'!G6</f>
        <v>-3300</v>
      </c>
      <c r="H8" s="8">
        <f>-'One Ring Fence Depr'!H6</f>
        <v>-540</v>
      </c>
      <c r="I8" s="8">
        <f>-'One Ring Fence Depr'!I6</f>
        <v>0</v>
      </c>
      <c r="J8" s="8">
        <f>-'One Ring Fence Depr'!J6</f>
        <v>0</v>
      </c>
      <c r="K8" s="8">
        <f>-'One Ring Fence Depr'!K6</f>
        <v>0</v>
      </c>
      <c r="L8" s="8">
        <f>-'One Ring Fence Depr'!L6</f>
        <v>0</v>
      </c>
      <c r="M8" s="8">
        <f>-'One Ring Fence Depr'!M6</f>
        <v>0</v>
      </c>
      <c r="N8" s="8">
        <f>-'One Ring Fence Depr'!N6</f>
        <v>0</v>
      </c>
      <c r="O8" s="8">
        <f>-'One Ring Fence Depr'!O6</f>
        <v>0</v>
      </c>
      <c r="P8" s="8">
        <f>-'One Ring Fence Depr'!P6</f>
        <v>0</v>
      </c>
      <c r="Q8" s="8">
        <f>-'One Ring Fence Depr'!Q6</f>
        <v>0</v>
      </c>
      <c r="R8" s="8">
        <f>-'One Ring Fence Depr'!R6</f>
        <v>0</v>
      </c>
      <c r="S8" s="8">
        <f>-'One Ring Fence Depr'!S6</f>
        <v>0</v>
      </c>
      <c r="T8" s="8">
        <f>-'One Ring Fence Depr'!T6</f>
        <v>0</v>
      </c>
      <c r="U8" s="8">
        <f>-'One Ring Fence Depr'!U6</f>
        <v>0</v>
      </c>
      <c r="V8" s="8">
        <f>-'One Ring Fence Depr'!V6</f>
        <v>0</v>
      </c>
      <c r="W8" s="8">
        <f>-'One Ring Fence Depr'!W6</f>
        <v>0</v>
      </c>
      <c r="X8" s="8">
        <f>-'One Ring Fence Depr'!X6</f>
        <v>0</v>
      </c>
      <c r="Y8" s="8">
        <f>-'One Ring Fence Depr'!Y6</f>
        <v>0</v>
      </c>
      <c r="Z8" s="8">
        <f>-'One Ring Fence Depr'!Z6</f>
        <v>0</v>
      </c>
      <c r="AA8" s="8">
        <f>-'One Ring Fence Depr'!AA6</f>
        <v>0</v>
      </c>
      <c r="AB8" s="8">
        <f>-'One Ring Fence Depr'!AB6</f>
        <v>0</v>
      </c>
      <c r="AC8" s="8">
        <f>-'One Ring Fence Depr'!AC6</f>
        <v>0</v>
      </c>
      <c r="AD8" s="8">
        <f>-'One Ring Fence Depr'!AD6</f>
        <v>0</v>
      </c>
      <c r="AE8" s="8">
        <f>-'One Ring Fence Depr'!AE6</f>
        <v>0</v>
      </c>
      <c r="AF8" s="8">
        <f>-'One Ring Fence Depr'!AF6</f>
        <v>0</v>
      </c>
      <c r="AG8" s="8">
        <f>-'One Ring Fence Depr'!AG6</f>
        <v>0</v>
      </c>
      <c r="AH8" s="8">
        <f>-'One Ring Fence Depr'!AH6</f>
        <v>0</v>
      </c>
      <c r="AI8" s="8">
        <f>-'One Ring Fence Depr'!AI6</f>
        <v>0</v>
      </c>
      <c r="AJ8" s="135">
        <f>SUM(C8:AI8)</f>
        <v>-28538</v>
      </c>
    </row>
    <row r="9" spans="1:36" x14ac:dyDescent="0.2">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124"/>
    </row>
    <row r="10" spans="1:36" x14ac:dyDescent="0.2">
      <c r="A10" t="s">
        <v>382</v>
      </c>
      <c r="B10" t="s">
        <v>99</v>
      </c>
      <c r="C10" s="8">
        <f>C4+C6+C8</f>
        <v>-417</v>
      </c>
      <c r="D10" s="8">
        <f t="shared" ref="D10:AJ10" si="0">D4+D6+D8</f>
        <v>-5243</v>
      </c>
      <c r="E10" s="8">
        <f t="shared" si="0"/>
        <v>-8207</v>
      </c>
      <c r="F10" s="8">
        <f t="shared" si="0"/>
        <v>-10831</v>
      </c>
      <c r="G10" s="8">
        <f t="shared" si="0"/>
        <v>238.62827500000094</v>
      </c>
      <c r="H10" s="8">
        <f t="shared" si="0"/>
        <v>6537.2565500000019</v>
      </c>
      <c r="I10" s="8">
        <f t="shared" si="0"/>
        <v>7077.2565500000019</v>
      </c>
      <c r="J10" s="8">
        <f t="shared" si="0"/>
        <v>6501.0836124999996</v>
      </c>
      <c r="K10" s="8">
        <f t="shared" si="0"/>
        <v>7077.2565500000019</v>
      </c>
      <c r="L10" s="8">
        <f t="shared" si="0"/>
        <v>7077.2565500000019</v>
      </c>
      <c r="M10" s="8">
        <f t="shared" si="0"/>
        <v>7077.2565500000019</v>
      </c>
      <c r="N10" s="8">
        <f t="shared" si="0"/>
        <v>7077.2565500000019</v>
      </c>
      <c r="O10" s="8">
        <f t="shared" si="0"/>
        <v>6501.0836124999996</v>
      </c>
      <c r="P10" s="8">
        <f t="shared" si="0"/>
        <v>7077.2565500000019</v>
      </c>
      <c r="Q10" s="8">
        <f t="shared" si="0"/>
        <v>7077.2565500000019</v>
      </c>
      <c r="R10" s="8">
        <f t="shared" si="0"/>
        <v>7077.2565500000019</v>
      </c>
      <c r="S10" s="8">
        <f t="shared" si="0"/>
        <v>7077.2565500000019</v>
      </c>
      <c r="T10" s="8">
        <f t="shared" si="0"/>
        <v>6501.0836124999996</v>
      </c>
      <c r="U10" s="8">
        <f t="shared" si="0"/>
        <v>7077.2565500000019</v>
      </c>
      <c r="V10" s="8">
        <f t="shared" si="0"/>
        <v>7077.2565500000019</v>
      </c>
      <c r="W10" s="8">
        <f t="shared" si="0"/>
        <v>7077.2565500000019</v>
      </c>
      <c r="X10" s="8">
        <f t="shared" si="0"/>
        <v>7077.2565500000019</v>
      </c>
      <c r="Y10" s="8">
        <f t="shared" si="0"/>
        <v>6501.0836124999996</v>
      </c>
      <c r="Z10" s="8">
        <f t="shared" si="0"/>
        <v>7077.2565500000019</v>
      </c>
      <c r="AA10" s="8">
        <f t="shared" si="0"/>
        <v>7077.2565500000019</v>
      </c>
      <c r="AB10" s="8">
        <f t="shared" si="0"/>
        <v>7077.2565500000019</v>
      </c>
      <c r="AC10" s="8">
        <f t="shared" si="0"/>
        <v>7077.2565500000019</v>
      </c>
      <c r="AD10" s="8">
        <f t="shared" si="0"/>
        <v>6501.0836124999996</v>
      </c>
      <c r="AE10" s="8">
        <f t="shared" si="0"/>
        <v>7077.2565500000019</v>
      </c>
      <c r="AF10" s="8">
        <f t="shared" si="0"/>
        <v>7077.2565500000019</v>
      </c>
      <c r="AG10" s="8">
        <f t="shared" si="0"/>
        <v>6477.2565500000019</v>
      </c>
      <c r="AH10" s="8">
        <f t="shared" si="0"/>
        <v>6477.2565500000019</v>
      </c>
      <c r="AI10" s="8">
        <f t="shared" si="0"/>
        <v>5877.2565500000019</v>
      </c>
      <c r="AJ10" s="125">
        <f t="shared" si="0"/>
        <v>167882.94698750015</v>
      </c>
    </row>
    <row r="11" spans="1:36" x14ac:dyDescent="0.2">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124"/>
    </row>
    <row r="12" spans="1:36" x14ac:dyDescent="0.2">
      <c r="A12" s="37" t="s">
        <v>383</v>
      </c>
      <c r="B12" t="s">
        <v>99</v>
      </c>
      <c r="C12" s="8">
        <f>'One Ring Fence Fiscal'!C44</f>
        <v>0</v>
      </c>
      <c r="D12" s="8">
        <f>'One Ring Fence Fiscal'!D44</f>
        <v>0</v>
      </c>
      <c r="E12" s="8">
        <f>'One Ring Fence Fiscal'!E44</f>
        <v>0</v>
      </c>
      <c r="F12" s="8">
        <f>'One Ring Fence Fiscal'!F44</f>
        <v>0</v>
      </c>
      <c r="G12" s="8">
        <f>'One Ring Fence Fiscal'!G44</f>
        <v>163.72919062500006</v>
      </c>
      <c r="H12" s="8">
        <f>'One Ring Fence Fiscal'!H44</f>
        <v>327.45838125000012</v>
      </c>
      <c r="I12" s="8">
        <f>'One Ring Fence Fiscal'!I44</f>
        <v>327.45838125000012</v>
      </c>
      <c r="J12" s="8">
        <f>'One Ring Fence Fiscal'!J44</f>
        <v>311.19085593749998</v>
      </c>
      <c r="K12" s="8">
        <f>'One Ring Fence Fiscal'!K44</f>
        <v>327.45838125000012</v>
      </c>
      <c r="L12" s="8">
        <f>'One Ring Fence Fiscal'!L44</f>
        <v>654.91676250000023</v>
      </c>
      <c r="M12" s="8">
        <f>'One Ring Fence Fiscal'!M44</f>
        <v>654.91676250000023</v>
      </c>
      <c r="N12" s="8">
        <f>'One Ring Fence Fiscal'!N44</f>
        <v>654.91676250000023</v>
      </c>
      <c r="O12" s="8">
        <f>'One Ring Fence Fiscal'!O44</f>
        <v>813.92629187500177</v>
      </c>
      <c r="P12" s="8">
        <f>'One Ring Fence Fiscal'!P44</f>
        <v>1415.4513100000004</v>
      </c>
      <c r="Q12" s="8">
        <f>'One Ring Fence Fiscal'!Q44</f>
        <v>2123.1769650000006</v>
      </c>
      <c r="R12" s="8">
        <f>'One Ring Fence Fiscal'!R44</f>
        <v>2123.1769650000006</v>
      </c>
      <c r="S12" s="8">
        <f>'One Ring Fence Fiscal'!S44</f>
        <v>2123.1769650000006</v>
      </c>
      <c r="T12" s="8">
        <f>'One Ring Fence Fiscal'!T44</f>
        <v>1950.3250837499997</v>
      </c>
      <c r="U12" s="8">
        <f>'One Ring Fence Fiscal'!U44</f>
        <v>2123.1769650000006</v>
      </c>
      <c r="V12" s="8">
        <f>'One Ring Fence Fiscal'!V44</f>
        <v>2123.1769650000006</v>
      </c>
      <c r="W12" s="8">
        <f>'One Ring Fence Fiscal'!W44</f>
        <v>3538.6282750000009</v>
      </c>
      <c r="X12" s="8">
        <f>'One Ring Fence Fiscal'!X44</f>
        <v>3538.6282750000009</v>
      </c>
      <c r="Y12" s="8">
        <f>'One Ring Fence Fiscal'!Y44</f>
        <v>3250.5418062499998</v>
      </c>
      <c r="Z12" s="8">
        <f>'One Ring Fence Fiscal'!Z44</f>
        <v>3538.6282750000009</v>
      </c>
      <c r="AA12" s="8">
        <f>'One Ring Fence Fiscal'!AA44</f>
        <v>3538.6282750000009</v>
      </c>
      <c r="AB12" s="8">
        <f>'One Ring Fence Fiscal'!AB44</f>
        <v>3538.6282750000009</v>
      </c>
      <c r="AC12" s="8">
        <f>'One Ring Fence Fiscal'!AC44</f>
        <v>3538.6282750000009</v>
      </c>
      <c r="AD12" s="8">
        <f>'One Ring Fence Fiscal'!AD44</f>
        <v>3900.6501674999995</v>
      </c>
      <c r="AE12" s="8">
        <f>'One Ring Fence Fiscal'!AE44</f>
        <v>4246.3539300000011</v>
      </c>
      <c r="AF12" s="8">
        <f>'One Ring Fence Fiscal'!AF44</f>
        <v>4246.3539300000011</v>
      </c>
      <c r="AG12" s="8">
        <f>'One Ring Fence Fiscal'!AG44</f>
        <v>3886.3539300000011</v>
      </c>
      <c r="AH12" s="8">
        <f>'One Ring Fence Fiscal'!AH44</f>
        <v>3886.3539300000011</v>
      </c>
      <c r="AI12" s="8">
        <f>'One Ring Fence Fiscal'!AI44</f>
        <v>3526.3539300000011</v>
      </c>
      <c r="AJ12" s="135">
        <f>SUM(C12:AI12)</f>
        <v>66392.364262187504</v>
      </c>
    </row>
    <row r="13" spans="1:36" x14ac:dyDescent="0.2">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124"/>
    </row>
    <row r="14" spans="1:36" x14ac:dyDescent="0.2">
      <c r="A14" s="37" t="s">
        <v>384</v>
      </c>
      <c r="B14" t="s">
        <v>99</v>
      </c>
      <c r="C14" s="8">
        <f>'LNG Equity '!C36+'Field 1 Fiscal'!C26+'Field 2 Fiscal'!C26+'Field 3 Fiscal'!C26</f>
        <v>0</v>
      </c>
      <c r="D14" s="8">
        <f>'LNG Equity '!D36+'Field 1 Fiscal'!D26+'Field 2 Fiscal'!D26+'Field 3 Fiscal'!D26</f>
        <v>0</v>
      </c>
      <c r="E14" s="8">
        <f>'LNG Equity '!E36+'Field 1 Fiscal'!E26+'Field 2 Fiscal'!E26+'Field 3 Fiscal'!E26</f>
        <v>0</v>
      </c>
      <c r="F14" s="8">
        <f>'LNG Equity '!F36+'Field 1 Fiscal'!F26+'Field 2 Fiscal'!F26+'Field 3 Fiscal'!F26</f>
        <v>0</v>
      </c>
      <c r="G14" s="8">
        <f>'LNG Equity '!G36+'Field 1 Fiscal'!G26+'Field 2 Fiscal'!G26+'Field 3 Fiscal'!G26</f>
        <v>140.33930625000002</v>
      </c>
      <c r="H14" s="8">
        <f>'LNG Equity '!H36+'Field 1 Fiscal'!H26+'Field 2 Fiscal'!H26+'Field 3 Fiscal'!H26</f>
        <v>280.67861250000004</v>
      </c>
      <c r="I14" s="8">
        <f>'LNG Equity '!I36+'Field 1 Fiscal'!I26+'Field 2 Fiscal'!I26+'Field 3 Fiscal'!I26</f>
        <v>280.67861250000004</v>
      </c>
      <c r="J14" s="8">
        <f>'LNG Equity '!J36+'Field 1 Fiscal'!J26+'Field 2 Fiscal'!J26+'Field 3 Fiscal'!J26</f>
        <v>266.73501937499998</v>
      </c>
      <c r="K14" s="8">
        <f>'LNG Equity '!K36+'Field 1 Fiscal'!K26+'Field 2 Fiscal'!K26+'Field 3 Fiscal'!K26</f>
        <v>280.67861250000004</v>
      </c>
      <c r="L14" s="8">
        <f>'LNG Equity '!L36+'Field 1 Fiscal'!L26+'Field 2 Fiscal'!L26+'Field 3 Fiscal'!L26</f>
        <v>280.67861250000004</v>
      </c>
      <c r="M14" s="8">
        <f>'LNG Equity '!M36+'Field 1 Fiscal'!M26+'Field 2 Fiscal'!M26+'Field 3 Fiscal'!M26</f>
        <v>280.67861250000004</v>
      </c>
      <c r="N14" s="8">
        <f>'LNG Equity '!N36+'Field 1 Fiscal'!N26+'Field 2 Fiscal'!N26+'Field 3 Fiscal'!N26</f>
        <v>280.67861250000004</v>
      </c>
      <c r="O14" s="8">
        <f>'LNG Equity '!O36+'Field 1 Fiscal'!O26+'Field 2 Fiscal'!O26+'Field 3 Fiscal'!O26</f>
        <v>266.73501937499998</v>
      </c>
      <c r="P14" s="8">
        <f>'LNG Equity '!P36+'Field 1 Fiscal'!P26+'Field 2 Fiscal'!P26+'Field 3 Fiscal'!P26</f>
        <v>280.67861250000004</v>
      </c>
      <c r="Q14" s="8">
        <f>'LNG Equity '!Q36+'Field 1 Fiscal'!Q26+'Field 2 Fiscal'!Q26+'Field 3 Fiscal'!Q26</f>
        <v>280.67861250000004</v>
      </c>
      <c r="R14" s="8">
        <f>'LNG Equity '!R36+'Field 1 Fiscal'!R26+'Field 2 Fiscal'!R26+'Field 3 Fiscal'!R26</f>
        <v>280.67861250000004</v>
      </c>
      <c r="S14" s="8">
        <f>'LNG Equity '!S36+'Field 1 Fiscal'!S26+'Field 2 Fiscal'!S26+'Field 3 Fiscal'!S26</f>
        <v>280.67861250000004</v>
      </c>
      <c r="T14" s="8">
        <f>'LNG Equity '!T36+'Field 1 Fiscal'!T26+'Field 2 Fiscal'!T26+'Field 3 Fiscal'!T26</f>
        <v>266.73501937499998</v>
      </c>
      <c r="U14" s="8">
        <f>'LNG Equity '!U36+'Field 1 Fiscal'!U26+'Field 2 Fiscal'!U26+'Field 3 Fiscal'!U26</f>
        <v>280.67861250000004</v>
      </c>
      <c r="V14" s="8">
        <f>'LNG Equity '!V36+'Field 1 Fiscal'!V26+'Field 2 Fiscal'!V26+'Field 3 Fiscal'!V26</f>
        <v>280.67861250000004</v>
      </c>
      <c r="W14" s="8">
        <f>'LNG Equity '!W36+'Field 1 Fiscal'!W26+'Field 2 Fiscal'!W26+'Field 3 Fiscal'!W26</f>
        <v>280.67861250000004</v>
      </c>
      <c r="X14" s="8">
        <f>'LNG Equity '!X36+'Field 1 Fiscal'!X26+'Field 2 Fiscal'!X26+'Field 3 Fiscal'!X26</f>
        <v>280.67861250000004</v>
      </c>
      <c r="Y14" s="8">
        <f>'LNG Equity '!Y36+'Field 1 Fiscal'!Y26+'Field 2 Fiscal'!Y26+'Field 3 Fiscal'!Y26</f>
        <v>266.73501937499998</v>
      </c>
      <c r="Z14" s="8">
        <f>'LNG Equity '!Z36+'Field 1 Fiscal'!Z26+'Field 2 Fiscal'!Z26+'Field 3 Fiscal'!Z26</f>
        <v>280.67861250000004</v>
      </c>
      <c r="AA14" s="8">
        <f>'LNG Equity '!AA36+'Field 1 Fiscal'!AA26+'Field 2 Fiscal'!AA26+'Field 3 Fiscal'!AA26</f>
        <v>280.67861250000004</v>
      </c>
      <c r="AB14" s="8">
        <f>'LNG Equity '!AB36+'Field 1 Fiscal'!AB26+'Field 2 Fiscal'!AB26+'Field 3 Fiscal'!AB26</f>
        <v>280.67861250000004</v>
      </c>
      <c r="AC14" s="8">
        <f>'LNG Equity '!AC36+'Field 1 Fiscal'!AC26+'Field 2 Fiscal'!AC26+'Field 3 Fiscal'!AC26</f>
        <v>280.67861250000004</v>
      </c>
      <c r="AD14" s="8">
        <f>'LNG Equity '!AD36+'Field 1 Fiscal'!AD26+'Field 2 Fiscal'!AD26+'Field 3 Fiscal'!AD26</f>
        <v>266.73501937499998</v>
      </c>
      <c r="AE14" s="8">
        <f>'LNG Equity '!AE36+'Field 1 Fiscal'!AE26+'Field 2 Fiscal'!AE26+'Field 3 Fiscal'!AE26</f>
        <v>280.67861250000004</v>
      </c>
      <c r="AF14" s="8">
        <f>'LNG Equity '!AF36+'Field 1 Fiscal'!AF26+'Field 2 Fiscal'!AF26+'Field 3 Fiscal'!AF26</f>
        <v>280.67861250000004</v>
      </c>
      <c r="AG14" s="8">
        <f>'LNG Equity '!AG36+'Field 1 Fiscal'!AG26+'Field 2 Fiscal'!AG26+'Field 3 Fiscal'!AG26</f>
        <v>280.67861250000004</v>
      </c>
      <c r="AH14" s="8">
        <f>'LNG Equity '!AH36+'Field 1 Fiscal'!AH26+'Field 2 Fiscal'!AH26+'Field 3 Fiscal'!AH26</f>
        <v>280.67861250000004</v>
      </c>
      <c r="AI14" s="8">
        <f>'LNG Equity '!AI36+'Field 1 Fiscal'!AI26+'Field 2 Fiscal'!AI26+'Field 3 Fiscal'!AI26</f>
        <v>280.67861250000004</v>
      </c>
      <c r="AJ14" s="135">
        <f>SUM(C14:AI14)</f>
        <v>7929.6224906249981</v>
      </c>
    </row>
    <row r="15" spans="1:36" x14ac:dyDescent="0.2">
      <c r="A15" s="148" t="s">
        <v>196</v>
      </c>
      <c r="B15" t="s">
        <v>99</v>
      </c>
      <c r="C15" s="8">
        <f>+'Field 1 Fiscal'!C26+'Field 2 Fiscal'!C26+'Field 3 Fiscal'!C26</f>
        <v>0</v>
      </c>
      <c r="D15" s="8">
        <f>+'Field 1 Fiscal'!D26+'Field 2 Fiscal'!D26+'Field 3 Fiscal'!D26</f>
        <v>0</v>
      </c>
      <c r="E15" s="8">
        <f>+'Field 1 Fiscal'!E26+'Field 2 Fiscal'!E26+'Field 3 Fiscal'!E26</f>
        <v>0</v>
      </c>
      <c r="F15" s="8">
        <f>+'Field 1 Fiscal'!F26+'Field 2 Fiscal'!F26+'Field 3 Fiscal'!F26</f>
        <v>0</v>
      </c>
      <c r="G15" s="8">
        <f>+'Field 1 Fiscal'!G26+'Field 2 Fiscal'!G26+'Field 3 Fiscal'!G26</f>
        <v>140.33930625000002</v>
      </c>
      <c r="H15" s="8">
        <f>+'Field 1 Fiscal'!H26+'Field 2 Fiscal'!H26+'Field 3 Fiscal'!H26</f>
        <v>280.67861250000004</v>
      </c>
      <c r="I15" s="8">
        <f>+'Field 1 Fiscal'!I26+'Field 2 Fiscal'!I26+'Field 3 Fiscal'!I26</f>
        <v>280.67861250000004</v>
      </c>
      <c r="J15" s="8">
        <f>+'Field 1 Fiscal'!J26+'Field 2 Fiscal'!J26+'Field 3 Fiscal'!J26</f>
        <v>266.73501937499998</v>
      </c>
      <c r="K15" s="8">
        <f>+'Field 1 Fiscal'!K26+'Field 2 Fiscal'!K26+'Field 3 Fiscal'!K26</f>
        <v>280.67861250000004</v>
      </c>
      <c r="L15" s="8">
        <f>+'Field 1 Fiscal'!L26+'Field 2 Fiscal'!L26+'Field 3 Fiscal'!L26</f>
        <v>280.67861250000004</v>
      </c>
      <c r="M15" s="8">
        <f>+'Field 1 Fiscal'!M26+'Field 2 Fiscal'!M26+'Field 3 Fiscal'!M26</f>
        <v>280.67861250000004</v>
      </c>
      <c r="N15" s="8">
        <f>+'Field 1 Fiscal'!N26+'Field 2 Fiscal'!N26+'Field 3 Fiscal'!N26</f>
        <v>280.67861250000004</v>
      </c>
      <c r="O15" s="8">
        <f>+'Field 1 Fiscal'!O26+'Field 2 Fiscal'!O26+'Field 3 Fiscal'!O26</f>
        <v>266.73501937499998</v>
      </c>
      <c r="P15" s="8">
        <f>+'Field 1 Fiscal'!P26+'Field 2 Fiscal'!P26+'Field 3 Fiscal'!P26</f>
        <v>280.67861250000004</v>
      </c>
      <c r="Q15" s="8">
        <f>+'Field 1 Fiscal'!Q26+'Field 2 Fiscal'!Q26+'Field 3 Fiscal'!Q26</f>
        <v>280.67861250000004</v>
      </c>
      <c r="R15" s="8">
        <f>+'Field 1 Fiscal'!R26+'Field 2 Fiscal'!R26+'Field 3 Fiscal'!R26</f>
        <v>280.67861250000004</v>
      </c>
      <c r="S15" s="8">
        <f>+'Field 1 Fiscal'!S26+'Field 2 Fiscal'!S26+'Field 3 Fiscal'!S26</f>
        <v>280.67861250000004</v>
      </c>
      <c r="T15" s="8">
        <f>+'Field 1 Fiscal'!T26+'Field 2 Fiscal'!T26+'Field 3 Fiscal'!T26</f>
        <v>266.73501937499998</v>
      </c>
      <c r="U15" s="8">
        <f>+'Field 1 Fiscal'!U26+'Field 2 Fiscal'!U26+'Field 3 Fiscal'!U26</f>
        <v>280.67861250000004</v>
      </c>
      <c r="V15" s="8">
        <f>+'Field 1 Fiscal'!V26+'Field 2 Fiscal'!V26+'Field 3 Fiscal'!V26</f>
        <v>280.67861250000004</v>
      </c>
      <c r="W15" s="8">
        <f>+'Field 1 Fiscal'!W26+'Field 2 Fiscal'!W26+'Field 3 Fiscal'!W26</f>
        <v>280.67861250000004</v>
      </c>
      <c r="X15" s="8">
        <f>+'Field 1 Fiscal'!X26+'Field 2 Fiscal'!X26+'Field 3 Fiscal'!X26</f>
        <v>280.67861250000004</v>
      </c>
      <c r="Y15" s="8">
        <f>+'Field 1 Fiscal'!Y26+'Field 2 Fiscal'!Y26+'Field 3 Fiscal'!Y26</f>
        <v>266.73501937499998</v>
      </c>
      <c r="Z15" s="8">
        <f>+'Field 1 Fiscal'!Z26+'Field 2 Fiscal'!Z26+'Field 3 Fiscal'!Z26</f>
        <v>280.67861250000004</v>
      </c>
      <c r="AA15" s="8">
        <f>+'Field 1 Fiscal'!AA26+'Field 2 Fiscal'!AA26+'Field 3 Fiscal'!AA26</f>
        <v>280.67861250000004</v>
      </c>
      <c r="AB15" s="8">
        <f>+'Field 1 Fiscal'!AB26+'Field 2 Fiscal'!AB26+'Field 3 Fiscal'!AB26</f>
        <v>280.67861250000004</v>
      </c>
      <c r="AC15" s="8">
        <f>+'Field 1 Fiscal'!AC26+'Field 2 Fiscal'!AC26+'Field 3 Fiscal'!AC26</f>
        <v>280.67861250000004</v>
      </c>
      <c r="AD15" s="8">
        <f>+'Field 1 Fiscal'!AD26+'Field 2 Fiscal'!AD26+'Field 3 Fiscal'!AD26</f>
        <v>266.73501937499998</v>
      </c>
      <c r="AE15" s="8">
        <f>+'Field 1 Fiscal'!AE26+'Field 2 Fiscal'!AE26+'Field 3 Fiscal'!AE26</f>
        <v>280.67861250000004</v>
      </c>
      <c r="AF15" s="8">
        <f>+'Field 1 Fiscal'!AF26+'Field 2 Fiscal'!AF26+'Field 3 Fiscal'!AF26</f>
        <v>280.67861250000004</v>
      </c>
      <c r="AG15" s="8">
        <f>+'Field 1 Fiscal'!AG26+'Field 2 Fiscal'!AG26+'Field 3 Fiscal'!AG26</f>
        <v>280.67861250000004</v>
      </c>
      <c r="AH15" s="8">
        <f>+'Field 1 Fiscal'!AH26+'Field 2 Fiscal'!AH26+'Field 3 Fiscal'!AH26</f>
        <v>280.67861250000004</v>
      </c>
      <c r="AI15" s="8">
        <f>+'Field 1 Fiscal'!AI26+'Field 2 Fiscal'!AI26+'Field 3 Fiscal'!AI26</f>
        <v>280.67861250000004</v>
      </c>
      <c r="AJ15" s="135">
        <f>SUM(C15:AI15)</f>
        <v>7929.6224906249981</v>
      </c>
    </row>
    <row r="16" spans="1:36" x14ac:dyDescent="0.2">
      <c r="A16" s="148" t="s">
        <v>197</v>
      </c>
      <c r="B16" t="s">
        <v>99</v>
      </c>
      <c r="C16" s="8">
        <f>'LNG Equity '!C36</f>
        <v>0</v>
      </c>
      <c r="D16" s="8">
        <f>'LNG Equity '!D36</f>
        <v>0</v>
      </c>
      <c r="E16" s="8">
        <f>'LNG Equity '!E36</f>
        <v>0</v>
      </c>
      <c r="F16" s="8">
        <f>'LNG Equity '!F36</f>
        <v>0</v>
      </c>
      <c r="G16" s="8">
        <f>'LNG Equity '!G36</f>
        <v>0</v>
      </c>
      <c r="H16" s="8">
        <f>'LNG Equity '!H36</f>
        <v>0</v>
      </c>
      <c r="I16" s="8">
        <f>'LNG Equity '!I36</f>
        <v>0</v>
      </c>
      <c r="J16" s="8">
        <f>'LNG Equity '!J36</f>
        <v>0</v>
      </c>
      <c r="K16" s="8">
        <f>'LNG Equity '!K36</f>
        <v>0</v>
      </c>
      <c r="L16" s="8">
        <f>'LNG Equity '!L36</f>
        <v>0</v>
      </c>
      <c r="M16" s="8">
        <f>'LNG Equity '!M36</f>
        <v>0</v>
      </c>
      <c r="N16" s="8">
        <f>'LNG Equity '!N36</f>
        <v>0</v>
      </c>
      <c r="O16" s="8">
        <f>'LNG Equity '!O36</f>
        <v>0</v>
      </c>
      <c r="P16" s="8">
        <f>'LNG Equity '!P36</f>
        <v>0</v>
      </c>
      <c r="Q16" s="8">
        <f>'LNG Equity '!Q36</f>
        <v>0</v>
      </c>
      <c r="R16" s="8">
        <f>'LNG Equity '!R36</f>
        <v>0</v>
      </c>
      <c r="S16" s="8">
        <f>'LNG Equity '!S36</f>
        <v>0</v>
      </c>
      <c r="T16" s="8">
        <f>'LNG Equity '!T36</f>
        <v>0</v>
      </c>
      <c r="U16" s="8">
        <f>'LNG Equity '!U36</f>
        <v>0</v>
      </c>
      <c r="V16" s="8">
        <f>'LNG Equity '!V36</f>
        <v>0</v>
      </c>
      <c r="W16" s="8">
        <f>'LNG Equity '!W36</f>
        <v>0</v>
      </c>
      <c r="X16" s="8">
        <f>'LNG Equity '!X36</f>
        <v>0</v>
      </c>
      <c r="Y16" s="8">
        <f>'LNG Equity '!Y36</f>
        <v>0</v>
      </c>
      <c r="Z16" s="8">
        <f>'LNG Equity '!Z36</f>
        <v>0</v>
      </c>
      <c r="AA16" s="8">
        <f>'LNG Equity '!AA36</f>
        <v>0</v>
      </c>
      <c r="AB16" s="8">
        <f>'LNG Equity '!AB36</f>
        <v>0</v>
      </c>
      <c r="AC16" s="8">
        <f>'LNG Equity '!AC36</f>
        <v>0</v>
      </c>
      <c r="AD16" s="8">
        <f>'LNG Equity '!AD36</f>
        <v>0</v>
      </c>
      <c r="AE16" s="8">
        <f>'LNG Equity '!AE36</f>
        <v>0</v>
      </c>
      <c r="AF16" s="8">
        <f>'LNG Equity '!AF36</f>
        <v>0</v>
      </c>
      <c r="AG16" s="8">
        <f>'LNG Equity '!AG36</f>
        <v>0</v>
      </c>
      <c r="AH16" s="8">
        <f>'LNG Equity '!AH36</f>
        <v>0</v>
      </c>
      <c r="AI16" s="8">
        <f>'LNG Equity '!AI36</f>
        <v>0</v>
      </c>
      <c r="AJ16" s="135">
        <f>SUM(C16:AI16)</f>
        <v>0</v>
      </c>
    </row>
    <row r="17" spans="1:36" x14ac:dyDescent="0.2">
      <c r="A17" s="37"/>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124"/>
    </row>
    <row r="18" spans="1:36" x14ac:dyDescent="0.2">
      <c r="A18" s="37" t="s">
        <v>418</v>
      </c>
      <c r="B18" t="s">
        <v>99</v>
      </c>
      <c r="C18" s="8">
        <f>'One Ring Fence Fiscal'!C50</f>
        <v>0</v>
      </c>
      <c r="D18" s="8">
        <f>'One Ring Fence Fiscal'!D50</f>
        <v>0</v>
      </c>
      <c r="E18" s="8">
        <f>'One Ring Fence Fiscal'!E50</f>
        <v>0</v>
      </c>
      <c r="F18" s="8">
        <f>'One Ring Fence Fiscal'!F50</f>
        <v>0</v>
      </c>
      <c r="G18" s="8">
        <f>'One Ring Fence Fiscal'!G50</f>
        <v>0</v>
      </c>
      <c r="H18" s="8">
        <f>'One Ring Fence Fiscal'!H50</f>
        <v>0</v>
      </c>
      <c r="I18" s="8">
        <f>'One Ring Fence Fiscal'!I50</f>
        <v>0</v>
      </c>
      <c r="J18" s="8">
        <f>'One Ring Fence Fiscal'!J50</f>
        <v>0</v>
      </c>
      <c r="K18" s="8">
        <f>'One Ring Fence Fiscal'!K50</f>
        <v>0</v>
      </c>
      <c r="L18" s="8">
        <f>'One Ring Fence Fiscal'!L50</f>
        <v>1333.9959549000021</v>
      </c>
      <c r="M18" s="8">
        <f>'One Ring Fence Fiscal'!M50</f>
        <v>1965.331576000001</v>
      </c>
      <c r="N18" s="8">
        <f>'One Ring Fence Fiscal'!N50</f>
        <v>1965.331576000001</v>
      </c>
      <c r="O18" s="8">
        <f>'One Ring Fence Fiscal'!O50</f>
        <v>1734.5351363999994</v>
      </c>
      <c r="P18" s="8">
        <f>'One Ring Fence Fiscal'!P50</f>
        <v>1721.9605208000005</v>
      </c>
      <c r="Q18" s="8">
        <f>'One Ring Fence Fiscal'!Q50</f>
        <v>1495.4883112000005</v>
      </c>
      <c r="R18" s="8">
        <f>'One Ring Fence Fiscal'!R50</f>
        <v>1495.4883112000005</v>
      </c>
      <c r="S18" s="8">
        <f>'One Ring Fence Fiscal'!S50</f>
        <v>1495.4883112000005</v>
      </c>
      <c r="T18" s="8">
        <f>'One Ring Fence Fiscal'!T50</f>
        <v>1370.8875229999999</v>
      </c>
      <c r="U18" s="8">
        <f>'One Ring Fence Fiscal'!U50</f>
        <v>1495.4883112000005</v>
      </c>
      <c r="V18" s="8">
        <f>'One Ring Fence Fiscal'!V50</f>
        <v>1495.4883112000005</v>
      </c>
      <c r="W18" s="8">
        <f>'One Ring Fence Fiscal'!W50</f>
        <v>1042.5438920000006</v>
      </c>
      <c r="X18" s="8">
        <f>'One Ring Fence Fiscal'!X50</f>
        <v>1042.5438920000006</v>
      </c>
      <c r="Y18" s="8">
        <f>'One Ring Fence Fiscal'!Y50</f>
        <v>954.81817180000019</v>
      </c>
      <c r="Z18" s="8">
        <f>'One Ring Fence Fiscal'!Z50</f>
        <v>1042.5438920000006</v>
      </c>
      <c r="AA18" s="8">
        <f>'One Ring Fence Fiscal'!AA50</f>
        <v>1042.5438920000006</v>
      </c>
      <c r="AB18" s="8">
        <f>'One Ring Fence Fiscal'!AB50</f>
        <v>1042.5438920000006</v>
      </c>
      <c r="AC18" s="8">
        <f>'One Ring Fence Fiscal'!AC50</f>
        <v>1042.5438920000006</v>
      </c>
      <c r="AD18" s="8">
        <f>'One Ring Fence Fiscal'!AD50</f>
        <v>746.78349619999995</v>
      </c>
      <c r="AE18" s="8">
        <f>'One Ring Fence Fiscal'!AE50</f>
        <v>816.07168240000044</v>
      </c>
      <c r="AF18" s="8">
        <f>'One Ring Fence Fiscal'!AF50</f>
        <v>816.07168240000044</v>
      </c>
      <c r="AG18" s="8">
        <f>'One Ring Fence Fiscal'!AG50</f>
        <v>739.27168240000049</v>
      </c>
      <c r="AH18" s="8">
        <f>'One Ring Fence Fiscal'!AH50</f>
        <v>739.27168240000049</v>
      </c>
      <c r="AI18" s="8">
        <f>'One Ring Fence Fiscal'!AI50</f>
        <v>662.47168240000042</v>
      </c>
      <c r="AJ18" s="135">
        <f>SUM(C18:AI18)</f>
        <v>29299.507275100023</v>
      </c>
    </row>
    <row r="19" spans="1:36" x14ac:dyDescent="0.2">
      <c r="A19" s="240" t="s">
        <v>415</v>
      </c>
      <c r="B19" t="s">
        <v>99</v>
      </c>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135">
        <f>SUM(C19:AI19)</f>
        <v>0</v>
      </c>
    </row>
    <row r="20" spans="1:36" x14ac:dyDescent="0.2">
      <c r="A20" s="240" t="s">
        <v>416</v>
      </c>
      <c r="B20" t="s">
        <v>99</v>
      </c>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135">
        <f>SUM(C20:AI20)</f>
        <v>0</v>
      </c>
    </row>
    <row r="21" spans="1:36" x14ac:dyDescent="0.2">
      <c r="A21" s="240" t="s">
        <v>417</v>
      </c>
      <c r="B21" t="s">
        <v>99</v>
      </c>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135">
        <f>SUM(C21:AI21)</f>
        <v>0</v>
      </c>
    </row>
    <row r="22" spans="1:36" x14ac:dyDescent="0.2">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135"/>
    </row>
    <row r="23" spans="1:36" ht="18" x14ac:dyDescent="0.35">
      <c r="A23" t="s">
        <v>304</v>
      </c>
      <c r="B23" t="s">
        <v>99</v>
      </c>
      <c r="C23" s="27">
        <f>C12+C14+C18</f>
        <v>0</v>
      </c>
      <c r="D23" s="27">
        <f t="shared" ref="D23:AJ23" si="1">D12+D14+D18</f>
        <v>0</v>
      </c>
      <c r="E23" s="27">
        <f t="shared" si="1"/>
        <v>0</v>
      </c>
      <c r="F23" s="27">
        <f t="shared" si="1"/>
        <v>0</v>
      </c>
      <c r="G23" s="27">
        <f t="shared" si="1"/>
        <v>304.06849687500005</v>
      </c>
      <c r="H23" s="27">
        <f t="shared" si="1"/>
        <v>608.1369937500001</v>
      </c>
      <c r="I23" s="27">
        <f t="shared" si="1"/>
        <v>608.1369937500001</v>
      </c>
      <c r="J23" s="27">
        <f t="shared" si="1"/>
        <v>577.92587531250001</v>
      </c>
      <c r="K23" s="27">
        <f t="shared" si="1"/>
        <v>608.1369937500001</v>
      </c>
      <c r="L23" s="27">
        <f t="shared" si="1"/>
        <v>2269.5913299000022</v>
      </c>
      <c r="M23" s="27">
        <f t="shared" si="1"/>
        <v>2900.9269510000013</v>
      </c>
      <c r="N23" s="27">
        <f t="shared" si="1"/>
        <v>2900.9269510000013</v>
      </c>
      <c r="O23" s="27">
        <f t="shared" si="1"/>
        <v>2815.1964476500011</v>
      </c>
      <c r="P23" s="27">
        <f t="shared" si="1"/>
        <v>3418.090443300001</v>
      </c>
      <c r="Q23" s="27">
        <f t="shared" si="1"/>
        <v>3899.3438887000011</v>
      </c>
      <c r="R23" s="27">
        <f t="shared" si="1"/>
        <v>3899.3438887000011</v>
      </c>
      <c r="S23" s="27">
        <f t="shared" si="1"/>
        <v>3899.3438887000011</v>
      </c>
      <c r="T23" s="27">
        <f t="shared" si="1"/>
        <v>3587.9476261249997</v>
      </c>
      <c r="U23" s="27">
        <f t="shared" si="1"/>
        <v>3899.3438887000011</v>
      </c>
      <c r="V23" s="27">
        <f t="shared" si="1"/>
        <v>3899.3438887000011</v>
      </c>
      <c r="W23" s="27">
        <f t="shared" si="1"/>
        <v>4861.8507795000014</v>
      </c>
      <c r="X23" s="27">
        <f t="shared" si="1"/>
        <v>4861.8507795000014</v>
      </c>
      <c r="Y23" s="27">
        <f t="shared" si="1"/>
        <v>4472.0949974249997</v>
      </c>
      <c r="Z23" s="27">
        <f t="shared" si="1"/>
        <v>4861.8507795000014</v>
      </c>
      <c r="AA23" s="27">
        <f t="shared" si="1"/>
        <v>4861.8507795000014</v>
      </c>
      <c r="AB23" s="27">
        <f t="shared" si="1"/>
        <v>4861.8507795000014</v>
      </c>
      <c r="AC23" s="27">
        <f t="shared" si="1"/>
        <v>4861.8507795000014</v>
      </c>
      <c r="AD23" s="27">
        <f t="shared" si="1"/>
        <v>4914.1686830749995</v>
      </c>
      <c r="AE23" s="27">
        <f t="shared" si="1"/>
        <v>5343.1042249000011</v>
      </c>
      <c r="AF23" s="27">
        <f t="shared" si="1"/>
        <v>5343.1042249000011</v>
      </c>
      <c r="AG23" s="27">
        <f t="shared" si="1"/>
        <v>4906.3042249000018</v>
      </c>
      <c r="AH23" s="27">
        <f t="shared" si="1"/>
        <v>4906.3042249000018</v>
      </c>
      <c r="AI23" s="27">
        <f t="shared" si="1"/>
        <v>4469.5042249000016</v>
      </c>
      <c r="AJ23" s="126">
        <f t="shared" si="1"/>
        <v>103621.49402791253</v>
      </c>
    </row>
    <row r="24" spans="1:36" x14ac:dyDescent="0.2">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124"/>
    </row>
    <row r="25" spans="1:36" x14ac:dyDescent="0.2">
      <c r="A25" s="37" t="s">
        <v>386</v>
      </c>
      <c r="B25" s="116" t="s">
        <v>99</v>
      </c>
      <c r="C25" s="115">
        <f>C10-C23</f>
        <v>-417</v>
      </c>
      <c r="D25" s="115">
        <f>D10-D23</f>
        <v>-5243</v>
      </c>
      <c r="E25" s="115">
        <f>E10-E23</f>
        <v>-8207</v>
      </c>
      <c r="F25" s="115">
        <f>F10-F23</f>
        <v>-10831</v>
      </c>
      <c r="G25" s="115">
        <f t="shared" ref="G25:AI25" si="2">G10-G23</f>
        <v>-65.440221874999111</v>
      </c>
      <c r="H25" s="115">
        <f t="shared" si="2"/>
        <v>5929.1195562500016</v>
      </c>
      <c r="I25" s="115">
        <f t="shared" si="2"/>
        <v>6469.1195562500016</v>
      </c>
      <c r="J25" s="115">
        <f t="shared" si="2"/>
        <v>5923.1577371874992</v>
      </c>
      <c r="K25" s="115">
        <f t="shared" si="2"/>
        <v>6469.1195562500016</v>
      </c>
      <c r="L25" s="115">
        <f t="shared" si="2"/>
        <v>4807.6652200999997</v>
      </c>
      <c r="M25" s="115">
        <f t="shared" si="2"/>
        <v>4176.3295990000006</v>
      </c>
      <c r="N25" s="115">
        <f t="shared" si="2"/>
        <v>4176.3295990000006</v>
      </c>
      <c r="O25" s="115">
        <f t="shared" si="2"/>
        <v>3685.8871648499985</v>
      </c>
      <c r="P25" s="115">
        <f t="shared" si="2"/>
        <v>3659.1661067000009</v>
      </c>
      <c r="Q25" s="115">
        <f t="shared" si="2"/>
        <v>3177.9126613000008</v>
      </c>
      <c r="R25" s="115">
        <f t="shared" si="2"/>
        <v>3177.9126613000008</v>
      </c>
      <c r="S25" s="115">
        <f t="shared" si="2"/>
        <v>3177.9126613000008</v>
      </c>
      <c r="T25" s="115">
        <f t="shared" si="2"/>
        <v>2913.1359863749999</v>
      </c>
      <c r="U25" s="115">
        <f t="shared" si="2"/>
        <v>3177.9126613000008</v>
      </c>
      <c r="V25" s="115">
        <f t="shared" si="2"/>
        <v>3177.9126613000008</v>
      </c>
      <c r="W25" s="115">
        <f t="shared" si="2"/>
        <v>2215.4057705000005</v>
      </c>
      <c r="X25" s="115">
        <f t="shared" si="2"/>
        <v>2215.4057705000005</v>
      </c>
      <c r="Y25" s="115">
        <f t="shared" si="2"/>
        <v>2028.9886150749999</v>
      </c>
      <c r="Z25" s="115">
        <f t="shared" si="2"/>
        <v>2215.4057705000005</v>
      </c>
      <c r="AA25" s="115">
        <f t="shared" si="2"/>
        <v>2215.4057705000005</v>
      </c>
      <c r="AB25" s="115">
        <f t="shared" si="2"/>
        <v>2215.4057705000005</v>
      </c>
      <c r="AC25" s="115">
        <f t="shared" si="2"/>
        <v>2215.4057705000005</v>
      </c>
      <c r="AD25" s="115">
        <f t="shared" si="2"/>
        <v>1586.9149294250001</v>
      </c>
      <c r="AE25" s="115">
        <f t="shared" si="2"/>
        <v>1734.1523251000008</v>
      </c>
      <c r="AF25" s="115">
        <f t="shared" si="2"/>
        <v>1734.1523251000008</v>
      </c>
      <c r="AG25" s="115">
        <f t="shared" si="2"/>
        <v>1570.9523251000001</v>
      </c>
      <c r="AH25" s="115">
        <f t="shared" si="2"/>
        <v>1570.9523251000001</v>
      </c>
      <c r="AI25" s="115">
        <f t="shared" si="2"/>
        <v>1407.7523251000002</v>
      </c>
      <c r="AJ25" s="203">
        <f>SUM(C25:AI25)</f>
        <v>64261.452959587528</v>
      </c>
    </row>
    <row r="26" spans="1:36" x14ac:dyDescent="0.2">
      <c r="AJ26" s="124"/>
    </row>
    <row r="27" spans="1:36" x14ac:dyDescent="0.2">
      <c r="A27" t="s">
        <v>387</v>
      </c>
      <c r="B27" t="s">
        <v>69</v>
      </c>
      <c r="C27" s="7">
        <f>C23/C10</f>
        <v>0</v>
      </c>
      <c r="D27" s="7">
        <f t="shared" ref="D27:AJ27" si="3">D23/D10</f>
        <v>0</v>
      </c>
      <c r="E27" s="7">
        <f t="shared" si="3"/>
        <v>0</v>
      </c>
      <c r="F27" s="7">
        <f t="shared" si="3"/>
        <v>0</v>
      </c>
      <c r="G27" s="7">
        <f t="shared" si="3"/>
        <v>1.2742349869268379</v>
      </c>
      <c r="H27" s="7">
        <f t="shared" si="3"/>
        <v>9.3026331320896369E-2</v>
      </c>
      <c r="I27" s="7">
        <f t="shared" si="3"/>
        <v>8.59283522440627E-2</v>
      </c>
      <c r="J27" s="7">
        <f t="shared" si="3"/>
        <v>8.8896853164800005E-2</v>
      </c>
      <c r="K27" s="7">
        <f t="shared" si="3"/>
        <v>8.59283522440627E-2</v>
      </c>
      <c r="L27" s="7">
        <f t="shared" si="3"/>
        <v>0.32068801150072784</v>
      </c>
      <c r="M27" s="7">
        <f t="shared" si="3"/>
        <v>0.40989427619378876</v>
      </c>
      <c r="N27" s="7">
        <f t="shared" si="3"/>
        <v>0.40989427619378876</v>
      </c>
      <c r="O27" s="7">
        <f t="shared" si="3"/>
        <v>0.4330349547015615</v>
      </c>
      <c r="P27" s="7">
        <f t="shared" si="3"/>
        <v>0.48296828285813659</v>
      </c>
      <c r="Q27" s="7">
        <f t="shared" si="3"/>
        <v>0.55096828285813659</v>
      </c>
      <c r="R27" s="7">
        <f t="shared" si="3"/>
        <v>0.55096828285813659</v>
      </c>
      <c r="S27" s="7">
        <f t="shared" si="3"/>
        <v>0.55096828285813659</v>
      </c>
      <c r="T27" s="7">
        <f t="shared" si="3"/>
        <v>0.55189993545479876</v>
      </c>
      <c r="U27" s="7">
        <f t="shared" si="3"/>
        <v>0.55096828285813659</v>
      </c>
      <c r="V27" s="7">
        <f t="shared" si="3"/>
        <v>0.55096828285813659</v>
      </c>
      <c r="W27" s="7">
        <f t="shared" si="3"/>
        <v>0.6869682828581366</v>
      </c>
      <c r="X27" s="7">
        <f t="shared" si="3"/>
        <v>0.6869682828581366</v>
      </c>
      <c r="Y27" s="7">
        <f t="shared" si="3"/>
        <v>0.68789993545479877</v>
      </c>
      <c r="Z27" s="7">
        <f t="shared" si="3"/>
        <v>0.6869682828581366</v>
      </c>
      <c r="AA27" s="7">
        <f t="shared" si="3"/>
        <v>0.6869682828581366</v>
      </c>
      <c r="AB27" s="7">
        <f t="shared" si="3"/>
        <v>0.6869682828581366</v>
      </c>
      <c r="AC27" s="7">
        <f t="shared" si="3"/>
        <v>0.6869682828581366</v>
      </c>
      <c r="AD27" s="7">
        <f t="shared" si="3"/>
        <v>0.75589993545479872</v>
      </c>
      <c r="AE27" s="7">
        <f t="shared" si="3"/>
        <v>0.75496828285813655</v>
      </c>
      <c r="AF27" s="7">
        <f t="shared" si="3"/>
        <v>0.75496828285813655</v>
      </c>
      <c r="AG27" s="7">
        <f t="shared" si="3"/>
        <v>0.75746640371995155</v>
      </c>
      <c r="AH27" s="7">
        <f t="shared" si="3"/>
        <v>0.75746640371995155</v>
      </c>
      <c r="AI27" s="7">
        <f t="shared" si="3"/>
        <v>0.76047458314543037</v>
      </c>
      <c r="AJ27" s="133">
        <f t="shared" si="3"/>
        <v>0.61722465495931367</v>
      </c>
    </row>
    <row r="28" spans="1:36" ht="15.95" thickBot="1" x14ac:dyDescent="0.25">
      <c r="AJ28" s="124"/>
    </row>
    <row r="29" spans="1:36" ht="15.95" thickBot="1" x14ac:dyDescent="0.25">
      <c r="A29" t="s">
        <v>388</v>
      </c>
      <c r="B29" s="7">
        <f>'Assumptions &amp; Results'!C154</f>
        <v>0.1</v>
      </c>
      <c r="C29" s="378">
        <f>NPV(B29,C25:AI25)</f>
        <v>6251.0361715667423</v>
      </c>
      <c r="AJ29" s="124"/>
    </row>
    <row r="30" spans="1:36" ht="15.95" thickBot="1" x14ac:dyDescent="0.25">
      <c r="A30" t="s">
        <v>301</v>
      </c>
      <c r="B30" s="7"/>
      <c r="C30" s="368">
        <f>IRR(C25:AI25)</f>
        <v>0.14174022143484089</v>
      </c>
      <c r="AJ30" s="124"/>
    </row>
    <row r="31" spans="1:36" ht="15.95" thickBot="1" x14ac:dyDescent="0.25">
      <c r="AJ31" s="124"/>
    </row>
    <row r="32" spans="1:36" ht="15.95" thickBot="1" x14ac:dyDescent="0.25">
      <c r="A32" t="s">
        <v>306</v>
      </c>
      <c r="C32" s="367">
        <f>AJ23</f>
        <v>103621.49402791253</v>
      </c>
      <c r="AJ32" s="124"/>
    </row>
    <row r="33" spans="1:36" ht="15.95" thickBot="1" x14ac:dyDescent="0.25">
      <c r="A33" t="s">
        <v>307</v>
      </c>
      <c r="B33" s="201">
        <f>'Assumptions &amp; Results'!C154</f>
        <v>0.1</v>
      </c>
      <c r="C33" s="367">
        <f>NPV(B33,C23:AI23)</f>
        <v>15458.40660038866</v>
      </c>
      <c r="AJ33" s="124"/>
    </row>
    <row r="34" spans="1:36" ht="15.95" thickBot="1" x14ac:dyDescent="0.25">
      <c r="A34" t="s">
        <v>308</v>
      </c>
      <c r="C34" s="369">
        <f>AJ23/AJ10</f>
        <v>0.61722465495931367</v>
      </c>
      <c r="AJ34" s="124"/>
    </row>
    <row r="35" spans="1:36" ht="15.95" thickBot="1" x14ac:dyDescent="0.25">
      <c r="A35" t="s">
        <v>309</v>
      </c>
      <c r="C35" s="369">
        <f>(NPV('Assumptions &amp; Results'!C154,C23:AI23))/(NPV('Assumptions &amp; Results'!C154,C10:AI10))</f>
        <v>0.71205911467972238</v>
      </c>
      <c r="AJ35" s="124"/>
    </row>
    <row r="37" spans="1:36" ht="21" x14ac:dyDescent="0.25">
      <c r="A37" s="117" t="str">
        <f>IF('Assumptions &amp; Results'!$C$172=3,"VALID","INVALID")</f>
        <v>INVALID</v>
      </c>
      <c r="C37" s="258" t="s">
        <v>576</v>
      </c>
    </row>
    <row r="38" spans="1:36" ht="15.95" x14ac:dyDescent="0.2">
      <c r="A38" s="306" t="s">
        <v>486</v>
      </c>
    </row>
    <row r="39" spans="1:36" x14ac:dyDescent="0.2">
      <c r="A39" t="s">
        <v>481</v>
      </c>
      <c r="B39" t="s">
        <v>99</v>
      </c>
      <c r="C39" s="10">
        <f>'NOC &amp; IOC Shares'!C72</f>
        <v>-375.3</v>
      </c>
      <c r="D39" s="10">
        <f>'NOC &amp; IOC Shares'!D72</f>
        <v>-4718.7</v>
      </c>
      <c r="E39" s="10">
        <f>'NOC &amp; IOC Shares'!E72</f>
        <v>-7386.3</v>
      </c>
      <c r="F39" s="10">
        <f>'NOC &amp; IOC Shares'!F72</f>
        <v>-9747.9</v>
      </c>
      <c r="G39" s="10">
        <f>'NOC &amp; IOC Shares'!G72</f>
        <v>16.399203187500802</v>
      </c>
      <c r="H39" s="10">
        <f>'NOC &amp; IOC Shares'!H72</f>
        <v>5486.7984063750009</v>
      </c>
      <c r="I39" s="10">
        <f>'NOC &amp; IOC Shares'!I72</f>
        <v>5972.7984063750009</v>
      </c>
      <c r="J39" s="10">
        <f>'NOC &amp; IOC Shares'!J72</f>
        <v>5466.7501656581253</v>
      </c>
      <c r="K39" s="10">
        <f>'NOC &amp; IOC Shares'!K72</f>
        <v>5382.6575648093994</v>
      </c>
      <c r="L39" s="10">
        <f>'NOC &amp; IOC Shares'!L72</f>
        <v>4476.2135749200006</v>
      </c>
      <c r="M39" s="10">
        <f>'NOC &amp; IOC Shares'!M72</f>
        <v>4265.1815749200005</v>
      </c>
      <c r="N39" s="10">
        <f>'NOC &amp; IOC Shares'!N72</f>
        <v>3914.4020816479506</v>
      </c>
      <c r="O39" s="10">
        <f>'NOC &amp; IOC Shares'!O72</f>
        <v>3196.6537185269999</v>
      </c>
      <c r="P39" s="10">
        <f>'NOC &amp; IOC Shares'!P72</f>
        <v>3540.9818909700007</v>
      </c>
      <c r="Q39" s="10">
        <f>'NOC &amp; IOC Shares'!Q72</f>
        <v>3540.9818909700007</v>
      </c>
      <c r="R39" s="10">
        <f>'NOC &amp; IOC Shares'!R72</f>
        <v>3540.9818909700007</v>
      </c>
      <c r="S39" s="10">
        <f>'NOC &amp; IOC Shares'!S72</f>
        <v>3128.6326864500006</v>
      </c>
      <c r="T39" s="10">
        <f>'NOC &amp; IOC Shares'!T72</f>
        <v>2784.1419715500006</v>
      </c>
      <c r="U39" s="10">
        <f>'NOC &amp; IOC Shares'!U72</f>
        <v>3128.6326864500006</v>
      </c>
      <c r="V39" s="10">
        <f>'NOC &amp; IOC Shares'!V72</f>
        <v>3128.6326864500006</v>
      </c>
      <c r="W39" s="10">
        <f>'NOC &amp; IOC Shares'!W72</f>
        <v>3128.6326864500006</v>
      </c>
      <c r="X39" s="10">
        <f>'NOC &amp; IOC Shares'!X72</f>
        <v>3128.6326864500006</v>
      </c>
      <c r="Y39" s="10">
        <f>'NOC &amp; IOC Shares'!Y72</f>
        <v>2577.8860980615</v>
      </c>
      <c r="Z39" s="10">
        <f>'NOC &amp; IOC Shares'!Z72</f>
        <v>2922.4580841900001</v>
      </c>
      <c r="AA39" s="10">
        <f>'NOC &amp; IOC Shares'!AA72</f>
        <v>2922.4580841900001</v>
      </c>
      <c r="AB39" s="10">
        <f>'NOC &amp; IOC Shares'!AB72</f>
        <v>2922.4580841900001</v>
      </c>
      <c r="AC39" s="10">
        <f>'NOC &amp; IOC Shares'!AC72</f>
        <v>2922.4580841900001</v>
      </c>
      <c r="AD39" s="10">
        <f>'NOC &amp; IOC Shares'!AD72</f>
        <v>2577.8860980615</v>
      </c>
      <c r="AE39" s="10">
        <f>'NOC &amp; IOC Shares'!AE72</f>
        <v>2922.4580841900001</v>
      </c>
      <c r="AF39" s="10">
        <f>'NOC &amp; IOC Shares'!AF72</f>
        <v>2922.4580841900001</v>
      </c>
      <c r="AG39" s="10">
        <f>'NOC &amp; IOC Shares'!AG72</f>
        <v>2775.57808419</v>
      </c>
      <c r="AH39" s="10">
        <f>'NOC &amp; IOC Shares'!AH72</f>
        <v>2775.57808419</v>
      </c>
      <c r="AI39" s="10">
        <f>'NOC &amp; IOC Shares'!AI72</f>
        <v>2628.6980841900004</v>
      </c>
      <c r="AJ39" s="10">
        <f t="shared" ref="AJ39:AJ45" si="4">SUM(C39:AI39)</f>
        <v>75870.280726962985</v>
      </c>
    </row>
    <row r="40" spans="1:36" ht="18" x14ac:dyDescent="0.35">
      <c r="A40" t="s">
        <v>482</v>
      </c>
      <c r="B40" t="s">
        <v>99</v>
      </c>
      <c r="C40" s="307">
        <f>'NOC &amp; IOC Shares'!C74+'NOC &amp; IOC Shares'!C76</f>
        <v>-40</v>
      </c>
      <c r="D40" s="307">
        <f>'NOC &amp; IOC Shares'!D74+'NOC &amp; IOC Shares'!D76</f>
        <v>-84</v>
      </c>
      <c r="E40" s="307">
        <f>'NOC &amp; IOC Shares'!E74+'NOC &amp; IOC Shares'!E76</f>
        <v>-170</v>
      </c>
      <c r="F40" s="307">
        <f>'NOC &amp; IOC Shares'!F74+'NOC &amp; IOC Shares'!F76</f>
        <v>-380</v>
      </c>
      <c r="G40" s="307">
        <f>'NOC &amp; IOC Shares'!G74+'NOC &amp; IOC Shares'!G76</f>
        <v>-181.30296937499995</v>
      </c>
      <c r="H40" s="307">
        <f>'NOC &amp; IOC Shares'!H74+'NOC &amp; IOC Shares'!H76</f>
        <v>243.39406125000011</v>
      </c>
      <c r="I40" s="307">
        <f>'NOC &amp; IOC Shares'!I74+'NOC &amp; IOC Shares'!I76</f>
        <v>297.39406125000011</v>
      </c>
      <c r="J40" s="307">
        <f>'NOC &amp; IOC Shares'!J74+'NOC &amp; IOC Shares'!J76</f>
        <v>297.48037873125003</v>
      </c>
      <c r="K40" s="307">
        <f>'NOC &amp; IOC Shares'!K74+'NOC &amp; IOC Shares'!K76</f>
        <v>297.39406125000011</v>
      </c>
      <c r="L40" s="307">
        <f>'NOC &amp; IOC Shares'!L74+'NOC &amp; IOC Shares'!L76</f>
        <v>22.261733621312342</v>
      </c>
      <c r="M40" s="307">
        <f>'NOC &amp; IOC Shares'!M74+'NOC &amp; IOC Shares'!M76</f>
        <v>0</v>
      </c>
      <c r="N40" s="307">
        <f>'NOC &amp; IOC Shares'!N74+'NOC &amp; IOC Shares'!N76</f>
        <v>0</v>
      </c>
      <c r="O40" s="307">
        <f>'NOC &amp; IOC Shares'!O74+'NOC &amp; IOC Shares'!O76</f>
        <v>0</v>
      </c>
      <c r="P40" s="307">
        <f>'NOC &amp; IOC Shares'!P74+'NOC &amp; IOC Shares'!P76</f>
        <v>0</v>
      </c>
      <c r="Q40" s="307">
        <f>'NOC &amp; IOC Shares'!Q74+'NOC &amp; IOC Shares'!Q76</f>
        <v>0</v>
      </c>
      <c r="R40" s="307">
        <f>'NOC &amp; IOC Shares'!R74+'NOC &amp; IOC Shares'!R76</f>
        <v>0</v>
      </c>
      <c r="S40" s="307">
        <f>'NOC &amp; IOC Shares'!S74+'NOC &amp; IOC Shares'!S76</f>
        <v>0</v>
      </c>
      <c r="T40" s="307">
        <f>'NOC &amp; IOC Shares'!T74+'NOC &amp; IOC Shares'!T76</f>
        <v>0</v>
      </c>
      <c r="U40" s="307">
        <f>'NOC &amp; IOC Shares'!U74+'NOC &amp; IOC Shares'!U76</f>
        <v>0</v>
      </c>
      <c r="V40" s="307">
        <f>'NOC &amp; IOC Shares'!V74+'NOC &amp; IOC Shares'!V76</f>
        <v>0</v>
      </c>
      <c r="W40" s="307">
        <f>'NOC &amp; IOC Shares'!W74+'NOC &amp; IOC Shares'!W76</f>
        <v>0</v>
      </c>
      <c r="X40" s="307">
        <f>'NOC &amp; IOC Shares'!X74+'NOC &amp; IOC Shares'!X76</f>
        <v>0</v>
      </c>
      <c r="Y40" s="307">
        <f>'NOC &amp; IOC Shares'!Y74+'NOC &amp; IOC Shares'!Y76</f>
        <v>0</v>
      </c>
      <c r="Z40" s="307">
        <f>'NOC &amp; IOC Shares'!Z74+'NOC &amp; IOC Shares'!Z76</f>
        <v>0</v>
      </c>
      <c r="AA40" s="307">
        <f>'NOC &amp; IOC Shares'!AA74+'NOC &amp; IOC Shares'!AA76</f>
        <v>0</v>
      </c>
      <c r="AB40" s="307">
        <f>'NOC &amp; IOC Shares'!AB74+'NOC &amp; IOC Shares'!AB76</f>
        <v>0</v>
      </c>
      <c r="AC40" s="307">
        <f>'NOC &amp; IOC Shares'!AC74+'NOC &amp; IOC Shares'!AC76</f>
        <v>0</v>
      </c>
      <c r="AD40" s="307">
        <f>'NOC &amp; IOC Shares'!AD74+'NOC &amp; IOC Shares'!AD76</f>
        <v>0</v>
      </c>
      <c r="AE40" s="307">
        <f>'NOC &amp; IOC Shares'!AE74+'NOC &amp; IOC Shares'!AE76</f>
        <v>0</v>
      </c>
      <c r="AF40" s="307">
        <f>'NOC &amp; IOC Shares'!AF74+'NOC &amp; IOC Shares'!AF76</f>
        <v>0</v>
      </c>
      <c r="AG40" s="307">
        <f>'NOC &amp; IOC Shares'!AG74+'NOC &amp; IOC Shares'!AG76</f>
        <v>0</v>
      </c>
      <c r="AH40" s="307">
        <f>'NOC &amp; IOC Shares'!AH74+'NOC &amp; IOC Shares'!AH76</f>
        <v>0</v>
      </c>
      <c r="AI40" s="307">
        <f>'NOC &amp; IOC Shares'!AI74+'NOC &amp; IOC Shares'!AI76</f>
        <v>0</v>
      </c>
      <c r="AJ40" s="307">
        <f t="shared" si="4"/>
        <v>302.62132672756263</v>
      </c>
    </row>
    <row r="41" spans="1:36" x14ac:dyDescent="0.2">
      <c r="A41" t="s">
        <v>483</v>
      </c>
      <c r="B41" t="s">
        <v>99</v>
      </c>
      <c r="C41" s="10">
        <f>C39+C40</f>
        <v>-415.3</v>
      </c>
      <c r="D41" s="10">
        <f t="shared" ref="D41:AI41" si="5">D39+D40</f>
        <v>-4802.7</v>
      </c>
      <c r="E41" s="10">
        <f t="shared" si="5"/>
        <v>-7556.3</v>
      </c>
      <c r="F41" s="10">
        <f t="shared" si="5"/>
        <v>-10127.9</v>
      </c>
      <c r="G41" s="10">
        <f t="shared" si="5"/>
        <v>-164.90376618749914</v>
      </c>
      <c r="H41" s="10">
        <f t="shared" si="5"/>
        <v>5730.192467625001</v>
      </c>
      <c r="I41" s="10">
        <f t="shared" si="5"/>
        <v>6270.192467625001</v>
      </c>
      <c r="J41" s="10">
        <f t="shared" si="5"/>
        <v>5764.2305443893756</v>
      </c>
      <c r="K41" s="10">
        <f t="shared" si="5"/>
        <v>5680.0516260593995</v>
      </c>
      <c r="L41" s="10">
        <f t="shared" si="5"/>
        <v>4498.4753085413131</v>
      </c>
      <c r="M41" s="10">
        <f t="shared" si="5"/>
        <v>4265.1815749200005</v>
      </c>
      <c r="N41" s="10">
        <f t="shared" si="5"/>
        <v>3914.4020816479506</v>
      </c>
      <c r="O41" s="10">
        <f t="shared" si="5"/>
        <v>3196.6537185269999</v>
      </c>
      <c r="P41" s="10">
        <f t="shared" si="5"/>
        <v>3540.9818909700007</v>
      </c>
      <c r="Q41" s="10">
        <f t="shared" si="5"/>
        <v>3540.9818909700007</v>
      </c>
      <c r="R41" s="10">
        <f t="shared" si="5"/>
        <v>3540.9818909700007</v>
      </c>
      <c r="S41" s="10">
        <f t="shared" si="5"/>
        <v>3128.6326864500006</v>
      </c>
      <c r="T41" s="10">
        <f t="shared" si="5"/>
        <v>2784.1419715500006</v>
      </c>
      <c r="U41" s="10">
        <f t="shared" si="5"/>
        <v>3128.6326864500006</v>
      </c>
      <c r="V41" s="10">
        <f t="shared" si="5"/>
        <v>3128.6326864500006</v>
      </c>
      <c r="W41" s="10">
        <f t="shared" si="5"/>
        <v>3128.6326864500006</v>
      </c>
      <c r="X41" s="10">
        <f t="shared" si="5"/>
        <v>3128.6326864500006</v>
      </c>
      <c r="Y41" s="10">
        <f t="shared" si="5"/>
        <v>2577.8860980615</v>
      </c>
      <c r="Z41" s="10">
        <f t="shared" si="5"/>
        <v>2922.4580841900001</v>
      </c>
      <c r="AA41" s="10">
        <f t="shared" si="5"/>
        <v>2922.4580841900001</v>
      </c>
      <c r="AB41" s="10">
        <f t="shared" si="5"/>
        <v>2922.4580841900001</v>
      </c>
      <c r="AC41" s="10">
        <f t="shared" si="5"/>
        <v>2922.4580841900001</v>
      </c>
      <c r="AD41" s="10">
        <f t="shared" si="5"/>
        <v>2577.8860980615</v>
      </c>
      <c r="AE41" s="10">
        <f t="shared" si="5"/>
        <v>2922.4580841900001</v>
      </c>
      <c r="AF41" s="10">
        <f t="shared" si="5"/>
        <v>2922.4580841900001</v>
      </c>
      <c r="AG41" s="10">
        <f t="shared" si="5"/>
        <v>2775.57808419</v>
      </c>
      <c r="AH41" s="10">
        <f t="shared" si="5"/>
        <v>2775.57808419</v>
      </c>
      <c r="AI41" s="10">
        <f t="shared" si="5"/>
        <v>2628.6980841900004</v>
      </c>
      <c r="AJ41" s="10">
        <f t="shared" si="4"/>
        <v>76172.902053690545</v>
      </c>
    </row>
    <row r="42" spans="1:36" x14ac:dyDescent="0.2">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row>
    <row r="43" spans="1:36" x14ac:dyDescent="0.2">
      <c r="A43" t="s">
        <v>484</v>
      </c>
      <c r="B43" t="s">
        <v>99</v>
      </c>
      <c r="C43" s="10">
        <f>'NOC &amp; IOC Shares'!C41</f>
        <v>-41.7</v>
      </c>
      <c r="D43" s="10">
        <f>'NOC &amp; IOC Shares'!D41</f>
        <v>-524.30000000000007</v>
      </c>
      <c r="E43" s="10">
        <f>'NOC &amp; IOC Shares'!E41</f>
        <v>-820.7</v>
      </c>
      <c r="F43" s="10">
        <f>'NOC &amp; IOC Shares'!F41</f>
        <v>-1083.1000000000001</v>
      </c>
      <c r="G43" s="10">
        <f>'NOC &amp; IOC Shares'!G41</f>
        <v>1.8221336875000862</v>
      </c>
      <c r="H43" s="10">
        <f>'NOC &amp; IOC Shares'!H41</f>
        <v>609.64426737500025</v>
      </c>
      <c r="I43" s="10">
        <f>'NOC &amp; IOC Shares'!I41</f>
        <v>663.64426737500025</v>
      </c>
      <c r="J43" s="10">
        <f>'NOC &amp; IOC Shares'!J41</f>
        <v>607.41668507312511</v>
      </c>
      <c r="K43" s="10">
        <f>'NOC &amp; IOC Shares'!K41</f>
        <v>598.07306275659994</v>
      </c>
      <c r="L43" s="10">
        <f>'NOC &amp; IOC Shares'!L41</f>
        <v>497.35706388000006</v>
      </c>
      <c r="M43" s="10">
        <f>'NOC &amp; IOC Shares'!M41</f>
        <v>473.90906388000008</v>
      </c>
      <c r="N43" s="10">
        <f>'NOC &amp; IOC Shares'!N41</f>
        <v>434.93356462755014</v>
      </c>
      <c r="O43" s="10">
        <f>'NOC &amp; IOC Shares'!O41</f>
        <v>355.18374650300007</v>
      </c>
      <c r="P43" s="10">
        <f>'NOC &amp; IOC Shares'!P41</f>
        <v>393.44243233000014</v>
      </c>
      <c r="Q43" s="10">
        <f>'NOC &amp; IOC Shares'!Q41</f>
        <v>393.44243233000014</v>
      </c>
      <c r="R43" s="10">
        <f>'NOC &amp; IOC Shares'!R41</f>
        <v>393.44243233000014</v>
      </c>
      <c r="S43" s="10">
        <f>'NOC &amp; IOC Shares'!S41</f>
        <v>347.62585405000004</v>
      </c>
      <c r="T43" s="10">
        <f>'NOC &amp; IOC Shares'!T41</f>
        <v>309.34910794999996</v>
      </c>
      <c r="U43" s="10">
        <f>'NOC &amp; IOC Shares'!U41</f>
        <v>347.62585405000004</v>
      </c>
      <c r="V43" s="10">
        <f>'NOC &amp; IOC Shares'!V41</f>
        <v>347.62585405000004</v>
      </c>
      <c r="W43" s="10">
        <f>'NOC &amp; IOC Shares'!W41</f>
        <v>347.62585405000004</v>
      </c>
      <c r="X43" s="10">
        <f>'NOC &amp; IOC Shares'!X41</f>
        <v>347.62585405000004</v>
      </c>
      <c r="Y43" s="10">
        <f>'NOC &amp; IOC Shares'!Y41</f>
        <v>286.43178867350002</v>
      </c>
      <c r="Z43" s="10">
        <f>'NOC &amp; IOC Shares'!Z41</f>
        <v>324.71756491000002</v>
      </c>
      <c r="AA43" s="10">
        <f>'NOC &amp; IOC Shares'!AA41</f>
        <v>324.71756491000002</v>
      </c>
      <c r="AB43" s="10">
        <f>'NOC &amp; IOC Shares'!AB41</f>
        <v>324.71756491000002</v>
      </c>
      <c r="AC43" s="10">
        <f>'NOC &amp; IOC Shares'!AC41</f>
        <v>324.71756491000002</v>
      </c>
      <c r="AD43" s="10">
        <f>'NOC &amp; IOC Shares'!AD41</f>
        <v>286.43178867350002</v>
      </c>
      <c r="AE43" s="10">
        <f>'NOC &amp; IOC Shares'!AE41</f>
        <v>324.71756491000002</v>
      </c>
      <c r="AF43" s="10">
        <f>'NOC &amp; IOC Shares'!AF41</f>
        <v>324.71756491000002</v>
      </c>
      <c r="AG43" s="10">
        <f>'NOC &amp; IOC Shares'!AG41</f>
        <v>308.39756491000003</v>
      </c>
      <c r="AH43" s="10">
        <f>'NOC &amp; IOC Shares'!AH41</f>
        <v>308.39756491000003</v>
      </c>
      <c r="AI43" s="10">
        <f>'NOC &amp; IOC Shares'!AI41</f>
        <v>292.07756491000004</v>
      </c>
      <c r="AJ43" s="10">
        <f t="shared" si="4"/>
        <v>8430.0311918847765</v>
      </c>
    </row>
    <row r="44" spans="1:36" ht="18" x14ac:dyDescent="0.35">
      <c r="A44" t="s">
        <v>482</v>
      </c>
      <c r="B44" t="s">
        <v>99</v>
      </c>
      <c r="C44" s="307">
        <f>'NOC &amp; IOC Shares'!C43+'NOC &amp; IOC Shares'!C45</f>
        <v>40</v>
      </c>
      <c r="D44" s="307">
        <f>'NOC &amp; IOC Shares'!D43+'NOC &amp; IOC Shares'!D45</f>
        <v>84</v>
      </c>
      <c r="E44" s="307">
        <f>'NOC &amp; IOC Shares'!E43+'NOC &amp; IOC Shares'!E45</f>
        <v>170</v>
      </c>
      <c r="F44" s="307">
        <f>'NOC &amp; IOC Shares'!F43+'NOC &amp; IOC Shares'!F45</f>
        <v>380</v>
      </c>
      <c r="G44" s="307">
        <f>'NOC &amp; IOC Shares'!G43+'NOC &amp; IOC Shares'!G45</f>
        <v>181.30296937499995</v>
      </c>
      <c r="H44" s="307">
        <f>'NOC &amp; IOC Shares'!H43+'NOC &amp; IOC Shares'!H45</f>
        <v>-243.39406125000011</v>
      </c>
      <c r="I44" s="307">
        <f>'NOC &amp; IOC Shares'!I43+'NOC &amp; IOC Shares'!I45</f>
        <v>-297.39406125000011</v>
      </c>
      <c r="J44" s="307">
        <f>'NOC &amp; IOC Shares'!J43+'NOC &amp; IOC Shares'!J45</f>
        <v>-297.48037873125003</v>
      </c>
      <c r="K44" s="307">
        <f>'NOC &amp; IOC Shares'!K43+'NOC &amp; IOC Shares'!K45</f>
        <v>-297.39406125000011</v>
      </c>
      <c r="L44" s="307">
        <f>'NOC &amp; IOC Shares'!L43+'NOC &amp; IOC Shares'!L45</f>
        <v>-22.261733621312342</v>
      </c>
      <c r="M44" s="307">
        <f>'NOC &amp; IOC Shares'!M43+'NOC &amp; IOC Shares'!M45</f>
        <v>0</v>
      </c>
      <c r="N44" s="307">
        <f>'NOC &amp; IOC Shares'!N43+'NOC &amp; IOC Shares'!N45</f>
        <v>0</v>
      </c>
      <c r="O44" s="307">
        <f>'NOC &amp; IOC Shares'!O43+'NOC &amp; IOC Shares'!O45</f>
        <v>0</v>
      </c>
      <c r="P44" s="307">
        <f>'NOC &amp; IOC Shares'!P43+'NOC &amp; IOC Shares'!P45</f>
        <v>0</v>
      </c>
      <c r="Q44" s="307">
        <f>'NOC &amp; IOC Shares'!Q43+'NOC &amp; IOC Shares'!Q45</f>
        <v>0</v>
      </c>
      <c r="R44" s="307">
        <f>'NOC &amp; IOC Shares'!R43+'NOC &amp; IOC Shares'!R45</f>
        <v>0</v>
      </c>
      <c r="S44" s="307">
        <f>'NOC &amp; IOC Shares'!S43+'NOC &amp; IOC Shares'!S45</f>
        <v>0</v>
      </c>
      <c r="T44" s="307">
        <f>'NOC &amp; IOC Shares'!T43+'NOC &amp; IOC Shares'!T45</f>
        <v>0</v>
      </c>
      <c r="U44" s="307">
        <f>'NOC &amp; IOC Shares'!U43+'NOC &amp; IOC Shares'!U45</f>
        <v>0</v>
      </c>
      <c r="V44" s="307">
        <f>'NOC &amp; IOC Shares'!V43+'NOC &amp; IOC Shares'!V45</f>
        <v>0</v>
      </c>
      <c r="W44" s="307">
        <f>'NOC &amp; IOC Shares'!W43+'NOC &amp; IOC Shares'!W45</f>
        <v>0</v>
      </c>
      <c r="X44" s="307">
        <f>'NOC &amp; IOC Shares'!X43+'NOC &amp; IOC Shares'!X45</f>
        <v>0</v>
      </c>
      <c r="Y44" s="307">
        <f>'NOC &amp; IOC Shares'!Y43+'NOC &amp; IOC Shares'!Y45</f>
        <v>0</v>
      </c>
      <c r="Z44" s="307">
        <f>'NOC &amp; IOC Shares'!Z43+'NOC &amp; IOC Shares'!Z45</f>
        <v>0</v>
      </c>
      <c r="AA44" s="307">
        <f>'NOC &amp; IOC Shares'!AA43+'NOC &amp; IOC Shares'!AA45</f>
        <v>0</v>
      </c>
      <c r="AB44" s="307">
        <f>'NOC &amp; IOC Shares'!AB43+'NOC &amp; IOC Shares'!AB45</f>
        <v>0</v>
      </c>
      <c r="AC44" s="307">
        <f>'NOC &amp; IOC Shares'!AC43+'NOC &amp; IOC Shares'!AC45</f>
        <v>0</v>
      </c>
      <c r="AD44" s="307">
        <f>'NOC &amp; IOC Shares'!AD43+'NOC &amp; IOC Shares'!AD45</f>
        <v>0</v>
      </c>
      <c r="AE44" s="307">
        <f>'NOC &amp; IOC Shares'!AE43+'NOC &amp; IOC Shares'!AE45</f>
        <v>0</v>
      </c>
      <c r="AF44" s="307">
        <f>'NOC &amp; IOC Shares'!AF43+'NOC &amp; IOC Shares'!AF45</f>
        <v>0</v>
      </c>
      <c r="AG44" s="307">
        <f>'NOC &amp; IOC Shares'!AG43+'NOC &amp; IOC Shares'!AG45</f>
        <v>0</v>
      </c>
      <c r="AH44" s="307">
        <f>'NOC &amp; IOC Shares'!AH43+'NOC &amp; IOC Shares'!AH45</f>
        <v>0</v>
      </c>
      <c r="AI44" s="307">
        <f>'NOC &amp; IOC Shares'!AI43+'NOC &amp; IOC Shares'!AI45</f>
        <v>0</v>
      </c>
      <c r="AJ44" s="307">
        <f t="shared" si="4"/>
        <v>-302.62132672756263</v>
      </c>
    </row>
    <row r="45" spans="1:36" x14ac:dyDescent="0.25">
      <c r="A45" t="s">
        <v>485</v>
      </c>
      <c r="B45" t="s">
        <v>99</v>
      </c>
      <c r="C45" s="10">
        <f>C43+C44</f>
        <v>-1.7000000000000028</v>
      </c>
      <c r="D45" s="10">
        <f t="shared" ref="D45:AI45" si="6">D43+D44</f>
        <v>-440.30000000000007</v>
      </c>
      <c r="E45" s="10">
        <f t="shared" si="6"/>
        <v>-650.70000000000005</v>
      </c>
      <c r="F45" s="10">
        <f t="shared" si="6"/>
        <v>-703.10000000000014</v>
      </c>
      <c r="G45" s="10">
        <f t="shared" si="6"/>
        <v>183.12510306250005</v>
      </c>
      <c r="H45" s="10">
        <f t="shared" si="6"/>
        <v>366.25020612500015</v>
      </c>
      <c r="I45" s="10">
        <f t="shared" si="6"/>
        <v>366.25020612500015</v>
      </c>
      <c r="J45" s="10">
        <f t="shared" si="6"/>
        <v>309.93630634187508</v>
      </c>
      <c r="K45" s="10">
        <f t="shared" si="6"/>
        <v>300.67900150659983</v>
      </c>
      <c r="L45" s="10">
        <f t="shared" si="6"/>
        <v>475.09533025868774</v>
      </c>
      <c r="M45" s="10">
        <f t="shared" si="6"/>
        <v>473.90906388000008</v>
      </c>
      <c r="N45" s="10">
        <f t="shared" si="6"/>
        <v>434.93356462755014</v>
      </c>
      <c r="O45" s="10">
        <f t="shared" si="6"/>
        <v>355.18374650300007</v>
      </c>
      <c r="P45" s="10">
        <f t="shared" si="6"/>
        <v>393.44243233000014</v>
      </c>
      <c r="Q45" s="10">
        <f t="shared" si="6"/>
        <v>393.44243233000014</v>
      </c>
      <c r="R45" s="10">
        <f t="shared" si="6"/>
        <v>393.44243233000014</v>
      </c>
      <c r="S45" s="10">
        <f t="shared" si="6"/>
        <v>347.62585405000004</v>
      </c>
      <c r="T45" s="10">
        <f t="shared" si="6"/>
        <v>309.34910794999996</v>
      </c>
      <c r="U45" s="10">
        <f t="shared" si="6"/>
        <v>347.62585405000004</v>
      </c>
      <c r="V45" s="10">
        <f t="shared" si="6"/>
        <v>347.62585405000004</v>
      </c>
      <c r="W45" s="10">
        <f t="shared" si="6"/>
        <v>347.62585405000004</v>
      </c>
      <c r="X45" s="10">
        <f t="shared" si="6"/>
        <v>347.62585405000004</v>
      </c>
      <c r="Y45" s="10">
        <f t="shared" si="6"/>
        <v>286.43178867350002</v>
      </c>
      <c r="Z45" s="10">
        <f t="shared" si="6"/>
        <v>324.71756491000002</v>
      </c>
      <c r="AA45" s="10">
        <f t="shared" si="6"/>
        <v>324.71756491000002</v>
      </c>
      <c r="AB45" s="10">
        <f t="shared" si="6"/>
        <v>324.71756491000002</v>
      </c>
      <c r="AC45" s="10">
        <f t="shared" si="6"/>
        <v>324.71756491000002</v>
      </c>
      <c r="AD45" s="10">
        <f t="shared" si="6"/>
        <v>286.43178867350002</v>
      </c>
      <c r="AE45" s="10">
        <f t="shared" si="6"/>
        <v>324.71756491000002</v>
      </c>
      <c r="AF45" s="10">
        <f t="shared" si="6"/>
        <v>324.71756491000002</v>
      </c>
      <c r="AG45" s="10">
        <f t="shared" si="6"/>
        <v>308.39756491000003</v>
      </c>
      <c r="AH45" s="10">
        <f t="shared" si="6"/>
        <v>308.39756491000003</v>
      </c>
      <c r="AI45" s="10">
        <f t="shared" si="6"/>
        <v>292.07756491000004</v>
      </c>
      <c r="AJ45" s="10">
        <f t="shared" si="4"/>
        <v>8127.409865157214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BA208"/>
  <sheetViews>
    <sheetView topLeftCell="A10" workbookViewId="0">
      <selection activeCell="M40" sqref="M40"/>
    </sheetView>
  </sheetViews>
  <sheetFormatPr defaultColWidth="8.85546875" defaultRowHeight="15" x14ac:dyDescent="0.25"/>
  <cols>
    <col min="1" max="1" width="60" customWidth="1"/>
    <col min="2" max="2" width="12.85546875" customWidth="1"/>
    <col min="3" max="3" width="9.140625" bestFit="1" customWidth="1"/>
    <col min="4" max="4" width="9.42578125" bestFit="1" customWidth="1"/>
    <col min="5" max="11" width="10.42578125" bestFit="1" customWidth="1"/>
    <col min="12" max="15" width="9.42578125" bestFit="1" customWidth="1"/>
    <col min="16" max="35" width="9.140625" bestFit="1" customWidth="1"/>
    <col min="36" max="36" width="10.42578125" bestFit="1" customWidth="1"/>
  </cols>
  <sheetData>
    <row r="1" spans="1:37" ht="18.95" x14ac:dyDescent="0.25">
      <c r="A1" s="234" t="s">
        <v>424</v>
      </c>
    </row>
    <row r="2" spans="1:37" ht="21" x14ac:dyDescent="0.25">
      <c r="A2" s="234"/>
      <c r="B2" s="117" t="str">
        <f>IF('Assumptions &amp; Results'!$C$127=1,"VALID","INVALID")</f>
        <v>INVALID</v>
      </c>
      <c r="C2" s="19" t="s">
        <v>577</v>
      </c>
    </row>
    <row r="3" spans="1:37" x14ac:dyDescent="0.2">
      <c r="A3" s="213"/>
      <c r="B3" s="252" t="s">
        <v>395</v>
      </c>
      <c r="C3" s="253">
        <f>'Assumptions &amp; Results'!D2</f>
        <v>2017</v>
      </c>
      <c r="D3" s="253">
        <f>'Assumptions &amp; Results'!E2</f>
        <v>2018</v>
      </c>
      <c r="E3" s="253">
        <f>'Assumptions &amp; Results'!F2</f>
        <v>2019</v>
      </c>
      <c r="F3" s="253">
        <f>'Assumptions &amp; Results'!G2</f>
        <v>2020</v>
      </c>
      <c r="G3" s="253">
        <f>'Assumptions &amp; Results'!H2</f>
        <v>2021</v>
      </c>
      <c r="H3" s="253">
        <f>'Assumptions &amp; Results'!I2</f>
        <v>2022</v>
      </c>
      <c r="I3" s="253">
        <f>'Assumptions &amp; Results'!J2</f>
        <v>2023</v>
      </c>
      <c r="J3" s="253">
        <f>'Assumptions &amp; Results'!K2</f>
        <v>2024</v>
      </c>
      <c r="K3" s="253">
        <f>'Assumptions &amp; Results'!L2</f>
        <v>2025</v>
      </c>
      <c r="L3" s="253">
        <f>'Assumptions &amp; Results'!M2</f>
        <v>2026</v>
      </c>
      <c r="M3" s="253">
        <f>'Assumptions &amp; Results'!N2</f>
        <v>2027</v>
      </c>
      <c r="N3" s="253">
        <f>'Assumptions &amp; Results'!O2</f>
        <v>2028</v>
      </c>
      <c r="O3" s="253">
        <f>'Assumptions &amp; Results'!P2</f>
        <v>2029</v>
      </c>
      <c r="P3" s="253">
        <f>'Assumptions &amp; Results'!Q2</f>
        <v>2030</v>
      </c>
      <c r="Q3" s="253">
        <f>'Assumptions &amp; Results'!R2</f>
        <v>2031</v>
      </c>
      <c r="R3" s="253">
        <f>'Assumptions &amp; Results'!S2</f>
        <v>2032</v>
      </c>
      <c r="S3" s="253">
        <f>'Assumptions &amp; Results'!T2</f>
        <v>2033</v>
      </c>
      <c r="T3" s="253">
        <f>'Assumptions &amp; Results'!U2</f>
        <v>2034</v>
      </c>
      <c r="U3" s="253">
        <f>'Assumptions &amp; Results'!V2</f>
        <v>2035</v>
      </c>
      <c r="V3" s="253">
        <f>'Assumptions &amp; Results'!W2</f>
        <v>2036</v>
      </c>
      <c r="W3" s="253">
        <f>'Assumptions &amp; Results'!X2</f>
        <v>2037</v>
      </c>
      <c r="X3" s="253">
        <f>'Assumptions &amp; Results'!Y2</f>
        <v>2038</v>
      </c>
      <c r="Y3" s="253">
        <f>'Assumptions &amp; Results'!Z2</f>
        <v>2039</v>
      </c>
      <c r="Z3" s="253">
        <f>'Assumptions &amp; Results'!AA2</f>
        <v>2040</v>
      </c>
      <c r="AA3" s="253">
        <f>'Assumptions &amp; Results'!AB2</f>
        <v>2041</v>
      </c>
      <c r="AB3" s="253">
        <f>'Assumptions &amp; Results'!AC2</f>
        <v>2042</v>
      </c>
      <c r="AC3" s="253">
        <f>'Assumptions &amp; Results'!AD2</f>
        <v>2043</v>
      </c>
      <c r="AD3" s="253">
        <f>'Assumptions &amp; Results'!AE2</f>
        <v>2044</v>
      </c>
      <c r="AE3" s="253">
        <f>'Assumptions &amp; Results'!AF2</f>
        <v>2045</v>
      </c>
      <c r="AF3" s="253">
        <f>'Assumptions &amp; Results'!AG2</f>
        <v>2046</v>
      </c>
      <c r="AG3" s="253">
        <f>'Assumptions &amp; Results'!AH2</f>
        <v>2047</v>
      </c>
      <c r="AH3" s="253">
        <f>'Assumptions &amp; Results'!AI2</f>
        <v>2048</v>
      </c>
      <c r="AI3" s="253">
        <f>'Assumptions &amp; Results'!AJ2</f>
        <v>2049</v>
      </c>
      <c r="AJ3" s="253" t="str">
        <f>'Assumptions &amp; Results'!AK2</f>
        <v>TOTALS</v>
      </c>
      <c r="AK3" s="215"/>
    </row>
    <row r="4" spans="1:37" x14ac:dyDescent="0.2">
      <c r="A4" s="255" t="s">
        <v>428</v>
      </c>
      <c r="C4" s="292">
        <f>+IF(C3&lt;'Assumptions &amp; Results'!$C$16,0,1+B4)</f>
        <v>0</v>
      </c>
      <c r="D4" s="292">
        <f>+IF(D3&lt;'Assumptions &amp; Results'!$C$16,0,1+C4)</f>
        <v>0</v>
      </c>
      <c r="E4" s="292">
        <f>+IF(E3&lt;'Assumptions &amp; Results'!$C$16,0,1+D4)</f>
        <v>0</v>
      </c>
      <c r="F4" s="292">
        <f>+IF(F3&lt;'Assumptions &amp; Results'!$C$16,0,1+E4)</f>
        <v>0</v>
      </c>
      <c r="G4" s="292">
        <f>+IF(G3&lt;'Assumptions &amp; Results'!$C$16,0,1+F4)</f>
        <v>1</v>
      </c>
      <c r="H4" s="292">
        <f>+IF(H3&lt;'Assumptions &amp; Results'!$C$16,0,1+G4)</f>
        <v>2</v>
      </c>
      <c r="I4" s="292">
        <f>+IF(I3&lt;'Assumptions &amp; Results'!$C$16,0,1+H4)</f>
        <v>3</v>
      </c>
      <c r="J4" s="292">
        <f>+IF(J3&lt;'Assumptions &amp; Results'!$C$16,0,1+I4)</f>
        <v>4</v>
      </c>
      <c r="K4" s="292">
        <f>+IF(K3&lt;'Assumptions &amp; Results'!$C$16,0,1+J4)</f>
        <v>5</v>
      </c>
      <c r="L4" s="292">
        <f>+IF(L3&lt;'Assumptions &amp; Results'!$C$16,0,1+K4)</f>
        <v>6</v>
      </c>
      <c r="M4" s="292">
        <f>+IF(M3&lt;'Assumptions &amp; Results'!$C$16,0,1+L4)</f>
        <v>7</v>
      </c>
      <c r="N4" s="292">
        <f>+IF(N3&lt;'Assumptions &amp; Results'!$C$16,0,1+M4)</f>
        <v>8</v>
      </c>
      <c r="O4" s="292">
        <f>+IF(O3&lt;'Assumptions &amp; Results'!$C$16,0,1+N4)</f>
        <v>9</v>
      </c>
      <c r="P4" s="292">
        <f>+IF(P3&lt;'Assumptions &amp; Results'!$C$16,0,1+O4)</f>
        <v>10</v>
      </c>
      <c r="Q4" s="292">
        <f>+IF(Q3&lt;'Assumptions &amp; Results'!$C$16,0,1+P4)</f>
        <v>11</v>
      </c>
      <c r="R4" s="292">
        <f>+IF(R3&lt;'Assumptions &amp; Results'!$C$16,0,1+Q4)</f>
        <v>12</v>
      </c>
      <c r="S4" s="292">
        <f>+IF(S3&lt;'Assumptions &amp; Results'!$C$16,0,1+R4)</f>
        <v>13</v>
      </c>
      <c r="T4" s="292">
        <f>+IF(T3&lt;'Assumptions &amp; Results'!$C$16,0,1+S4)</f>
        <v>14</v>
      </c>
      <c r="U4" s="292">
        <f>+IF(U3&lt;'Assumptions &amp; Results'!$C$16,0,1+T4)</f>
        <v>15</v>
      </c>
      <c r="V4" s="292">
        <f>+IF(V3&lt;'Assumptions &amp; Results'!$C$16,0,1+U4)</f>
        <v>16</v>
      </c>
      <c r="W4" s="292">
        <f>+IF(W3&lt;'Assumptions &amp; Results'!$C$16,0,1+V4)</f>
        <v>17</v>
      </c>
      <c r="X4" s="292">
        <f>+IF(X3&lt;'Assumptions &amp; Results'!$C$16,0,1+W4)</f>
        <v>18</v>
      </c>
      <c r="Y4" s="292">
        <f>+IF(Y3&lt;'Assumptions &amp; Results'!$C$16,0,1+X4)</f>
        <v>19</v>
      </c>
      <c r="Z4" s="292">
        <f>+IF(Z3&lt;'Assumptions &amp; Results'!$C$16,0,1+Y4)</f>
        <v>20</v>
      </c>
      <c r="AA4" s="292">
        <f>+IF(AA3&lt;'Assumptions &amp; Results'!$C$16,0,1+Z4)</f>
        <v>21</v>
      </c>
      <c r="AB4" s="292">
        <f>+IF(AB3&lt;'Assumptions &amp; Results'!$C$16,0,1+AA4)</f>
        <v>22</v>
      </c>
      <c r="AC4" s="292">
        <f>+IF(AC3&lt;'Assumptions &amp; Results'!$C$16,0,1+AB4)</f>
        <v>23</v>
      </c>
      <c r="AD4" s="292">
        <f>+IF(AD3&lt;'Assumptions &amp; Results'!$C$16,0,1+AC4)</f>
        <v>24</v>
      </c>
      <c r="AE4" s="292">
        <f>+IF(AE3&lt;'Assumptions &amp; Results'!$C$16,0,1+AD4)</f>
        <v>25</v>
      </c>
      <c r="AF4" s="292">
        <f>+IF(AF3&lt;'Assumptions &amp; Results'!$C$16,0,1+AE4)</f>
        <v>26</v>
      </c>
      <c r="AG4" s="292">
        <f>+IF(AG3&lt;'Assumptions &amp; Results'!$C$16,0,1+AF4)</f>
        <v>27</v>
      </c>
      <c r="AH4" s="292">
        <f>+IF(AH3&lt;'Assumptions &amp; Results'!$C$16,0,1+AG4)</f>
        <v>28</v>
      </c>
      <c r="AI4" s="292">
        <f>+IF(AI3&lt;'Assumptions &amp; Results'!$C$16,0,1+AH4)</f>
        <v>29</v>
      </c>
      <c r="AJ4" s="292"/>
      <c r="AK4" s="215"/>
    </row>
    <row r="5" spans="1:37" x14ac:dyDescent="0.2">
      <c r="A5" s="2"/>
      <c r="B5" s="214"/>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292"/>
      <c r="AI5" s="292"/>
      <c r="AJ5" s="292"/>
      <c r="AK5" s="215"/>
    </row>
    <row r="6" spans="1:37" x14ac:dyDescent="0.2">
      <c r="A6" s="254" t="s">
        <v>474</v>
      </c>
      <c r="B6" s="217" t="s">
        <v>99</v>
      </c>
      <c r="C6" s="289">
        <f>ROUND(+C45+C50+C55+C60+C65+C70+C75+C80+C85+C90+C95+C100+C105+C110+C115+C120+C125+C130+C135+C140+C145+C150+C155+C160+C165+C170+C175,6)+C180+C185+C190+C195+C200+C205</f>
        <v>0</v>
      </c>
      <c r="D6" s="289">
        <f t="shared" ref="D6:AI6" si="0">ROUND(+D45+D50+D55+D60+D65+D70+D75+D80+D85+D90+D95+D100+D105+D110+D115+D120+D125+D130+D135+D140+D145+D150+D155+D160+D165+D170+D175,6)+D180+D185+D190+D195+D200+D205</f>
        <v>0</v>
      </c>
      <c r="E6" s="289">
        <f t="shared" si="0"/>
        <v>0</v>
      </c>
      <c r="F6" s="289">
        <f t="shared" si="0"/>
        <v>0</v>
      </c>
      <c r="G6" s="289">
        <f t="shared" si="0"/>
        <v>0</v>
      </c>
      <c r="H6" s="289">
        <f t="shared" si="0"/>
        <v>1777.3843260000001</v>
      </c>
      <c r="I6" s="289">
        <f t="shared" si="0"/>
        <v>1640.523964</v>
      </c>
      <c r="J6" s="289">
        <f t="shared" si="0"/>
        <v>1457.212567</v>
      </c>
      <c r="K6" s="289">
        <f t="shared" si="0"/>
        <v>1259.2362579999999</v>
      </c>
      <c r="L6" s="289">
        <f t="shared" si="0"/>
        <v>1045.421844</v>
      </c>
      <c r="M6" s="289">
        <f t="shared" si="0"/>
        <v>814.50227800000005</v>
      </c>
      <c r="N6" s="289">
        <f t="shared" si="0"/>
        <v>565.10914500000001</v>
      </c>
      <c r="O6" s="289">
        <f t="shared" si="0"/>
        <v>295.76456300000001</v>
      </c>
      <c r="P6" s="289">
        <f t="shared" si="0"/>
        <v>4.8724129999999999</v>
      </c>
      <c r="Q6" s="289">
        <f t="shared" si="0"/>
        <v>0</v>
      </c>
      <c r="R6" s="289">
        <f t="shared" si="0"/>
        <v>0</v>
      </c>
      <c r="S6" s="289">
        <f t="shared" si="0"/>
        <v>0</v>
      </c>
      <c r="T6" s="289">
        <f t="shared" si="0"/>
        <v>0</v>
      </c>
      <c r="U6" s="289">
        <f t="shared" si="0"/>
        <v>0</v>
      </c>
      <c r="V6" s="289">
        <f t="shared" si="0"/>
        <v>0</v>
      </c>
      <c r="W6" s="289">
        <f t="shared" si="0"/>
        <v>0</v>
      </c>
      <c r="X6" s="289">
        <f t="shared" si="0"/>
        <v>0</v>
      </c>
      <c r="Y6" s="289">
        <f t="shared" si="0"/>
        <v>0</v>
      </c>
      <c r="Z6" s="289">
        <f t="shared" si="0"/>
        <v>0</v>
      </c>
      <c r="AA6" s="289">
        <f t="shared" si="0"/>
        <v>0</v>
      </c>
      <c r="AB6" s="289">
        <f t="shared" si="0"/>
        <v>0</v>
      </c>
      <c r="AC6" s="289">
        <f t="shared" si="0"/>
        <v>0</v>
      </c>
      <c r="AD6" s="289">
        <f t="shared" si="0"/>
        <v>0</v>
      </c>
      <c r="AE6" s="289">
        <f t="shared" si="0"/>
        <v>0</v>
      </c>
      <c r="AF6" s="289">
        <f t="shared" si="0"/>
        <v>0</v>
      </c>
      <c r="AG6" s="289">
        <f t="shared" si="0"/>
        <v>0</v>
      </c>
      <c r="AH6" s="289">
        <f t="shared" si="0"/>
        <v>0</v>
      </c>
      <c r="AI6" s="289">
        <f t="shared" si="0"/>
        <v>0</v>
      </c>
      <c r="AJ6" s="289">
        <f>SUM(C6:AI6)</f>
        <v>8860.0273579999994</v>
      </c>
      <c r="AK6" s="216"/>
    </row>
    <row r="7" spans="1:37" x14ac:dyDescent="0.2">
      <c r="A7" s="254"/>
      <c r="B7" s="217"/>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16"/>
    </row>
    <row r="8" spans="1:37" x14ac:dyDescent="0.2">
      <c r="A8" s="254" t="s">
        <v>581</v>
      </c>
      <c r="B8" s="217"/>
      <c r="C8" s="218"/>
      <c r="D8" s="218"/>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6"/>
    </row>
    <row r="9" spans="1:37" x14ac:dyDescent="0.2">
      <c r="A9" s="254" t="s">
        <v>114</v>
      </c>
      <c r="B9" s="217"/>
      <c r="C9" s="289">
        <f>IF('Assumptions &amp; Results'!$C$172=3,0,('Assumptions &amp; Results'!D$40/('Financing for Fiscal Terms Only'!C$22)*C$6))</f>
        <v>0</v>
      </c>
      <c r="D9" s="289">
        <f>IF('Assumptions &amp; Results'!$C$172=3,0,((+SUM('Assumptions &amp; Results'!$D$40:E$40)/(+SUM('Financing for Fiscal Terms Only'!$C$22:D$22))*D$6)))</f>
        <v>0</v>
      </c>
      <c r="E9" s="289">
        <f>IF('Assumptions &amp; Results'!$C$172=3,0,((+SUM('Assumptions &amp; Results'!$D$40:F$40)/(+SUM('Financing for Fiscal Terms Only'!$C$22:E$22))*E$6)))</f>
        <v>0</v>
      </c>
      <c r="F9" s="289">
        <f>IF('Assumptions &amp; Results'!$C$172=3,0,((+SUM('Assumptions &amp; Results'!$D$40:G$40)/(+SUM('Financing for Fiscal Terms Only'!$C$22:F$22))*F$6)))</f>
        <v>0</v>
      </c>
      <c r="G9" s="289">
        <f>IF('Assumptions &amp; Results'!$C$172=3,0,((+SUM('Assumptions &amp; Results'!$D$40:H$40)/(+SUM('Financing for Fiscal Terms Only'!$C$22:G$22))*G$6)))</f>
        <v>0</v>
      </c>
      <c r="H9" s="289">
        <f>IF('Assumptions &amp; Results'!$C$172=3,0,((+SUM('Assumptions &amp; Results'!$D$40:I$40)/(+SUM('Financing for Fiscal Terms Only'!$C$22:H$22))*H$6)))</f>
        <v>329.46818573621135</v>
      </c>
      <c r="I9" s="289">
        <f>IF('Assumptions &amp; Results'!$C$172=3,0,((+SUM('Assumptions &amp; Results'!$D$40:J$40)/(+SUM('Financing for Fiscal Terms Only'!$C$22:I$22))*I$6)))</f>
        <v>304.0988075394211</v>
      </c>
      <c r="J9" s="289">
        <f>IF('Assumptions &amp; Results'!$C$172=3,0,((+SUM('Assumptions &amp; Results'!$D$40:K$40)/(+SUM('Financing for Fiscal Terms Only'!$C$22:J$22))*J$6)))</f>
        <v>270.11894594680774</v>
      </c>
      <c r="K9" s="289">
        <f>IF('Assumptions &amp; Results'!$C$172=3,0,((+SUM('Assumptions &amp; Results'!$D$40:L$40)/(+SUM('Financing for Fiscal Terms Only'!$C$22:K$22))*K$6)))</f>
        <v>233.42069538229725</v>
      </c>
      <c r="L9" s="289">
        <f>IF('Assumptions &amp; Results'!$C$172=3,0,((+SUM('Assumptions &amp; Results'!$D$40:M$40)/(+SUM('Financing for Fiscal Terms Only'!$C$22:L$22))*L$6)))</f>
        <v>193.78658472072323</v>
      </c>
      <c r="M9" s="289">
        <f>IF('Assumptions &amp; Results'!$C$172=3,0,((+SUM('Assumptions &amp; Results'!$D$40:N$40)/(+SUM('Financing for Fiscal Terms Only'!$C$22:M$22))*M$6)))</f>
        <v>150.9817454138342</v>
      </c>
      <c r="N9" s="289">
        <f>IF('Assumptions &amp; Results'!$C$172=3,0,((+SUM('Assumptions &amp; Results'!$D$40:O$40)/(+SUM('Financing for Fiscal Terms Only'!$C$22:N$22))*N$6)))</f>
        <v>104.75251864356296</v>
      </c>
      <c r="O9" s="289">
        <f>IF('Assumptions &amp; Results'!$C$172=3,0,((+SUM('Assumptions &amp; Results'!$D$40:P$40)/(+SUM('Financing for Fiscal Terms Only'!$C$22:O$22))*O$6)))</f>
        <v>54.824954035671738</v>
      </c>
      <c r="P9" s="289">
        <f>IF('Assumptions &amp; Results'!$C$172=3,0,((+SUM('Assumptions &amp; Results'!$D$40:Q$40)/(+SUM('Financing for Fiscal Terms Only'!$C$22:P$22))*P$6)))</f>
        <v>0.9031839922208984</v>
      </c>
      <c r="Q9" s="289">
        <f>IF('Assumptions &amp; Results'!$C$172=3,0,((+SUM('Assumptions &amp; Results'!$D$40:R$40)/(+SUM('Financing for Fiscal Terms Only'!$C$22:Q$22))*Q$6)))</f>
        <v>0</v>
      </c>
      <c r="R9" s="289">
        <f>IF('Assumptions &amp; Results'!$C$172=3,0,((+SUM('Assumptions &amp; Results'!$D$40:S$40)/(+SUM('Financing for Fiscal Terms Only'!$C$22:R$22))*R$6)))</f>
        <v>0</v>
      </c>
      <c r="S9" s="289">
        <f>IF('Assumptions &amp; Results'!$C$172=3,0,((+SUM('Assumptions &amp; Results'!$D$40:T$40)/(+SUM('Financing for Fiscal Terms Only'!$C$22:S$22))*S$6)))</f>
        <v>0</v>
      </c>
      <c r="T9" s="289">
        <f>IF('Assumptions &amp; Results'!$C$172=3,0,((+SUM('Assumptions &amp; Results'!$D$40:U$40)/(+SUM('Financing for Fiscal Terms Only'!$C$22:T$22))*T$6)))</f>
        <v>0</v>
      </c>
      <c r="U9" s="289">
        <f>IF('Assumptions &amp; Results'!$C$172=3,0,((+SUM('Assumptions &amp; Results'!$D$40:V$40)/(+SUM('Financing for Fiscal Terms Only'!$C$22:U$22))*U$6)))</f>
        <v>0</v>
      </c>
      <c r="V9" s="289">
        <f>IF('Assumptions &amp; Results'!$C$172=3,0,((+SUM('Assumptions &amp; Results'!$D$40:W$40)/(+SUM('Financing for Fiscal Terms Only'!$C$22:V$22))*V$6)))</f>
        <v>0</v>
      </c>
      <c r="W9" s="289">
        <f>IF('Assumptions &amp; Results'!$C$172=3,0,((+SUM('Assumptions &amp; Results'!$D$40:X$40)/(+SUM('Financing for Fiscal Terms Only'!$C$22:W$22))*W$6)))</f>
        <v>0</v>
      </c>
      <c r="X9" s="289">
        <f>IF('Assumptions &amp; Results'!$C$172=3,0,((+SUM('Assumptions &amp; Results'!$D$40:Y$40)/(+SUM('Financing for Fiscal Terms Only'!$C$22:X$22))*X$6)))</f>
        <v>0</v>
      </c>
      <c r="Y9" s="289">
        <f>IF('Assumptions &amp; Results'!$C$172=3,0,((+SUM('Assumptions &amp; Results'!$D$40:Z$40)/(+SUM('Financing for Fiscal Terms Only'!$C$22:Y$22))*Y$6)))</f>
        <v>0</v>
      </c>
      <c r="Z9" s="289">
        <f>IF('Assumptions &amp; Results'!$C$172=3,0,((+SUM('Assumptions &amp; Results'!$D$40:AA$40)/(+SUM('Financing for Fiscal Terms Only'!$C$22:Z$22))*Z$6)))</f>
        <v>0</v>
      </c>
      <c r="AA9" s="289">
        <f>IF('Assumptions &amp; Results'!$C$172=3,0,((+SUM('Assumptions &amp; Results'!$D$40:AB$40)/(+SUM('Financing for Fiscal Terms Only'!$C$22:AA$22))*AA$6)))</f>
        <v>0</v>
      </c>
      <c r="AB9" s="289">
        <f>IF('Assumptions &amp; Results'!$C$172=3,0,((+SUM('Assumptions &amp; Results'!$D$40:AC$40)/(+SUM('Financing for Fiscal Terms Only'!$C$22:AB$22))*AB$6)))</f>
        <v>0</v>
      </c>
      <c r="AC9" s="289">
        <f>IF('Assumptions &amp; Results'!$C$172=3,0,((+SUM('Assumptions &amp; Results'!$D$40:AD$40)/(+SUM('Financing for Fiscal Terms Only'!$C$22:AC$22))*AC$6)))</f>
        <v>0</v>
      </c>
      <c r="AD9" s="289">
        <f>IF('Assumptions &amp; Results'!$C$172=3,0,((+SUM('Assumptions &amp; Results'!$D$40:AE$40)/(+SUM('Financing for Fiscal Terms Only'!$C$22:AD$22))*AD$6)))</f>
        <v>0</v>
      </c>
      <c r="AE9" s="289">
        <f>IF('Assumptions &amp; Results'!$C$172=3,0,((+SUM('Assumptions &amp; Results'!$D$40:AF$40)/(+SUM('Financing for Fiscal Terms Only'!$C$22:AE$22))*AE$6)))</f>
        <v>0</v>
      </c>
      <c r="AF9" s="289">
        <f>IF('Assumptions &amp; Results'!$C$172=3,0,((+SUM('Assumptions &amp; Results'!$D$40:AG$40)/(+SUM('Financing for Fiscal Terms Only'!$C$22:AF$22))*AF$6)))</f>
        <v>0</v>
      </c>
      <c r="AG9" s="289">
        <f>IF('Assumptions &amp; Results'!$C$172=3,0,((+SUM('Assumptions &amp; Results'!$D$40:AH$40)/(+SUM('Financing for Fiscal Terms Only'!$C$22:AG$22))*AG$6)))</f>
        <v>0</v>
      </c>
      <c r="AH9" s="289">
        <f>IF('Assumptions &amp; Results'!$C$172=3,0,((+SUM('Assumptions &amp; Results'!$D$40:AI$40)/(+SUM('Financing for Fiscal Terms Only'!$C$22:AH$22))*AH$6)))</f>
        <v>0</v>
      </c>
      <c r="AI9" s="289">
        <f>IF('Assumptions &amp; Results'!$C$172=3,0,((+SUM('Assumptions &amp; Results'!$D$40:AJ$40)/(+SUM('Financing for Fiscal Terms Only'!$C$22:AI$22))*AI$6)))</f>
        <v>0</v>
      </c>
      <c r="AJ9" s="289">
        <f t="shared" ref="AJ9:AJ14" si="1">SUM(C9:AI9)</f>
        <v>1642.3556214107507</v>
      </c>
      <c r="AK9" s="216"/>
    </row>
    <row r="10" spans="1:37" x14ac:dyDescent="0.2">
      <c r="A10" s="254" t="s">
        <v>115</v>
      </c>
      <c r="B10" s="217"/>
      <c r="C10" s="289">
        <f>IF('Assumptions &amp; Results'!$C$172=3,0,('Assumptions &amp; Results'!D$49/('Financing for Fiscal Terms Only'!C$22)*C$6))</f>
        <v>0</v>
      </c>
      <c r="D10" s="289">
        <f>IF('Assumptions &amp; Results'!$C$172=3,0,((+SUM('Assumptions &amp; Results'!$D$49:E$49)/(+SUM('Financing for Fiscal Terms Only'!$C$22:D$22))*D$6)))</f>
        <v>0</v>
      </c>
      <c r="E10" s="289">
        <f>IF('Assumptions &amp; Results'!$C$172=3,0,((+SUM('Assumptions &amp; Results'!$D$49:F$49)/(+SUM('Financing for Fiscal Terms Only'!$C$22:E$22))*E$6)))</f>
        <v>0</v>
      </c>
      <c r="F10" s="289">
        <f>IF('Assumptions &amp; Results'!$C$172=3,0,((+SUM('Assumptions &amp; Results'!$D$49:G$49)/(+SUM('Financing for Fiscal Terms Only'!$C$22:F$22))*F$6)))</f>
        <v>0</v>
      </c>
      <c r="G10" s="289">
        <f>IF('Assumptions &amp; Results'!$C$172=3,0,((+SUM('Assumptions &amp; Results'!$D$49:H$49)/(+SUM('Financing for Fiscal Terms Only'!$C$22:G$22))*G$6)))</f>
        <v>0</v>
      </c>
      <c r="H10" s="289">
        <f>IF('Assumptions &amp; Results'!$C$172=3,0,((+SUM('Assumptions &amp; Results'!$D$49:I$49)/(+SUM('Financing for Fiscal Terms Only'!$C$22:H$22))*H$6)))</f>
        <v>329.46818573621135</v>
      </c>
      <c r="I10" s="289">
        <f>IF('Assumptions &amp; Results'!$C$172=3,0,((+SUM('Assumptions &amp; Results'!$D$49:J$49)/(+SUM('Financing for Fiscal Terms Only'!$C$22:I$22))*I$6)))</f>
        <v>304.0988075394211</v>
      </c>
      <c r="J10" s="289">
        <f>IF('Assumptions &amp; Results'!$C$172=3,0,((+SUM('Assumptions &amp; Results'!$D$49:K$49)/(+SUM('Financing for Fiscal Terms Only'!$C$22:J$22))*J$6)))</f>
        <v>270.11894594680774</v>
      </c>
      <c r="K10" s="289">
        <f>IF('Assumptions &amp; Results'!$C$172=3,0,((+SUM('Assumptions &amp; Results'!$D$49:L$49)/(+SUM('Financing for Fiscal Terms Only'!$C$22:K$22))*K$6)))</f>
        <v>233.42069538229725</v>
      </c>
      <c r="L10" s="289">
        <f>IF('Assumptions &amp; Results'!$C$172=3,0,((+SUM('Assumptions &amp; Results'!$D$49:M$49)/(+SUM('Financing for Fiscal Terms Only'!$C$22:L$22))*L$6)))</f>
        <v>193.78658472072323</v>
      </c>
      <c r="M10" s="289">
        <f>IF('Assumptions &amp; Results'!$C$172=3,0,((+SUM('Assumptions &amp; Results'!$D$49:N$49)/(+SUM('Financing for Fiscal Terms Only'!$C$22:M$22))*M$6)))</f>
        <v>150.9817454138342</v>
      </c>
      <c r="N10" s="289">
        <f>IF('Assumptions &amp; Results'!$C$172=3,0,((+SUM('Assumptions &amp; Results'!$D$49:O$49)/(+SUM('Financing for Fiscal Terms Only'!$C$22:N$22))*N$6)))</f>
        <v>104.75251864356296</v>
      </c>
      <c r="O10" s="289">
        <f>IF('Assumptions &amp; Results'!$C$172=3,0,((+SUM('Assumptions &amp; Results'!$D$49:P$49)/(+SUM('Financing for Fiscal Terms Only'!$C$22:O$22))*O$6)))</f>
        <v>54.824954035671738</v>
      </c>
      <c r="P10" s="289">
        <f>IF('Assumptions &amp; Results'!$C$172=3,0,((+SUM('Assumptions &amp; Results'!$D$49:Q$49)/(+SUM('Financing for Fiscal Terms Only'!$C$22:P$22))*P$6)))</f>
        <v>0.9031839922208984</v>
      </c>
      <c r="Q10" s="289">
        <f>IF('Assumptions &amp; Results'!$C$172=3,0,((+SUM('Assumptions &amp; Results'!$D$49:R$49)/(+SUM('Financing for Fiscal Terms Only'!$C$22:Q$22))*Q$6)))</f>
        <v>0</v>
      </c>
      <c r="R10" s="289">
        <f>IF('Assumptions &amp; Results'!$C$172=3,0,((+SUM('Assumptions &amp; Results'!$D$49:S$49)/(+SUM('Financing for Fiscal Terms Only'!$C$22:R$22))*R$6)))</f>
        <v>0</v>
      </c>
      <c r="S10" s="289">
        <f>IF('Assumptions &amp; Results'!$C$172=3,0,((+SUM('Assumptions &amp; Results'!$D$49:T$49)/(+SUM('Financing for Fiscal Terms Only'!$C$22:S$22))*S$6)))</f>
        <v>0</v>
      </c>
      <c r="T10" s="289">
        <f>IF('Assumptions &amp; Results'!$C$172=3,0,((+SUM('Assumptions &amp; Results'!$D$49:U$49)/(+SUM('Financing for Fiscal Terms Only'!$C$22:T$22))*T$6)))</f>
        <v>0</v>
      </c>
      <c r="U10" s="289">
        <f>IF('Assumptions &amp; Results'!$C$172=3,0,((+SUM('Assumptions &amp; Results'!$D$49:V$49)/(+SUM('Financing for Fiscal Terms Only'!$C$22:U$22))*U$6)))</f>
        <v>0</v>
      </c>
      <c r="V10" s="289">
        <f>IF('Assumptions &amp; Results'!$C$172=3,0,((+SUM('Assumptions &amp; Results'!$D$49:W$49)/(+SUM('Financing for Fiscal Terms Only'!$C$22:V$22))*V$6)))</f>
        <v>0</v>
      </c>
      <c r="W10" s="289">
        <f>IF('Assumptions &amp; Results'!$C$172=3,0,((+SUM('Assumptions &amp; Results'!$D$49:X$49)/(+SUM('Financing for Fiscal Terms Only'!$C$22:W$22))*W$6)))</f>
        <v>0</v>
      </c>
      <c r="X10" s="289">
        <f>IF('Assumptions &amp; Results'!$C$172=3,0,((+SUM('Assumptions &amp; Results'!$D$49:Y$49)/(+SUM('Financing for Fiscal Terms Only'!$C$22:X$22))*X$6)))</f>
        <v>0</v>
      </c>
      <c r="Y10" s="289">
        <f>IF('Assumptions &amp; Results'!$C$172=3,0,((+SUM('Assumptions &amp; Results'!$D$49:Z$49)/(+SUM('Financing for Fiscal Terms Only'!$C$22:Y$22))*Y$6)))</f>
        <v>0</v>
      </c>
      <c r="Z10" s="289">
        <f>IF('Assumptions &amp; Results'!$C$172=3,0,((+SUM('Assumptions &amp; Results'!$D$49:AA$49)/(+SUM('Financing for Fiscal Terms Only'!$C$22:Z$22))*Z$6)))</f>
        <v>0</v>
      </c>
      <c r="AA10" s="289">
        <f>IF('Assumptions &amp; Results'!$C$172=3,0,((+SUM('Assumptions &amp; Results'!$D$49:AB$49)/(+SUM('Financing for Fiscal Terms Only'!$C$22:AA$22))*AA$6)))</f>
        <v>0</v>
      </c>
      <c r="AB10" s="289">
        <f>IF('Assumptions &amp; Results'!$C$172=3,0,((+SUM('Assumptions &amp; Results'!$D$49:AC$49)/(+SUM('Financing for Fiscal Terms Only'!$C$22:AB$22))*AB$6)))</f>
        <v>0</v>
      </c>
      <c r="AC10" s="289">
        <f>IF('Assumptions &amp; Results'!$C$172=3,0,((+SUM('Assumptions &amp; Results'!$D$49:AD$49)/(+SUM('Financing for Fiscal Terms Only'!$C$22:AC$22))*AC$6)))</f>
        <v>0</v>
      </c>
      <c r="AD10" s="289">
        <f>IF('Assumptions &amp; Results'!$C$172=3,0,((+SUM('Assumptions &amp; Results'!$D$49:AE$49)/(+SUM('Financing for Fiscal Terms Only'!$C$22:AD$22))*AD$6)))</f>
        <v>0</v>
      </c>
      <c r="AE10" s="289">
        <f>IF('Assumptions &amp; Results'!$C$172=3,0,((+SUM('Assumptions &amp; Results'!$D$49:AF$49)/(+SUM('Financing for Fiscal Terms Only'!$C$22:AE$22))*AE$6)))</f>
        <v>0</v>
      </c>
      <c r="AF10" s="289">
        <f>IF('Assumptions &amp; Results'!$C$172=3,0,((+SUM('Assumptions &amp; Results'!$D$49:AG$49)/(+SUM('Financing for Fiscal Terms Only'!$C$22:AF$22))*AF$6)))</f>
        <v>0</v>
      </c>
      <c r="AG10" s="289">
        <f>IF('Assumptions &amp; Results'!$C$172=3,0,((+SUM('Assumptions &amp; Results'!$D$49:AH$49)/(+SUM('Financing for Fiscal Terms Only'!$C$22:AG$22))*AG$6)))</f>
        <v>0</v>
      </c>
      <c r="AH10" s="289">
        <f>IF('Assumptions &amp; Results'!$C$172=3,0,((+SUM('Assumptions &amp; Results'!$D$49:AI$49)/(+SUM('Financing for Fiscal Terms Only'!$C$22:AH$22))*AH$6)))</f>
        <v>0</v>
      </c>
      <c r="AI10" s="289">
        <f>IF('Assumptions &amp; Results'!$C$172=3,0,((+SUM('Assumptions &amp; Results'!$D$49:AJ$49)/(+SUM('Financing for Fiscal Terms Only'!$C$22:AI$22))*AI$6)))</f>
        <v>0</v>
      </c>
      <c r="AJ10" s="289">
        <f t="shared" si="1"/>
        <v>1642.3556214107507</v>
      </c>
      <c r="AK10" s="216"/>
    </row>
    <row r="11" spans="1:37" x14ac:dyDescent="0.2">
      <c r="A11" s="254" t="s">
        <v>116</v>
      </c>
      <c r="B11" s="217"/>
      <c r="C11" s="289">
        <f>IF('Assumptions &amp; Results'!$C$172=3,0,('Assumptions &amp; Results'!D$58/('Financing for Fiscal Terms Only'!C$22)*C$6))</f>
        <v>0</v>
      </c>
      <c r="D11" s="289">
        <f>IF('Assumptions &amp; Results'!$C$172=3,0,((+SUM('Assumptions &amp; Results'!$D$58:E$58)/(+SUM('Financing for Fiscal Terms Only'!$C$22:D$22))*D$6)))</f>
        <v>0</v>
      </c>
      <c r="E11" s="289">
        <f>IF('Assumptions &amp; Results'!$C$172=3,0,((+SUM('Assumptions &amp; Results'!$D$58:F$58)/(+SUM('Financing for Fiscal Terms Only'!$C$22:E$22))*E$6)))</f>
        <v>0</v>
      </c>
      <c r="F11" s="289">
        <f>IF('Assumptions &amp; Results'!$C$172=3,0,((+SUM('Assumptions &amp; Results'!$D$58:G$58)/(+SUM('Financing for Fiscal Terms Only'!$C$22:F$22))*F$6)))</f>
        <v>0</v>
      </c>
      <c r="G11" s="289">
        <f>IF('Assumptions &amp; Results'!$C$172=3,0,((+SUM('Assumptions &amp; Results'!$D$58:H$58)/(+SUM('Financing for Fiscal Terms Only'!$C$22:G$22))*G$6)))</f>
        <v>0</v>
      </c>
      <c r="H11" s="289">
        <f>IF('Assumptions &amp; Results'!$C$172=3,0,((+SUM('Assumptions &amp; Results'!$D$58:I$58)/(+SUM('Financing for Fiscal Terms Only'!$C$22:H$22))*H$6)))</f>
        <v>0</v>
      </c>
      <c r="I11" s="289">
        <f>IF('Assumptions &amp; Results'!$C$172=3,0,((+SUM('Assumptions &amp; Results'!$D$58:J$58)/(+SUM('Financing for Fiscal Terms Only'!$C$22:I$22))*I$6)))</f>
        <v>0</v>
      </c>
      <c r="J11" s="289">
        <f>IF('Assumptions &amp; Results'!$C$172=3,0,((+SUM('Assumptions &amp; Results'!$D$58:K$58)/(+SUM('Financing for Fiscal Terms Only'!$C$22:J$22))*J$6)))</f>
        <v>0</v>
      </c>
      <c r="K11" s="289">
        <f>IF('Assumptions &amp; Results'!$C$172=3,0,((+SUM('Assumptions &amp; Results'!$D$58:L$58)/(+SUM('Financing for Fiscal Terms Only'!$C$22:K$22))*K$6)))</f>
        <v>0</v>
      </c>
      <c r="L11" s="289">
        <f>IF('Assumptions &amp; Results'!$C$172=3,0,((+SUM('Assumptions &amp; Results'!$D$58:M$58)/(+SUM('Financing for Fiscal Terms Only'!$C$22:L$22))*L$6)))</f>
        <v>0</v>
      </c>
      <c r="M11" s="289">
        <f>IF('Assumptions &amp; Results'!$C$172=3,0,((+SUM('Assumptions &amp; Results'!$D$58:N$58)/(+SUM('Financing for Fiscal Terms Only'!$C$22:M$22))*M$6)))</f>
        <v>0</v>
      </c>
      <c r="N11" s="289">
        <f>IF('Assumptions &amp; Results'!$C$172=3,0,((+SUM('Assumptions &amp; Results'!$D$58:O$58)/(+SUM('Financing for Fiscal Terms Only'!$C$22:N$22))*N$6)))</f>
        <v>0</v>
      </c>
      <c r="O11" s="289">
        <f>IF('Assumptions &amp; Results'!$C$172=3,0,((+SUM('Assumptions &amp; Results'!$D$58:P$58)/(+SUM('Financing for Fiscal Terms Only'!$C$22:O$22))*O$6)))</f>
        <v>0</v>
      </c>
      <c r="P11" s="289">
        <f>IF('Assumptions &amp; Results'!$C$172=3,0,((+SUM('Assumptions &amp; Results'!$D$58:Q$58)/(+SUM('Financing for Fiscal Terms Only'!$C$22:P$22))*P$6)))</f>
        <v>0</v>
      </c>
      <c r="Q11" s="289">
        <f>IF('Assumptions &amp; Results'!$C$172=3,0,((+SUM('Assumptions &amp; Results'!$D$58:R$58)/(+SUM('Financing for Fiscal Terms Only'!$C$22:Q$22))*Q$6)))</f>
        <v>0</v>
      </c>
      <c r="R11" s="289">
        <f>IF('Assumptions &amp; Results'!$C$172=3,0,((+SUM('Assumptions &amp; Results'!$D$58:S$58)/(+SUM('Financing for Fiscal Terms Only'!$C$22:R$22))*R$6)))</f>
        <v>0</v>
      </c>
      <c r="S11" s="289">
        <f>IF('Assumptions &amp; Results'!$C$172=3,0,((+SUM('Assumptions &amp; Results'!$D$58:T$58)/(+SUM('Financing for Fiscal Terms Only'!$C$22:S$22))*S$6)))</f>
        <v>0</v>
      </c>
      <c r="T11" s="289">
        <f>IF('Assumptions &amp; Results'!$C$172=3,0,((+SUM('Assumptions &amp; Results'!$D$58:U$58)/(+SUM('Financing for Fiscal Terms Only'!$C$22:T$22))*T$6)))</f>
        <v>0</v>
      </c>
      <c r="U11" s="289">
        <f>IF('Assumptions &amp; Results'!$C$172=3,0,((+SUM('Assumptions &amp; Results'!$D$58:V$58)/(+SUM('Financing for Fiscal Terms Only'!$C$22:U$22))*U$6)))</f>
        <v>0</v>
      </c>
      <c r="V11" s="289">
        <f>IF('Assumptions &amp; Results'!$C$172=3,0,((+SUM('Assumptions &amp; Results'!$D$58:W$58)/(+SUM('Financing for Fiscal Terms Only'!$C$22:V$22))*V$6)))</f>
        <v>0</v>
      </c>
      <c r="W11" s="289">
        <f>IF('Assumptions &amp; Results'!$C$172=3,0,((+SUM('Assumptions &amp; Results'!$D$58:X$58)/(+SUM('Financing for Fiscal Terms Only'!$C$22:W$22))*W$6)))</f>
        <v>0</v>
      </c>
      <c r="X11" s="289">
        <f>IF('Assumptions &amp; Results'!$C$172=3,0,((+SUM('Assumptions &amp; Results'!$D$58:Y$58)/(+SUM('Financing for Fiscal Terms Only'!$C$22:X$22))*X$6)))</f>
        <v>0</v>
      </c>
      <c r="Y11" s="289">
        <f>IF('Assumptions &amp; Results'!$C$172=3,0,((+SUM('Assumptions &amp; Results'!$D$58:Z$58)/(+SUM('Financing for Fiscal Terms Only'!$C$22:Y$22))*Y$6)))</f>
        <v>0</v>
      </c>
      <c r="Z11" s="289">
        <f>IF('Assumptions &amp; Results'!$C$172=3,0,((+SUM('Assumptions &amp; Results'!$D$58:AA$58)/(+SUM('Financing for Fiscal Terms Only'!$C$22:Z$22))*Z$6)))</f>
        <v>0</v>
      </c>
      <c r="AA11" s="289">
        <f>IF('Assumptions &amp; Results'!$C$172=3,0,((+SUM('Assumptions &amp; Results'!$D$58:AB$58)/(+SUM('Financing for Fiscal Terms Only'!$C$22:AA$22))*AA$6)))</f>
        <v>0</v>
      </c>
      <c r="AB11" s="289">
        <f>IF('Assumptions &amp; Results'!$C$172=3,0,((+SUM('Assumptions &amp; Results'!$D$58:AC$58)/(+SUM('Financing for Fiscal Terms Only'!$C$22:AB$22))*AB$6)))</f>
        <v>0</v>
      </c>
      <c r="AC11" s="289">
        <f>IF('Assumptions &amp; Results'!$C$172=3,0,((+SUM('Assumptions &amp; Results'!$D$58:AD$58)/(+SUM('Financing for Fiscal Terms Only'!$C$22:AC$22))*AC$6)))</f>
        <v>0</v>
      </c>
      <c r="AD11" s="289">
        <f>IF('Assumptions &amp; Results'!$C$172=3,0,((+SUM('Assumptions &amp; Results'!$D$58:AE$58)/(+SUM('Financing for Fiscal Terms Only'!$C$22:AD$22))*AD$6)))</f>
        <v>0</v>
      </c>
      <c r="AE11" s="289">
        <f>IF('Assumptions &amp; Results'!$C$172=3,0,((+SUM('Assumptions &amp; Results'!$D$58:AF$58)/(+SUM('Financing for Fiscal Terms Only'!$C$22:AE$22))*AE$6)))</f>
        <v>0</v>
      </c>
      <c r="AF11" s="289">
        <f>IF('Assumptions &amp; Results'!$C$172=3,0,((+SUM('Assumptions &amp; Results'!$D$58:AG$58)/(+SUM('Financing for Fiscal Terms Only'!$C$22:AF$22))*AF$6)))</f>
        <v>0</v>
      </c>
      <c r="AG11" s="289">
        <f>IF('Assumptions &amp; Results'!$C$172=3,0,((+SUM('Assumptions &amp; Results'!$D$58:AH$58)/(+SUM('Financing for Fiscal Terms Only'!$C$22:AG$22))*AG$6)))</f>
        <v>0</v>
      </c>
      <c r="AH11" s="289">
        <f>IF('Assumptions &amp; Results'!$C$172=3,0,((+SUM('Assumptions &amp; Results'!$D$58:AI$58)/(+SUM('Financing for Fiscal Terms Only'!$C$22:AH$22))*AH$6)))</f>
        <v>0</v>
      </c>
      <c r="AI11" s="289">
        <f>IF('Assumptions &amp; Results'!$C$172=3,0,((+SUM('Assumptions &amp; Results'!$D$58:AJ$58)/(+SUM('Financing for Fiscal Terms Only'!$C$22:AI$22))*AI$6)))</f>
        <v>0</v>
      </c>
      <c r="AJ11" s="289">
        <f t="shared" si="1"/>
        <v>0</v>
      </c>
      <c r="AK11" s="216"/>
    </row>
    <row r="12" spans="1:37" x14ac:dyDescent="0.2">
      <c r="A12" s="254" t="s">
        <v>33</v>
      </c>
      <c r="B12" s="217"/>
      <c r="C12" s="289">
        <f>IF('Assumptions &amp; Results'!$C$172=3,0,('Assumptions &amp; Results'!D$65/('Financing for Fiscal Terms Only'!C$22)*C$6))</f>
        <v>0</v>
      </c>
      <c r="D12" s="289">
        <f>IF('Assumptions &amp; Results'!$C$172=3,0,((+SUM('Assumptions &amp; Results'!$D$65:E$65)/(+SUM('Financing for Fiscal Terms Only'!$C$22:D$22))*D$6)))</f>
        <v>0</v>
      </c>
      <c r="E12" s="289">
        <f>IF('Assumptions &amp; Results'!$C$172=3,0,((+SUM('Assumptions &amp; Results'!$D$65:F$65)/(+SUM('Financing for Fiscal Terms Only'!$C$22:E$22))*E$6)))</f>
        <v>0</v>
      </c>
      <c r="F12" s="289">
        <f>IF('Assumptions &amp; Results'!$C$172=3,0,((+SUM('Assumptions &amp; Results'!$D$65:G$65)/(+SUM('Financing for Fiscal Terms Only'!$C$22:F$22))*F$6)))</f>
        <v>0</v>
      </c>
      <c r="G12" s="289">
        <f>IF('Assumptions &amp; Results'!$C$172=3,0,((+SUM('Assumptions &amp; Results'!$D$65:H$65)/(+SUM('Financing for Fiscal Terms Only'!$C$22:G$22))*G$6)))</f>
        <v>0</v>
      </c>
      <c r="H12" s="289">
        <f>IF('Assumptions &amp; Results'!$C$172=3,0,((+SUM('Assumptions &amp; Results'!$D$65:I$65)/(+SUM('Financing for Fiscal Terms Only'!$C$22:H$22))*H$6)))</f>
        <v>74.114771460508791</v>
      </c>
      <c r="I12" s="289">
        <f>IF('Assumptions &amp; Results'!$C$172=3,0,((+SUM('Assumptions &amp; Results'!$D$65:J$65)/(+SUM('Financing for Fiscal Terms Only'!$C$22:I$22))*I$6)))</f>
        <v>68.407860297147664</v>
      </c>
      <c r="J12" s="289">
        <f>IF('Assumptions &amp; Results'!$C$172=3,0,((+SUM('Assumptions &amp; Results'!$D$65:K$65)/(+SUM('Financing for Fiscal Terms Only'!$C$22:J$22))*J$6)))</f>
        <v>60.763997292382086</v>
      </c>
      <c r="K12" s="289">
        <f>IF('Assumptions &amp; Results'!$C$172=3,0,((+SUM('Assumptions &amp; Results'!$D$65:L$65)/(+SUM('Financing for Fiscal Terms Only'!$C$22:K$22))*K$6)))</f>
        <v>52.508625237227548</v>
      </c>
      <c r="L12" s="289">
        <f>IF('Assumptions &amp; Results'!$C$172=3,0,((+SUM('Assumptions &amp; Results'!$D$65:M$65)/(+SUM('Financing for Fiscal Terms Only'!$C$22:L$22))*L$6)))</f>
        <v>43.592823405985001</v>
      </c>
      <c r="M12" s="289">
        <f>IF('Assumptions &amp; Results'!$C$172=3,0,((+SUM('Assumptions &amp; Results'!$D$65:N$65)/(+SUM('Financing for Fiscal Terms Only'!$C$22:M$22))*M$6)))</f>
        <v>33.963757474945687</v>
      </c>
      <c r="N12" s="289">
        <f>IF('Assumptions &amp; Results'!$C$172=3,0,((+SUM('Assumptions &amp; Results'!$D$65:O$65)/(+SUM('Financing for Fiscal Terms Only'!$C$22:N$22))*N$6)))</f>
        <v>23.564366197701311</v>
      </c>
      <c r="O12" s="289">
        <f>IF('Assumptions &amp; Results'!$C$172=3,0,((+SUM('Assumptions &amp; Results'!$D$65:P$65)/(+SUM('Financing for Fiscal Terms Only'!$C$22:O$22))*O$6)))</f>
        <v>12.333023686663395</v>
      </c>
      <c r="P12" s="289">
        <f>IF('Assumptions &amp; Results'!$C$172=3,0,((+SUM('Assumptions &amp; Results'!$D$65:Q$65)/(+SUM('Financing for Fiscal Terms Only'!$C$22:P$22))*P$6)))</f>
        <v>0.20317371469619452</v>
      </c>
      <c r="Q12" s="289">
        <f>IF('Assumptions &amp; Results'!$C$172=3,0,((+SUM('Assumptions &amp; Results'!$D$65:R$65)/(+SUM('Financing for Fiscal Terms Only'!$C$22:Q$22))*Q$6)))</f>
        <v>0</v>
      </c>
      <c r="R12" s="289">
        <f>IF('Assumptions &amp; Results'!$C$172=3,0,((+SUM('Assumptions &amp; Results'!$D$65:S$65)/(+SUM('Financing for Fiscal Terms Only'!$C$22:R$22))*R$6)))</f>
        <v>0</v>
      </c>
      <c r="S12" s="289">
        <f>IF('Assumptions &amp; Results'!$C$172=3,0,((+SUM('Assumptions &amp; Results'!$D$65:T$65)/(+SUM('Financing for Fiscal Terms Only'!$C$22:S$22))*S$6)))</f>
        <v>0</v>
      </c>
      <c r="T12" s="289">
        <f>IF('Assumptions &amp; Results'!$C$172=3,0,((+SUM('Assumptions &amp; Results'!$D$65:U$65)/(+SUM('Financing for Fiscal Terms Only'!$C$22:T$22))*T$6)))</f>
        <v>0</v>
      </c>
      <c r="U12" s="289">
        <f>IF('Assumptions &amp; Results'!$C$172=3,0,((+SUM('Assumptions &amp; Results'!$D$65:V$65)/(+SUM('Financing for Fiscal Terms Only'!$C$22:U$22))*U$6)))</f>
        <v>0</v>
      </c>
      <c r="V12" s="289">
        <f>IF('Assumptions &amp; Results'!$C$172=3,0,((+SUM('Assumptions &amp; Results'!$D$65:W$65)/(+SUM('Financing for Fiscal Terms Only'!$C$22:V$22))*V$6)))</f>
        <v>0</v>
      </c>
      <c r="W12" s="289">
        <f>IF('Assumptions &amp; Results'!$C$172=3,0,((+SUM('Assumptions &amp; Results'!$D$65:X$65)/(+SUM('Financing for Fiscal Terms Only'!$C$22:W$22))*W$6)))</f>
        <v>0</v>
      </c>
      <c r="X12" s="289">
        <f>IF('Assumptions &amp; Results'!$C$172=3,0,((+SUM('Assumptions &amp; Results'!$D$65:Y$65)/(+SUM('Financing for Fiscal Terms Only'!$C$22:X$22))*X$6)))</f>
        <v>0</v>
      </c>
      <c r="Y12" s="289">
        <f>IF('Assumptions &amp; Results'!$C$172=3,0,((+SUM('Assumptions &amp; Results'!$D$65:Z$65)/(+SUM('Financing for Fiscal Terms Only'!$C$22:Y$22))*Y$6)))</f>
        <v>0</v>
      </c>
      <c r="Z12" s="289">
        <f>IF('Assumptions &amp; Results'!$C$172=3,0,((+SUM('Assumptions &amp; Results'!$D$65:AA$65)/(+SUM('Financing for Fiscal Terms Only'!$C$22:Z$22))*Z$6)))</f>
        <v>0</v>
      </c>
      <c r="AA12" s="289">
        <f>IF('Assumptions &amp; Results'!$C$172=3,0,((+SUM('Assumptions &amp; Results'!$D$65:AB$65)/(+SUM('Financing for Fiscal Terms Only'!$C$22:AA$22))*AA$6)))</f>
        <v>0</v>
      </c>
      <c r="AB12" s="289">
        <f>IF('Assumptions &amp; Results'!$C$172=3,0,((+SUM('Assumptions &amp; Results'!$D$65:AC$65)/(+SUM('Financing for Fiscal Terms Only'!$C$22:AB$22))*AB$6)))</f>
        <v>0</v>
      </c>
      <c r="AC12" s="289">
        <f>IF('Assumptions &amp; Results'!$C$172=3,0,((+SUM('Assumptions &amp; Results'!$D$65:AD$65)/(+SUM('Financing for Fiscal Terms Only'!$C$22:AC$22))*AC$6)))</f>
        <v>0</v>
      </c>
      <c r="AD12" s="289">
        <f>IF('Assumptions &amp; Results'!$C$172=3,0,((+SUM('Assumptions &amp; Results'!$D$65:AE$65)/(+SUM('Financing for Fiscal Terms Only'!$C$22:AD$22))*AD$6)))</f>
        <v>0</v>
      </c>
      <c r="AE12" s="289">
        <f>IF('Assumptions &amp; Results'!$C$172=3,0,((+SUM('Assumptions &amp; Results'!$D$65:AF$65)/(+SUM('Financing for Fiscal Terms Only'!$C$22:AE$22))*AE$6)))</f>
        <v>0</v>
      </c>
      <c r="AF12" s="289">
        <f>IF('Assumptions &amp; Results'!$C$172=3,0,((+SUM('Assumptions &amp; Results'!$D$65:AG$65)/(+SUM('Financing for Fiscal Terms Only'!$C$22:AF$22))*AF$6)))</f>
        <v>0</v>
      </c>
      <c r="AG12" s="289">
        <f>IF('Assumptions &amp; Results'!$C$172=3,0,((+SUM('Assumptions &amp; Results'!$D$65:AH$65)/(+SUM('Financing for Fiscal Terms Only'!$C$22:AG$22))*AG$6)))</f>
        <v>0</v>
      </c>
      <c r="AH12" s="289">
        <f>IF('Assumptions &amp; Results'!$C$172=3,0,((+SUM('Assumptions &amp; Results'!$D$65:AI$65)/(+SUM('Financing for Fiscal Terms Only'!$C$22:AH$22))*AH$6)))</f>
        <v>0</v>
      </c>
      <c r="AI12" s="289">
        <f>IF('Assumptions &amp; Results'!$C$172=3,0,((+SUM('Assumptions &amp; Results'!$D$65:AJ$65)/(+SUM('Financing for Fiscal Terms Only'!$C$22:AI$22))*AI$6)))</f>
        <v>0</v>
      </c>
      <c r="AJ12" s="289">
        <f t="shared" si="1"/>
        <v>369.45239876725765</v>
      </c>
      <c r="AK12" s="216"/>
    </row>
    <row r="13" spans="1:37" ht="17.100000000000001" x14ac:dyDescent="0.3">
      <c r="A13" s="254" t="s">
        <v>226</v>
      </c>
      <c r="B13" s="217"/>
      <c r="C13" s="290">
        <f>IF('Assumptions &amp; Results'!$C$172=3,0,('Assumptions &amp; Results'!D$83/('Financing for Fiscal Terms Only'!C$22)*C$6))</f>
        <v>0</v>
      </c>
      <c r="D13" s="291">
        <f>IF('Assumptions &amp; Results'!$C$172=3,0,((+SUM('Assumptions &amp; Results'!$D$83:E$83)/(+SUM('Financing for Fiscal Terms Only'!$C$22:D$22))*D$6)))</f>
        <v>0</v>
      </c>
      <c r="E13" s="291">
        <f>IF('Assumptions &amp; Results'!$C$172=3,0,((+SUM('Assumptions &amp; Results'!$D$83:F$83)/(+SUM('Financing for Fiscal Terms Only'!$C$22:E$22))*E$6)))</f>
        <v>0</v>
      </c>
      <c r="F13" s="291">
        <f>IF('Assumptions &amp; Results'!$C$172=3,0,((+SUM('Assumptions &amp; Results'!$D$83:G$83)/(+SUM('Financing for Fiscal Terms Only'!$C$22:F$22))*F$6)))</f>
        <v>0</v>
      </c>
      <c r="G13" s="291">
        <f>IF('Assumptions &amp; Results'!$C$172=3,0,((+SUM('Assumptions &amp; Results'!$D$83:H$83)/(+SUM('Financing for Fiscal Terms Only'!$C$22:G$22))*G$6)))</f>
        <v>0</v>
      </c>
      <c r="H13" s="291">
        <f>IF('Assumptions &amp; Results'!$C$172=3,0,((+SUM('Assumptions &amp; Results'!$D$83:I$83)/(+SUM('Financing for Fiscal Terms Only'!$C$22:H$22))*H$6)))</f>
        <v>1044.3331830670686</v>
      </c>
      <c r="I13" s="291">
        <f>IF('Assumptions &amp; Results'!$C$172=3,0,((+SUM('Assumptions &amp; Results'!$D$83:J$83)/(+SUM('Financing for Fiscal Terms Only'!$C$22:I$22))*I$6)))</f>
        <v>963.91848862401002</v>
      </c>
      <c r="J13" s="291">
        <f>IF('Assumptions &amp; Results'!$C$172=3,0,((+SUM('Assumptions &amp; Results'!$D$83:K$83)/(+SUM('Financing for Fiscal Terms Only'!$C$22:J$22))*J$6)))</f>
        <v>856.21067781400245</v>
      </c>
      <c r="K13" s="291">
        <f>IF('Assumptions &amp; Results'!$C$172=3,0,((+SUM('Assumptions &amp; Results'!$D$83:L$83)/(+SUM('Financing for Fiscal Terms Only'!$C$22:K$22))*K$6)))</f>
        <v>739.88624199817775</v>
      </c>
      <c r="L13" s="291">
        <f>IF('Assumptions &amp; Results'!$C$172=3,0,((+SUM('Assumptions &amp; Results'!$D$83:M$83)/(+SUM('Financing for Fiscal Terms Only'!$C$22:L$22))*L$6)))</f>
        <v>614.25585115256843</v>
      </c>
      <c r="M13" s="291">
        <f>IF('Assumptions &amp; Results'!$C$172=3,0,((+SUM('Assumptions &amp; Results'!$D$83:N$83)/(+SUM('Financing for Fiscal Terms Only'!$C$22:M$22))*M$6)))</f>
        <v>478.57502969738596</v>
      </c>
      <c r="N13" s="291">
        <f>IF('Assumptions &amp; Results'!$C$172=3,0,((+SUM('Assumptions &amp; Results'!$D$83:O$83)/(+SUM('Financing for Fiscal Terms Only'!$C$22:N$22))*N$6)))</f>
        <v>332.03974151517275</v>
      </c>
      <c r="O13" s="291">
        <f>IF('Assumptions &amp; Results'!$C$172=3,0,((+SUM('Assumptions &amp; Results'!$D$83:P$83)/(+SUM('Financing for Fiscal Terms Only'!$C$22:O$22))*O$6)))</f>
        <v>173.78163124199313</v>
      </c>
      <c r="P13" s="291">
        <f>IF('Assumptions &amp; Results'!$C$172=3,0,((+SUM('Assumptions &amp; Results'!$D$83:Q$83)/(+SUM('Financing for Fiscal Terms Only'!$C$22:P$22))*P$6)))</f>
        <v>2.8628713008620084</v>
      </c>
      <c r="Q13" s="291">
        <f>IF('Assumptions &amp; Results'!$C$172=3,0,((+SUM('Assumptions &amp; Results'!$D$83:R$83)/(+SUM('Financing for Fiscal Terms Only'!$C$22:Q$22))*Q$6)))</f>
        <v>0</v>
      </c>
      <c r="R13" s="291">
        <f>IF('Assumptions &amp; Results'!$C$172=3,0,((+SUM('Assumptions &amp; Results'!$D$83:S$83)/(+SUM('Financing for Fiscal Terms Only'!$C$22:R$22))*R$6)))</f>
        <v>0</v>
      </c>
      <c r="S13" s="291">
        <f>IF('Assumptions &amp; Results'!$C$172=3,0,((+SUM('Assumptions &amp; Results'!$D$83:T$83)/(+SUM('Financing for Fiscal Terms Only'!$C$22:S$22))*S$6)))</f>
        <v>0</v>
      </c>
      <c r="T13" s="291">
        <f>IF('Assumptions &amp; Results'!$C$172=3,0,((+SUM('Assumptions &amp; Results'!$D$83:U$83)/(+SUM('Financing for Fiscal Terms Only'!$C$22:T$22))*T$6)))</f>
        <v>0</v>
      </c>
      <c r="U13" s="291">
        <f>IF('Assumptions &amp; Results'!$C$172=3,0,((+SUM('Assumptions &amp; Results'!$D$83:V$83)/(+SUM('Financing for Fiscal Terms Only'!$C$22:U$22))*U$6)))</f>
        <v>0</v>
      </c>
      <c r="V13" s="291">
        <f>IF('Assumptions &amp; Results'!$C$172=3,0,((+SUM('Assumptions &amp; Results'!$D$83:W$83)/(+SUM('Financing for Fiscal Terms Only'!$C$22:V$22))*V$6)))</f>
        <v>0</v>
      </c>
      <c r="W13" s="291">
        <f>IF('Assumptions &amp; Results'!$C$172=3,0,((+SUM('Assumptions &amp; Results'!$D$83:X$83)/(+SUM('Financing for Fiscal Terms Only'!$C$22:W$22))*W$6)))</f>
        <v>0</v>
      </c>
      <c r="X13" s="291">
        <f>IF('Assumptions &amp; Results'!$C$172=3,0,((+SUM('Assumptions &amp; Results'!$D$83:Y$83)/(+SUM('Financing for Fiscal Terms Only'!$C$22:X$22))*X$6)))</f>
        <v>0</v>
      </c>
      <c r="Y13" s="291">
        <f>IF('Assumptions &amp; Results'!$C$172=3,0,((+SUM('Assumptions &amp; Results'!$D$83:Z$83)/(+SUM('Financing for Fiscal Terms Only'!$C$22:Y$22))*Y$6)))</f>
        <v>0</v>
      </c>
      <c r="Z13" s="291">
        <f>IF('Assumptions &amp; Results'!$C$172=3,0,((+SUM('Assumptions &amp; Results'!$D$83:AA$83)/(+SUM('Financing for Fiscal Terms Only'!$C$22:Z$22))*Z$6)))</f>
        <v>0</v>
      </c>
      <c r="AA13" s="291">
        <f>IF('Assumptions &amp; Results'!$C$172=3,0,((+SUM('Assumptions &amp; Results'!$D$83:AB$83)/(+SUM('Financing for Fiscal Terms Only'!$C$22:AA$22))*AA$6)))</f>
        <v>0</v>
      </c>
      <c r="AB13" s="291">
        <f>IF('Assumptions &amp; Results'!$C$172=3,0,((+SUM('Assumptions &amp; Results'!$D$83:AC$83)/(+SUM('Financing for Fiscal Terms Only'!$C$22:AB$22))*AB$6)))</f>
        <v>0</v>
      </c>
      <c r="AC13" s="291">
        <f>IF('Assumptions &amp; Results'!$C$172=3,0,((+SUM('Assumptions &amp; Results'!$D$83:AD$83)/(+SUM('Financing for Fiscal Terms Only'!$C$22:AC$22))*AC$6)))</f>
        <v>0</v>
      </c>
      <c r="AD13" s="291">
        <f>IF('Assumptions &amp; Results'!$C$172=3,0,((+SUM('Assumptions &amp; Results'!$D$83:AE$83)/(+SUM('Financing for Fiscal Terms Only'!$C$22:AD$22))*AD$6)))</f>
        <v>0</v>
      </c>
      <c r="AE13" s="291">
        <f>IF('Assumptions &amp; Results'!$C$172=3,0,((+SUM('Assumptions &amp; Results'!$D$83:AF$83)/(+SUM('Financing for Fiscal Terms Only'!$C$22:AE$22))*AE$6)))</f>
        <v>0</v>
      </c>
      <c r="AF13" s="291">
        <f>IF('Assumptions &amp; Results'!$C$172=3,0,((+SUM('Assumptions &amp; Results'!$D$83:AG$83)/(+SUM('Financing for Fiscal Terms Only'!$C$22:AF$22))*AF$6)))</f>
        <v>0</v>
      </c>
      <c r="AG13" s="291">
        <f>IF('Assumptions &amp; Results'!$C$172=3,0,((+SUM('Assumptions &amp; Results'!$D$83:AH$83)/(+SUM('Financing for Fiscal Terms Only'!$C$22:AG$22))*AG$6)))</f>
        <v>0</v>
      </c>
      <c r="AH13" s="291">
        <f>IF('Assumptions &amp; Results'!$C$172=3,0,((+SUM('Assumptions &amp; Results'!$D$83:AI$83)/(+SUM('Financing for Fiscal Terms Only'!$C$22:AH$22))*AH$6)))</f>
        <v>0</v>
      </c>
      <c r="AI13" s="291">
        <f>IF('Assumptions &amp; Results'!$C$172=3,0,((+SUM('Assumptions &amp; Results'!$D$83:AJ$83)/(+SUM('Financing for Fiscal Terms Only'!$C$22:AI$22))*AI$6)))</f>
        <v>0</v>
      </c>
      <c r="AJ13" s="291">
        <f t="shared" si="1"/>
        <v>5205.8637164112406</v>
      </c>
      <c r="AK13" s="216"/>
    </row>
    <row r="14" spans="1:37" x14ac:dyDescent="0.2">
      <c r="A14" s="254" t="s">
        <v>476</v>
      </c>
      <c r="B14" s="217"/>
      <c r="C14" s="289">
        <f>SUM(C9:C13)</f>
        <v>0</v>
      </c>
      <c r="D14" s="289">
        <f t="shared" ref="D14:AI14" si="2">SUM(D9:D13)</f>
        <v>0</v>
      </c>
      <c r="E14" s="289">
        <f t="shared" si="2"/>
        <v>0</v>
      </c>
      <c r="F14" s="289">
        <f t="shared" si="2"/>
        <v>0</v>
      </c>
      <c r="G14" s="289">
        <f t="shared" si="2"/>
        <v>0</v>
      </c>
      <c r="H14" s="289">
        <f t="shared" si="2"/>
        <v>1777.3843260000001</v>
      </c>
      <c r="I14" s="289">
        <f t="shared" si="2"/>
        <v>1640.523964</v>
      </c>
      <c r="J14" s="289">
        <f t="shared" si="2"/>
        <v>1457.212567</v>
      </c>
      <c r="K14" s="289">
        <f t="shared" si="2"/>
        <v>1259.2362579999999</v>
      </c>
      <c r="L14" s="289">
        <f t="shared" si="2"/>
        <v>1045.421844</v>
      </c>
      <c r="M14" s="289">
        <f t="shared" si="2"/>
        <v>814.50227800000005</v>
      </c>
      <c r="N14" s="289">
        <f t="shared" si="2"/>
        <v>565.10914500000001</v>
      </c>
      <c r="O14" s="289">
        <f t="shared" si="2"/>
        <v>295.76456300000001</v>
      </c>
      <c r="P14" s="289">
        <f t="shared" si="2"/>
        <v>4.8724129999999999</v>
      </c>
      <c r="Q14" s="289">
        <f t="shared" si="2"/>
        <v>0</v>
      </c>
      <c r="R14" s="289">
        <f t="shared" si="2"/>
        <v>0</v>
      </c>
      <c r="S14" s="289">
        <f t="shared" si="2"/>
        <v>0</v>
      </c>
      <c r="T14" s="289">
        <f t="shared" si="2"/>
        <v>0</v>
      </c>
      <c r="U14" s="289">
        <f t="shared" si="2"/>
        <v>0</v>
      </c>
      <c r="V14" s="289">
        <f t="shared" si="2"/>
        <v>0</v>
      </c>
      <c r="W14" s="289">
        <f t="shared" si="2"/>
        <v>0</v>
      </c>
      <c r="X14" s="289">
        <f t="shared" si="2"/>
        <v>0</v>
      </c>
      <c r="Y14" s="289">
        <f t="shared" si="2"/>
        <v>0</v>
      </c>
      <c r="Z14" s="289">
        <f t="shared" si="2"/>
        <v>0</v>
      </c>
      <c r="AA14" s="289">
        <f t="shared" si="2"/>
        <v>0</v>
      </c>
      <c r="AB14" s="289">
        <f t="shared" si="2"/>
        <v>0</v>
      </c>
      <c r="AC14" s="289">
        <f t="shared" si="2"/>
        <v>0</v>
      </c>
      <c r="AD14" s="289">
        <f t="shared" si="2"/>
        <v>0</v>
      </c>
      <c r="AE14" s="289">
        <f t="shared" si="2"/>
        <v>0</v>
      </c>
      <c r="AF14" s="289">
        <f t="shared" si="2"/>
        <v>0</v>
      </c>
      <c r="AG14" s="289">
        <f t="shared" si="2"/>
        <v>0</v>
      </c>
      <c r="AH14" s="289">
        <f t="shared" si="2"/>
        <v>0</v>
      </c>
      <c r="AI14" s="289">
        <f t="shared" si="2"/>
        <v>0</v>
      </c>
      <c r="AJ14" s="289">
        <f t="shared" si="1"/>
        <v>8860.0273579999994</v>
      </c>
      <c r="AK14" s="216"/>
    </row>
    <row r="15" spans="1:37" x14ac:dyDescent="0.2">
      <c r="A15" s="2"/>
      <c r="B15" s="219"/>
      <c r="C15" s="220"/>
      <c r="D15" s="220"/>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
    </row>
    <row r="16" spans="1:37" x14ac:dyDescent="0.2">
      <c r="A16" s="251" t="s">
        <v>427</v>
      </c>
      <c r="B16" s="221"/>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
    </row>
    <row r="17" spans="1:53" x14ac:dyDescent="0.2">
      <c r="A17" s="222" t="s">
        <v>396</v>
      </c>
      <c r="B17" s="223">
        <f>'Assumptions &amp; Results'!C149</f>
        <v>0.7</v>
      </c>
      <c r="C17" s="220"/>
      <c r="D17" s="220"/>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220"/>
      <c r="AG17" s="220"/>
      <c r="AH17" s="220"/>
      <c r="AI17" s="220"/>
      <c r="AJ17" s="220"/>
      <c r="AK17" s="2"/>
    </row>
    <row r="18" spans="1:53" x14ac:dyDescent="0.2">
      <c r="A18" s="222" t="s">
        <v>397</v>
      </c>
      <c r="B18" s="233">
        <f>'Assumptions &amp; Results'!C150</f>
        <v>8</v>
      </c>
      <c r="C18" s="225"/>
      <c r="D18" s="224"/>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4"/>
    </row>
    <row r="19" spans="1:53" x14ac:dyDescent="0.2">
      <c r="A19" s="226" t="s">
        <v>398</v>
      </c>
      <c r="B19" s="303">
        <f>'Assumptions &amp; Results'!C151</f>
        <v>0.08</v>
      </c>
      <c r="C19" s="225"/>
      <c r="D19" s="224"/>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4"/>
    </row>
    <row r="20" spans="1:53" x14ac:dyDescent="0.2">
      <c r="A20" s="227"/>
      <c r="B20" s="228"/>
      <c r="C20" s="225"/>
      <c r="D20" s="224"/>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4"/>
    </row>
    <row r="21" spans="1:53" x14ac:dyDescent="0.2">
      <c r="A21" s="227"/>
      <c r="B21" s="228"/>
      <c r="C21" s="225"/>
      <c r="D21" s="224"/>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4"/>
    </row>
    <row r="22" spans="1:53" x14ac:dyDescent="0.2">
      <c r="A22" s="216" t="s">
        <v>419</v>
      </c>
      <c r="B22" s="229" t="s">
        <v>99</v>
      </c>
      <c r="C22" s="293">
        <f t="shared" ref="C22:AI22" si="3">+C26+C27</f>
        <v>417</v>
      </c>
      <c r="D22" s="293">
        <f t="shared" si="3"/>
        <v>5243</v>
      </c>
      <c r="E22" s="293">
        <f t="shared" si="3"/>
        <v>8207</v>
      </c>
      <c r="F22" s="293">
        <f t="shared" si="3"/>
        <v>10831</v>
      </c>
      <c r="G22" s="293">
        <f t="shared" si="3"/>
        <v>3300</v>
      </c>
      <c r="H22" s="293">
        <f t="shared" si="3"/>
        <v>540</v>
      </c>
      <c r="I22" s="293">
        <f t="shared" si="3"/>
        <v>0</v>
      </c>
      <c r="J22" s="293">
        <f t="shared" si="3"/>
        <v>0</v>
      </c>
      <c r="K22" s="293">
        <f t="shared" si="3"/>
        <v>0</v>
      </c>
      <c r="L22" s="293">
        <f t="shared" si="3"/>
        <v>0</v>
      </c>
      <c r="M22" s="293">
        <f t="shared" si="3"/>
        <v>0</v>
      </c>
      <c r="N22" s="293">
        <f t="shared" si="3"/>
        <v>0</v>
      </c>
      <c r="O22" s="293">
        <f t="shared" si="3"/>
        <v>0</v>
      </c>
      <c r="P22" s="293">
        <f t="shared" si="3"/>
        <v>0</v>
      </c>
      <c r="Q22" s="293">
        <f t="shared" si="3"/>
        <v>0</v>
      </c>
      <c r="R22" s="293">
        <f t="shared" si="3"/>
        <v>0</v>
      </c>
      <c r="S22" s="293">
        <f t="shared" si="3"/>
        <v>0</v>
      </c>
      <c r="T22" s="293">
        <f t="shared" si="3"/>
        <v>0</v>
      </c>
      <c r="U22" s="293">
        <f t="shared" si="3"/>
        <v>0</v>
      </c>
      <c r="V22" s="293">
        <f t="shared" si="3"/>
        <v>0</v>
      </c>
      <c r="W22" s="293">
        <f t="shared" si="3"/>
        <v>0</v>
      </c>
      <c r="X22" s="293">
        <f t="shared" si="3"/>
        <v>0</v>
      </c>
      <c r="Y22" s="293">
        <f t="shared" si="3"/>
        <v>0</v>
      </c>
      <c r="Z22" s="293">
        <f t="shared" si="3"/>
        <v>0</v>
      </c>
      <c r="AA22" s="293">
        <f t="shared" si="3"/>
        <v>0</v>
      </c>
      <c r="AB22" s="293">
        <f t="shared" si="3"/>
        <v>0</v>
      </c>
      <c r="AC22" s="293">
        <f t="shared" si="3"/>
        <v>0</v>
      </c>
      <c r="AD22" s="293">
        <f t="shared" si="3"/>
        <v>0</v>
      </c>
      <c r="AE22" s="293">
        <f t="shared" si="3"/>
        <v>0</v>
      </c>
      <c r="AF22" s="293">
        <f t="shared" si="3"/>
        <v>0</v>
      </c>
      <c r="AG22" s="293">
        <f t="shared" si="3"/>
        <v>0</v>
      </c>
      <c r="AH22" s="293">
        <f t="shared" si="3"/>
        <v>0</v>
      </c>
      <c r="AI22" s="293">
        <f t="shared" si="3"/>
        <v>0</v>
      </c>
      <c r="AJ22" s="289">
        <f>SUM(C22:AI22)</f>
        <v>28538</v>
      </c>
      <c r="AK22" s="293"/>
    </row>
    <row r="23" spans="1:53" x14ac:dyDescent="0.2">
      <c r="A23" s="246" t="s">
        <v>433</v>
      </c>
      <c r="B23" s="241" t="s">
        <v>99</v>
      </c>
      <c r="C23" s="84">
        <f>'Assumptions &amp; Results'!D40+'Assumptions &amp; Results'!D49+'Assumptions &amp; Results'!D58</f>
        <v>400</v>
      </c>
      <c r="D23" s="84">
        <f>'Assumptions &amp; Results'!E40+'Assumptions &amp; Results'!E49+'Assumptions &amp; Results'!E58</f>
        <v>840</v>
      </c>
      <c r="E23" s="84">
        <f>'Assumptions &amp; Results'!F40+'Assumptions &amp; Results'!F49+'Assumptions &amp; Results'!F58</f>
        <v>1700</v>
      </c>
      <c r="F23" s="84">
        <f>'Assumptions &amp; Results'!G40+'Assumptions &amp; Results'!G49+'Assumptions &amp; Results'!G58</f>
        <v>3800</v>
      </c>
      <c r="G23" s="84">
        <f>'Assumptions &amp; Results'!H40+'Assumptions &amp; Results'!H49+'Assumptions &amp; Results'!H58</f>
        <v>3300</v>
      </c>
      <c r="H23" s="84">
        <f>'Assumptions &amp; Results'!I40+'Assumptions &amp; Results'!I49+'Assumptions &amp; Results'!I58</f>
        <v>540</v>
      </c>
      <c r="I23" s="84">
        <f>'Assumptions &amp; Results'!J40+'Assumptions &amp; Results'!J49+'Assumptions &amp; Results'!J58</f>
        <v>0</v>
      </c>
      <c r="J23" s="84">
        <f>'Assumptions &amp; Results'!K40+'Assumptions &amp; Results'!K49+'Assumptions &amp; Results'!K58</f>
        <v>0</v>
      </c>
      <c r="K23" s="84">
        <f>'Assumptions &amp; Results'!L40+'Assumptions &amp; Results'!L49+'Assumptions &amp; Results'!L58</f>
        <v>0</v>
      </c>
      <c r="L23" s="84">
        <f>'Assumptions &amp; Results'!M40+'Assumptions &amp; Results'!M49+'Assumptions &amp; Results'!M58</f>
        <v>0</v>
      </c>
      <c r="M23" s="84">
        <f>'Assumptions &amp; Results'!N40+'Assumptions &amp; Results'!N49+'Assumptions &amp; Results'!N58</f>
        <v>0</v>
      </c>
      <c r="N23" s="84">
        <f>'Assumptions &amp; Results'!O40+'Assumptions &amp; Results'!O49+'Assumptions &amp; Results'!O58</f>
        <v>0</v>
      </c>
      <c r="O23" s="84">
        <f>'Assumptions &amp; Results'!P40+'Assumptions &amp; Results'!P49+'Assumptions &amp; Results'!P58</f>
        <v>0</v>
      </c>
      <c r="P23" s="84">
        <f>'Assumptions &amp; Results'!Q40+'Assumptions &amp; Results'!Q49+'Assumptions &amp; Results'!Q58</f>
        <v>0</v>
      </c>
      <c r="Q23" s="84">
        <f>'Assumptions &amp; Results'!R40+'Assumptions &amp; Results'!R49+'Assumptions &amp; Results'!R58</f>
        <v>0</v>
      </c>
      <c r="R23" s="84">
        <f>'Assumptions &amp; Results'!S40+'Assumptions &amp; Results'!S49+'Assumptions &amp; Results'!S58</f>
        <v>0</v>
      </c>
      <c r="S23" s="84">
        <f>'Assumptions &amp; Results'!T40+'Assumptions &amp; Results'!T49+'Assumptions &amp; Results'!T58</f>
        <v>0</v>
      </c>
      <c r="T23" s="84">
        <f>'Assumptions &amp; Results'!U40+'Assumptions &amp; Results'!U49+'Assumptions &amp; Results'!U58</f>
        <v>0</v>
      </c>
      <c r="U23" s="84">
        <f>'Assumptions &amp; Results'!V40+'Assumptions &amp; Results'!V49+'Assumptions &amp; Results'!V58</f>
        <v>0</v>
      </c>
      <c r="V23" s="84">
        <f>'Assumptions &amp; Results'!W40+'Assumptions &amp; Results'!W49+'Assumptions &amp; Results'!W58</f>
        <v>0</v>
      </c>
      <c r="W23" s="84">
        <f>'Assumptions &amp; Results'!X40+'Assumptions &amp; Results'!X49+'Assumptions &amp; Results'!X58</f>
        <v>0</v>
      </c>
      <c r="X23" s="84">
        <f>'Assumptions &amp; Results'!Y40+'Assumptions &amp; Results'!Y49+'Assumptions &amp; Results'!Y58</f>
        <v>0</v>
      </c>
      <c r="Y23" s="84">
        <f>'Assumptions &amp; Results'!Z40+'Assumptions &amp; Results'!Z49+'Assumptions &amp; Results'!Z58</f>
        <v>0</v>
      </c>
      <c r="Z23" s="84">
        <f>'Assumptions &amp; Results'!AA40+'Assumptions &amp; Results'!AA49+'Assumptions &amp; Results'!AA58</f>
        <v>0</v>
      </c>
      <c r="AA23" s="84">
        <f>'Assumptions &amp; Results'!AB40+'Assumptions &amp; Results'!AB49+'Assumptions &amp; Results'!AB58</f>
        <v>0</v>
      </c>
      <c r="AB23" s="84">
        <f>'Assumptions &amp; Results'!AC40+'Assumptions &amp; Results'!AC49+'Assumptions &amp; Results'!AC58</f>
        <v>0</v>
      </c>
      <c r="AC23" s="84">
        <f>'Assumptions &amp; Results'!AD40+'Assumptions &amp; Results'!AD49+'Assumptions &amp; Results'!AD58</f>
        <v>0</v>
      </c>
      <c r="AD23" s="84">
        <f>'Assumptions &amp; Results'!AE40+'Assumptions &amp; Results'!AE49+'Assumptions &amp; Results'!AE58</f>
        <v>0</v>
      </c>
      <c r="AE23" s="84">
        <f>'Assumptions &amp; Results'!AF40+'Assumptions &amp; Results'!AF49+'Assumptions &amp; Results'!AF58</f>
        <v>0</v>
      </c>
      <c r="AF23" s="84">
        <f>'Assumptions &amp; Results'!AG40+'Assumptions &amp; Results'!AG49+'Assumptions &amp; Results'!AG58</f>
        <v>0</v>
      </c>
      <c r="AG23" s="84">
        <f>'Assumptions &amp; Results'!AH40+'Assumptions &amp; Results'!AH49+'Assumptions &amp; Results'!AH58</f>
        <v>0</v>
      </c>
      <c r="AH23" s="84">
        <f>'Assumptions &amp; Results'!AI40+'Assumptions &amp; Results'!AI49+'Assumptions &amp; Results'!AI58</f>
        <v>0</v>
      </c>
      <c r="AI23" s="84">
        <f>'Assumptions &amp; Results'!AJ40+'Assumptions &amp; Results'!AJ49+'Assumptions &amp; Results'!AJ58</f>
        <v>0</v>
      </c>
      <c r="AJ23" s="294">
        <f>SUM(C23:AI23)</f>
        <v>10580</v>
      </c>
      <c r="AK23" s="84"/>
      <c r="AL23" s="79"/>
      <c r="AM23" s="79"/>
      <c r="AN23" s="79"/>
      <c r="AO23" s="79"/>
      <c r="AP23" s="79"/>
      <c r="AQ23" s="79"/>
      <c r="AR23" s="79"/>
      <c r="AS23" s="79"/>
      <c r="AT23" s="79"/>
      <c r="AU23" s="79"/>
      <c r="AV23" s="79"/>
      <c r="AW23" s="79"/>
      <c r="AX23" s="79"/>
      <c r="AY23" s="79"/>
      <c r="AZ23" s="79"/>
      <c r="BA23" s="79"/>
    </row>
    <row r="24" spans="1:53" x14ac:dyDescent="0.2">
      <c r="A24" s="246" t="s">
        <v>434</v>
      </c>
      <c r="B24" s="241" t="s">
        <v>99</v>
      </c>
      <c r="C24" s="84">
        <f>'Assumptions &amp; Results'!D65</f>
        <v>0</v>
      </c>
      <c r="D24" s="84">
        <f>'Assumptions &amp; Results'!E65</f>
        <v>545</v>
      </c>
      <c r="E24" s="84">
        <f>'Assumptions &amp; Results'!F65</f>
        <v>645</v>
      </c>
      <c r="F24" s="84">
        <f>'Assumptions &amp; Results'!G65</f>
        <v>0</v>
      </c>
      <c r="G24" s="84">
        <f>'Assumptions &amp; Results'!H65</f>
        <v>0</v>
      </c>
      <c r="H24" s="84">
        <f>'Assumptions &amp; Results'!I65</f>
        <v>0</v>
      </c>
      <c r="I24" s="84">
        <f>'Assumptions &amp; Results'!J65</f>
        <v>0</v>
      </c>
      <c r="J24" s="84">
        <f>'Assumptions &amp; Results'!K65</f>
        <v>0</v>
      </c>
      <c r="K24" s="84">
        <f>'Assumptions &amp; Results'!L65</f>
        <v>0</v>
      </c>
      <c r="L24" s="84">
        <f>'Assumptions &amp; Results'!M65</f>
        <v>0</v>
      </c>
      <c r="M24" s="84">
        <f>'Assumptions &amp; Results'!N65</f>
        <v>0</v>
      </c>
      <c r="N24" s="84">
        <f>'Assumptions &amp; Results'!O65</f>
        <v>0</v>
      </c>
      <c r="O24" s="84">
        <f>'Assumptions &amp; Results'!P65</f>
        <v>0</v>
      </c>
      <c r="P24" s="84">
        <f>'Assumptions &amp; Results'!Q65</f>
        <v>0</v>
      </c>
      <c r="Q24" s="84">
        <f>'Assumptions &amp; Results'!R65</f>
        <v>0</v>
      </c>
      <c r="R24" s="84">
        <f>'Assumptions &amp; Results'!S65</f>
        <v>0</v>
      </c>
      <c r="S24" s="84">
        <f>'Assumptions &amp; Results'!T65</f>
        <v>0</v>
      </c>
      <c r="T24" s="84">
        <f>'Assumptions &amp; Results'!U65</f>
        <v>0</v>
      </c>
      <c r="U24" s="84">
        <f>'Assumptions &amp; Results'!V65</f>
        <v>0</v>
      </c>
      <c r="V24" s="84">
        <f>'Assumptions &amp; Results'!W65</f>
        <v>0</v>
      </c>
      <c r="W24" s="84">
        <f>'Assumptions &amp; Results'!X65</f>
        <v>0</v>
      </c>
      <c r="X24" s="84">
        <f>'Assumptions &amp; Results'!Y65</f>
        <v>0</v>
      </c>
      <c r="Y24" s="84">
        <f>'Assumptions &amp; Results'!Z65</f>
        <v>0</v>
      </c>
      <c r="Z24" s="84">
        <f>'Assumptions &amp; Results'!AA65</f>
        <v>0</v>
      </c>
      <c r="AA24" s="84">
        <f>'Assumptions &amp; Results'!AB65</f>
        <v>0</v>
      </c>
      <c r="AB24" s="84">
        <f>'Assumptions &amp; Results'!AC65</f>
        <v>0</v>
      </c>
      <c r="AC24" s="84">
        <f>'Assumptions &amp; Results'!AD65</f>
        <v>0</v>
      </c>
      <c r="AD24" s="84">
        <f>'Assumptions &amp; Results'!AE65</f>
        <v>0</v>
      </c>
      <c r="AE24" s="84">
        <f>'Assumptions &amp; Results'!AF65</f>
        <v>0</v>
      </c>
      <c r="AF24" s="84">
        <f>'Assumptions &amp; Results'!AG65</f>
        <v>0</v>
      </c>
      <c r="AG24" s="84">
        <f>'Assumptions &amp; Results'!AH65</f>
        <v>0</v>
      </c>
      <c r="AH24" s="84">
        <f>'Assumptions &amp; Results'!AI65</f>
        <v>0</v>
      </c>
      <c r="AI24" s="84">
        <f>'Assumptions &amp; Results'!AJ65</f>
        <v>0</v>
      </c>
      <c r="AJ24" s="294">
        <f t="shared" ref="AJ24:AJ33" si="4">SUM(C24:AI24)</f>
        <v>1190</v>
      </c>
      <c r="AK24" s="84"/>
      <c r="AL24" s="79"/>
      <c r="AM24" s="79"/>
      <c r="AN24" s="79"/>
      <c r="AO24" s="79"/>
      <c r="AP24" s="79"/>
      <c r="AQ24" s="79"/>
      <c r="AR24" s="79"/>
      <c r="AS24" s="79"/>
      <c r="AT24" s="79"/>
      <c r="AU24" s="79"/>
      <c r="AV24" s="79"/>
      <c r="AW24" s="79"/>
      <c r="AX24" s="79"/>
      <c r="AY24" s="79"/>
      <c r="AZ24" s="79"/>
      <c r="BA24" s="79"/>
    </row>
    <row r="25" spans="1:53" x14ac:dyDescent="0.2">
      <c r="A25" s="246" t="s">
        <v>435</v>
      </c>
      <c r="B25" s="241" t="s">
        <v>99</v>
      </c>
      <c r="C25" s="295">
        <f>'LNG Equity '!C7</f>
        <v>17</v>
      </c>
      <c r="D25" s="295">
        <f>'LNG Equity '!D7</f>
        <v>3858</v>
      </c>
      <c r="E25" s="295">
        <f>'LNG Equity '!E7</f>
        <v>5862</v>
      </c>
      <c r="F25" s="295">
        <f>'LNG Equity '!F7</f>
        <v>7031</v>
      </c>
      <c r="G25" s="295">
        <f>'LNG Equity '!G7</f>
        <v>0</v>
      </c>
      <c r="H25" s="295">
        <f>'LNG Equity '!H7</f>
        <v>0</v>
      </c>
      <c r="I25" s="295">
        <f>'LNG Equity '!I7</f>
        <v>0</v>
      </c>
      <c r="J25" s="295">
        <f>'LNG Equity '!J7</f>
        <v>0</v>
      </c>
      <c r="K25" s="295">
        <f>'LNG Equity '!K7</f>
        <v>0</v>
      </c>
      <c r="L25" s="295">
        <f>'LNG Equity '!L7</f>
        <v>0</v>
      </c>
      <c r="M25" s="295">
        <f>'LNG Equity '!M7</f>
        <v>0</v>
      </c>
      <c r="N25" s="295">
        <f>'LNG Equity '!N7</f>
        <v>0</v>
      </c>
      <c r="O25" s="295">
        <f>'LNG Equity '!O7</f>
        <v>0</v>
      </c>
      <c r="P25" s="295">
        <f>'LNG Equity '!P7</f>
        <v>0</v>
      </c>
      <c r="Q25" s="295">
        <f>'LNG Equity '!Q7</f>
        <v>0</v>
      </c>
      <c r="R25" s="295">
        <f>'LNG Equity '!R7</f>
        <v>0</v>
      </c>
      <c r="S25" s="295">
        <f>'LNG Equity '!S7</f>
        <v>0</v>
      </c>
      <c r="T25" s="295">
        <f>'LNG Equity '!T7</f>
        <v>0</v>
      </c>
      <c r="U25" s="295">
        <f>'LNG Equity '!U7</f>
        <v>0</v>
      </c>
      <c r="V25" s="295">
        <f>'LNG Equity '!V7</f>
        <v>0</v>
      </c>
      <c r="W25" s="295">
        <f>'LNG Equity '!W7</f>
        <v>0</v>
      </c>
      <c r="X25" s="295">
        <f>'LNG Equity '!X7</f>
        <v>0</v>
      </c>
      <c r="Y25" s="295">
        <f>'LNG Equity '!Y7</f>
        <v>0</v>
      </c>
      <c r="Z25" s="295">
        <f>'LNG Equity '!Z7</f>
        <v>0</v>
      </c>
      <c r="AA25" s="295">
        <f>'LNG Equity '!AA7</f>
        <v>0</v>
      </c>
      <c r="AB25" s="295">
        <f>'LNG Equity '!AB7</f>
        <v>0</v>
      </c>
      <c r="AC25" s="295">
        <f>'LNG Equity '!AC7</f>
        <v>0</v>
      </c>
      <c r="AD25" s="295">
        <f>'LNG Equity '!AD7</f>
        <v>0</v>
      </c>
      <c r="AE25" s="295">
        <f>'LNG Equity '!AE7</f>
        <v>0</v>
      </c>
      <c r="AF25" s="295">
        <f>'LNG Equity '!AF7</f>
        <v>0</v>
      </c>
      <c r="AG25" s="295">
        <f>'LNG Equity '!AG7</f>
        <v>0</v>
      </c>
      <c r="AH25" s="295">
        <f>'LNG Equity '!AH7</f>
        <v>0</v>
      </c>
      <c r="AI25" s="295">
        <f>'LNG Equity '!AI7</f>
        <v>0</v>
      </c>
      <c r="AJ25" s="296">
        <f t="shared" si="4"/>
        <v>16768</v>
      </c>
      <c r="AK25" s="84"/>
      <c r="AL25" s="79"/>
      <c r="AM25" s="79"/>
      <c r="AN25" s="79"/>
      <c r="AO25" s="79"/>
      <c r="AP25" s="79"/>
      <c r="AQ25" s="79"/>
      <c r="AR25" s="79"/>
      <c r="AS25" s="79"/>
      <c r="AT25" s="79"/>
      <c r="AU25" s="79"/>
      <c r="AV25" s="79"/>
      <c r="AW25" s="79"/>
      <c r="AX25" s="79"/>
      <c r="AY25" s="79"/>
      <c r="AZ25" s="79"/>
      <c r="BA25" s="79"/>
    </row>
    <row r="26" spans="1:53" x14ac:dyDescent="0.2">
      <c r="A26" s="231" t="s">
        <v>399</v>
      </c>
      <c r="B26" s="241" t="s">
        <v>99</v>
      </c>
      <c r="C26" s="84">
        <f>SUM(C23:C25)</f>
        <v>417</v>
      </c>
      <c r="D26" s="84">
        <f t="shared" ref="D26:AI26" si="5">SUM(D23:D25)</f>
        <v>5243</v>
      </c>
      <c r="E26" s="84">
        <f t="shared" si="5"/>
        <v>8207</v>
      </c>
      <c r="F26" s="84">
        <f t="shared" si="5"/>
        <v>10831</v>
      </c>
      <c r="G26" s="84">
        <f t="shared" si="5"/>
        <v>3300</v>
      </c>
      <c r="H26" s="84">
        <f t="shared" si="5"/>
        <v>540</v>
      </c>
      <c r="I26" s="84">
        <f t="shared" si="5"/>
        <v>0</v>
      </c>
      <c r="J26" s="84">
        <f t="shared" si="5"/>
        <v>0</v>
      </c>
      <c r="K26" s="84">
        <f t="shared" si="5"/>
        <v>0</v>
      </c>
      <c r="L26" s="84">
        <f t="shared" si="5"/>
        <v>0</v>
      </c>
      <c r="M26" s="84">
        <f t="shared" si="5"/>
        <v>0</v>
      </c>
      <c r="N26" s="84">
        <f t="shared" si="5"/>
        <v>0</v>
      </c>
      <c r="O26" s="84">
        <f t="shared" si="5"/>
        <v>0</v>
      </c>
      <c r="P26" s="84">
        <f t="shared" si="5"/>
        <v>0</v>
      </c>
      <c r="Q26" s="84">
        <f t="shared" si="5"/>
        <v>0</v>
      </c>
      <c r="R26" s="84">
        <f t="shared" si="5"/>
        <v>0</v>
      </c>
      <c r="S26" s="84">
        <f t="shared" si="5"/>
        <v>0</v>
      </c>
      <c r="T26" s="84">
        <f t="shared" si="5"/>
        <v>0</v>
      </c>
      <c r="U26" s="84">
        <f t="shared" si="5"/>
        <v>0</v>
      </c>
      <c r="V26" s="84">
        <f t="shared" si="5"/>
        <v>0</v>
      </c>
      <c r="W26" s="84">
        <f t="shared" si="5"/>
        <v>0</v>
      </c>
      <c r="X26" s="84">
        <f t="shared" si="5"/>
        <v>0</v>
      </c>
      <c r="Y26" s="84">
        <f t="shared" si="5"/>
        <v>0</v>
      </c>
      <c r="Z26" s="84">
        <f t="shared" si="5"/>
        <v>0</v>
      </c>
      <c r="AA26" s="84">
        <f t="shared" si="5"/>
        <v>0</v>
      </c>
      <c r="AB26" s="84">
        <f t="shared" si="5"/>
        <v>0</v>
      </c>
      <c r="AC26" s="84">
        <f t="shared" si="5"/>
        <v>0</v>
      </c>
      <c r="AD26" s="84">
        <f t="shared" si="5"/>
        <v>0</v>
      </c>
      <c r="AE26" s="84">
        <f t="shared" si="5"/>
        <v>0</v>
      </c>
      <c r="AF26" s="84">
        <f t="shared" si="5"/>
        <v>0</v>
      </c>
      <c r="AG26" s="84">
        <f t="shared" si="5"/>
        <v>0</v>
      </c>
      <c r="AH26" s="84">
        <f t="shared" si="5"/>
        <v>0</v>
      </c>
      <c r="AI26" s="84">
        <f t="shared" si="5"/>
        <v>0</v>
      </c>
      <c r="AJ26" s="294">
        <f t="shared" si="4"/>
        <v>28538</v>
      </c>
      <c r="AK26" s="84"/>
      <c r="AL26" s="79"/>
      <c r="AM26" s="79"/>
      <c r="AN26" s="79"/>
      <c r="AO26" s="79"/>
      <c r="AP26" s="79"/>
      <c r="AQ26" s="79"/>
      <c r="AR26" s="79"/>
      <c r="AS26" s="79"/>
      <c r="AT26" s="79"/>
      <c r="AU26" s="79"/>
      <c r="AV26" s="79"/>
      <c r="AW26" s="79"/>
      <c r="AX26" s="79"/>
      <c r="AY26" s="79"/>
      <c r="AZ26" s="79"/>
      <c r="BA26" s="79"/>
    </row>
    <row r="27" spans="1:53" x14ac:dyDescent="0.2">
      <c r="A27" s="231" t="s">
        <v>400</v>
      </c>
      <c r="B27" s="241" t="s">
        <v>99</v>
      </c>
      <c r="C27" s="84">
        <v>0</v>
      </c>
      <c r="D27" s="84">
        <v>0</v>
      </c>
      <c r="E27" s="84">
        <v>0</v>
      </c>
      <c r="F27" s="84">
        <v>0</v>
      </c>
      <c r="G27" s="84">
        <v>0</v>
      </c>
      <c r="H27" s="84">
        <v>0</v>
      </c>
      <c r="I27" s="84">
        <v>0</v>
      </c>
      <c r="J27" s="84">
        <v>0</v>
      </c>
      <c r="K27" s="84">
        <v>0</v>
      </c>
      <c r="L27" s="84">
        <v>0</v>
      </c>
      <c r="M27" s="84">
        <v>0</v>
      </c>
      <c r="N27" s="84">
        <v>0</v>
      </c>
      <c r="O27" s="84">
        <v>0</v>
      </c>
      <c r="P27" s="84">
        <v>0</v>
      </c>
      <c r="Q27" s="84">
        <v>0</v>
      </c>
      <c r="R27" s="84">
        <v>0</v>
      </c>
      <c r="S27" s="84">
        <v>0</v>
      </c>
      <c r="T27" s="84">
        <v>0</v>
      </c>
      <c r="U27" s="84">
        <v>0</v>
      </c>
      <c r="V27" s="84">
        <v>0</v>
      </c>
      <c r="W27" s="84">
        <v>0</v>
      </c>
      <c r="X27" s="84">
        <v>0</v>
      </c>
      <c r="Y27" s="84">
        <v>0</v>
      </c>
      <c r="Z27" s="84">
        <v>0</v>
      </c>
      <c r="AA27" s="84">
        <v>0</v>
      </c>
      <c r="AB27" s="84">
        <v>0</v>
      </c>
      <c r="AC27" s="84">
        <v>0</v>
      </c>
      <c r="AD27" s="84">
        <v>0</v>
      </c>
      <c r="AE27" s="84">
        <v>0</v>
      </c>
      <c r="AF27" s="84">
        <v>0</v>
      </c>
      <c r="AG27" s="84">
        <v>0</v>
      </c>
      <c r="AH27" s="84">
        <v>0</v>
      </c>
      <c r="AI27" s="84">
        <v>0</v>
      </c>
      <c r="AJ27" s="294">
        <f t="shared" si="4"/>
        <v>0</v>
      </c>
      <c r="AK27" s="84"/>
      <c r="AL27" s="79"/>
      <c r="AM27" s="79"/>
      <c r="AN27" s="79"/>
      <c r="AO27" s="79"/>
      <c r="AP27" s="79"/>
      <c r="AQ27" s="79"/>
      <c r="AR27" s="79"/>
      <c r="AS27" s="79"/>
      <c r="AT27" s="79"/>
      <c r="AU27" s="79"/>
      <c r="AV27" s="79"/>
      <c r="AW27" s="79"/>
      <c r="AX27" s="79"/>
      <c r="AY27" s="79"/>
      <c r="AZ27" s="79"/>
      <c r="BA27" s="79"/>
    </row>
    <row r="28" spans="1:53" x14ac:dyDescent="0.2">
      <c r="A28" s="231" t="s">
        <v>420</v>
      </c>
      <c r="B28" s="241" t="s">
        <v>99</v>
      </c>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294">
        <f t="shared" si="4"/>
        <v>0</v>
      </c>
      <c r="AK28" s="84"/>
      <c r="AL28" s="79"/>
      <c r="AM28" s="79"/>
      <c r="AN28" s="79"/>
      <c r="AO28" s="79"/>
      <c r="AP28" s="79"/>
      <c r="AQ28" s="79"/>
      <c r="AR28" s="79"/>
      <c r="AS28" s="79"/>
      <c r="AT28" s="79"/>
      <c r="AU28" s="79"/>
      <c r="AV28" s="79"/>
      <c r="AW28" s="79"/>
      <c r="AX28" s="79"/>
      <c r="AY28" s="79"/>
      <c r="AZ28" s="79"/>
      <c r="BA28" s="79"/>
    </row>
    <row r="29" spans="1:53" x14ac:dyDescent="0.2">
      <c r="A29" s="246" t="s">
        <v>401</v>
      </c>
      <c r="B29" s="247"/>
      <c r="C29" s="294">
        <f t="shared" ref="C29:AI29" si="6">C26+C27-C28</f>
        <v>417</v>
      </c>
      <c r="D29" s="294">
        <f t="shared" si="6"/>
        <v>5243</v>
      </c>
      <c r="E29" s="294">
        <f t="shared" si="6"/>
        <v>8207</v>
      </c>
      <c r="F29" s="294">
        <f t="shared" si="6"/>
        <v>10831</v>
      </c>
      <c r="G29" s="294">
        <f t="shared" si="6"/>
        <v>3300</v>
      </c>
      <c r="H29" s="294">
        <f t="shared" si="6"/>
        <v>540</v>
      </c>
      <c r="I29" s="294">
        <f t="shared" si="6"/>
        <v>0</v>
      </c>
      <c r="J29" s="294">
        <f t="shared" si="6"/>
        <v>0</v>
      </c>
      <c r="K29" s="294">
        <f t="shared" si="6"/>
        <v>0</v>
      </c>
      <c r="L29" s="294">
        <f t="shared" si="6"/>
        <v>0</v>
      </c>
      <c r="M29" s="294">
        <f t="shared" si="6"/>
        <v>0</v>
      </c>
      <c r="N29" s="294">
        <f t="shared" si="6"/>
        <v>0</v>
      </c>
      <c r="O29" s="294">
        <f t="shared" si="6"/>
        <v>0</v>
      </c>
      <c r="P29" s="294">
        <f t="shared" si="6"/>
        <v>0</v>
      </c>
      <c r="Q29" s="294">
        <f t="shared" si="6"/>
        <v>0</v>
      </c>
      <c r="R29" s="294">
        <f t="shared" si="6"/>
        <v>0</v>
      </c>
      <c r="S29" s="294">
        <f t="shared" si="6"/>
        <v>0</v>
      </c>
      <c r="T29" s="294">
        <f t="shared" si="6"/>
        <v>0</v>
      </c>
      <c r="U29" s="294">
        <f t="shared" si="6"/>
        <v>0</v>
      </c>
      <c r="V29" s="294">
        <f t="shared" si="6"/>
        <v>0</v>
      </c>
      <c r="W29" s="294">
        <f t="shared" si="6"/>
        <v>0</v>
      </c>
      <c r="X29" s="294">
        <f t="shared" si="6"/>
        <v>0</v>
      </c>
      <c r="Y29" s="294">
        <f t="shared" si="6"/>
        <v>0</v>
      </c>
      <c r="Z29" s="294">
        <f t="shared" si="6"/>
        <v>0</v>
      </c>
      <c r="AA29" s="294">
        <f t="shared" si="6"/>
        <v>0</v>
      </c>
      <c r="AB29" s="294">
        <f t="shared" si="6"/>
        <v>0</v>
      </c>
      <c r="AC29" s="294">
        <f t="shared" si="6"/>
        <v>0</v>
      </c>
      <c r="AD29" s="294">
        <f t="shared" si="6"/>
        <v>0</v>
      </c>
      <c r="AE29" s="294">
        <f t="shared" si="6"/>
        <v>0</v>
      </c>
      <c r="AF29" s="294">
        <f t="shared" si="6"/>
        <v>0</v>
      </c>
      <c r="AG29" s="294">
        <f t="shared" si="6"/>
        <v>0</v>
      </c>
      <c r="AH29" s="294">
        <f t="shared" si="6"/>
        <v>0</v>
      </c>
      <c r="AI29" s="294">
        <f t="shared" si="6"/>
        <v>0</v>
      </c>
      <c r="AJ29" s="294">
        <f t="shared" si="4"/>
        <v>28538</v>
      </c>
      <c r="AK29" s="294"/>
      <c r="AL29" s="79"/>
      <c r="AM29" s="79"/>
      <c r="AN29" s="79"/>
      <c r="AO29" s="79"/>
      <c r="AP29" s="79"/>
      <c r="AQ29" s="79"/>
      <c r="AR29" s="79"/>
      <c r="AS29" s="79"/>
      <c r="AT29" s="79"/>
      <c r="AU29" s="79"/>
      <c r="AV29" s="79"/>
      <c r="AW29" s="79"/>
      <c r="AX29" s="79"/>
      <c r="AY29" s="79"/>
      <c r="AZ29" s="79"/>
      <c r="BA29" s="79"/>
    </row>
    <row r="30" spans="1:53" x14ac:dyDescent="0.2">
      <c r="A30" s="231" t="s">
        <v>421</v>
      </c>
      <c r="B30" s="241" t="s">
        <v>99</v>
      </c>
      <c r="C30" s="84">
        <f t="shared" ref="C30:AI30" si="7">+$B$17*C29</f>
        <v>291.89999999999998</v>
      </c>
      <c r="D30" s="84">
        <f t="shared" si="7"/>
        <v>3670.1</v>
      </c>
      <c r="E30" s="84">
        <f t="shared" si="7"/>
        <v>5744.9</v>
      </c>
      <c r="F30" s="84">
        <f t="shared" si="7"/>
        <v>7581.7</v>
      </c>
      <c r="G30" s="84">
        <f t="shared" si="7"/>
        <v>2310</v>
      </c>
      <c r="H30" s="84">
        <f t="shared" si="7"/>
        <v>378</v>
      </c>
      <c r="I30" s="84">
        <f t="shared" si="7"/>
        <v>0</v>
      </c>
      <c r="J30" s="84">
        <f t="shared" si="7"/>
        <v>0</v>
      </c>
      <c r="K30" s="84">
        <f t="shared" si="7"/>
        <v>0</v>
      </c>
      <c r="L30" s="84">
        <f t="shared" si="7"/>
        <v>0</v>
      </c>
      <c r="M30" s="84">
        <f t="shared" si="7"/>
        <v>0</v>
      </c>
      <c r="N30" s="84">
        <f t="shared" si="7"/>
        <v>0</v>
      </c>
      <c r="O30" s="84">
        <f t="shared" si="7"/>
        <v>0</v>
      </c>
      <c r="P30" s="84">
        <f t="shared" si="7"/>
        <v>0</v>
      </c>
      <c r="Q30" s="84">
        <f t="shared" si="7"/>
        <v>0</v>
      </c>
      <c r="R30" s="84">
        <f t="shared" si="7"/>
        <v>0</v>
      </c>
      <c r="S30" s="84">
        <f t="shared" si="7"/>
        <v>0</v>
      </c>
      <c r="T30" s="84">
        <f t="shared" si="7"/>
        <v>0</v>
      </c>
      <c r="U30" s="84">
        <f t="shared" si="7"/>
        <v>0</v>
      </c>
      <c r="V30" s="84">
        <f t="shared" si="7"/>
        <v>0</v>
      </c>
      <c r="W30" s="84">
        <f t="shared" si="7"/>
        <v>0</v>
      </c>
      <c r="X30" s="84">
        <f t="shared" si="7"/>
        <v>0</v>
      </c>
      <c r="Y30" s="84">
        <f t="shared" si="7"/>
        <v>0</v>
      </c>
      <c r="Z30" s="84">
        <f t="shared" si="7"/>
        <v>0</v>
      </c>
      <c r="AA30" s="84">
        <f t="shared" si="7"/>
        <v>0</v>
      </c>
      <c r="AB30" s="84">
        <f t="shared" si="7"/>
        <v>0</v>
      </c>
      <c r="AC30" s="84">
        <f t="shared" si="7"/>
        <v>0</v>
      </c>
      <c r="AD30" s="84">
        <f t="shared" si="7"/>
        <v>0</v>
      </c>
      <c r="AE30" s="84">
        <f t="shared" si="7"/>
        <v>0</v>
      </c>
      <c r="AF30" s="84">
        <f t="shared" si="7"/>
        <v>0</v>
      </c>
      <c r="AG30" s="84">
        <f t="shared" si="7"/>
        <v>0</v>
      </c>
      <c r="AH30" s="84">
        <f t="shared" si="7"/>
        <v>0</v>
      </c>
      <c r="AI30" s="84">
        <f t="shared" si="7"/>
        <v>0</v>
      </c>
      <c r="AJ30" s="294">
        <f t="shared" si="4"/>
        <v>19976.599999999999</v>
      </c>
      <c r="AK30" s="84"/>
      <c r="AL30" s="79"/>
      <c r="AM30" s="79"/>
      <c r="AN30" s="79"/>
      <c r="AO30" s="79"/>
      <c r="AP30" s="79"/>
      <c r="AQ30" s="79"/>
      <c r="AR30" s="79"/>
      <c r="AS30" s="79"/>
      <c r="AT30" s="79"/>
      <c r="AU30" s="79"/>
      <c r="AV30" s="79"/>
      <c r="AW30" s="79"/>
      <c r="AX30" s="79"/>
      <c r="AY30" s="79"/>
      <c r="AZ30" s="79"/>
      <c r="BA30" s="79"/>
    </row>
    <row r="31" spans="1:53" x14ac:dyDescent="0.2">
      <c r="A31" s="231" t="s">
        <v>402</v>
      </c>
      <c r="B31" s="241" t="s">
        <v>99</v>
      </c>
      <c r="C31" s="84">
        <f t="shared" ref="C31:AI31" si="8">+C29-C30</f>
        <v>125.10000000000002</v>
      </c>
      <c r="D31" s="84">
        <f t="shared" si="8"/>
        <v>1572.9</v>
      </c>
      <c r="E31" s="84">
        <f t="shared" si="8"/>
        <v>2462.1000000000004</v>
      </c>
      <c r="F31" s="84">
        <f t="shared" si="8"/>
        <v>3249.3</v>
      </c>
      <c r="G31" s="84">
        <f t="shared" si="8"/>
        <v>990</v>
      </c>
      <c r="H31" s="84">
        <f t="shared" si="8"/>
        <v>162</v>
      </c>
      <c r="I31" s="84">
        <f t="shared" si="8"/>
        <v>0</v>
      </c>
      <c r="J31" s="84">
        <f t="shared" si="8"/>
        <v>0</v>
      </c>
      <c r="K31" s="84">
        <f t="shared" si="8"/>
        <v>0</v>
      </c>
      <c r="L31" s="84">
        <f t="shared" si="8"/>
        <v>0</v>
      </c>
      <c r="M31" s="84">
        <f t="shared" si="8"/>
        <v>0</v>
      </c>
      <c r="N31" s="84">
        <f t="shared" si="8"/>
        <v>0</v>
      </c>
      <c r="O31" s="84">
        <f t="shared" si="8"/>
        <v>0</v>
      </c>
      <c r="P31" s="84">
        <f t="shared" si="8"/>
        <v>0</v>
      </c>
      <c r="Q31" s="84">
        <f t="shared" si="8"/>
        <v>0</v>
      </c>
      <c r="R31" s="84">
        <f t="shared" si="8"/>
        <v>0</v>
      </c>
      <c r="S31" s="84">
        <f t="shared" si="8"/>
        <v>0</v>
      </c>
      <c r="T31" s="84">
        <f t="shared" si="8"/>
        <v>0</v>
      </c>
      <c r="U31" s="84">
        <f t="shared" si="8"/>
        <v>0</v>
      </c>
      <c r="V31" s="84">
        <f t="shared" si="8"/>
        <v>0</v>
      </c>
      <c r="W31" s="84">
        <f t="shared" si="8"/>
        <v>0</v>
      </c>
      <c r="X31" s="84">
        <f t="shared" si="8"/>
        <v>0</v>
      </c>
      <c r="Y31" s="84">
        <f t="shared" si="8"/>
        <v>0</v>
      </c>
      <c r="Z31" s="84">
        <f t="shared" si="8"/>
        <v>0</v>
      </c>
      <c r="AA31" s="84">
        <f t="shared" si="8"/>
        <v>0</v>
      </c>
      <c r="AB31" s="84">
        <f t="shared" si="8"/>
        <v>0</v>
      </c>
      <c r="AC31" s="84">
        <f t="shared" si="8"/>
        <v>0</v>
      </c>
      <c r="AD31" s="84">
        <f t="shared" si="8"/>
        <v>0</v>
      </c>
      <c r="AE31" s="84">
        <f t="shared" si="8"/>
        <v>0</v>
      </c>
      <c r="AF31" s="84">
        <f t="shared" si="8"/>
        <v>0</v>
      </c>
      <c r="AG31" s="84">
        <f t="shared" si="8"/>
        <v>0</v>
      </c>
      <c r="AH31" s="84">
        <f t="shared" si="8"/>
        <v>0</v>
      </c>
      <c r="AI31" s="84">
        <f t="shared" si="8"/>
        <v>0</v>
      </c>
      <c r="AJ31" s="294">
        <f t="shared" si="4"/>
        <v>8561.4000000000015</v>
      </c>
      <c r="AK31" s="84"/>
      <c r="AL31" s="79"/>
      <c r="AM31" s="79"/>
      <c r="AN31" s="79"/>
      <c r="AO31" s="79"/>
      <c r="AP31" s="79"/>
      <c r="AQ31" s="79"/>
      <c r="AR31" s="79"/>
      <c r="AS31" s="79"/>
      <c r="AT31" s="79"/>
      <c r="AU31" s="79"/>
      <c r="AV31" s="79"/>
      <c r="AW31" s="79"/>
      <c r="AX31" s="79"/>
      <c r="AY31" s="79"/>
      <c r="AZ31" s="79"/>
      <c r="BA31" s="79"/>
    </row>
    <row r="32" spans="1:53" x14ac:dyDescent="0.2">
      <c r="A32" s="191" t="s">
        <v>422</v>
      </c>
      <c r="B32" s="241" t="s">
        <v>99</v>
      </c>
      <c r="C32" s="84">
        <f t="shared" ref="C32:AI32" si="9">+C30+C31</f>
        <v>417</v>
      </c>
      <c r="D32" s="84">
        <f t="shared" si="9"/>
        <v>5243</v>
      </c>
      <c r="E32" s="84">
        <f t="shared" si="9"/>
        <v>8207</v>
      </c>
      <c r="F32" s="84">
        <f t="shared" si="9"/>
        <v>10831</v>
      </c>
      <c r="G32" s="84">
        <f t="shared" si="9"/>
        <v>3300</v>
      </c>
      <c r="H32" s="84">
        <f t="shared" si="9"/>
        <v>540</v>
      </c>
      <c r="I32" s="84">
        <f t="shared" si="9"/>
        <v>0</v>
      </c>
      <c r="J32" s="84">
        <f t="shared" si="9"/>
        <v>0</v>
      </c>
      <c r="K32" s="84">
        <f t="shared" si="9"/>
        <v>0</v>
      </c>
      <c r="L32" s="84">
        <f t="shared" si="9"/>
        <v>0</v>
      </c>
      <c r="M32" s="84">
        <f t="shared" si="9"/>
        <v>0</v>
      </c>
      <c r="N32" s="84">
        <f t="shared" si="9"/>
        <v>0</v>
      </c>
      <c r="O32" s="84">
        <f t="shared" si="9"/>
        <v>0</v>
      </c>
      <c r="P32" s="84">
        <f t="shared" si="9"/>
        <v>0</v>
      </c>
      <c r="Q32" s="84">
        <f t="shared" si="9"/>
        <v>0</v>
      </c>
      <c r="R32" s="84">
        <f t="shared" si="9"/>
        <v>0</v>
      </c>
      <c r="S32" s="84">
        <f t="shared" si="9"/>
        <v>0</v>
      </c>
      <c r="T32" s="84">
        <f t="shared" si="9"/>
        <v>0</v>
      </c>
      <c r="U32" s="84">
        <f t="shared" si="9"/>
        <v>0</v>
      </c>
      <c r="V32" s="84">
        <f t="shared" si="9"/>
        <v>0</v>
      </c>
      <c r="W32" s="84">
        <f t="shared" si="9"/>
        <v>0</v>
      </c>
      <c r="X32" s="84">
        <f t="shared" si="9"/>
        <v>0</v>
      </c>
      <c r="Y32" s="84">
        <f t="shared" si="9"/>
        <v>0</v>
      </c>
      <c r="Z32" s="84">
        <f t="shared" si="9"/>
        <v>0</v>
      </c>
      <c r="AA32" s="84">
        <f t="shared" si="9"/>
        <v>0</v>
      </c>
      <c r="AB32" s="84">
        <f t="shared" si="9"/>
        <v>0</v>
      </c>
      <c r="AC32" s="84">
        <f t="shared" si="9"/>
        <v>0</v>
      </c>
      <c r="AD32" s="84">
        <f t="shared" si="9"/>
        <v>0</v>
      </c>
      <c r="AE32" s="84">
        <f t="shared" si="9"/>
        <v>0</v>
      </c>
      <c r="AF32" s="84">
        <f t="shared" si="9"/>
        <v>0</v>
      </c>
      <c r="AG32" s="84">
        <f t="shared" si="9"/>
        <v>0</v>
      </c>
      <c r="AH32" s="84">
        <f t="shared" si="9"/>
        <v>0</v>
      </c>
      <c r="AI32" s="84">
        <f t="shared" si="9"/>
        <v>0</v>
      </c>
      <c r="AJ32" s="294">
        <f t="shared" si="4"/>
        <v>28538</v>
      </c>
      <c r="AK32" s="84"/>
      <c r="AL32" s="79"/>
      <c r="AM32" s="79"/>
      <c r="AN32" s="79"/>
      <c r="AO32" s="79"/>
      <c r="AP32" s="79"/>
      <c r="AQ32" s="79"/>
      <c r="AR32" s="79"/>
      <c r="AS32" s="79"/>
      <c r="AT32" s="79"/>
      <c r="AU32" s="79"/>
      <c r="AV32" s="79"/>
      <c r="AW32" s="79"/>
      <c r="AX32" s="79"/>
      <c r="AY32" s="79"/>
      <c r="AZ32" s="79"/>
      <c r="BA32" s="79"/>
    </row>
    <row r="33" spans="1:53" x14ac:dyDescent="0.2">
      <c r="A33" s="191"/>
      <c r="B33" s="241"/>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294">
        <f t="shared" si="4"/>
        <v>0</v>
      </c>
      <c r="AK33" s="84"/>
      <c r="AL33" s="79"/>
      <c r="AM33" s="79"/>
      <c r="AN33" s="79"/>
      <c r="AO33" s="79"/>
      <c r="AP33" s="79"/>
      <c r="AQ33" s="79"/>
      <c r="AR33" s="79"/>
      <c r="AS33" s="79"/>
      <c r="AT33" s="79"/>
      <c r="AU33" s="79"/>
      <c r="AV33" s="79"/>
      <c r="AW33" s="79"/>
      <c r="AX33" s="79"/>
      <c r="AY33" s="79"/>
      <c r="AZ33" s="79"/>
      <c r="BA33" s="79"/>
    </row>
    <row r="34" spans="1:53" x14ac:dyDescent="0.2">
      <c r="A34" s="231" t="s">
        <v>403</v>
      </c>
      <c r="B34" s="241" t="s">
        <v>99</v>
      </c>
      <c r="C34" s="297">
        <f>C30+C37-C208</f>
        <v>315.25199999999995</v>
      </c>
      <c r="D34" s="297">
        <f>SUM($C30:D30)+SUM($C37:D37)-SUM($C208:D208)</f>
        <v>4302.3119999999999</v>
      </c>
      <c r="E34" s="297">
        <f>SUM($C30:E30)+SUM($C37:E37)-SUM($C208:E208)</f>
        <v>10850.988959999999</v>
      </c>
      <c r="F34" s="297">
        <f>SUM($C30:F30)+SUM($C37:F37)-SUM($C208:F208)</f>
        <v>19907.304076799999</v>
      </c>
      <c r="G34" s="297">
        <f>SUM($C30:G30)+SUM($C37:G37)-SUM($C208:G208)</f>
        <v>22217.304076799999</v>
      </c>
      <c r="H34" s="297">
        <f>SUM($C30:H30)+SUM($C37:H37)-SUM($C208:H208)</f>
        <v>20506.549552799999</v>
      </c>
      <c r="I34" s="297">
        <f>SUM($C30:I30)+SUM($C37:I37)-SUM($C208:I208)</f>
        <v>18215.157087799998</v>
      </c>
      <c r="J34" s="297">
        <f>SUM($C30:J30)+SUM($C37:J37)-SUM($C208:J208)</f>
        <v>15740.4532258</v>
      </c>
      <c r="K34" s="297">
        <f>SUM($C30:K30)+SUM($C37:K37)-SUM($C208:K208)</f>
        <v>13067.7730548</v>
      </c>
      <c r="L34" s="297">
        <f>SUM($C30:L30)+SUM($C37:L37)-SUM($C208:L208)</f>
        <v>10181.2784698</v>
      </c>
      <c r="M34" s="297">
        <f>SUM($C30:M30)+SUM($C37:M37)-SUM($C208:M208)</f>
        <v>7063.8643178000002</v>
      </c>
      <c r="N34" s="297">
        <f>SUM($C30:N30)+SUM($C37:N37)-SUM($C208:N208)</f>
        <v>3697.0570337999998</v>
      </c>
      <c r="O34" s="297">
        <f>SUM($C30:O30)+SUM($C37:O37)-SUM($C208:O208)</f>
        <v>60.905166799999279</v>
      </c>
      <c r="P34" s="297">
        <f>SUM($C30:P30)+SUM($C37:P37)-SUM($C208:P208)</f>
        <v>7.9999881563708186E-7</v>
      </c>
      <c r="Q34" s="297">
        <f>SUM($C30:Q30)+SUM($C37:Q37)-SUM($C208:Q208)</f>
        <v>7.9999881563708186E-7</v>
      </c>
      <c r="R34" s="297">
        <f>SUM($C30:R30)+SUM($C37:R37)-SUM($C208:R208)</f>
        <v>7.9999881563708186E-7</v>
      </c>
      <c r="S34" s="297">
        <f>SUM($C30:S30)+SUM($C37:S37)-SUM($C208:S208)</f>
        <v>7.9999881563708186E-7</v>
      </c>
      <c r="T34" s="297">
        <f>SUM($C30:T30)+SUM($C37:T37)-SUM($C208:T208)</f>
        <v>7.9999881563708186E-7</v>
      </c>
      <c r="U34" s="297">
        <f>SUM($C30:U30)+SUM($C37:U37)-SUM($C208:U208)</f>
        <v>7.9999881563708186E-7</v>
      </c>
      <c r="V34" s="297">
        <f>SUM($C30:V30)+SUM($C37:V37)-SUM($C208:V208)</f>
        <v>7.9999881563708186E-7</v>
      </c>
      <c r="W34" s="297">
        <f>SUM($C30:W30)+SUM($C37:W37)-SUM($C208:W208)</f>
        <v>7.9999881563708186E-7</v>
      </c>
      <c r="X34" s="297">
        <f>SUM($C30:X30)+SUM($C37:X37)-SUM($C208:X208)</f>
        <v>7.9999881563708186E-7</v>
      </c>
      <c r="Y34" s="297">
        <f>SUM($C30:Y30)+SUM($C37:Y37)-SUM($C208:Y208)</f>
        <v>7.9999881563708186E-7</v>
      </c>
      <c r="Z34" s="297">
        <f>SUM($C30:Z30)+SUM($C37:Z37)-SUM($C208:Z208)</f>
        <v>7.9999881563708186E-7</v>
      </c>
      <c r="AA34" s="297">
        <f>SUM($C30:AA30)+SUM($C37:AA37)-SUM($C208:AA208)</f>
        <v>7.9999881563708186E-7</v>
      </c>
      <c r="AB34" s="297">
        <f>SUM($C30:AB30)+SUM($C37:AB37)-SUM($C208:AB208)</f>
        <v>7.9999881563708186E-7</v>
      </c>
      <c r="AC34" s="297">
        <f>SUM($C30:AC30)+SUM($C37:AC37)-SUM($C208:AC208)</f>
        <v>7.9999881563708186E-7</v>
      </c>
      <c r="AD34" s="297">
        <f>SUM($C30:AD30)+SUM($C37:AD37)-SUM($C208:AD208)</f>
        <v>7.9999881563708186E-7</v>
      </c>
      <c r="AE34" s="297">
        <f>SUM($C30:AE30)+SUM($C37:AE37)-SUM($C208:AE208)</f>
        <v>7.9999881563708186E-7</v>
      </c>
      <c r="AF34" s="297">
        <f>SUM($C30:AF30)+SUM($C37:AF37)-SUM($C208:AF208)</f>
        <v>7.9999881563708186E-7</v>
      </c>
      <c r="AG34" s="297">
        <f>SUM($C30:AG30)+SUM($C37:AG37)-SUM($C208:AG208)</f>
        <v>7.9999881563708186E-7</v>
      </c>
      <c r="AH34" s="297">
        <f>SUM($C30:AH30)+SUM($C37:AH37)-SUM($C208:AH208)</f>
        <v>7.9999881563708186E-7</v>
      </c>
      <c r="AI34" s="297">
        <f>SUM($C30:AI30)+SUM($C37:AI37)-SUM($C208:AI208)</f>
        <v>7.9999881563708186E-7</v>
      </c>
      <c r="AJ34" s="297"/>
      <c r="AK34" s="84"/>
      <c r="AL34" s="79"/>
      <c r="AM34" s="79"/>
      <c r="AN34" s="79"/>
      <c r="AO34" s="79"/>
      <c r="AP34" s="79"/>
      <c r="AQ34" s="79"/>
      <c r="AR34" s="79"/>
      <c r="AS34" s="79"/>
      <c r="AT34" s="79"/>
      <c r="AU34" s="79"/>
      <c r="AV34" s="79"/>
      <c r="AW34" s="79"/>
      <c r="AX34" s="79"/>
      <c r="AY34" s="79"/>
      <c r="AZ34" s="79"/>
      <c r="BA34" s="79"/>
    </row>
    <row r="35" spans="1:53" x14ac:dyDescent="0.2">
      <c r="A35" s="231"/>
      <c r="B35" s="241"/>
      <c r="C35" s="297"/>
      <c r="D35" s="297"/>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84"/>
      <c r="AL35" s="79"/>
      <c r="AM35" s="79"/>
      <c r="AN35" s="79"/>
      <c r="AO35" s="79"/>
      <c r="AP35" s="79"/>
      <c r="AQ35" s="79"/>
      <c r="AR35" s="79"/>
      <c r="AS35" s="79"/>
      <c r="AT35" s="79"/>
      <c r="AU35" s="79"/>
      <c r="AV35" s="79"/>
      <c r="AW35" s="79"/>
      <c r="AX35" s="79"/>
      <c r="AY35" s="79"/>
      <c r="AZ35" s="79"/>
      <c r="BA35" s="79"/>
    </row>
    <row r="36" spans="1:53" x14ac:dyDescent="0.2">
      <c r="A36" s="248" t="s">
        <v>413</v>
      </c>
      <c r="B36" s="241" t="s">
        <v>99</v>
      </c>
      <c r="C36" s="84">
        <f>IF('Assumptions &amp; Results'!D21=0,C30,0)</f>
        <v>291.89999999999998</v>
      </c>
      <c r="D36" s="84">
        <f>IF('Assumptions &amp; Results'!E21=0,D30,0)</f>
        <v>3670.1</v>
      </c>
      <c r="E36" s="84">
        <f>IF('Assumptions &amp; Results'!F21=0,E30,0)</f>
        <v>5744.9</v>
      </c>
      <c r="F36" s="84">
        <f>IF('Assumptions &amp; Results'!G21=0,F30,0)</f>
        <v>7581.7</v>
      </c>
      <c r="G36" s="84">
        <f>IF('Assumptions &amp; Results'!H21=0,G30,0)</f>
        <v>0</v>
      </c>
      <c r="H36" s="84">
        <f>IF('Assumptions &amp; Results'!I21=0,H30,0)</f>
        <v>0</v>
      </c>
      <c r="I36" s="84">
        <f>IF('Assumptions &amp; Results'!J21=0,I30,0)</f>
        <v>0</v>
      </c>
      <c r="J36" s="84">
        <f>IF('Assumptions &amp; Results'!K21=0,J30,0)</f>
        <v>0</v>
      </c>
      <c r="K36" s="84">
        <f>IF('Assumptions &amp; Results'!L21=0,K30,0)</f>
        <v>0</v>
      </c>
      <c r="L36" s="84">
        <f>IF('Assumptions &amp; Results'!M21=0,L30,0)</f>
        <v>0</v>
      </c>
      <c r="M36" s="84">
        <f>IF('Assumptions &amp; Results'!N21=0,M30,0)</f>
        <v>0</v>
      </c>
      <c r="N36" s="84">
        <f>IF('Assumptions &amp; Results'!O21=0,N30,0)</f>
        <v>0</v>
      </c>
      <c r="O36" s="84">
        <f>IF('Assumptions &amp; Results'!P21=0,O30,0)</f>
        <v>0</v>
      </c>
      <c r="P36" s="84">
        <f>IF('Assumptions &amp; Results'!Q21=0,P30,0)</f>
        <v>0</v>
      </c>
      <c r="Q36" s="84">
        <f>IF('Assumptions &amp; Results'!R21=0,Q30,0)</f>
        <v>0</v>
      </c>
      <c r="R36" s="84">
        <f>IF('Assumptions &amp; Results'!S21=0,R30,0)</f>
        <v>0</v>
      </c>
      <c r="S36" s="84">
        <f>IF('Assumptions &amp; Results'!T21=0,S30,0)</f>
        <v>0</v>
      </c>
      <c r="T36" s="84">
        <f>IF('Assumptions &amp; Results'!U21=0,T30,0)</f>
        <v>0</v>
      </c>
      <c r="U36" s="84">
        <f>IF('Assumptions &amp; Results'!V21=0,U30,0)</f>
        <v>0</v>
      </c>
      <c r="V36" s="84">
        <f>IF('Assumptions &amp; Results'!W21=0,V30,0)</f>
        <v>0</v>
      </c>
      <c r="W36" s="84">
        <f>IF('Assumptions &amp; Results'!X21=0,W30,0)</f>
        <v>0</v>
      </c>
      <c r="X36" s="84">
        <f>IF('Assumptions &amp; Results'!Y21=0,X30,0)</f>
        <v>0</v>
      </c>
      <c r="Y36" s="84">
        <f>IF('Assumptions &amp; Results'!Z21=0,Y30,0)</f>
        <v>0</v>
      </c>
      <c r="Z36" s="84">
        <f>IF('Assumptions &amp; Results'!AA21=0,Z30,0)</f>
        <v>0</v>
      </c>
      <c r="AA36" s="84">
        <f>IF('Assumptions &amp; Results'!AB21=0,AA30,0)</f>
        <v>0</v>
      </c>
      <c r="AB36" s="84">
        <f>IF('Assumptions &amp; Results'!AC21=0,AB30,0)</f>
        <v>0</v>
      </c>
      <c r="AC36" s="84">
        <f>IF('Assumptions &amp; Results'!AD21=0,AC30,0)</f>
        <v>0</v>
      </c>
      <c r="AD36" s="84">
        <f>IF('Assumptions &amp; Results'!AE21=0,AD30,0)</f>
        <v>0</v>
      </c>
      <c r="AE36" s="84">
        <f>IF('Assumptions &amp; Results'!AF21=0,AE30,0)</f>
        <v>0</v>
      </c>
      <c r="AF36" s="84">
        <f>IF('Assumptions &amp; Results'!AG21=0,AF30,0)</f>
        <v>0</v>
      </c>
      <c r="AG36" s="84">
        <f>IF('Assumptions &amp; Results'!AH21=0,AG30,0)</f>
        <v>0</v>
      </c>
      <c r="AH36" s="84">
        <f>IF('Assumptions &amp; Results'!AI21=0,AH30,0)</f>
        <v>0</v>
      </c>
      <c r="AI36" s="84">
        <f>IF('Assumptions &amp; Results'!AJ21=0,AI30,0)</f>
        <v>0</v>
      </c>
      <c r="AJ36" s="294">
        <f>SUM(C36:AI36)</f>
        <v>17288.599999999999</v>
      </c>
      <c r="AK36" s="84"/>
      <c r="AL36" s="79"/>
      <c r="AM36" s="79"/>
      <c r="AN36" s="79"/>
      <c r="AO36" s="79"/>
      <c r="AP36" s="79"/>
      <c r="AQ36" s="79"/>
      <c r="AR36" s="79"/>
      <c r="AS36" s="79"/>
      <c r="AT36" s="79"/>
      <c r="AU36" s="79"/>
      <c r="AV36" s="79"/>
      <c r="AW36" s="79"/>
      <c r="AX36" s="79"/>
      <c r="AY36" s="79"/>
      <c r="AZ36" s="79"/>
      <c r="BA36" s="79"/>
    </row>
    <row r="37" spans="1:53" x14ac:dyDescent="0.2">
      <c r="A37" s="249" t="s">
        <v>423</v>
      </c>
      <c r="B37" s="241" t="s">
        <v>99</v>
      </c>
      <c r="C37" s="84">
        <f>IF(C36=0,0,($B$19*C36))</f>
        <v>23.352</v>
      </c>
      <c r="D37" s="84">
        <f>IF(D36=0,0,($B$19*($C36:D36)+C37))</f>
        <v>316.95999999999998</v>
      </c>
      <c r="E37" s="84">
        <f>IF(E36&gt;0,$B$19*(SUM($C36:E36)+SUM($C37:D37)),0)</f>
        <v>803.77696000000003</v>
      </c>
      <c r="F37" s="84">
        <f>IF(F36&gt;0,$B$19*(SUM($C36:F36)+SUM($C37:E37)),0)</f>
        <v>1474.6151167999999</v>
      </c>
      <c r="G37" s="84">
        <f>IF(G36&gt;0,$B$19*(SUM($C36:G36)+SUM($C37:F37)),0)</f>
        <v>0</v>
      </c>
      <c r="H37" s="84">
        <f>IF(H36&gt;0,$B$19*(SUM($C36:H36)+SUM($C37:G37)),0)</f>
        <v>0</v>
      </c>
      <c r="I37" s="84">
        <f>IF(I36&gt;0,$B$19*(SUM($C36:I36)+SUM($C37:H37)),0)</f>
        <v>0</v>
      </c>
      <c r="J37" s="84">
        <f>IF(J36&gt;0,$B$19*(SUM($C36:J36)+SUM($C37:I37)),0)</f>
        <v>0</v>
      </c>
      <c r="K37" s="84">
        <f>IF(K36&gt;0,$B$19*(SUM($C36:K36)+SUM($C37:J37)),0)</f>
        <v>0</v>
      </c>
      <c r="L37" s="84">
        <f>IF(L36&gt;0,$B$19*(SUM($C36:L36)+SUM($C37:K37)),0)</f>
        <v>0</v>
      </c>
      <c r="M37" s="84">
        <f>IF(M36&gt;0,$B$19*(SUM($C36:M36)+SUM($C37:L37)),0)</f>
        <v>0</v>
      </c>
      <c r="N37" s="84">
        <f>IF(N36&gt;0,$B$19*(SUM($C36:N36)+SUM($C37:M37)),0)</f>
        <v>0</v>
      </c>
      <c r="O37" s="84">
        <f>IF(O36&gt;0,$B$19*(SUM($C36:O36)+SUM($C37:N37)),0)</f>
        <v>0</v>
      </c>
      <c r="P37" s="84">
        <f>IF(P36&gt;0,$B$19*(SUM($C36:P36)+SUM($C37:O37)),0)</f>
        <v>0</v>
      </c>
      <c r="Q37" s="84">
        <f>IF(Q36&gt;0,$B$19*(SUM($C36:Q36)+SUM($C37:P37)),0)</f>
        <v>0</v>
      </c>
      <c r="R37" s="84">
        <f>IF(R36&gt;0,$B$19*(SUM($C36:R36)+SUM($C37:Q37)),0)</f>
        <v>0</v>
      </c>
      <c r="S37" s="84">
        <f>IF(S36&gt;0,$B$19*(SUM($C36:S36)+SUM($C37:R37)),0)</f>
        <v>0</v>
      </c>
      <c r="T37" s="84">
        <f>IF(T36&gt;0,$B$19*(SUM($C36:T36)+SUM($C37:S37)),0)</f>
        <v>0</v>
      </c>
      <c r="U37" s="84">
        <f>IF(U36&gt;0,$B$19*(SUM($C36:U36)+SUM($C37:T37)),0)</f>
        <v>0</v>
      </c>
      <c r="V37" s="84">
        <f>IF(V36&gt;0,$B$19*(SUM($C36:V36)+SUM($C37:U37)),0)</f>
        <v>0</v>
      </c>
      <c r="W37" s="84">
        <f>IF(W36&gt;0,$B$19*(SUM($C36:W36)+SUM($C37:V37)),0)</f>
        <v>0</v>
      </c>
      <c r="X37" s="84">
        <f>IF(X36&gt;0,$B$19*(SUM($C36:X36)+SUM($C37:W37)),0)</f>
        <v>0</v>
      </c>
      <c r="Y37" s="84">
        <f>IF(Y36&gt;0,$B$19*(SUM($C36:Y36)+SUM($C37:X37)),0)</f>
        <v>0</v>
      </c>
      <c r="Z37" s="84">
        <f>IF(Z36&gt;0,$B$19*(SUM($C36:Z36)+SUM($C37:Y37)),0)</f>
        <v>0</v>
      </c>
      <c r="AA37" s="84">
        <f>IF(AA36&gt;0,$B$19*(SUM($C36:AA36)+SUM($C37:Z37)),0)</f>
        <v>0</v>
      </c>
      <c r="AB37" s="84">
        <f>IF(AB36&gt;0,$B$19*(SUM($C36:AB36)+SUM($C37:AA37)),0)</f>
        <v>0</v>
      </c>
      <c r="AC37" s="84">
        <f>IF(AC36&gt;0,$B$19*(SUM($C36:AC36)+SUM($C37:AB37)),0)</f>
        <v>0</v>
      </c>
      <c r="AD37" s="84">
        <f>IF(AD36&gt;0,$B$19*(SUM($C36:AD36)+SUM($C37:AC37)),0)</f>
        <v>0</v>
      </c>
      <c r="AE37" s="84">
        <f>IF(AE36&gt;0,$B$19*(SUM($C36:AE36)+SUM($C37:AD37)),0)</f>
        <v>0</v>
      </c>
      <c r="AF37" s="84">
        <f>IF(AF36&gt;0,$B$19*(SUM($C36:AF36)+SUM($C37:AE37)),0)</f>
        <v>0</v>
      </c>
      <c r="AG37" s="84">
        <f>IF(AG36&gt;0,$B$19*(SUM($C36:AG36)+SUM($C37:AF37)),0)</f>
        <v>0</v>
      </c>
      <c r="AH37" s="84">
        <f>IF(AH36&gt;0,$B$19*(SUM($C36:AH36)+SUM($C37:AG37)),0)</f>
        <v>0</v>
      </c>
      <c r="AI37" s="84">
        <f>IF(AI36&gt;0,$B$19*(SUM($C36:AI36)+SUM($C37:AH37)),0)</f>
        <v>0</v>
      </c>
      <c r="AJ37" s="294">
        <f>SUM(C37:AI37)</f>
        <v>2618.7040767999997</v>
      </c>
      <c r="AK37" s="84"/>
      <c r="AL37" s="79"/>
      <c r="AM37" s="79"/>
      <c r="AN37" s="79"/>
      <c r="AO37" s="79"/>
      <c r="AP37" s="79"/>
      <c r="AQ37" s="79"/>
      <c r="AR37" s="79"/>
      <c r="AS37" s="79"/>
      <c r="AT37" s="79"/>
      <c r="AU37" s="79"/>
      <c r="AV37" s="79"/>
      <c r="AW37" s="79"/>
      <c r="AX37" s="79"/>
      <c r="AY37" s="79"/>
      <c r="AZ37" s="79"/>
      <c r="BA37" s="79"/>
    </row>
    <row r="38" spans="1:53" x14ac:dyDescent="0.2">
      <c r="A38" s="248" t="s">
        <v>414</v>
      </c>
      <c r="B38" s="241" t="s">
        <v>99</v>
      </c>
      <c r="C38" s="84">
        <f>IF(D36&gt;0,C36+C37,0)</f>
        <v>315.25199999999995</v>
      </c>
      <c r="D38" s="84">
        <f>IF(D36&gt;0,(C38+D36+D37),0)</f>
        <v>4302.3119999999999</v>
      </c>
      <c r="E38" s="84">
        <f>IF(E36&gt;0,(D38+E36+E37),0)</f>
        <v>10850.988959999999</v>
      </c>
      <c r="F38" s="84">
        <f>IF(F36&gt;0,(E38+F36+F37),0)</f>
        <v>19907.304076799999</v>
      </c>
      <c r="G38" s="84">
        <f>IF(G36&gt;0,(F38+G36+G37),0)</f>
        <v>0</v>
      </c>
      <c r="H38" s="84">
        <f>IF(H36&gt;0,SUM($C36:H37)+SUM($C37:H37),0)</f>
        <v>0</v>
      </c>
      <c r="I38" s="84">
        <f>IF(I36&gt;0,SUM($C36:I37)+SUM($C37:I37),0)</f>
        <v>0</v>
      </c>
      <c r="J38" s="84">
        <f>IF(J36&gt;0,SUM($C36:J37)+SUM($C37:J37),0)</f>
        <v>0</v>
      </c>
      <c r="K38" s="84">
        <f>IF(K36&gt;0,SUM($C36:K37)+SUM($C37:K37),0)</f>
        <v>0</v>
      </c>
      <c r="L38" s="84">
        <f>IF(L36&gt;0,SUM($C36:L37)+SUM($C37:L37),0)</f>
        <v>0</v>
      </c>
      <c r="M38" s="84">
        <f>IF(M36&gt;0,SUM($C36:M37)+SUM($C37:M37),0)</f>
        <v>0</v>
      </c>
      <c r="N38" s="84">
        <f>IF(N36&gt;0,SUM($C36:N37)+SUM($C37:N37),0)</f>
        <v>0</v>
      </c>
      <c r="O38" s="84">
        <f>IF(O36&gt;0,SUM($C36:O37)+SUM($C37:O37),0)</f>
        <v>0</v>
      </c>
      <c r="P38" s="84">
        <f>IF(P36&gt;0,SUM($C36:P37)+SUM($C37:P37),0)</f>
        <v>0</v>
      </c>
      <c r="Q38" s="84">
        <f>IF(Q36&gt;0,SUM($C36:Q37)+SUM($C37:Q37),0)</f>
        <v>0</v>
      </c>
      <c r="R38" s="84">
        <f>IF(R36&gt;0,SUM($C36:R37)+SUM($C37:R37),0)</f>
        <v>0</v>
      </c>
      <c r="S38" s="84">
        <f>IF(S36&gt;0,SUM($C36:S37)+SUM($C37:S37),0)</f>
        <v>0</v>
      </c>
      <c r="T38" s="84">
        <f>IF(T36&gt;0,SUM($C36:T37)+SUM($C37:T37),0)</f>
        <v>0</v>
      </c>
      <c r="U38" s="84">
        <f>IF(U36&gt;0,SUM($C36:U37)+SUM($C37:U37),0)</f>
        <v>0</v>
      </c>
      <c r="V38" s="84">
        <f>IF(V36&gt;0,SUM($C36:V37)+SUM($C37:V37),0)</f>
        <v>0</v>
      </c>
      <c r="W38" s="84">
        <f>IF(W36&gt;0,SUM($C36:W37)+SUM($C37:W37),0)</f>
        <v>0</v>
      </c>
      <c r="X38" s="84">
        <f>IF(X36&gt;0,SUM($C36:X37)+SUM($C37:X37),0)</f>
        <v>0</v>
      </c>
      <c r="Y38" s="84">
        <f>IF(Y36&gt;0,SUM($C36:Y37)+SUM($C37:Y37),0)</f>
        <v>0</v>
      </c>
      <c r="Z38" s="84">
        <f>IF(Z36&gt;0,SUM($C36:Z37)+SUM($C37:Z37),0)</f>
        <v>0</v>
      </c>
      <c r="AA38" s="84">
        <f>IF(AA36&gt;0,SUM($C36:AA37)+SUM($C37:AA37),0)</f>
        <v>0</v>
      </c>
      <c r="AB38" s="84">
        <f>IF(AB36&gt;0,SUM($C36:AB37)+SUM($C37:AB37),0)</f>
        <v>0</v>
      </c>
      <c r="AC38" s="84">
        <f>IF(AC36&gt;0,SUM($C36:AC37)+SUM($C37:AC37),0)</f>
        <v>0</v>
      </c>
      <c r="AD38" s="84">
        <f>IF(AD36&gt;0,SUM($C36:AD37)+SUM($C37:AD37),0)</f>
        <v>0</v>
      </c>
      <c r="AE38" s="84">
        <f>IF(AE36&gt;0,SUM($C36:AE37)+SUM($C37:AE37),0)</f>
        <v>0</v>
      </c>
      <c r="AF38" s="84">
        <f>IF(AF36&gt;0,SUM($C36:AF37)+SUM($C37:AF37),0)</f>
        <v>0</v>
      </c>
      <c r="AG38" s="84">
        <f>IF(AG36&gt;0,SUM($C36:AG37)+SUM($C37:AG37),0)</f>
        <v>0</v>
      </c>
      <c r="AH38" s="84">
        <f>IF(AH36&gt;0,SUM($C36:AH37)+SUM($C37:AH37),0)</f>
        <v>0</v>
      </c>
      <c r="AI38" s="84">
        <f>IF(AI36&gt;0,SUM($C36:AI37)+SUM($C37:AI37),0)</f>
        <v>0</v>
      </c>
      <c r="AJ38" s="294">
        <f>SUM(C38:AI38)</f>
        <v>35375.8570368</v>
      </c>
      <c r="AK38" s="84"/>
      <c r="AL38" s="79"/>
      <c r="AM38" s="79"/>
      <c r="AN38" s="79"/>
      <c r="AO38" s="79"/>
      <c r="AP38" s="79"/>
      <c r="AQ38" s="79"/>
      <c r="AR38" s="79"/>
      <c r="AS38" s="79"/>
      <c r="AT38" s="79"/>
      <c r="AU38" s="79"/>
      <c r="AV38" s="79"/>
      <c r="AW38" s="79"/>
      <c r="AX38" s="79"/>
      <c r="AY38" s="79"/>
      <c r="AZ38" s="79"/>
      <c r="BA38" s="79"/>
    </row>
    <row r="39" spans="1:53" x14ac:dyDescent="0.2">
      <c r="A39" s="250" t="s">
        <v>426</v>
      </c>
      <c r="B39" s="241" t="s">
        <v>99</v>
      </c>
      <c r="C39" s="84">
        <f t="shared" ref="C39:AI39" si="10">IF(C4&gt;0,(C30+B38),0)</f>
        <v>0</v>
      </c>
      <c r="D39" s="84">
        <f t="shared" si="10"/>
        <v>0</v>
      </c>
      <c r="E39" s="84">
        <f t="shared" si="10"/>
        <v>0</v>
      </c>
      <c r="F39" s="84">
        <f t="shared" si="10"/>
        <v>0</v>
      </c>
      <c r="G39" s="84">
        <f t="shared" si="10"/>
        <v>22217.304076799999</v>
      </c>
      <c r="H39" s="84">
        <f t="shared" si="10"/>
        <v>378</v>
      </c>
      <c r="I39" s="84">
        <f t="shared" si="10"/>
        <v>0</v>
      </c>
      <c r="J39" s="84">
        <f t="shared" si="10"/>
        <v>0</v>
      </c>
      <c r="K39" s="84">
        <f t="shared" si="10"/>
        <v>0</v>
      </c>
      <c r="L39" s="84">
        <f t="shared" si="10"/>
        <v>0</v>
      </c>
      <c r="M39" s="84">
        <f t="shared" si="10"/>
        <v>0</v>
      </c>
      <c r="N39" s="84">
        <f t="shared" si="10"/>
        <v>0</v>
      </c>
      <c r="O39" s="84">
        <f t="shared" si="10"/>
        <v>0</v>
      </c>
      <c r="P39" s="84">
        <f t="shared" si="10"/>
        <v>0</v>
      </c>
      <c r="Q39" s="84">
        <f t="shared" si="10"/>
        <v>0</v>
      </c>
      <c r="R39" s="84">
        <f t="shared" si="10"/>
        <v>0</v>
      </c>
      <c r="S39" s="84">
        <f t="shared" si="10"/>
        <v>0</v>
      </c>
      <c r="T39" s="84">
        <f t="shared" si="10"/>
        <v>0</v>
      </c>
      <c r="U39" s="84">
        <f t="shared" si="10"/>
        <v>0</v>
      </c>
      <c r="V39" s="84">
        <f t="shared" si="10"/>
        <v>0</v>
      </c>
      <c r="W39" s="84">
        <f t="shared" si="10"/>
        <v>0</v>
      </c>
      <c r="X39" s="84">
        <f t="shared" si="10"/>
        <v>0</v>
      </c>
      <c r="Y39" s="84">
        <f t="shared" si="10"/>
        <v>0</v>
      </c>
      <c r="Z39" s="84">
        <f t="shared" si="10"/>
        <v>0</v>
      </c>
      <c r="AA39" s="84">
        <f t="shared" si="10"/>
        <v>0</v>
      </c>
      <c r="AB39" s="84">
        <f t="shared" si="10"/>
        <v>0</v>
      </c>
      <c r="AC39" s="84">
        <f t="shared" si="10"/>
        <v>0</v>
      </c>
      <c r="AD39" s="84">
        <f t="shared" si="10"/>
        <v>0</v>
      </c>
      <c r="AE39" s="84">
        <f t="shared" si="10"/>
        <v>0</v>
      </c>
      <c r="AF39" s="84">
        <f t="shared" si="10"/>
        <v>0</v>
      </c>
      <c r="AG39" s="84">
        <f t="shared" si="10"/>
        <v>0</v>
      </c>
      <c r="AH39" s="84">
        <f t="shared" si="10"/>
        <v>0</v>
      </c>
      <c r="AI39" s="84">
        <f t="shared" si="10"/>
        <v>0</v>
      </c>
      <c r="AJ39" s="294">
        <f>SUM(C39:AI39)</f>
        <v>22595.304076799999</v>
      </c>
      <c r="AK39" s="84"/>
      <c r="AL39" s="79"/>
      <c r="AM39" s="79"/>
      <c r="AN39" s="79"/>
      <c r="AO39" s="79"/>
      <c r="AP39" s="79"/>
      <c r="AQ39" s="79"/>
      <c r="AR39" s="79"/>
      <c r="AS39" s="79"/>
      <c r="AT39" s="79"/>
      <c r="AU39" s="79"/>
      <c r="AV39" s="79"/>
      <c r="AW39" s="79"/>
      <c r="AX39" s="79"/>
      <c r="AY39" s="79"/>
      <c r="AZ39" s="79"/>
      <c r="BA39" s="79"/>
    </row>
    <row r="40" spans="1:53" x14ac:dyDescent="0.2">
      <c r="A40" s="230"/>
      <c r="B40" s="219"/>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row>
    <row r="41" spans="1:53" x14ac:dyDescent="0.2">
      <c r="A41" s="216" t="s">
        <v>425</v>
      </c>
      <c r="B41" s="242" t="s">
        <v>99</v>
      </c>
      <c r="C41" s="298"/>
      <c r="D41" s="293"/>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298"/>
      <c r="AI41" s="298"/>
      <c r="AJ41" s="298"/>
      <c r="AK41" s="293"/>
    </row>
    <row r="42" spans="1:53" x14ac:dyDescent="0.2">
      <c r="A42" s="243">
        <f>C3</f>
        <v>2017</v>
      </c>
      <c r="B42" s="241"/>
      <c r="C42" s="84">
        <f>C$39</f>
        <v>0</v>
      </c>
      <c r="D42" s="84">
        <f t="shared" ref="D42:AI42" si="11">+C42-D44</f>
        <v>0</v>
      </c>
      <c r="E42" s="84">
        <f t="shared" si="11"/>
        <v>0</v>
      </c>
      <c r="F42" s="84">
        <f t="shared" si="11"/>
        <v>0</v>
      </c>
      <c r="G42" s="84">
        <f t="shared" si="11"/>
        <v>0</v>
      </c>
      <c r="H42" s="84">
        <f t="shared" si="11"/>
        <v>0</v>
      </c>
      <c r="I42" s="84">
        <f t="shared" si="11"/>
        <v>0</v>
      </c>
      <c r="J42" s="84">
        <f t="shared" si="11"/>
        <v>0</v>
      </c>
      <c r="K42" s="84">
        <f t="shared" si="11"/>
        <v>0</v>
      </c>
      <c r="L42" s="84">
        <f t="shared" si="11"/>
        <v>0</v>
      </c>
      <c r="M42" s="84">
        <f t="shared" si="11"/>
        <v>0</v>
      </c>
      <c r="N42" s="8">
        <f t="shared" si="11"/>
        <v>0</v>
      </c>
      <c r="O42" s="8">
        <f t="shared" si="11"/>
        <v>0</v>
      </c>
      <c r="P42" s="8">
        <f t="shared" si="11"/>
        <v>0</v>
      </c>
      <c r="Q42" s="8">
        <f t="shared" si="11"/>
        <v>0</v>
      </c>
      <c r="R42" s="8">
        <f t="shared" si="11"/>
        <v>0</v>
      </c>
      <c r="S42" s="8">
        <f t="shared" si="11"/>
        <v>0</v>
      </c>
      <c r="T42" s="8">
        <f t="shared" si="11"/>
        <v>0</v>
      </c>
      <c r="U42" s="8">
        <f t="shared" si="11"/>
        <v>0</v>
      </c>
      <c r="V42" s="8">
        <f t="shared" si="11"/>
        <v>0</v>
      </c>
      <c r="W42" s="8">
        <f t="shared" si="11"/>
        <v>0</v>
      </c>
      <c r="X42" s="8">
        <f t="shared" si="11"/>
        <v>0</v>
      </c>
      <c r="Y42" s="8">
        <f t="shared" si="11"/>
        <v>0</v>
      </c>
      <c r="Z42" s="8">
        <f t="shared" si="11"/>
        <v>0</v>
      </c>
      <c r="AA42" s="8">
        <f t="shared" si="11"/>
        <v>0</v>
      </c>
      <c r="AB42" s="8">
        <f t="shared" si="11"/>
        <v>0</v>
      </c>
      <c r="AC42" s="8">
        <f t="shared" si="11"/>
        <v>0</v>
      </c>
      <c r="AD42" s="8">
        <f t="shared" si="11"/>
        <v>0</v>
      </c>
      <c r="AE42" s="8">
        <f t="shared" si="11"/>
        <v>0</v>
      </c>
      <c r="AF42" s="8">
        <f t="shared" si="11"/>
        <v>0</v>
      </c>
      <c r="AG42" s="8">
        <f t="shared" si="11"/>
        <v>0</v>
      </c>
      <c r="AH42" s="8">
        <f t="shared" si="11"/>
        <v>0</v>
      </c>
      <c r="AI42" s="8">
        <f t="shared" si="11"/>
        <v>0</v>
      </c>
      <c r="AJ42" s="294"/>
      <c r="AK42" s="8"/>
    </row>
    <row r="43" spans="1:53" ht="15.95" x14ac:dyDescent="0.2">
      <c r="A43" s="237" t="s">
        <v>404</v>
      </c>
      <c r="B43" s="299">
        <f>+C42/((1-(1/(1+$B$19)^$B$18))/$B$19)</f>
        <v>0</v>
      </c>
      <c r="C43" s="84">
        <v>0</v>
      </c>
      <c r="D43" s="84">
        <f t="shared" ref="D43:AI43" si="12">+IF(C42&lt;0.01,0,$B$43)</f>
        <v>0</v>
      </c>
      <c r="E43" s="84">
        <f t="shared" si="12"/>
        <v>0</v>
      </c>
      <c r="F43" s="84">
        <f t="shared" si="12"/>
        <v>0</v>
      </c>
      <c r="G43" s="84">
        <f t="shared" si="12"/>
        <v>0</v>
      </c>
      <c r="H43" s="84">
        <f t="shared" si="12"/>
        <v>0</v>
      </c>
      <c r="I43" s="84">
        <f t="shared" si="12"/>
        <v>0</v>
      </c>
      <c r="J43" s="84">
        <f t="shared" si="12"/>
        <v>0</v>
      </c>
      <c r="K43" s="84">
        <f t="shared" si="12"/>
        <v>0</v>
      </c>
      <c r="L43" s="84">
        <f t="shared" si="12"/>
        <v>0</v>
      </c>
      <c r="M43" s="84">
        <f t="shared" si="12"/>
        <v>0</v>
      </c>
      <c r="N43" s="8">
        <f t="shared" si="12"/>
        <v>0</v>
      </c>
      <c r="O43" s="8">
        <f t="shared" si="12"/>
        <v>0</v>
      </c>
      <c r="P43" s="8">
        <f t="shared" si="12"/>
        <v>0</v>
      </c>
      <c r="Q43" s="8">
        <f t="shared" si="12"/>
        <v>0</v>
      </c>
      <c r="R43" s="8">
        <f t="shared" si="12"/>
        <v>0</v>
      </c>
      <c r="S43" s="8">
        <f t="shared" si="12"/>
        <v>0</v>
      </c>
      <c r="T43" s="8">
        <f t="shared" si="12"/>
        <v>0</v>
      </c>
      <c r="U43" s="8">
        <f t="shared" si="12"/>
        <v>0</v>
      </c>
      <c r="V43" s="8">
        <f t="shared" si="12"/>
        <v>0</v>
      </c>
      <c r="W43" s="8">
        <f t="shared" si="12"/>
        <v>0</v>
      </c>
      <c r="X43" s="8">
        <f t="shared" si="12"/>
        <v>0</v>
      </c>
      <c r="Y43" s="8">
        <f t="shared" si="12"/>
        <v>0</v>
      </c>
      <c r="Z43" s="8">
        <f t="shared" si="12"/>
        <v>0</v>
      </c>
      <c r="AA43" s="8">
        <f t="shared" si="12"/>
        <v>0</v>
      </c>
      <c r="AB43" s="8">
        <f t="shared" si="12"/>
        <v>0</v>
      </c>
      <c r="AC43" s="8">
        <f t="shared" si="12"/>
        <v>0</v>
      </c>
      <c r="AD43" s="8">
        <f t="shared" si="12"/>
        <v>0</v>
      </c>
      <c r="AE43" s="8">
        <f t="shared" si="12"/>
        <v>0</v>
      </c>
      <c r="AF43" s="8">
        <f t="shared" si="12"/>
        <v>0</v>
      </c>
      <c r="AG43" s="8">
        <f t="shared" si="12"/>
        <v>0</v>
      </c>
      <c r="AH43" s="8">
        <f t="shared" si="12"/>
        <v>0</v>
      </c>
      <c r="AI43" s="8">
        <f t="shared" si="12"/>
        <v>0</v>
      </c>
      <c r="AJ43" s="294">
        <f>SUM(C43:AI43)</f>
        <v>0</v>
      </c>
      <c r="AK43" s="8"/>
    </row>
    <row r="44" spans="1:53" ht="15.95" x14ac:dyDescent="0.2">
      <c r="A44" s="237" t="s">
        <v>405</v>
      </c>
      <c r="B44" s="300"/>
      <c r="C44" s="84">
        <v>0</v>
      </c>
      <c r="D44" s="84">
        <f>+D43-D45</f>
        <v>0</v>
      </c>
      <c r="E44" s="84">
        <f t="shared" ref="E44:AI44" si="13">+E43-E45</f>
        <v>0</v>
      </c>
      <c r="F44" s="84">
        <f t="shared" si="13"/>
        <v>0</v>
      </c>
      <c r="G44" s="84">
        <f t="shared" si="13"/>
        <v>0</v>
      </c>
      <c r="H44" s="84">
        <f t="shared" si="13"/>
        <v>0</v>
      </c>
      <c r="I44" s="84">
        <f t="shared" si="13"/>
        <v>0</v>
      </c>
      <c r="J44" s="84">
        <f t="shared" si="13"/>
        <v>0</v>
      </c>
      <c r="K44" s="84">
        <f t="shared" si="13"/>
        <v>0</v>
      </c>
      <c r="L44" s="84">
        <f t="shared" si="13"/>
        <v>0</v>
      </c>
      <c r="M44" s="84">
        <f t="shared" si="13"/>
        <v>0</v>
      </c>
      <c r="N44" s="8">
        <f t="shared" si="13"/>
        <v>0</v>
      </c>
      <c r="O44" s="8">
        <f t="shared" si="13"/>
        <v>0</v>
      </c>
      <c r="P44" s="8">
        <f t="shared" si="13"/>
        <v>0</v>
      </c>
      <c r="Q44" s="8">
        <f t="shared" si="13"/>
        <v>0</v>
      </c>
      <c r="R44" s="8">
        <f t="shared" si="13"/>
        <v>0</v>
      </c>
      <c r="S44" s="8">
        <f t="shared" si="13"/>
        <v>0</v>
      </c>
      <c r="T44" s="8">
        <f t="shared" si="13"/>
        <v>0</v>
      </c>
      <c r="U44" s="8">
        <f t="shared" si="13"/>
        <v>0</v>
      </c>
      <c r="V44" s="8">
        <f t="shared" si="13"/>
        <v>0</v>
      </c>
      <c r="W44" s="8">
        <f t="shared" si="13"/>
        <v>0</v>
      </c>
      <c r="X44" s="8">
        <f t="shared" si="13"/>
        <v>0</v>
      </c>
      <c r="Y44" s="8">
        <f t="shared" si="13"/>
        <v>0</v>
      </c>
      <c r="Z44" s="8">
        <f t="shared" si="13"/>
        <v>0</v>
      </c>
      <c r="AA44" s="8">
        <f t="shared" si="13"/>
        <v>0</v>
      </c>
      <c r="AB44" s="8">
        <f t="shared" si="13"/>
        <v>0</v>
      </c>
      <c r="AC44" s="8">
        <f t="shared" si="13"/>
        <v>0</v>
      </c>
      <c r="AD44" s="8">
        <f t="shared" si="13"/>
        <v>0</v>
      </c>
      <c r="AE44" s="8">
        <f t="shared" si="13"/>
        <v>0</v>
      </c>
      <c r="AF44" s="8">
        <f t="shared" si="13"/>
        <v>0</v>
      </c>
      <c r="AG44" s="8">
        <f t="shared" si="13"/>
        <v>0</v>
      </c>
      <c r="AH44" s="8">
        <f t="shared" si="13"/>
        <v>0</v>
      </c>
      <c r="AI44" s="8">
        <f t="shared" si="13"/>
        <v>0</v>
      </c>
      <c r="AJ44" s="294">
        <f>SUM(C44:AI44)</f>
        <v>0</v>
      </c>
      <c r="AK44" s="8"/>
    </row>
    <row r="45" spans="1:53" ht="15.95" x14ac:dyDescent="0.2">
      <c r="A45" s="237" t="s">
        <v>406</v>
      </c>
      <c r="B45" s="300"/>
      <c r="C45" s="84">
        <v>0</v>
      </c>
      <c r="D45" s="84">
        <f t="shared" ref="D45:AI45" si="14">+$B$19*C42</f>
        <v>0</v>
      </c>
      <c r="E45" s="84">
        <f t="shared" si="14"/>
        <v>0</v>
      </c>
      <c r="F45" s="84">
        <f t="shared" si="14"/>
        <v>0</v>
      </c>
      <c r="G45" s="84">
        <f t="shared" si="14"/>
        <v>0</v>
      </c>
      <c r="H45" s="84">
        <f t="shared" si="14"/>
        <v>0</v>
      </c>
      <c r="I45" s="84">
        <f t="shared" si="14"/>
        <v>0</v>
      </c>
      <c r="J45" s="84">
        <f t="shared" si="14"/>
        <v>0</v>
      </c>
      <c r="K45" s="84">
        <f t="shared" si="14"/>
        <v>0</v>
      </c>
      <c r="L45" s="84">
        <f t="shared" si="14"/>
        <v>0</v>
      </c>
      <c r="M45" s="84">
        <f t="shared" si="14"/>
        <v>0</v>
      </c>
      <c r="N45" s="8">
        <f t="shared" si="14"/>
        <v>0</v>
      </c>
      <c r="O45" s="8">
        <f t="shared" si="14"/>
        <v>0</v>
      </c>
      <c r="P45" s="8">
        <f t="shared" si="14"/>
        <v>0</v>
      </c>
      <c r="Q45" s="8">
        <f t="shared" si="14"/>
        <v>0</v>
      </c>
      <c r="R45" s="8">
        <f t="shared" si="14"/>
        <v>0</v>
      </c>
      <c r="S45" s="8">
        <f t="shared" si="14"/>
        <v>0</v>
      </c>
      <c r="T45" s="8">
        <f t="shared" si="14"/>
        <v>0</v>
      </c>
      <c r="U45" s="8">
        <f t="shared" si="14"/>
        <v>0</v>
      </c>
      <c r="V45" s="8">
        <f t="shared" si="14"/>
        <v>0</v>
      </c>
      <c r="W45" s="8">
        <f t="shared" si="14"/>
        <v>0</v>
      </c>
      <c r="X45" s="8">
        <f t="shared" si="14"/>
        <v>0</v>
      </c>
      <c r="Y45" s="8">
        <f t="shared" si="14"/>
        <v>0</v>
      </c>
      <c r="Z45" s="8">
        <f t="shared" si="14"/>
        <v>0</v>
      </c>
      <c r="AA45" s="8">
        <f t="shared" si="14"/>
        <v>0</v>
      </c>
      <c r="AB45" s="8">
        <f t="shared" si="14"/>
        <v>0</v>
      </c>
      <c r="AC45" s="8">
        <f t="shared" si="14"/>
        <v>0</v>
      </c>
      <c r="AD45" s="8">
        <f t="shared" si="14"/>
        <v>0</v>
      </c>
      <c r="AE45" s="8">
        <f t="shared" si="14"/>
        <v>0</v>
      </c>
      <c r="AF45" s="8">
        <f t="shared" si="14"/>
        <v>0</v>
      </c>
      <c r="AG45" s="8">
        <f t="shared" si="14"/>
        <v>0</v>
      </c>
      <c r="AH45" s="8">
        <f t="shared" si="14"/>
        <v>0</v>
      </c>
      <c r="AI45" s="8">
        <f t="shared" si="14"/>
        <v>0</v>
      </c>
      <c r="AJ45" s="294">
        <f>SUM(C45:AI45)</f>
        <v>0</v>
      </c>
      <c r="AK45" s="8"/>
    </row>
    <row r="46" spans="1:53" ht="15.95" x14ac:dyDescent="0.2">
      <c r="A46" s="237"/>
      <c r="B46" s="299"/>
      <c r="C46" s="84"/>
      <c r="D46" s="84"/>
      <c r="E46" s="84"/>
      <c r="F46" s="84"/>
      <c r="G46" s="84"/>
      <c r="H46" s="84"/>
      <c r="I46" s="84"/>
      <c r="J46" s="84"/>
      <c r="K46" s="84"/>
      <c r="L46" s="84"/>
      <c r="M46" s="84"/>
      <c r="N46" s="8"/>
      <c r="O46" s="8"/>
      <c r="P46" s="8"/>
      <c r="Q46" s="8"/>
      <c r="R46" s="8"/>
      <c r="S46" s="8"/>
      <c r="T46" s="8"/>
      <c r="U46" s="8"/>
      <c r="V46" s="8"/>
      <c r="W46" s="8"/>
      <c r="X46" s="8"/>
      <c r="Y46" s="8"/>
      <c r="Z46" s="8"/>
      <c r="AA46" s="8"/>
      <c r="AB46" s="8"/>
      <c r="AC46" s="8"/>
      <c r="AD46" s="8"/>
      <c r="AE46" s="8"/>
      <c r="AF46" s="8"/>
      <c r="AG46" s="8"/>
      <c r="AH46" s="8"/>
      <c r="AI46" s="8"/>
      <c r="AJ46" s="8"/>
      <c r="AK46" s="8"/>
    </row>
    <row r="47" spans="1:53" ht="15.95" x14ac:dyDescent="0.2">
      <c r="A47" s="243">
        <f>D3</f>
        <v>2018</v>
      </c>
      <c r="B47" s="300"/>
      <c r="C47" s="84"/>
      <c r="D47" s="84">
        <f>D$39</f>
        <v>0</v>
      </c>
      <c r="E47" s="84">
        <f t="shared" ref="E47:AI47" si="15">+D47-E49</f>
        <v>0</v>
      </c>
      <c r="F47" s="84">
        <f t="shared" si="15"/>
        <v>0</v>
      </c>
      <c r="G47" s="84">
        <f t="shared" si="15"/>
        <v>0</v>
      </c>
      <c r="H47" s="84">
        <f t="shared" si="15"/>
        <v>0</v>
      </c>
      <c r="I47" s="84">
        <f t="shared" si="15"/>
        <v>0</v>
      </c>
      <c r="J47" s="84">
        <f t="shared" si="15"/>
        <v>0</v>
      </c>
      <c r="K47" s="84">
        <f t="shared" si="15"/>
        <v>0</v>
      </c>
      <c r="L47" s="84">
        <f t="shared" si="15"/>
        <v>0</v>
      </c>
      <c r="M47" s="84">
        <f t="shared" si="15"/>
        <v>0</v>
      </c>
      <c r="N47" s="8">
        <f t="shared" si="15"/>
        <v>0</v>
      </c>
      <c r="O47" s="8">
        <f t="shared" si="15"/>
        <v>0</v>
      </c>
      <c r="P47" s="8">
        <f t="shared" si="15"/>
        <v>0</v>
      </c>
      <c r="Q47" s="8">
        <f t="shared" si="15"/>
        <v>0</v>
      </c>
      <c r="R47" s="8">
        <f t="shared" si="15"/>
        <v>0</v>
      </c>
      <c r="S47" s="8">
        <f t="shared" si="15"/>
        <v>0</v>
      </c>
      <c r="T47" s="8">
        <f t="shared" si="15"/>
        <v>0</v>
      </c>
      <c r="U47" s="8">
        <f t="shared" si="15"/>
        <v>0</v>
      </c>
      <c r="V47" s="8">
        <f t="shared" si="15"/>
        <v>0</v>
      </c>
      <c r="W47" s="8">
        <f t="shared" si="15"/>
        <v>0</v>
      </c>
      <c r="X47" s="8">
        <f t="shared" si="15"/>
        <v>0</v>
      </c>
      <c r="Y47" s="8">
        <f t="shared" si="15"/>
        <v>0</v>
      </c>
      <c r="Z47" s="8">
        <f t="shared" si="15"/>
        <v>0</v>
      </c>
      <c r="AA47" s="8">
        <f t="shared" si="15"/>
        <v>0</v>
      </c>
      <c r="AB47" s="8">
        <f t="shared" si="15"/>
        <v>0</v>
      </c>
      <c r="AC47" s="8">
        <f t="shared" si="15"/>
        <v>0</v>
      </c>
      <c r="AD47" s="8">
        <f t="shared" si="15"/>
        <v>0</v>
      </c>
      <c r="AE47" s="8">
        <f t="shared" si="15"/>
        <v>0</v>
      </c>
      <c r="AF47" s="8">
        <f t="shared" si="15"/>
        <v>0</v>
      </c>
      <c r="AG47" s="8">
        <f t="shared" si="15"/>
        <v>0</v>
      </c>
      <c r="AH47" s="8">
        <f t="shared" si="15"/>
        <v>0</v>
      </c>
      <c r="AI47" s="8">
        <f t="shared" si="15"/>
        <v>0</v>
      </c>
      <c r="AJ47" s="8"/>
      <c r="AK47" s="8"/>
    </row>
    <row r="48" spans="1:53" ht="15.95" x14ac:dyDescent="0.2">
      <c r="A48" s="237" t="s">
        <v>404</v>
      </c>
      <c r="B48" s="299">
        <f>+D47/((1-(1/(1+$B$19)^$B$18))/$B$19)</f>
        <v>0</v>
      </c>
      <c r="C48" s="84"/>
      <c r="D48" s="84">
        <v>0</v>
      </c>
      <c r="E48" s="84">
        <f t="shared" ref="E48:AI48" si="16">+IF(D47&lt;0.01,0,$B$48)</f>
        <v>0</v>
      </c>
      <c r="F48" s="84">
        <f t="shared" si="16"/>
        <v>0</v>
      </c>
      <c r="G48" s="84">
        <f t="shared" si="16"/>
        <v>0</v>
      </c>
      <c r="H48" s="84">
        <f t="shared" si="16"/>
        <v>0</v>
      </c>
      <c r="I48" s="84">
        <f t="shared" si="16"/>
        <v>0</v>
      </c>
      <c r="J48" s="84">
        <f t="shared" si="16"/>
        <v>0</v>
      </c>
      <c r="K48" s="84">
        <f t="shared" si="16"/>
        <v>0</v>
      </c>
      <c r="L48" s="84">
        <f t="shared" si="16"/>
        <v>0</v>
      </c>
      <c r="M48" s="84">
        <f t="shared" si="16"/>
        <v>0</v>
      </c>
      <c r="N48" s="8">
        <f t="shared" si="16"/>
        <v>0</v>
      </c>
      <c r="O48" s="8">
        <f t="shared" si="16"/>
        <v>0</v>
      </c>
      <c r="P48" s="8">
        <f t="shared" si="16"/>
        <v>0</v>
      </c>
      <c r="Q48" s="8">
        <f t="shared" si="16"/>
        <v>0</v>
      </c>
      <c r="R48" s="8">
        <f t="shared" si="16"/>
        <v>0</v>
      </c>
      <c r="S48" s="8">
        <f t="shared" si="16"/>
        <v>0</v>
      </c>
      <c r="T48" s="8">
        <f t="shared" si="16"/>
        <v>0</v>
      </c>
      <c r="U48" s="8">
        <f t="shared" si="16"/>
        <v>0</v>
      </c>
      <c r="V48" s="8">
        <f t="shared" si="16"/>
        <v>0</v>
      </c>
      <c r="W48" s="8">
        <f t="shared" si="16"/>
        <v>0</v>
      </c>
      <c r="X48" s="8">
        <f t="shared" si="16"/>
        <v>0</v>
      </c>
      <c r="Y48" s="8">
        <f t="shared" si="16"/>
        <v>0</v>
      </c>
      <c r="Z48" s="8">
        <f t="shared" si="16"/>
        <v>0</v>
      </c>
      <c r="AA48" s="8">
        <f t="shared" si="16"/>
        <v>0</v>
      </c>
      <c r="AB48" s="8">
        <f t="shared" si="16"/>
        <v>0</v>
      </c>
      <c r="AC48" s="8">
        <f t="shared" si="16"/>
        <v>0</v>
      </c>
      <c r="AD48" s="8">
        <f t="shared" si="16"/>
        <v>0</v>
      </c>
      <c r="AE48" s="8">
        <f t="shared" si="16"/>
        <v>0</v>
      </c>
      <c r="AF48" s="8">
        <f t="shared" si="16"/>
        <v>0</v>
      </c>
      <c r="AG48" s="8">
        <f t="shared" si="16"/>
        <v>0</v>
      </c>
      <c r="AH48" s="8">
        <f t="shared" si="16"/>
        <v>0</v>
      </c>
      <c r="AI48" s="8">
        <f t="shared" si="16"/>
        <v>0</v>
      </c>
      <c r="AJ48" s="294">
        <f>SUM(C48:AI48)</f>
        <v>0</v>
      </c>
      <c r="AK48" s="8"/>
    </row>
    <row r="49" spans="1:37" ht="15.95" x14ac:dyDescent="0.2">
      <c r="A49" s="237" t="s">
        <v>405</v>
      </c>
      <c r="B49" s="300"/>
      <c r="C49" s="84"/>
      <c r="D49" s="84">
        <v>0</v>
      </c>
      <c r="E49" s="84">
        <f>+E48-E50</f>
        <v>0</v>
      </c>
      <c r="F49" s="84">
        <f t="shared" ref="F49:AI49" si="17">+F48-F50</f>
        <v>0</v>
      </c>
      <c r="G49" s="84">
        <f t="shared" si="17"/>
        <v>0</v>
      </c>
      <c r="H49" s="84">
        <f t="shared" si="17"/>
        <v>0</v>
      </c>
      <c r="I49" s="84">
        <f t="shared" si="17"/>
        <v>0</v>
      </c>
      <c r="J49" s="84">
        <f t="shared" si="17"/>
        <v>0</v>
      </c>
      <c r="K49" s="84">
        <f t="shared" si="17"/>
        <v>0</v>
      </c>
      <c r="L49" s="84">
        <f t="shared" si="17"/>
        <v>0</v>
      </c>
      <c r="M49" s="84">
        <f t="shared" si="17"/>
        <v>0</v>
      </c>
      <c r="N49" s="8">
        <f t="shared" si="17"/>
        <v>0</v>
      </c>
      <c r="O49" s="8">
        <f t="shared" si="17"/>
        <v>0</v>
      </c>
      <c r="P49" s="8">
        <f t="shared" si="17"/>
        <v>0</v>
      </c>
      <c r="Q49" s="8">
        <f t="shared" si="17"/>
        <v>0</v>
      </c>
      <c r="R49" s="8">
        <f t="shared" si="17"/>
        <v>0</v>
      </c>
      <c r="S49" s="8">
        <f t="shared" si="17"/>
        <v>0</v>
      </c>
      <c r="T49" s="8">
        <f t="shared" si="17"/>
        <v>0</v>
      </c>
      <c r="U49" s="8">
        <f t="shared" si="17"/>
        <v>0</v>
      </c>
      <c r="V49" s="8">
        <f t="shared" si="17"/>
        <v>0</v>
      </c>
      <c r="W49" s="8">
        <f t="shared" si="17"/>
        <v>0</v>
      </c>
      <c r="X49" s="8">
        <f t="shared" si="17"/>
        <v>0</v>
      </c>
      <c r="Y49" s="8">
        <f t="shared" si="17"/>
        <v>0</v>
      </c>
      <c r="Z49" s="8">
        <f t="shared" si="17"/>
        <v>0</v>
      </c>
      <c r="AA49" s="8">
        <f t="shared" si="17"/>
        <v>0</v>
      </c>
      <c r="AB49" s="8">
        <f t="shared" si="17"/>
        <v>0</v>
      </c>
      <c r="AC49" s="8">
        <f t="shared" si="17"/>
        <v>0</v>
      </c>
      <c r="AD49" s="8">
        <f t="shared" si="17"/>
        <v>0</v>
      </c>
      <c r="AE49" s="8">
        <f t="shared" si="17"/>
        <v>0</v>
      </c>
      <c r="AF49" s="8">
        <f t="shared" si="17"/>
        <v>0</v>
      </c>
      <c r="AG49" s="8">
        <f t="shared" si="17"/>
        <v>0</v>
      </c>
      <c r="AH49" s="8">
        <f t="shared" si="17"/>
        <v>0</v>
      </c>
      <c r="AI49" s="8">
        <f t="shared" si="17"/>
        <v>0</v>
      </c>
      <c r="AJ49" s="294">
        <f>SUM(C49:AI49)</f>
        <v>0</v>
      </c>
      <c r="AK49" s="8"/>
    </row>
    <row r="50" spans="1:37" ht="15.95" x14ac:dyDescent="0.2">
      <c r="A50" s="237" t="s">
        <v>406</v>
      </c>
      <c r="B50" s="300"/>
      <c r="C50" s="84"/>
      <c r="D50" s="84">
        <v>0</v>
      </c>
      <c r="E50" s="84">
        <f t="shared" ref="E50:AI50" si="18">+$B$19*D47</f>
        <v>0</v>
      </c>
      <c r="F50" s="84">
        <f t="shared" si="18"/>
        <v>0</v>
      </c>
      <c r="G50" s="84">
        <f t="shared" si="18"/>
        <v>0</v>
      </c>
      <c r="H50" s="84">
        <f t="shared" si="18"/>
        <v>0</v>
      </c>
      <c r="I50" s="84">
        <f t="shared" si="18"/>
        <v>0</v>
      </c>
      <c r="J50" s="84">
        <f t="shared" si="18"/>
        <v>0</v>
      </c>
      <c r="K50" s="84">
        <f t="shared" si="18"/>
        <v>0</v>
      </c>
      <c r="L50" s="84">
        <f t="shared" si="18"/>
        <v>0</v>
      </c>
      <c r="M50" s="84">
        <f t="shared" si="18"/>
        <v>0</v>
      </c>
      <c r="N50" s="8">
        <f t="shared" si="18"/>
        <v>0</v>
      </c>
      <c r="O50" s="8">
        <f t="shared" si="18"/>
        <v>0</v>
      </c>
      <c r="P50" s="8">
        <f t="shared" si="18"/>
        <v>0</v>
      </c>
      <c r="Q50" s="8">
        <f t="shared" si="18"/>
        <v>0</v>
      </c>
      <c r="R50" s="8">
        <f t="shared" si="18"/>
        <v>0</v>
      </c>
      <c r="S50" s="8">
        <f t="shared" si="18"/>
        <v>0</v>
      </c>
      <c r="T50" s="8">
        <f t="shared" si="18"/>
        <v>0</v>
      </c>
      <c r="U50" s="8">
        <f t="shared" si="18"/>
        <v>0</v>
      </c>
      <c r="V50" s="8">
        <f t="shared" si="18"/>
        <v>0</v>
      </c>
      <c r="W50" s="8">
        <f t="shared" si="18"/>
        <v>0</v>
      </c>
      <c r="X50" s="8">
        <f t="shared" si="18"/>
        <v>0</v>
      </c>
      <c r="Y50" s="8">
        <f t="shared" si="18"/>
        <v>0</v>
      </c>
      <c r="Z50" s="8">
        <f t="shared" si="18"/>
        <v>0</v>
      </c>
      <c r="AA50" s="8">
        <f t="shared" si="18"/>
        <v>0</v>
      </c>
      <c r="AB50" s="8">
        <f t="shared" si="18"/>
        <v>0</v>
      </c>
      <c r="AC50" s="8">
        <f t="shared" si="18"/>
        <v>0</v>
      </c>
      <c r="AD50" s="8">
        <f t="shared" si="18"/>
        <v>0</v>
      </c>
      <c r="AE50" s="8">
        <f t="shared" si="18"/>
        <v>0</v>
      </c>
      <c r="AF50" s="8">
        <f t="shared" si="18"/>
        <v>0</v>
      </c>
      <c r="AG50" s="8">
        <f t="shared" si="18"/>
        <v>0</v>
      </c>
      <c r="AH50" s="8">
        <f t="shared" si="18"/>
        <v>0</v>
      </c>
      <c r="AI50" s="8">
        <f t="shared" si="18"/>
        <v>0</v>
      </c>
      <c r="AJ50" s="294">
        <f>SUM(C50:AI50)</f>
        <v>0</v>
      </c>
      <c r="AK50" s="8"/>
    </row>
    <row r="51" spans="1:37" ht="15.95" x14ac:dyDescent="0.2">
      <c r="A51" s="237"/>
      <c r="B51" s="301"/>
      <c r="C51" s="84"/>
      <c r="D51" s="84"/>
      <c r="E51" s="84"/>
      <c r="F51" s="84"/>
      <c r="G51" s="84"/>
      <c r="H51" s="84"/>
      <c r="I51" s="84"/>
      <c r="J51" s="84"/>
      <c r="K51" s="84"/>
      <c r="L51" s="84"/>
      <c r="M51" s="84"/>
      <c r="N51" s="8"/>
      <c r="O51" s="8"/>
      <c r="P51" s="8"/>
      <c r="Q51" s="8"/>
      <c r="R51" s="8"/>
      <c r="S51" s="8"/>
      <c r="T51" s="8"/>
      <c r="U51" s="8"/>
      <c r="V51" s="8"/>
      <c r="W51" s="8"/>
      <c r="X51" s="8"/>
      <c r="Y51" s="8"/>
      <c r="Z51" s="8"/>
      <c r="AA51" s="8"/>
      <c r="AB51" s="8"/>
      <c r="AC51" s="8"/>
      <c r="AD51" s="8"/>
      <c r="AE51" s="8"/>
      <c r="AF51" s="8"/>
      <c r="AG51" s="8"/>
      <c r="AH51" s="8"/>
      <c r="AI51" s="8"/>
      <c r="AJ51" s="8"/>
      <c r="AK51" s="8"/>
    </row>
    <row r="52" spans="1:37" ht="15.95" x14ac:dyDescent="0.2">
      <c r="A52" s="243">
        <f>E3</f>
        <v>2019</v>
      </c>
      <c r="B52" s="300"/>
      <c r="C52" s="84"/>
      <c r="D52" s="84"/>
      <c r="E52" s="84">
        <f>E$39</f>
        <v>0</v>
      </c>
      <c r="F52" s="84">
        <f>+E52-F54</f>
        <v>0</v>
      </c>
      <c r="G52" s="84">
        <f t="shared" ref="G52:AI52" si="19">+F52-G54</f>
        <v>0</v>
      </c>
      <c r="H52" s="84">
        <f t="shared" si="19"/>
        <v>0</v>
      </c>
      <c r="I52" s="84">
        <f t="shared" si="19"/>
        <v>0</v>
      </c>
      <c r="J52" s="84">
        <f t="shared" si="19"/>
        <v>0</v>
      </c>
      <c r="K52" s="84">
        <f t="shared" si="19"/>
        <v>0</v>
      </c>
      <c r="L52" s="84">
        <f t="shared" si="19"/>
        <v>0</v>
      </c>
      <c r="M52" s="84">
        <f t="shared" si="19"/>
        <v>0</v>
      </c>
      <c r="N52" s="8">
        <f t="shared" si="19"/>
        <v>0</v>
      </c>
      <c r="O52" s="8">
        <f t="shared" si="19"/>
        <v>0</v>
      </c>
      <c r="P52" s="8">
        <f t="shared" si="19"/>
        <v>0</v>
      </c>
      <c r="Q52" s="8">
        <f t="shared" si="19"/>
        <v>0</v>
      </c>
      <c r="R52" s="8">
        <f t="shared" si="19"/>
        <v>0</v>
      </c>
      <c r="S52" s="8">
        <f t="shared" si="19"/>
        <v>0</v>
      </c>
      <c r="T52" s="8">
        <f t="shared" si="19"/>
        <v>0</v>
      </c>
      <c r="U52" s="8">
        <f t="shared" si="19"/>
        <v>0</v>
      </c>
      <c r="V52" s="8">
        <f t="shared" si="19"/>
        <v>0</v>
      </c>
      <c r="W52" s="8">
        <f t="shared" si="19"/>
        <v>0</v>
      </c>
      <c r="X52" s="8">
        <f t="shared" si="19"/>
        <v>0</v>
      </c>
      <c r="Y52" s="8">
        <f t="shared" si="19"/>
        <v>0</v>
      </c>
      <c r="Z52" s="8">
        <f t="shared" si="19"/>
        <v>0</v>
      </c>
      <c r="AA52" s="8">
        <f t="shared" si="19"/>
        <v>0</v>
      </c>
      <c r="AB52" s="8">
        <f t="shared" si="19"/>
        <v>0</v>
      </c>
      <c r="AC52" s="8">
        <f t="shared" si="19"/>
        <v>0</v>
      </c>
      <c r="AD52" s="8">
        <f t="shared" si="19"/>
        <v>0</v>
      </c>
      <c r="AE52" s="8">
        <f t="shared" si="19"/>
        <v>0</v>
      </c>
      <c r="AF52" s="8">
        <f t="shared" si="19"/>
        <v>0</v>
      </c>
      <c r="AG52" s="8">
        <f t="shared" si="19"/>
        <v>0</v>
      </c>
      <c r="AH52" s="8">
        <f t="shared" si="19"/>
        <v>0</v>
      </c>
      <c r="AI52" s="8">
        <f t="shared" si="19"/>
        <v>0</v>
      </c>
      <c r="AJ52" s="8"/>
      <c r="AK52" s="8"/>
    </row>
    <row r="53" spans="1:37" ht="15.95" x14ac:dyDescent="0.2">
      <c r="A53" s="237" t="s">
        <v>404</v>
      </c>
      <c r="B53" s="301">
        <f>+E52/((1-(1/(1+$B$19)^$B$18))/$B$19)</f>
        <v>0</v>
      </c>
      <c r="C53" s="84"/>
      <c r="D53" s="84"/>
      <c r="E53" s="84">
        <v>0</v>
      </c>
      <c r="F53" s="84">
        <f t="shared" ref="F53:AI53" si="20">+IF(E52&lt;0.01,0,$B$53)</f>
        <v>0</v>
      </c>
      <c r="G53" s="84">
        <f t="shared" si="20"/>
        <v>0</v>
      </c>
      <c r="H53" s="84">
        <f t="shared" si="20"/>
        <v>0</v>
      </c>
      <c r="I53" s="84">
        <f t="shared" si="20"/>
        <v>0</v>
      </c>
      <c r="J53" s="84">
        <f t="shared" si="20"/>
        <v>0</v>
      </c>
      <c r="K53" s="84">
        <f t="shared" si="20"/>
        <v>0</v>
      </c>
      <c r="L53" s="84">
        <f t="shared" si="20"/>
        <v>0</v>
      </c>
      <c r="M53" s="84">
        <f t="shared" si="20"/>
        <v>0</v>
      </c>
      <c r="N53" s="8">
        <f t="shared" si="20"/>
        <v>0</v>
      </c>
      <c r="O53" s="8">
        <f t="shared" si="20"/>
        <v>0</v>
      </c>
      <c r="P53" s="8">
        <f t="shared" si="20"/>
        <v>0</v>
      </c>
      <c r="Q53" s="8">
        <f t="shared" si="20"/>
        <v>0</v>
      </c>
      <c r="R53" s="8">
        <f t="shared" si="20"/>
        <v>0</v>
      </c>
      <c r="S53" s="8">
        <f t="shared" si="20"/>
        <v>0</v>
      </c>
      <c r="T53" s="8">
        <f t="shared" si="20"/>
        <v>0</v>
      </c>
      <c r="U53" s="8">
        <f t="shared" si="20"/>
        <v>0</v>
      </c>
      <c r="V53" s="8">
        <f t="shared" si="20"/>
        <v>0</v>
      </c>
      <c r="W53" s="8">
        <f t="shared" si="20"/>
        <v>0</v>
      </c>
      <c r="X53" s="8">
        <f t="shared" si="20"/>
        <v>0</v>
      </c>
      <c r="Y53" s="8">
        <f t="shared" si="20"/>
        <v>0</v>
      </c>
      <c r="Z53" s="8">
        <f t="shared" si="20"/>
        <v>0</v>
      </c>
      <c r="AA53" s="8">
        <f t="shared" si="20"/>
        <v>0</v>
      </c>
      <c r="AB53" s="8">
        <f t="shared" si="20"/>
        <v>0</v>
      </c>
      <c r="AC53" s="8">
        <f t="shared" si="20"/>
        <v>0</v>
      </c>
      <c r="AD53" s="8">
        <f t="shared" si="20"/>
        <v>0</v>
      </c>
      <c r="AE53" s="8">
        <f t="shared" si="20"/>
        <v>0</v>
      </c>
      <c r="AF53" s="8">
        <f t="shared" si="20"/>
        <v>0</v>
      </c>
      <c r="AG53" s="8">
        <f t="shared" si="20"/>
        <v>0</v>
      </c>
      <c r="AH53" s="8">
        <f t="shared" si="20"/>
        <v>0</v>
      </c>
      <c r="AI53" s="8">
        <f t="shared" si="20"/>
        <v>0</v>
      </c>
      <c r="AJ53" s="294">
        <f>SUM(C53:AI53)</f>
        <v>0</v>
      </c>
      <c r="AK53" s="8"/>
    </row>
    <row r="54" spans="1:37" ht="15.75" x14ac:dyDescent="0.25">
      <c r="A54" s="237" t="s">
        <v>405</v>
      </c>
      <c r="B54" s="300"/>
      <c r="C54" s="84"/>
      <c r="D54" s="84"/>
      <c r="E54" s="84">
        <v>0</v>
      </c>
      <c r="F54" s="84">
        <f>+F53-F55</f>
        <v>0</v>
      </c>
      <c r="G54" s="84">
        <f t="shared" ref="G54:AI54" si="21">+G53-G55</f>
        <v>0</v>
      </c>
      <c r="H54" s="84">
        <f t="shared" si="21"/>
        <v>0</v>
      </c>
      <c r="I54" s="84">
        <f t="shared" si="21"/>
        <v>0</v>
      </c>
      <c r="J54" s="84">
        <f t="shared" si="21"/>
        <v>0</v>
      </c>
      <c r="K54" s="84">
        <f t="shared" si="21"/>
        <v>0</v>
      </c>
      <c r="L54" s="84">
        <f t="shared" si="21"/>
        <v>0</v>
      </c>
      <c r="M54" s="84">
        <f t="shared" si="21"/>
        <v>0</v>
      </c>
      <c r="N54" s="8">
        <f t="shared" si="21"/>
        <v>0</v>
      </c>
      <c r="O54" s="8">
        <f t="shared" si="21"/>
        <v>0</v>
      </c>
      <c r="P54" s="8">
        <f t="shared" si="21"/>
        <v>0</v>
      </c>
      <c r="Q54" s="8">
        <f t="shared" si="21"/>
        <v>0</v>
      </c>
      <c r="R54" s="8">
        <f t="shared" si="21"/>
        <v>0</v>
      </c>
      <c r="S54" s="8">
        <f t="shared" si="21"/>
        <v>0</v>
      </c>
      <c r="T54" s="8">
        <f t="shared" si="21"/>
        <v>0</v>
      </c>
      <c r="U54" s="8">
        <f t="shared" si="21"/>
        <v>0</v>
      </c>
      <c r="V54" s="8">
        <f t="shared" si="21"/>
        <v>0</v>
      </c>
      <c r="W54" s="8">
        <f t="shared" si="21"/>
        <v>0</v>
      </c>
      <c r="X54" s="8">
        <f t="shared" si="21"/>
        <v>0</v>
      </c>
      <c r="Y54" s="8">
        <f t="shared" si="21"/>
        <v>0</v>
      </c>
      <c r="Z54" s="8">
        <f t="shared" si="21"/>
        <v>0</v>
      </c>
      <c r="AA54" s="8">
        <f t="shared" si="21"/>
        <v>0</v>
      </c>
      <c r="AB54" s="8">
        <f t="shared" si="21"/>
        <v>0</v>
      </c>
      <c r="AC54" s="8">
        <f t="shared" si="21"/>
        <v>0</v>
      </c>
      <c r="AD54" s="8">
        <f t="shared" si="21"/>
        <v>0</v>
      </c>
      <c r="AE54" s="8">
        <f t="shared" si="21"/>
        <v>0</v>
      </c>
      <c r="AF54" s="8">
        <f t="shared" si="21"/>
        <v>0</v>
      </c>
      <c r="AG54" s="8">
        <f t="shared" si="21"/>
        <v>0</v>
      </c>
      <c r="AH54" s="8">
        <f t="shared" si="21"/>
        <v>0</v>
      </c>
      <c r="AI54" s="8">
        <f t="shared" si="21"/>
        <v>0</v>
      </c>
      <c r="AJ54" s="294">
        <f>SUM(C54:AI54)</f>
        <v>0</v>
      </c>
      <c r="AK54" s="8"/>
    </row>
    <row r="55" spans="1:37" ht="15.75" x14ac:dyDescent="0.25">
      <c r="A55" s="237" t="s">
        <v>406</v>
      </c>
      <c r="B55" s="300"/>
      <c r="C55" s="84"/>
      <c r="D55" s="84"/>
      <c r="E55" s="84">
        <v>0</v>
      </c>
      <c r="F55" s="84">
        <f t="shared" ref="F55:AI55" si="22">+$B$19*E52</f>
        <v>0</v>
      </c>
      <c r="G55" s="84">
        <f t="shared" si="22"/>
        <v>0</v>
      </c>
      <c r="H55" s="84">
        <f t="shared" si="22"/>
        <v>0</v>
      </c>
      <c r="I55" s="84">
        <f t="shared" si="22"/>
        <v>0</v>
      </c>
      <c r="J55" s="84">
        <f t="shared" si="22"/>
        <v>0</v>
      </c>
      <c r="K55" s="84">
        <f t="shared" si="22"/>
        <v>0</v>
      </c>
      <c r="L55" s="84">
        <f t="shared" si="22"/>
        <v>0</v>
      </c>
      <c r="M55" s="84">
        <f t="shared" si="22"/>
        <v>0</v>
      </c>
      <c r="N55" s="8">
        <f t="shared" si="22"/>
        <v>0</v>
      </c>
      <c r="O55" s="8">
        <f t="shared" si="22"/>
        <v>0</v>
      </c>
      <c r="P55" s="8">
        <f t="shared" si="22"/>
        <v>0</v>
      </c>
      <c r="Q55" s="8">
        <f t="shared" si="22"/>
        <v>0</v>
      </c>
      <c r="R55" s="8">
        <f t="shared" si="22"/>
        <v>0</v>
      </c>
      <c r="S55" s="8">
        <f t="shared" si="22"/>
        <v>0</v>
      </c>
      <c r="T55" s="8">
        <f t="shared" si="22"/>
        <v>0</v>
      </c>
      <c r="U55" s="8">
        <f t="shared" si="22"/>
        <v>0</v>
      </c>
      <c r="V55" s="8">
        <f t="shared" si="22"/>
        <v>0</v>
      </c>
      <c r="W55" s="8">
        <f t="shared" si="22"/>
        <v>0</v>
      </c>
      <c r="X55" s="8">
        <f t="shared" si="22"/>
        <v>0</v>
      </c>
      <c r="Y55" s="8">
        <f t="shared" si="22"/>
        <v>0</v>
      </c>
      <c r="Z55" s="8">
        <f t="shared" si="22"/>
        <v>0</v>
      </c>
      <c r="AA55" s="8">
        <f t="shared" si="22"/>
        <v>0</v>
      </c>
      <c r="AB55" s="8">
        <f t="shared" si="22"/>
        <v>0</v>
      </c>
      <c r="AC55" s="8">
        <f t="shared" si="22"/>
        <v>0</v>
      </c>
      <c r="AD55" s="8">
        <f t="shared" si="22"/>
        <v>0</v>
      </c>
      <c r="AE55" s="8">
        <f t="shared" si="22"/>
        <v>0</v>
      </c>
      <c r="AF55" s="8">
        <f t="shared" si="22"/>
        <v>0</v>
      </c>
      <c r="AG55" s="8">
        <f t="shared" si="22"/>
        <v>0</v>
      </c>
      <c r="AH55" s="8">
        <f t="shared" si="22"/>
        <v>0</v>
      </c>
      <c r="AI55" s="8">
        <f t="shared" si="22"/>
        <v>0</v>
      </c>
      <c r="AJ55" s="294">
        <f>SUM(C55:AI55)</f>
        <v>0</v>
      </c>
      <c r="AK55" s="8"/>
    </row>
    <row r="56" spans="1:37" ht="15.75" x14ac:dyDescent="0.25">
      <c r="A56" s="237"/>
      <c r="B56" s="301"/>
      <c r="C56" s="84"/>
      <c r="D56" s="84"/>
      <c r="E56" s="84"/>
      <c r="F56" s="84"/>
      <c r="G56" s="84"/>
      <c r="H56" s="84"/>
      <c r="I56" s="84"/>
      <c r="J56" s="84"/>
      <c r="K56" s="84"/>
      <c r="L56" s="84"/>
      <c r="M56" s="84"/>
      <c r="N56" s="8"/>
      <c r="O56" s="8"/>
      <c r="P56" s="8"/>
      <c r="Q56" s="8"/>
      <c r="R56" s="8"/>
      <c r="S56" s="8"/>
      <c r="T56" s="8"/>
      <c r="U56" s="8"/>
      <c r="V56" s="8"/>
      <c r="W56" s="8"/>
      <c r="X56" s="8"/>
      <c r="Y56" s="8"/>
      <c r="Z56" s="8"/>
      <c r="AA56" s="8"/>
      <c r="AB56" s="8"/>
      <c r="AC56" s="8"/>
      <c r="AD56" s="8"/>
      <c r="AE56" s="8"/>
      <c r="AF56" s="8"/>
      <c r="AG56" s="8"/>
      <c r="AH56" s="8"/>
      <c r="AI56" s="8"/>
      <c r="AJ56" s="8"/>
      <c r="AK56" s="8"/>
    </row>
    <row r="57" spans="1:37" ht="15.75" x14ac:dyDescent="0.25">
      <c r="A57" s="243">
        <f>F3</f>
        <v>2020</v>
      </c>
      <c r="B57" s="300"/>
      <c r="C57" s="84"/>
      <c r="D57" s="84"/>
      <c r="E57" s="84"/>
      <c r="F57" s="84">
        <f>F$39</f>
        <v>0</v>
      </c>
      <c r="G57" s="84">
        <f>+F57-G59</f>
        <v>0</v>
      </c>
      <c r="H57" s="84">
        <f t="shared" ref="H57:AI57" si="23">+G57-H59</f>
        <v>0</v>
      </c>
      <c r="I57" s="84">
        <f t="shared" si="23"/>
        <v>0</v>
      </c>
      <c r="J57" s="84">
        <f t="shared" si="23"/>
        <v>0</v>
      </c>
      <c r="K57" s="84">
        <f t="shared" si="23"/>
        <v>0</v>
      </c>
      <c r="L57" s="84">
        <f t="shared" si="23"/>
        <v>0</v>
      </c>
      <c r="M57" s="84">
        <f t="shared" si="23"/>
        <v>0</v>
      </c>
      <c r="N57" s="8">
        <f t="shared" si="23"/>
        <v>0</v>
      </c>
      <c r="O57" s="8">
        <f t="shared" si="23"/>
        <v>0</v>
      </c>
      <c r="P57" s="8">
        <f t="shared" si="23"/>
        <v>0</v>
      </c>
      <c r="Q57" s="8">
        <f t="shared" si="23"/>
        <v>0</v>
      </c>
      <c r="R57" s="8">
        <f t="shared" si="23"/>
        <v>0</v>
      </c>
      <c r="S57" s="8">
        <f t="shared" si="23"/>
        <v>0</v>
      </c>
      <c r="T57" s="8">
        <f t="shared" si="23"/>
        <v>0</v>
      </c>
      <c r="U57" s="8">
        <f t="shared" si="23"/>
        <v>0</v>
      </c>
      <c r="V57" s="8">
        <f t="shared" si="23"/>
        <v>0</v>
      </c>
      <c r="W57" s="8">
        <f t="shared" si="23"/>
        <v>0</v>
      </c>
      <c r="X57" s="8">
        <f t="shared" si="23"/>
        <v>0</v>
      </c>
      <c r="Y57" s="8">
        <f t="shared" si="23"/>
        <v>0</v>
      </c>
      <c r="Z57" s="8">
        <f t="shared" si="23"/>
        <v>0</v>
      </c>
      <c r="AA57" s="8">
        <f t="shared" si="23"/>
        <v>0</v>
      </c>
      <c r="AB57" s="8">
        <f t="shared" si="23"/>
        <v>0</v>
      </c>
      <c r="AC57" s="8">
        <f t="shared" si="23"/>
        <v>0</v>
      </c>
      <c r="AD57" s="8">
        <f t="shared" si="23"/>
        <v>0</v>
      </c>
      <c r="AE57" s="8">
        <f t="shared" si="23"/>
        <v>0</v>
      </c>
      <c r="AF57" s="8">
        <f t="shared" si="23"/>
        <v>0</v>
      </c>
      <c r="AG57" s="8">
        <f t="shared" si="23"/>
        <v>0</v>
      </c>
      <c r="AH57" s="8">
        <f t="shared" si="23"/>
        <v>0</v>
      </c>
      <c r="AI57" s="8">
        <f t="shared" si="23"/>
        <v>0</v>
      </c>
      <c r="AJ57" s="8"/>
      <c r="AK57" s="8"/>
    </row>
    <row r="58" spans="1:37" ht="15.75" x14ac:dyDescent="0.25">
      <c r="A58" s="237" t="s">
        <v>404</v>
      </c>
      <c r="B58" s="301">
        <f>+F57/((1-(1/(1+$B$19)^$B$18))/$B$19)</f>
        <v>0</v>
      </c>
      <c r="C58" s="84"/>
      <c r="D58" s="84"/>
      <c r="E58" s="84"/>
      <c r="F58" s="84">
        <v>0</v>
      </c>
      <c r="G58" s="84">
        <f t="shared" ref="G58:AI58" si="24">+IF(F57&lt;0.01,0,$B$58)</f>
        <v>0</v>
      </c>
      <c r="H58" s="84">
        <f t="shared" si="24"/>
        <v>0</v>
      </c>
      <c r="I58" s="84">
        <f t="shared" si="24"/>
        <v>0</v>
      </c>
      <c r="J58" s="84">
        <f t="shared" si="24"/>
        <v>0</v>
      </c>
      <c r="K58" s="84">
        <f t="shared" si="24"/>
        <v>0</v>
      </c>
      <c r="L58" s="84">
        <f t="shared" si="24"/>
        <v>0</v>
      </c>
      <c r="M58" s="84">
        <f t="shared" si="24"/>
        <v>0</v>
      </c>
      <c r="N58" s="8">
        <f t="shared" si="24"/>
        <v>0</v>
      </c>
      <c r="O58" s="8">
        <f t="shared" si="24"/>
        <v>0</v>
      </c>
      <c r="P58" s="8">
        <f t="shared" si="24"/>
        <v>0</v>
      </c>
      <c r="Q58" s="8">
        <f t="shared" si="24"/>
        <v>0</v>
      </c>
      <c r="R58" s="8">
        <f t="shared" si="24"/>
        <v>0</v>
      </c>
      <c r="S58" s="8">
        <f t="shared" si="24"/>
        <v>0</v>
      </c>
      <c r="T58" s="8">
        <f t="shared" si="24"/>
        <v>0</v>
      </c>
      <c r="U58" s="8">
        <f t="shared" si="24"/>
        <v>0</v>
      </c>
      <c r="V58" s="8">
        <f t="shared" si="24"/>
        <v>0</v>
      </c>
      <c r="W58" s="8">
        <f t="shared" si="24"/>
        <v>0</v>
      </c>
      <c r="X58" s="8">
        <f t="shared" si="24"/>
        <v>0</v>
      </c>
      <c r="Y58" s="8">
        <f t="shared" si="24"/>
        <v>0</v>
      </c>
      <c r="Z58" s="8">
        <f t="shared" si="24"/>
        <v>0</v>
      </c>
      <c r="AA58" s="8">
        <f t="shared" si="24"/>
        <v>0</v>
      </c>
      <c r="AB58" s="8">
        <f t="shared" si="24"/>
        <v>0</v>
      </c>
      <c r="AC58" s="8">
        <f t="shared" si="24"/>
        <v>0</v>
      </c>
      <c r="AD58" s="8">
        <f t="shared" si="24"/>
        <v>0</v>
      </c>
      <c r="AE58" s="8">
        <f t="shared" si="24"/>
        <v>0</v>
      </c>
      <c r="AF58" s="8">
        <f t="shared" si="24"/>
        <v>0</v>
      </c>
      <c r="AG58" s="8">
        <f t="shared" si="24"/>
        <v>0</v>
      </c>
      <c r="AH58" s="8">
        <f t="shared" si="24"/>
        <v>0</v>
      </c>
      <c r="AI58" s="8">
        <f t="shared" si="24"/>
        <v>0</v>
      </c>
      <c r="AJ58" s="294">
        <f>SUM(C58:AI58)</f>
        <v>0</v>
      </c>
      <c r="AK58" s="8"/>
    </row>
    <row r="59" spans="1:37" ht="15.75" x14ac:dyDescent="0.25">
      <c r="A59" s="237" t="s">
        <v>405</v>
      </c>
      <c r="B59" s="300"/>
      <c r="C59" s="84"/>
      <c r="D59" s="84"/>
      <c r="E59" s="84"/>
      <c r="F59" s="84">
        <v>0</v>
      </c>
      <c r="G59" s="84">
        <f>+G58-G60</f>
        <v>0</v>
      </c>
      <c r="H59" s="84">
        <f t="shared" ref="H59:AI59" si="25">+H58-H60</f>
        <v>0</v>
      </c>
      <c r="I59" s="84">
        <f t="shared" si="25"/>
        <v>0</v>
      </c>
      <c r="J59" s="84">
        <f t="shared" si="25"/>
        <v>0</v>
      </c>
      <c r="K59" s="84">
        <f t="shared" si="25"/>
        <v>0</v>
      </c>
      <c r="L59" s="84">
        <f t="shared" si="25"/>
        <v>0</v>
      </c>
      <c r="M59" s="84">
        <f t="shared" si="25"/>
        <v>0</v>
      </c>
      <c r="N59" s="8">
        <f t="shared" si="25"/>
        <v>0</v>
      </c>
      <c r="O59" s="8">
        <f t="shared" si="25"/>
        <v>0</v>
      </c>
      <c r="P59" s="8">
        <f t="shared" si="25"/>
        <v>0</v>
      </c>
      <c r="Q59" s="8">
        <f t="shared" si="25"/>
        <v>0</v>
      </c>
      <c r="R59" s="8">
        <f t="shared" si="25"/>
        <v>0</v>
      </c>
      <c r="S59" s="8">
        <f t="shared" si="25"/>
        <v>0</v>
      </c>
      <c r="T59" s="8">
        <f t="shared" si="25"/>
        <v>0</v>
      </c>
      <c r="U59" s="8">
        <f t="shared" si="25"/>
        <v>0</v>
      </c>
      <c r="V59" s="8">
        <f t="shared" si="25"/>
        <v>0</v>
      </c>
      <c r="W59" s="8">
        <f t="shared" si="25"/>
        <v>0</v>
      </c>
      <c r="X59" s="8">
        <f t="shared" si="25"/>
        <v>0</v>
      </c>
      <c r="Y59" s="8">
        <f t="shared" si="25"/>
        <v>0</v>
      </c>
      <c r="Z59" s="8">
        <f t="shared" si="25"/>
        <v>0</v>
      </c>
      <c r="AA59" s="8">
        <f t="shared" si="25"/>
        <v>0</v>
      </c>
      <c r="AB59" s="8">
        <f t="shared" si="25"/>
        <v>0</v>
      </c>
      <c r="AC59" s="8">
        <f t="shared" si="25"/>
        <v>0</v>
      </c>
      <c r="AD59" s="8">
        <f t="shared" si="25"/>
        <v>0</v>
      </c>
      <c r="AE59" s="8">
        <f t="shared" si="25"/>
        <v>0</v>
      </c>
      <c r="AF59" s="8">
        <f t="shared" si="25"/>
        <v>0</v>
      </c>
      <c r="AG59" s="8">
        <f t="shared" si="25"/>
        <v>0</v>
      </c>
      <c r="AH59" s="8">
        <f t="shared" si="25"/>
        <v>0</v>
      </c>
      <c r="AI59" s="8">
        <f t="shared" si="25"/>
        <v>0</v>
      </c>
      <c r="AJ59" s="294">
        <f>SUM(C59:AI59)</f>
        <v>0</v>
      </c>
      <c r="AK59" s="8"/>
    </row>
    <row r="60" spans="1:37" ht="15.75" x14ac:dyDescent="0.25">
      <c r="A60" s="237" t="s">
        <v>406</v>
      </c>
      <c r="B60" s="300"/>
      <c r="C60" s="84"/>
      <c r="D60" s="84"/>
      <c r="E60" s="84"/>
      <c r="F60" s="84">
        <v>0</v>
      </c>
      <c r="G60" s="84">
        <f t="shared" ref="G60:AI60" si="26">+$B$19*F57</f>
        <v>0</v>
      </c>
      <c r="H60" s="84">
        <f t="shared" si="26"/>
        <v>0</v>
      </c>
      <c r="I60" s="84">
        <f t="shared" si="26"/>
        <v>0</v>
      </c>
      <c r="J60" s="84">
        <f t="shared" si="26"/>
        <v>0</v>
      </c>
      <c r="K60" s="84">
        <f t="shared" si="26"/>
        <v>0</v>
      </c>
      <c r="L60" s="84">
        <f t="shared" si="26"/>
        <v>0</v>
      </c>
      <c r="M60" s="84">
        <f t="shared" si="26"/>
        <v>0</v>
      </c>
      <c r="N60" s="8">
        <f t="shared" si="26"/>
        <v>0</v>
      </c>
      <c r="O60" s="8">
        <f t="shared" si="26"/>
        <v>0</v>
      </c>
      <c r="P60" s="8">
        <f t="shared" si="26"/>
        <v>0</v>
      </c>
      <c r="Q60" s="8">
        <f t="shared" si="26"/>
        <v>0</v>
      </c>
      <c r="R60" s="8">
        <f t="shared" si="26"/>
        <v>0</v>
      </c>
      <c r="S60" s="8">
        <f t="shared" si="26"/>
        <v>0</v>
      </c>
      <c r="T60" s="8">
        <f t="shared" si="26"/>
        <v>0</v>
      </c>
      <c r="U60" s="8">
        <f t="shared" si="26"/>
        <v>0</v>
      </c>
      <c r="V60" s="8">
        <f t="shared" si="26"/>
        <v>0</v>
      </c>
      <c r="W60" s="8">
        <f t="shared" si="26"/>
        <v>0</v>
      </c>
      <c r="X60" s="8">
        <f t="shared" si="26"/>
        <v>0</v>
      </c>
      <c r="Y60" s="8">
        <f t="shared" si="26"/>
        <v>0</v>
      </c>
      <c r="Z60" s="8">
        <f t="shared" si="26"/>
        <v>0</v>
      </c>
      <c r="AA60" s="8">
        <f t="shared" si="26"/>
        <v>0</v>
      </c>
      <c r="AB60" s="8">
        <f t="shared" si="26"/>
        <v>0</v>
      </c>
      <c r="AC60" s="8">
        <f t="shared" si="26"/>
        <v>0</v>
      </c>
      <c r="AD60" s="8">
        <f t="shared" si="26"/>
        <v>0</v>
      </c>
      <c r="AE60" s="8">
        <f t="shared" si="26"/>
        <v>0</v>
      </c>
      <c r="AF60" s="8">
        <f t="shared" si="26"/>
        <v>0</v>
      </c>
      <c r="AG60" s="8">
        <f t="shared" si="26"/>
        <v>0</v>
      </c>
      <c r="AH60" s="8">
        <f t="shared" si="26"/>
        <v>0</v>
      </c>
      <c r="AI60" s="8">
        <f t="shared" si="26"/>
        <v>0</v>
      </c>
      <c r="AJ60" s="294">
        <f>SUM(C60:AI60)</f>
        <v>0</v>
      </c>
      <c r="AK60" s="8"/>
    </row>
    <row r="61" spans="1:37" ht="15.75" x14ac:dyDescent="0.25">
      <c r="A61" s="237"/>
      <c r="B61" s="301"/>
      <c r="C61" s="84"/>
      <c r="D61" s="84"/>
      <c r="E61" s="84"/>
      <c r="F61" s="84"/>
      <c r="G61" s="84"/>
      <c r="H61" s="84"/>
      <c r="I61" s="84"/>
      <c r="J61" s="84"/>
      <c r="K61" s="84"/>
      <c r="L61" s="84"/>
      <c r="M61" s="84"/>
      <c r="N61" s="8"/>
      <c r="O61" s="8"/>
      <c r="P61" s="8"/>
      <c r="Q61" s="8"/>
      <c r="R61" s="8"/>
      <c r="S61" s="8"/>
      <c r="T61" s="8"/>
      <c r="U61" s="8"/>
      <c r="V61" s="8"/>
      <c r="W61" s="8"/>
      <c r="X61" s="8"/>
      <c r="Y61" s="8"/>
      <c r="Z61" s="8"/>
      <c r="AA61" s="8"/>
      <c r="AB61" s="8"/>
      <c r="AC61" s="8"/>
      <c r="AD61" s="8"/>
      <c r="AE61" s="8"/>
      <c r="AF61" s="8"/>
      <c r="AG61" s="8"/>
      <c r="AH61" s="8"/>
      <c r="AI61" s="8"/>
      <c r="AJ61" s="8"/>
      <c r="AK61" s="8"/>
    </row>
    <row r="62" spans="1:37" ht="15.75" x14ac:dyDescent="0.25">
      <c r="A62" s="243">
        <f>G3</f>
        <v>2021</v>
      </c>
      <c r="B62" s="302"/>
      <c r="C62" s="84"/>
      <c r="D62" s="84"/>
      <c r="E62" s="84"/>
      <c r="F62" s="84"/>
      <c r="G62" s="84">
        <f>G$39</f>
        <v>22217.304076799999</v>
      </c>
      <c r="H62" s="84">
        <f t="shared" ref="H62:AI62" si="27">+G62-H64</f>
        <v>20128.549553023935</v>
      </c>
      <c r="I62" s="84">
        <f t="shared" si="27"/>
        <v>17872.694667345786</v>
      </c>
      <c r="J62" s="84">
        <f t="shared" si="27"/>
        <v>15436.371390813383</v>
      </c>
      <c r="K62" s="84">
        <f t="shared" si="27"/>
        <v>12805.142252158388</v>
      </c>
      <c r="L62" s="84">
        <f t="shared" si="27"/>
        <v>9963.4147824109932</v>
      </c>
      <c r="M62" s="84">
        <f t="shared" si="27"/>
        <v>6894.3491150838081</v>
      </c>
      <c r="N62" s="8">
        <f t="shared" si="27"/>
        <v>3579.7581943704481</v>
      </c>
      <c r="O62" s="8">
        <f t="shared" si="27"/>
        <v>1.9099388737231493E-11</v>
      </c>
      <c r="P62" s="8">
        <f t="shared" si="27"/>
        <v>2.0627339836210012E-11</v>
      </c>
      <c r="Q62" s="8">
        <f t="shared" si="27"/>
        <v>2.2277527023106812E-11</v>
      </c>
      <c r="R62" s="8">
        <f t="shared" si="27"/>
        <v>2.4059729184955356E-11</v>
      </c>
      <c r="S62" s="8">
        <f t="shared" si="27"/>
        <v>2.5984507519751785E-11</v>
      </c>
      <c r="T62" s="8">
        <f t="shared" si="27"/>
        <v>2.8063268121331929E-11</v>
      </c>
      <c r="U62" s="8">
        <f t="shared" si="27"/>
        <v>3.0308329571038483E-11</v>
      </c>
      <c r="V62" s="8">
        <f t="shared" si="27"/>
        <v>3.2732995936721559E-11</v>
      </c>
      <c r="W62" s="8">
        <f t="shared" si="27"/>
        <v>3.5351635611659285E-11</v>
      </c>
      <c r="X62" s="8">
        <f t="shared" si="27"/>
        <v>3.8179766460592025E-11</v>
      </c>
      <c r="Y62" s="8">
        <f t="shared" si="27"/>
        <v>4.1234147777439385E-11</v>
      </c>
      <c r="Z62" s="8">
        <f t="shared" si="27"/>
        <v>4.4532879599634537E-11</v>
      </c>
      <c r="AA62" s="8">
        <f t="shared" si="27"/>
        <v>4.80955099676053E-11</v>
      </c>
      <c r="AB62" s="8">
        <f t="shared" si="27"/>
        <v>5.1943150765013724E-11</v>
      </c>
      <c r="AC62" s="8">
        <f t="shared" si="27"/>
        <v>5.6098602826214821E-11</v>
      </c>
      <c r="AD62" s="8">
        <f t="shared" si="27"/>
        <v>6.0586491052312005E-11</v>
      </c>
      <c r="AE62" s="8">
        <f t="shared" si="27"/>
        <v>6.5433410336496961E-11</v>
      </c>
      <c r="AF62" s="8">
        <f t="shared" si="27"/>
        <v>7.0668083163416715E-11</v>
      </c>
      <c r="AG62" s="8">
        <f t="shared" si="27"/>
        <v>7.6321529816490051E-11</v>
      </c>
      <c r="AH62" s="8">
        <f t="shared" si="27"/>
        <v>8.2427252201809254E-11</v>
      </c>
      <c r="AI62" s="8">
        <f t="shared" si="27"/>
        <v>8.9021432377953988E-11</v>
      </c>
      <c r="AJ62" s="8"/>
      <c r="AK62" s="8"/>
    </row>
    <row r="63" spans="1:37" ht="15.75" x14ac:dyDescent="0.25">
      <c r="A63" s="237" t="s">
        <v>404</v>
      </c>
      <c r="B63" s="301">
        <f>+G62/((1-(1/(1+$B$19)^$B$18))/$B$19)</f>
        <v>3866.1388499200648</v>
      </c>
      <c r="C63" s="84"/>
      <c r="D63" s="84"/>
      <c r="E63" s="84"/>
      <c r="F63" s="84"/>
      <c r="G63" s="84">
        <v>0</v>
      </c>
      <c r="H63" s="84">
        <f>+IF(G62&lt;0.01,0,$B63)</f>
        <v>3866.1388499200648</v>
      </c>
      <c r="I63" s="84">
        <f t="shared" ref="I63:AI63" si="28">+IF(H62&lt;0.01,0,$B$63)</f>
        <v>3866.1388499200648</v>
      </c>
      <c r="J63" s="84">
        <f t="shared" si="28"/>
        <v>3866.1388499200648</v>
      </c>
      <c r="K63" s="84">
        <f t="shared" si="28"/>
        <v>3866.1388499200648</v>
      </c>
      <c r="L63" s="84">
        <f t="shared" si="28"/>
        <v>3866.1388499200648</v>
      </c>
      <c r="M63" s="84">
        <f t="shared" si="28"/>
        <v>3866.1388499200648</v>
      </c>
      <c r="N63" s="8">
        <f t="shared" si="28"/>
        <v>3866.1388499200648</v>
      </c>
      <c r="O63" s="8">
        <f t="shared" si="28"/>
        <v>3866.1388499200648</v>
      </c>
      <c r="P63" s="8">
        <f t="shared" si="28"/>
        <v>0</v>
      </c>
      <c r="Q63" s="8">
        <f t="shared" si="28"/>
        <v>0</v>
      </c>
      <c r="R63" s="8">
        <f t="shared" si="28"/>
        <v>0</v>
      </c>
      <c r="S63" s="8">
        <f t="shared" si="28"/>
        <v>0</v>
      </c>
      <c r="T63" s="8">
        <f t="shared" si="28"/>
        <v>0</v>
      </c>
      <c r="U63" s="8">
        <f t="shared" si="28"/>
        <v>0</v>
      </c>
      <c r="V63" s="8">
        <f t="shared" si="28"/>
        <v>0</v>
      </c>
      <c r="W63" s="8">
        <f t="shared" si="28"/>
        <v>0</v>
      </c>
      <c r="X63" s="8">
        <f t="shared" si="28"/>
        <v>0</v>
      </c>
      <c r="Y63" s="8">
        <f t="shared" si="28"/>
        <v>0</v>
      </c>
      <c r="Z63" s="8">
        <f t="shared" si="28"/>
        <v>0</v>
      </c>
      <c r="AA63" s="8">
        <f t="shared" si="28"/>
        <v>0</v>
      </c>
      <c r="AB63" s="8">
        <f t="shared" si="28"/>
        <v>0</v>
      </c>
      <c r="AC63" s="8">
        <f t="shared" si="28"/>
        <v>0</v>
      </c>
      <c r="AD63" s="8">
        <f t="shared" si="28"/>
        <v>0</v>
      </c>
      <c r="AE63" s="8">
        <f t="shared" si="28"/>
        <v>0</v>
      </c>
      <c r="AF63" s="8">
        <f t="shared" si="28"/>
        <v>0</v>
      </c>
      <c r="AG63" s="8">
        <f t="shared" si="28"/>
        <v>0</v>
      </c>
      <c r="AH63" s="8">
        <f t="shared" si="28"/>
        <v>0</v>
      </c>
      <c r="AI63" s="8">
        <f t="shared" si="28"/>
        <v>0</v>
      </c>
      <c r="AJ63" s="294">
        <f>SUM(C63:AI63)</f>
        <v>30929.110799360522</v>
      </c>
      <c r="AK63" s="8"/>
    </row>
    <row r="64" spans="1:37" ht="15.75" x14ac:dyDescent="0.25">
      <c r="A64" s="237" t="s">
        <v>405</v>
      </c>
      <c r="B64" s="302"/>
      <c r="C64" s="84"/>
      <c r="D64" s="84"/>
      <c r="E64" s="84"/>
      <c r="F64" s="84"/>
      <c r="G64" s="84">
        <v>0</v>
      </c>
      <c r="H64" s="84">
        <f>+H63-H65</f>
        <v>2088.7545237760651</v>
      </c>
      <c r="I64" s="84">
        <f t="shared" ref="I64:AI64" si="29">+I63-I65</f>
        <v>2255.8548856781499</v>
      </c>
      <c r="J64" s="84">
        <f t="shared" si="29"/>
        <v>2436.3232765324019</v>
      </c>
      <c r="K64" s="84">
        <f t="shared" si="29"/>
        <v>2631.2291386549941</v>
      </c>
      <c r="L64" s="84">
        <f t="shared" si="29"/>
        <v>2841.727469747394</v>
      </c>
      <c r="M64" s="84">
        <f t="shared" si="29"/>
        <v>3069.0656673271851</v>
      </c>
      <c r="N64" s="8">
        <f t="shared" si="29"/>
        <v>3314.59092071336</v>
      </c>
      <c r="O64" s="8">
        <f t="shared" si="29"/>
        <v>3579.758194370429</v>
      </c>
      <c r="P64" s="8">
        <f t="shared" si="29"/>
        <v>-1.5279510989785194E-12</v>
      </c>
      <c r="Q64" s="8">
        <f t="shared" si="29"/>
        <v>-1.650187186896801E-12</v>
      </c>
      <c r="R64" s="8">
        <f t="shared" si="29"/>
        <v>-1.782202161848545E-12</v>
      </c>
      <c r="S64" s="8">
        <f t="shared" si="29"/>
        <v>-1.9247783347964285E-12</v>
      </c>
      <c r="T64" s="8">
        <f t="shared" si="29"/>
        <v>-2.078760601580143E-12</v>
      </c>
      <c r="U64" s="8">
        <f t="shared" si="29"/>
        <v>-2.2450614497065542E-12</v>
      </c>
      <c r="V64" s="8">
        <f t="shared" si="29"/>
        <v>-2.4246663656830786E-12</v>
      </c>
      <c r="W64" s="8">
        <f t="shared" si="29"/>
        <v>-2.6186396749377248E-12</v>
      </c>
      <c r="X64" s="8">
        <f t="shared" si="29"/>
        <v>-2.8281308489327428E-12</v>
      </c>
      <c r="Y64" s="8">
        <f t="shared" si="29"/>
        <v>-3.0543813168473621E-12</v>
      </c>
      <c r="Z64" s="8">
        <f t="shared" si="29"/>
        <v>-3.2987318221951508E-12</v>
      </c>
      <c r="AA64" s="8">
        <f t="shared" si="29"/>
        <v>-3.5626303679707629E-12</v>
      </c>
      <c r="AB64" s="8">
        <f t="shared" si="29"/>
        <v>-3.8476407974084238E-12</v>
      </c>
      <c r="AC64" s="8">
        <f t="shared" si="29"/>
        <v>-4.1554520612010982E-12</v>
      </c>
      <c r="AD64" s="8">
        <f t="shared" si="29"/>
        <v>-4.487888226097186E-12</v>
      </c>
      <c r="AE64" s="8">
        <f t="shared" si="29"/>
        <v>-4.8469192841849603E-12</v>
      </c>
      <c r="AF64" s="8">
        <f t="shared" si="29"/>
        <v>-5.2346728269197573E-12</v>
      </c>
      <c r="AG64" s="8">
        <f t="shared" si="29"/>
        <v>-5.6534466530733375E-12</v>
      </c>
      <c r="AH64" s="8">
        <f t="shared" si="29"/>
        <v>-6.1057223853192039E-12</v>
      </c>
      <c r="AI64" s="8">
        <f t="shared" si="29"/>
        <v>-6.5941801761447406E-12</v>
      </c>
      <c r="AJ64" s="294">
        <f>SUM(C64:AI64)</f>
        <v>22217.304076799905</v>
      </c>
      <c r="AK64" s="8"/>
    </row>
    <row r="65" spans="1:37" ht="15.75" x14ac:dyDescent="0.25">
      <c r="A65" s="237" t="s">
        <v>406</v>
      </c>
      <c r="B65" s="302"/>
      <c r="C65" s="84"/>
      <c r="D65" s="84"/>
      <c r="E65" s="84"/>
      <c r="F65" s="84"/>
      <c r="G65" s="84">
        <v>0</v>
      </c>
      <c r="H65" s="84">
        <f t="shared" ref="H65:AI65" si="30">+$B$19*G62</f>
        <v>1777.3843261439999</v>
      </c>
      <c r="I65" s="84">
        <f t="shared" si="30"/>
        <v>1610.2839642419149</v>
      </c>
      <c r="J65" s="84">
        <f t="shared" si="30"/>
        <v>1429.8155733876629</v>
      </c>
      <c r="K65" s="84">
        <f t="shared" si="30"/>
        <v>1234.9097112650707</v>
      </c>
      <c r="L65" s="84">
        <f t="shared" si="30"/>
        <v>1024.411380172671</v>
      </c>
      <c r="M65" s="84">
        <f t="shared" si="30"/>
        <v>797.07318259287945</v>
      </c>
      <c r="N65" s="8">
        <f t="shared" si="30"/>
        <v>551.54792920670468</v>
      </c>
      <c r="O65" s="8">
        <f t="shared" si="30"/>
        <v>286.38065554963583</v>
      </c>
      <c r="P65" s="8">
        <f t="shared" si="30"/>
        <v>1.5279510989785194E-12</v>
      </c>
      <c r="Q65" s="8">
        <f t="shared" si="30"/>
        <v>1.650187186896801E-12</v>
      </c>
      <c r="R65" s="8">
        <f t="shared" si="30"/>
        <v>1.782202161848545E-12</v>
      </c>
      <c r="S65" s="8">
        <f t="shared" si="30"/>
        <v>1.9247783347964285E-12</v>
      </c>
      <c r="T65" s="8">
        <f t="shared" si="30"/>
        <v>2.078760601580143E-12</v>
      </c>
      <c r="U65" s="8">
        <f t="shared" si="30"/>
        <v>2.2450614497065542E-12</v>
      </c>
      <c r="V65" s="8">
        <f t="shared" si="30"/>
        <v>2.4246663656830786E-12</v>
      </c>
      <c r="W65" s="8">
        <f t="shared" si="30"/>
        <v>2.6186396749377248E-12</v>
      </c>
      <c r="X65" s="8">
        <f t="shared" si="30"/>
        <v>2.8281308489327428E-12</v>
      </c>
      <c r="Y65" s="8">
        <f t="shared" si="30"/>
        <v>3.0543813168473621E-12</v>
      </c>
      <c r="Z65" s="8">
        <f t="shared" si="30"/>
        <v>3.2987318221951508E-12</v>
      </c>
      <c r="AA65" s="8">
        <f t="shared" si="30"/>
        <v>3.5626303679707629E-12</v>
      </c>
      <c r="AB65" s="8">
        <f t="shared" si="30"/>
        <v>3.8476407974084238E-12</v>
      </c>
      <c r="AC65" s="8">
        <f t="shared" si="30"/>
        <v>4.1554520612010982E-12</v>
      </c>
      <c r="AD65" s="8">
        <f t="shared" si="30"/>
        <v>4.487888226097186E-12</v>
      </c>
      <c r="AE65" s="8">
        <f t="shared" si="30"/>
        <v>4.8469192841849603E-12</v>
      </c>
      <c r="AF65" s="8">
        <f t="shared" si="30"/>
        <v>5.2346728269197573E-12</v>
      </c>
      <c r="AG65" s="8">
        <f t="shared" si="30"/>
        <v>5.6534466530733375E-12</v>
      </c>
      <c r="AH65" s="8">
        <f t="shared" si="30"/>
        <v>6.1057223853192039E-12</v>
      </c>
      <c r="AI65" s="8">
        <f t="shared" si="30"/>
        <v>6.5941801761447406E-12</v>
      </c>
      <c r="AJ65" s="294">
        <f>SUM(C65:AI65)</f>
        <v>8711.8067225606083</v>
      </c>
      <c r="AK65" s="8"/>
    </row>
    <row r="66" spans="1:37" ht="15.75" x14ac:dyDescent="0.25">
      <c r="A66" s="237"/>
      <c r="B66" s="301"/>
      <c r="C66" s="84"/>
      <c r="D66" s="84"/>
      <c r="E66" s="84"/>
      <c r="F66" s="84"/>
      <c r="G66" s="84"/>
      <c r="H66" s="84"/>
      <c r="I66" s="84"/>
      <c r="J66" s="84"/>
      <c r="K66" s="84"/>
      <c r="L66" s="84"/>
      <c r="M66" s="84"/>
      <c r="N66" s="8"/>
      <c r="O66" s="8"/>
      <c r="P66" s="8"/>
      <c r="Q66" s="8"/>
      <c r="R66" s="8"/>
      <c r="S66" s="8"/>
      <c r="T66" s="8"/>
      <c r="U66" s="8"/>
      <c r="V66" s="8"/>
      <c r="W66" s="8"/>
      <c r="X66" s="8"/>
      <c r="Y66" s="8"/>
      <c r="Z66" s="8"/>
      <c r="AA66" s="8"/>
      <c r="AB66" s="8"/>
      <c r="AC66" s="8"/>
      <c r="AD66" s="8"/>
      <c r="AE66" s="8"/>
      <c r="AF66" s="8"/>
      <c r="AG66" s="8"/>
      <c r="AH66" s="8"/>
      <c r="AI66" s="8"/>
      <c r="AJ66" s="8"/>
      <c r="AK66" s="8"/>
    </row>
    <row r="67" spans="1:37" ht="15.75" x14ac:dyDescent="0.25">
      <c r="A67" s="243">
        <f>H3</f>
        <v>2022</v>
      </c>
      <c r="B67" s="300"/>
      <c r="C67" s="84"/>
      <c r="D67" s="84"/>
      <c r="E67" s="84"/>
      <c r="F67" s="84"/>
      <c r="G67" s="84"/>
      <c r="H67" s="84">
        <f>H$39</f>
        <v>378</v>
      </c>
      <c r="I67" s="84">
        <f t="shared" ref="I67:AI67" si="31">+H67-I69</f>
        <v>342.46242049629126</v>
      </c>
      <c r="J67" s="84">
        <f t="shared" si="31"/>
        <v>304.08183463228579</v>
      </c>
      <c r="K67" s="84">
        <f t="shared" si="31"/>
        <v>262.63080189915991</v>
      </c>
      <c r="L67" s="84">
        <f t="shared" si="31"/>
        <v>217.86368654738396</v>
      </c>
      <c r="M67" s="84">
        <f t="shared" si="31"/>
        <v>169.51520196746594</v>
      </c>
      <c r="N67" s="8">
        <f t="shared" si="31"/>
        <v>117.29883862115446</v>
      </c>
      <c r="O67" s="8">
        <f t="shared" si="31"/>
        <v>60.905166207138066</v>
      </c>
      <c r="P67" s="8">
        <f t="shared" si="31"/>
        <v>3.6237679523765109E-13</v>
      </c>
      <c r="Q67" s="8">
        <f t="shared" si="31"/>
        <v>3.9136693885666317E-13</v>
      </c>
      <c r="R67" s="8">
        <f t="shared" si="31"/>
        <v>4.2267629396519621E-13</v>
      </c>
      <c r="S67" s="8">
        <f t="shared" si="31"/>
        <v>4.5649039748241192E-13</v>
      </c>
      <c r="T67" s="8">
        <f t="shared" si="31"/>
        <v>4.9300962928100492E-13</v>
      </c>
      <c r="U67" s="8">
        <f t="shared" si="31"/>
        <v>5.3245039962348535E-13</v>
      </c>
      <c r="V67" s="8">
        <f t="shared" si="31"/>
        <v>5.7504643159336418E-13</v>
      </c>
      <c r="W67" s="8">
        <f t="shared" si="31"/>
        <v>6.2105014612083327E-13</v>
      </c>
      <c r="X67" s="8">
        <f t="shared" si="31"/>
        <v>6.7073415781049994E-13</v>
      </c>
      <c r="Y67" s="8">
        <f t="shared" si="31"/>
        <v>7.2439289043533992E-13</v>
      </c>
      <c r="Z67" s="8">
        <f t="shared" si="31"/>
        <v>7.8234432167016713E-13</v>
      </c>
      <c r="AA67" s="8">
        <f t="shared" si="31"/>
        <v>8.449318674037805E-13</v>
      </c>
      <c r="AB67" s="8">
        <f t="shared" si="31"/>
        <v>9.1252641679608297E-13</v>
      </c>
      <c r="AC67" s="8">
        <f t="shared" si="31"/>
        <v>9.8552853013976963E-13</v>
      </c>
      <c r="AD67" s="8">
        <f t="shared" si="31"/>
        <v>1.0643708125509513E-12</v>
      </c>
      <c r="AE67" s="8">
        <f t="shared" si="31"/>
        <v>1.1495204775550274E-12</v>
      </c>
      <c r="AF67" s="8">
        <f t="shared" si="31"/>
        <v>1.2414821157594296E-12</v>
      </c>
      <c r="AG67" s="8">
        <f t="shared" si="31"/>
        <v>1.3408006850201839E-12</v>
      </c>
      <c r="AH67" s="8">
        <f t="shared" si="31"/>
        <v>1.4480647398217985E-12</v>
      </c>
      <c r="AI67" s="8">
        <f t="shared" si="31"/>
        <v>1.5639099190075425E-12</v>
      </c>
      <c r="AJ67" s="8"/>
      <c r="AK67" s="8"/>
    </row>
    <row r="68" spans="1:37" ht="15.75" x14ac:dyDescent="0.25">
      <c r="A68" s="237" t="s">
        <v>404</v>
      </c>
      <c r="B68" s="301">
        <f>+H67/((1-(1/(1+$B$19)^$B$18))/$B$19)</f>
        <v>65.777579503708751</v>
      </c>
      <c r="C68" s="84"/>
      <c r="D68" s="84"/>
      <c r="E68" s="84"/>
      <c r="F68" s="84"/>
      <c r="G68" s="84"/>
      <c r="H68" s="84">
        <v>0</v>
      </c>
      <c r="I68" s="84">
        <f t="shared" ref="I68:AI68" si="32">+IF(H67&lt;0.01,0,$B$68)</f>
        <v>65.777579503708751</v>
      </c>
      <c r="J68" s="84">
        <f t="shared" si="32"/>
        <v>65.777579503708751</v>
      </c>
      <c r="K68" s="84">
        <f t="shared" si="32"/>
        <v>65.777579503708751</v>
      </c>
      <c r="L68" s="84">
        <f t="shared" si="32"/>
        <v>65.777579503708751</v>
      </c>
      <c r="M68" s="84">
        <f t="shared" si="32"/>
        <v>65.777579503708751</v>
      </c>
      <c r="N68" s="8">
        <f t="shared" si="32"/>
        <v>65.777579503708751</v>
      </c>
      <c r="O68" s="8">
        <f t="shared" si="32"/>
        <v>65.777579503708751</v>
      </c>
      <c r="P68" s="8">
        <f t="shared" si="32"/>
        <v>65.777579503708751</v>
      </c>
      <c r="Q68" s="8">
        <f t="shared" si="32"/>
        <v>0</v>
      </c>
      <c r="R68" s="8">
        <f t="shared" si="32"/>
        <v>0</v>
      </c>
      <c r="S68" s="8">
        <f t="shared" si="32"/>
        <v>0</v>
      </c>
      <c r="T68" s="8">
        <f t="shared" si="32"/>
        <v>0</v>
      </c>
      <c r="U68" s="8">
        <f t="shared" si="32"/>
        <v>0</v>
      </c>
      <c r="V68" s="8">
        <f t="shared" si="32"/>
        <v>0</v>
      </c>
      <c r="W68" s="8">
        <f t="shared" si="32"/>
        <v>0</v>
      </c>
      <c r="X68" s="8">
        <f t="shared" si="32"/>
        <v>0</v>
      </c>
      <c r="Y68" s="8">
        <f t="shared" si="32"/>
        <v>0</v>
      </c>
      <c r="Z68" s="8">
        <f t="shared" si="32"/>
        <v>0</v>
      </c>
      <c r="AA68" s="8">
        <f t="shared" si="32"/>
        <v>0</v>
      </c>
      <c r="AB68" s="8">
        <f t="shared" si="32"/>
        <v>0</v>
      </c>
      <c r="AC68" s="8">
        <f t="shared" si="32"/>
        <v>0</v>
      </c>
      <c r="AD68" s="8">
        <f t="shared" si="32"/>
        <v>0</v>
      </c>
      <c r="AE68" s="8">
        <f t="shared" si="32"/>
        <v>0</v>
      </c>
      <c r="AF68" s="8">
        <f t="shared" si="32"/>
        <v>0</v>
      </c>
      <c r="AG68" s="8">
        <f t="shared" si="32"/>
        <v>0</v>
      </c>
      <c r="AH68" s="8">
        <f t="shared" si="32"/>
        <v>0</v>
      </c>
      <c r="AI68" s="8">
        <f t="shared" si="32"/>
        <v>0</v>
      </c>
      <c r="AJ68" s="294">
        <f>SUM(C68:AI68)</f>
        <v>526.22063602967</v>
      </c>
      <c r="AK68" s="8"/>
    </row>
    <row r="69" spans="1:37" ht="15.75" x14ac:dyDescent="0.25">
      <c r="A69" s="237" t="s">
        <v>405</v>
      </c>
      <c r="B69" s="300"/>
      <c r="C69" s="84"/>
      <c r="D69" s="84"/>
      <c r="E69" s="84"/>
      <c r="F69" s="84"/>
      <c r="G69" s="84"/>
      <c r="H69" s="84">
        <v>0</v>
      </c>
      <c r="I69" s="84">
        <f>+I68-I70</f>
        <v>35.537579503708749</v>
      </c>
      <c r="J69" s="84">
        <f t="shared" ref="J69:AI69" si="33">+J68-J70</f>
        <v>38.380585864005454</v>
      </c>
      <c r="K69" s="84">
        <f t="shared" si="33"/>
        <v>41.451032733125885</v>
      </c>
      <c r="L69" s="84">
        <f t="shared" si="33"/>
        <v>44.767115351775956</v>
      </c>
      <c r="M69" s="84">
        <f t="shared" si="33"/>
        <v>48.348484579918036</v>
      </c>
      <c r="N69" s="8">
        <f t="shared" si="33"/>
        <v>52.216363346311475</v>
      </c>
      <c r="O69" s="8">
        <f t="shared" si="33"/>
        <v>56.393672414016393</v>
      </c>
      <c r="P69" s="8">
        <f t="shared" si="33"/>
        <v>60.905166207137704</v>
      </c>
      <c r="Q69" s="8">
        <f t="shared" si="33"/>
        <v>-2.8990143619012088E-14</v>
      </c>
      <c r="R69" s="8">
        <f t="shared" si="33"/>
        <v>-3.1309355108533052E-14</v>
      </c>
      <c r="S69" s="8">
        <f t="shared" si="33"/>
        <v>-3.3814103517215696E-14</v>
      </c>
      <c r="T69" s="8">
        <f t="shared" si="33"/>
        <v>-3.6519231798592954E-14</v>
      </c>
      <c r="U69" s="8">
        <f t="shared" si="33"/>
        <v>-3.9440770342480397E-14</v>
      </c>
      <c r="V69" s="8">
        <f t="shared" si="33"/>
        <v>-4.2596031969878827E-14</v>
      </c>
      <c r="W69" s="8">
        <f t="shared" si="33"/>
        <v>-4.6003714527469137E-14</v>
      </c>
      <c r="X69" s="8">
        <f t="shared" si="33"/>
        <v>-4.9684011689666663E-14</v>
      </c>
      <c r="Y69" s="8">
        <f t="shared" si="33"/>
        <v>-5.3658732624839996E-14</v>
      </c>
      <c r="Z69" s="8">
        <f t="shared" si="33"/>
        <v>-5.7951431234827189E-14</v>
      </c>
      <c r="AA69" s="8">
        <f t="shared" si="33"/>
        <v>-6.2587545733613374E-14</v>
      </c>
      <c r="AB69" s="8">
        <f t="shared" si="33"/>
        <v>-6.7594549392302447E-14</v>
      </c>
      <c r="AC69" s="8">
        <f t="shared" si="33"/>
        <v>-7.3002113343686637E-14</v>
      </c>
      <c r="AD69" s="8">
        <f t="shared" si="33"/>
        <v>-7.8842282411181568E-14</v>
      </c>
      <c r="AE69" s="8">
        <f t="shared" si="33"/>
        <v>-8.51496650040761E-14</v>
      </c>
      <c r="AF69" s="8">
        <f t="shared" si="33"/>
        <v>-9.1961638204402193E-14</v>
      </c>
      <c r="AG69" s="8">
        <f t="shared" si="33"/>
        <v>-9.9318569260754361E-14</v>
      </c>
      <c r="AH69" s="8">
        <f t="shared" si="33"/>
        <v>-1.0726405480161472E-13</v>
      </c>
      <c r="AI69" s="8">
        <f t="shared" si="33"/>
        <v>-1.1584517918574387E-13</v>
      </c>
      <c r="AJ69" s="294">
        <f>SUM(C69:AI69)</f>
        <v>377.99999999999835</v>
      </c>
      <c r="AK69" s="8"/>
    </row>
    <row r="70" spans="1:37" ht="15.75" x14ac:dyDescent="0.25">
      <c r="A70" s="237" t="s">
        <v>406</v>
      </c>
      <c r="B70" s="300"/>
      <c r="C70" s="84"/>
      <c r="D70" s="84"/>
      <c r="E70" s="84"/>
      <c r="F70" s="84"/>
      <c r="G70" s="84"/>
      <c r="H70" s="84">
        <v>0</v>
      </c>
      <c r="I70" s="84">
        <f t="shared" ref="I70:AI70" si="34">+$B$19*H67</f>
        <v>30.240000000000002</v>
      </c>
      <c r="J70" s="84">
        <f t="shared" si="34"/>
        <v>27.3969936397033</v>
      </c>
      <c r="K70" s="84">
        <f t="shared" si="34"/>
        <v>24.326546770582866</v>
      </c>
      <c r="L70" s="84">
        <f t="shared" si="34"/>
        <v>21.010464151932794</v>
      </c>
      <c r="M70" s="84">
        <f t="shared" si="34"/>
        <v>17.429094923790718</v>
      </c>
      <c r="N70" s="8">
        <f t="shared" si="34"/>
        <v>13.561216157397276</v>
      </c>
      <c r="O70" s="8">
        <f t="shared" si="34"/>
        <v>9.3839070896923573</v>
      </c>
      <c r="P70" s="8">
        <f t="shared" si="34"/>
        <v>4.8724132965710458</v>
      </c>
      <c r="Q70" s="8">
        <f t="shared" si="34"/>
        <v>2.8990143619012088E-14</v>
      </c>
      <c r="R70" s="8">
        <f t="shared" si="34"/>
        <v>3.1309355108533052E-14</v>
      </c>
      <c r="S70" s="8">
        <f t="shared" si="34"/>
        <v>3.3814103517215696E-14</v>
      </c>
      <c r="T70" s="8">
        <f t="shared" si="34"/>
        <v>3.6519231798592954E-14</v>
      </c>
      <c r="U70" s="8">
        <f t="shared" si="34"/>
        <v>3.9440770342480397E-14</v>
      </c>
      <c r="V70" s="8">
        <f t="shared" si="34"/>
        <v>4.2596031969878827E-14</v>
      </c>
      <c r="W70" s="8">
        <f t="shared" si="34"/>
        <v>4.6003714527469137E-14</v>
      </c>
      <c r="X70" s="8">
        <f t="shared" si="34"/>
        <v>4.9684011689666663E-14</v>
      </c>
      <c r="Y70" s="8">
        <f t="shared" si="34"/>
        <v>5.3658732624839996E-14</v>
      </c>
      <c r="Z70" s="8">
        <f t="shared" si="34"/>
        <v>5.7951431234827189E-14</v>
      </c>
      <c r="AA70" s="8">
        <f t="shared" si="34"/>
        <v>6.2587545733613374E-14</v>
      </c>
      <c r="AB70" s="8">
        <f t="shared" si="34"/>
        <v>6.7594549392302447E-14</v>
      </c>
      <c r="AC70" s="8">
        <f t="shared" si="34"/>
        <v>7.3002113343686637E-14</v>
      </c>
      <c r="AD70" s="8">
        <f t="shared" si="34"/>
        <v>7.8842282411181568E-14</v>
      </c>
      <c r="AE70" s="8">
        <f t="shared" si="34"/>
        <v>8.51496650040761E-14</v>
      </c>
      <c r="AF70" s="8">
        <f t="shared" si="34"/>
        <v>9.1961638204402193E-14</v>
      </c>
      <c r="AG70" s="8">
        <f t="shared" si="34"/>
        <v>9.9318569260754361E-14</v>
      </c>
      <c r="AH70" s="8">
        <f t="shared" si="34"/>
        <v>1.0726405480161472E-13</v>
      </c>
      <c r="AI70" s="8">
        <f t="shared" si="34"/>
        <v>1.1584517918574387E-13</v>
      </c>
      <c r="AJ70" s="294">
        <f>SUM(C70:AI70)</f>
        <v>148.22063602967151</v>
      </c>
      <c r="AK70" s="8"/>
    </row>
    <row r="71" spans="1:37" ht="15.75" x14ac:dyDescent="0.25">
      <c r="A71" s="237"/>
      <c r="B71" s="301"/>
      <c r="C71" s="84"/>
      <c r="D71" s="84"/>
      <c r="E71" s="84"/>
      <c r="F71" s="84"/>
      <c r="G71" s="84"/>
      <c r="H71" s="84"/>
      <c r="I71" s="84"/>
      <c r="J71" s="84"/>
      <c r="K71" s="84"/>
      <c r="L71" s="84"/>
      <c r="M71" s="84"/>
      <c r="N71" s="8"/>
      <c r="O71" s="8"/>
      <c r="P71" s="8"/>
      <c r="Q71" s="8"/>
      <c r="R71" s="8"/>
      <c r="S71" s="8"/>
      <c r="T71" s="8"/>
      <c r="U71" s="8"/>
      <c r="V71" s="8"/>
      <c r="W71" s="8"/>
      <c r="X71" s="8"/>
      <c r="Y71" s="8"/>
      <c r="Z71" s="8"/>
      <c r="AA71" s="8"/>
      <c r="AB71" s="8"/>
      <c r="AC71" s="8"/>
      <c r="AD71" s="8"/>
      <c r="AE71" s="8"/>
      <c r="AF71" s="8"/>
      <c r="AG71" s="8"/>
      <c r="AH71" s="8"/>
      <c r="AI71" s="8"/>
      <c r="AJ71" s="8"/>
      <c r="AK71" s="8"/>
    </row>
    <row r="72" spans="1:37" ht="15.75" x14ac:dyDescent="0.25">
      <c r="A72" s="243">
        <f>I3</f>
        <v>2023</v>
      </c>
      <c r="B72" s="300"/>
      <c r="C72" s="84"/>
      <c r="D72" s="84"/>
      <c r="E72" s="84"/>
      <c r="F72" s="84"/>
      <c r="G72" s="84"/>
      <c r="H72" s="84"/>
      <c r="I72" s="84">
        <f>I$39</f>
        <v>0</v>
      </c>
      <c r="J72" s="84">
        <f t="shared" ref="J72:AI72" si="35">+I72-J74</f>
        <v>0</v>
      </c>
      <c r="K72" s="84">
        <f t="shared" si="35"/>
        <v>0</v>
      </c>
      <c r="L72" s="84">
        <f t="shared" si="35"/>
        <v>0</v>
      </c>
      <c r="M72" s="84">
        <f t="shared" si="35"/>
        <v>0</v>
      </c>
      <c r="N72" s="8">
        <f t="shared" si="35"/>
        <v>0</v>
      </c>
      <c r="O72" s="8">
        <f t="shared" si="35"/>
        <v>0</v>
      </c>
      <c r="P72" s="8">
        <f t="shared" si="35"/>
        <v>0</v>
      </c>
      <c r="Q72" s="8">
        <f t="shared" si="35"/>
        <v>0</v>
      </c>
      <c r="R72" s="8">
        <f t="shared" si="35"/>
        <v>0</v>
      </c>
      <c r="S72" s="8">
        <f t="shared" si="35"/>
        <v>0</v>
      </c>
      <c r="T72" s="8">
        <f t="shared" si="35"/>
        <v>0</v>
      </c>
      <c r="U72" s="8">
        <f t="shared" si="35"/>
        <v>0</v>
      </c>
      <c r="V72" s="8">
        <f t="shared" si="35"/>
        <v>0</v>
      </c>
      <c r="W72" s="8">
        <f t="shared" si="35"/>
        <v>0</v>
      </c>
      <c r="X72" s="8">
        <f t="shared" si="35"/>
        <v>0</v>
      </c>
      <c r="Y72" s="8">
        <f t="shared" si="35"/>
        <v>0</v>
      </c>
      <c r="Z72" s="8">
        <f t="shared" si="35"/>
        <v>0</v>
      </c>
      <c r="AA72" s="8">
        <f t="shared" si="35"/>
        <v>0</v>
      </c>
      <c r="AB72" s="8">
        <f t="shared" si="35"/>
        <v>0</v>
      </c>
      <c r="AC72" s="8">
        <f t="shared" si="35"/>
        <v>0</v>
      </c>
      <c r="AD72" s="8">
        <f t="shared" si="35"/>
        <v>0</v>
      </c>
      <c r="AE72" s="8">
        <f t="shared" si="35"/>
        <v>0</v>
      </c>
      <c r="AF72" s="8">
        <f t="shared" si="35"/>
        <v>0</v>
      </c>
      <c r="AG72" s="8">
        <f t="shared" si="35"/>
        <v>0</v>
      </c>
      <c r="AH72" s="8">
        <f t="shared" si="35"/>
        <v>0</v>
      </c>
      <c r="AI72" s="8">
        <f t="shared" si="35"/>
        <v>0</v>
      </c>
      <c r="AJ72" s="8"/>
      <c r="AK72" s="8"/>
    </row>
    <row r="73" spans="1:37" ht="15.75" x14ac:dyDescent="0.25">
      <c r="A73" s="237" t="s">
        <v>404</v>
      </c>
      <c r="B73" s="301">
        <f>+I72/((1-(1/(1+$B$19)^$B$18))/$B$19)</f>
        <v>0</v>
      </c>
      <c r="C73" s="84"/>
      <c r="D73" s="84"/>
      <c r="E73" s="84"/>
      <c r="F73" s="84"/>
      <c r="G73" s="84"/>
      <c r="H73" s="84"/>
      <c r="I73" s="84">
        <v>0</v>
      </c>
      <c r="J73" s="84">
        <f t="shared" ref="J73:AI73" si="36">+IF(I72&lt;0.01,0,$B$73)</f>
        <v>0</v>
      </c>
      <c r="K73" s="84">
        <f t="shared" si="36"/>
        <v>0</v>
      </c>
      <c r="L73" s="84">
        <f t="shared" si="36"/>
        <v>0</v>
      </c>
      <c r="M73" s="84">
        <f t="shared" si="36"/>
        <v>0</v>
      </c>
      <c r="N73" s="8">
        <f t="shared" si="36"/>
        <v>0</v>
      </c>
      <c r="O73" s="8">
        <f t="shared" si="36"/>
        <v>0</v>
      </c>
      <c r="P73" s="8">
        <f t="shared" si="36"/>
        <v>0</v>
      </c>
      <c r="Q73" s="8">
        <f t="shared" si="36"/>
        <v>0</v>
      </c>
      <c r="R73" s="8">
        <f t="shared" si="36"/>
        <v>0</v>
      </c>
      <c r="S73" s="8">
        <f t="shared" si="36"/>
        <v>0</v>
      </c>
      <c r="T73" s="8">
        <f t="shared" si="36"/>
        <v>0</v>
      </c>
      <c r="U73" s="8">
        <f t="shared" si="36"/>
        <v>0</v>
      </c>
      <c r="V73" s="8">
        <f t="shared" si="36"/>
        <v>0</v>
      </c>
      <c r="W73" s="8">
        <f t="shared" si="36"/>
        <v>0</v>
      </c>
      <c r="X73" s="8">
        <f t="shared" si="36"/>
        <v>0</v>
      </c>
      <c r="Y73" s="8">
        <f t="shared" si="36"/>
        <v>0</v>
      </c>
      <c r="Z73" s="8">
        <f t="shared" si="36"/>
        <v>0</v>
      </c>
      <c r="AA73" s="8">
        <f t="shared" si="36"/>
        <v>0</v>
      </c>
      <c r="AB73" s="8">
        <f t="shared" si="36"/>
        <v>0</v>
      </c>
      <c r="AC73" s="8">
        <f t="shared" si="36"/>
        <v>0</v>
      </c>
      <c r="AD73" s="8">
        <f t="shared" si="36"/>
        <v>0</v>
      </c>
      <c r="AE73" s="8">
        <f t="shared" si="36"/>
        <v>0</v>
      </c>
      <c r="AF73" s="8">
        <f t="shared" si="36"/>
        <v>0</v>
      </c>
      <c r="AG73" s="8">
        <f t="shared" si="36"/>
        <v>0</v>
      </c>
      <c r="AH73" s="8">
        <f t="shared" si="36"/>
        <v>0</v>
      </c>
      <c r="AI73" s="8">
        <f t="shared" si="36"/>
        <v>0</v>
      </c>
      <c r="AJ73" s="294">
        <f>SUM(C73:AI73)</f>
        <v>0</v>
      </c>
      <c r="AK73" s="8"/>
    </row>
    <row r="74" spans="1:37" ht="15.75" x14ac:dyDescent="0.25">
      <c r="A74" s="237" t="s">
        <v>405</v>
      </c>
      <c r="B74" s="300"/>
      <c r="C74" s="84"/>
      <c r="D74" s="84"/>
      <c r="E74" s="84"/>
      <c r="F74" s="84"/>
      <c r="G74" s="84"/>
      <c r="H74" s="84"/>
      <c r="I74" s="84">
        <v>0</v>
      </c>
      <c r="J74" s="84">
        <f>+J73-J75</f>
        <v>0</v>
      </c>
      <c r="K74" s="84">
        <f t="shared" ref="K74:AI74" si="37">+K73-K75</f>
        <v>0</v>
      </c>
      <c r="L74" s="84">
        <f t="shared" si="37"/>
        <v>0</v>
      </c>
      <c r="M74" s="84">
        <f t="shared" si="37"/>
        <v>0</v>
      </c>
      <c r="N74" s="8">
        <f t="shared" si="37"/>
        <v>0</v>
      </c>
      <c r="O74" s="8">
        <f t="shared" si="37"/>
        <v>0</v>
      </c>
      <c r="P74" s="8">
        <f t="shared" si="37"/>
        <v>0</v>
      </c>
      <c r="Q74" s="8">
        <f t="shared" si="37"/>
        <v>0</v>
      </c>
      <c r="R74" s="8">
        <f t="shared" si="37"/>
        <v>0</v>
      </c>
      <c r="S74" s="8">
        <f t="shared" si="37"/>
        <v>0</v>
      </c>
      <c r="T74" s="8">
        <f t="shared" si="37"/>
        <v>0</v>
      </c>
      <c r="U74" s="8">
        <f t="shared" si="37"/>
        <v>0</v>
      </c>
      <c r="V74" s="8">
        <f t="shared" si="37"/>
        <v>0</v>
      </c>
      <c r="W74" s="8">
        <f t="shared" si="37"/>
        <v>0</v>
      </c>
      <c r="X74" s="8">
        <f t="shared" si="37"/>
        <v>0</v>
      </c>
      <c r="Y74" s="8">
        <f t="shared" si="37"/>
        <v>0</v>
      </c>
      <c r="Z74" s="8">
        <f t="shared" si="37"/>
        <v>0</v>
      </c>
      <c r="AA74" s="8">
        <f t="shared" si="37"/>
        <v>0</v>
      </c>
      <c r="AB74" s="8">
        <f t="shared" si="37"/>
        <v>0</v>
      </c>
      <c r="AC74" s="8">
        <f t="shared" si="37"/>
        <v>0</v>
      </c>
      <c r="AD74" s="8">
        <f t="shared" si="37"/>
        <v>0</v>
      </c>
      <c r="AE74" s="8">
        <f t="shared" si="37"/>
        <v>0</v>
      </c>
      <c r="AF74" s="8">
        <f t="shared" si="37"/>
        <v>0</v>
      </c>
      <c r="AG74" s="8">
        <f t="shared" si="37"/>
        <v>0</v>
      </c>
      <c r="AH74" s="8">
        <f t="shared" si="37"/>
        <v>0</v>
      </c>
      <c r="AI74" s="8">
        <f t="shared" si="37"/>
        <v>0</v>
      </c>
      <c r="AJ74" s="294">
        <f>SUM(C74:AI74)</f>
        <v>0</v>
      </c>
      <c r="AK74" s="8"/>
    </row>
    <row r="75" spans="1:37" ht="15.75" x14ac:dyDescent="0.25">
      <c r="A75" s="237" t="s">
        <v>406</v>
      </c>
      <c r="B75" s="300"/>
      <c r="C75" s="84"/>
      <c r="D75" s="84"/>
      <c r="E75" s="84"/>
      <c r="F75" s="84"/>
      <c r="G75" s="84"/>
      <c r="H75" s="84"/>
      <c r="I75" s="84">
        <v>0</v>
      </c>
      <c r="J75" s="84">
        <f t="shared" ref="J75:AI75" si="38">+$B$19*I72</f>
        <v>0</v>
      </c>
      <c r="K75" s="84">
        <f t="shared" si="38"/>
        <v>0</v>
      </c>
      <c r="L75" s="84">
        <f t="shared" si="38"/>
        <v>0</v>
      </c>
      <c r="M75" s="84">
        <f t="shared" si="38"/>
        <v>0</v>
      </c>
      <c r="N75" s="8">
        <f t="shared" si="38"/>
        <v>0</v>
      </c>
      <c r="O75" s="8">
        <f t="shared" si="38"/>
        <v>0</v>
      </c>
      <c r="P75" s="8">
        <f t="shared" si="38"/>
        <v>0</v>
      </c>
      <c r="Q75" s="8">
        <f t="shared" si="38"/>
        <v>0</v>
      </c>
      <c r="R75" s="8">
        <f t="shared" si="38"/>
        <v>0</v>
      </c>
      <c r="S75" s="8">
        <f t="shared" si="38"/>
        <v>0</v>
      </c>
      <c r="T75" s="8">
        <f t="shared" si="38"/>
        <v>0</v>
      </c>
      <c r="U75" s="8">
        <f t="shared" si="38"/>
        <v>0</v>
      </c>
      <c r="V75" s="8">
        <f t="shared" si="38"/>
        <v>0</v>
      </c>
      <c r="W75" s="8">
        <f t="shared" si="38"/>
        <v>0</v>
      </c>
      <c r="X75" s="8">
        <f t="shared" si="38"/>
        <v>0</v>
      </c>
      <c r="Y75" s="8">
        <f t="shared" si="38"/>
        <v>0</v>
      </c>
      <c r="Z75" s="8">
        <f t="shared" si="38"/>
        <v>0</v>
      </c>
      <c r="AA75" s="8">
        <f t="shared" si="38"/>
        <v>0</v>
      </c>
      <c r="AB75" s="8">
        <f t="shared" si="38"/>
        <v>0</v>
      </c>
      <c r="AC75" s="8">
        <f t="shared" si="38"/>
        <v>0</v>
      </c>
      <c r="AD75" s="8">
        <f t="shared" si="38"/>
        <v>0</v>
      </c>
      <c r="AE75" s="8">
        <f t="shared" si="38"/>
        <v>0</v>
      </c>
      <c r="AF75" s="8">
        <f t="shared" si="38"/>
        <v>0</v>
      </c>
      <c r="AG75" s="8">
        <f t="shared" si="38"/>
        <v>0</v>
      </c>
      <c r="AH75" s="8">
        <f t="shared" si="38"/>
        <v>0</v>
      </c>
      <c r="AI75" s="8">
        <f t="shared" si="38"/>
        <v>0</v>
      </c>
      <c r="AJ75" s="294">
        <f>SUM(C75:AI75)</f>
        <v>0</v>
      </c>
      <c r="AK75" s="8"/>
    </row>
    <row r="76" spans="1:37" ht="15.75" x14ac:dyDescent="0.25">
      <c r="A76" s="237"/>
      <c r="B76" s="301"/>
      <c r="C76" s="84"/>
      <c r="D76" s="84"/>
      <c r="E76" s="84"/>
      <c r="F76" s="84"/>
      <c r="G76" s="84"/>
      <c r="H76" s="84"/>
      <c r="I76" s="84"/>
      <c r="J76" s="84"/>
      <c r="K76" s="84"/>
      <c r="L76" s="84"/>
      <c r="M76" s="84"/>
      <c r="N76" s="8"/>
      <c r="O76" s="8"/>
      <c r="P76" s="8"/>
      <c r="Q76" s="8"/>
      <c r="R76" s="8"/>
      <c r="S76" s="8"/>
      <c r="T76" s="8"/>
      <c r="U76" s="8"/>
      <c r="V76" s="8"/>
      <c r="W76" s="8"/>
      <c r="X76" s="8"/>
      <c r="Y76" s="8"/>
      <c r="Z76" s="8"/>
      <c r="AA76" s="8"/>
      <c r="AB76" s="8"/>
      <c r="AC76" s="8"/>
      <c r="AD76" s="8"/>
      <c r="AE76" s="8"/>
      <c r="AF76" s="8"/>
      <c r="AG76" s="8"/>
      <c r="AH76" s="8"/>
      <c r="AI76" s="8"/>
      <c r="AJ76" s="8"/>
      <c r="AK76" s="8"/>
    </row>
    <row r="77" spans="1:37" ht="15.75" x14ac:dyDescent="0.25">
      <c r="A77" s="245">
        <f>J3</f>
        <v>2024</v>
      </c>
      <c r="B77" s="302"/>
      <c r="C77" s="84"/>
      <c r="D77" s="84"/>
      <c r="E77" s="84"/>
      <c r="F77" s="84"/>
      <c r="G77" s="84"/>
      <c r="H77" s="84"/>
      <c r="I77" s="84"/>
      <c r="J77" s="84">
        <f>J$39</f>
        <v>0</v>
      </c>
      <c r="K77" s="84">
        <f t="shared" ref="K77:AI77" si="39">+J77-K79</f>
        <v>0</v>
      </c>
      <c r="L77" s="84">
        <f t="shared" si="39"/>
        <v>0</v>
      </c>
      <c r="M77" s="84">
        <f t="shared" si="39"/>
        <v>0</v>
      </c>
      <c r="N77" s="8">
        <f t="shared" si="39"/>
        <v>0</v>
      </c>
      <c r="O77" s="8">
        <f t="shared" si="39"/>
        <v>0</v>
      </c>
      <c r="P77" s="8">
        <f t="shared" si="39"/>
        <v>0</v>
      </c>
      <c r="Q77" s="8">
        <f t="shared" si="39"/>
        <v>0</v>
      </c>
      <c r="R77" s="8">
        <f t="shared" si="39"/>
        <v>0</v>
      </c>
      <c r="S77" s="8">
        <f t="shared" si="39"/>
        <v>0</v>
      </c>
      <c r="T77" s="8">
        <f t="shared" si="39"/>
        <v>0</v>
      </c>
      <c r="U77" s="8">
        <f t="shared" si="39"/>
        <v>0</v>
      </c>
      <c r="V77" s="8">
        <f t="shared" si="39"/>
        <v>0</v>
      </c>
      <c r="W77" s="8">
        <f t="shared" si="39"/>
        <v>0</v>
      </c>
      <c r="X77" s="8">
        <f t="shared" si="39"/>
        <v>0</v>
      </c>
      <c r="Y77" s="8">
        <f t="shared" si="39"/>
        <v>0</v>
      </c>
      <c r="Z77" s="8">
        <f t="shared" si="39"/>
        <v>0</v>
      </c>
      <c r="AA77" s="8">
        <f t="shared" si="39"/>
        <v>0</v>
      </c>
      <c r="AB77" s="8">
        <f t="shared" si="39"/>
        <v>0</v>
      </c>
      <c r="AC77" s="8">
        <f t="shared" si="39"/>
        <v>0</v>
      </c>
      <c r="AD77" s="8">
        <f t="shared" si="39"/>
        <v>0</v>
      </c>
      <c r="AE77" s="8">
        <f t="shared" si="39"/>
        <v>0</v>
      </c>
      <c r="AF77" s="8">
        <f t="shared" si="39"/>
        <v>0</v>
      </c>
      <c r="AG77" s="8">
        <f t="shared" si="39"/>
        <v>0</v>
      </c>
      <c r="AH77" s="8">
        <f t="shared" si="39"/>
        <v>0</v>
      </c>
      <c r="AI77" s="8">
        <f t="shared" si="39"/>
        <v>0</v>
      </c>
      <c r="AJ77" s="8"/>
      <c r="AK77" s="8"/>
    </row>
    <row r="78" spans="1:37" ht="15.75" x14ac:dyDescent="0.25">
      <c r="A78" s="237" t="s">
        <v>404</v>
      </c>
      <c r="B78" s="301">
        <f>+J77/((1-(1/(1+$B$19)^$B$18))/$B$19)</f>
        <v>0</v>
      </c>
      <c r="C78" s="84"/>
      <c r="D78" s="84"/>
      <c r="E78" s="84"/>
      <c r="F78" s="84"/>
      <c r="G78" s="84"/>
      <c r="H78" s="84"/>
      <c r="I78" s="84"/>
      <c r="J78" s="84">
        <v>0</v>
      </c>
      <c r="K78" s="84">
        <f t="shared" ref="K78:AI78" si="40">+IF(J77&lt;0.01,0,$B$78)</f>
        <v>0</v>
      </c>
      <c r="L78" s="84">
        <f t="shared" si="40"/>
        <v>0</v>
      </c>
      <c r="M78" s="84">
        <f t="shared" si="40"/>
        <v>0</v>
      </c>
      <c r="N78" s="8">
        <f t="shared" si="40"/>
        <v>0</v>
      </c>
      <c r="O78" s="8">
        <f t="shared" si="40"/>
        <v>0</v>
      </c>
      <c r="P78" s="8">
        <f t="shared" si="40"/>
        <v>0</v>
      </c>
      <c r="Q78" s="8">
        <f t="shared" si="40"/>
        <v>0</v>
      </c>
      <c r="R78" s="8">
        <f t="shared" si="40"/>
        <v>0</v>
      </c>
      <c r="S78" s="8">
        <f t="shared" si="40"/>
        <v>0</v>
      </c>
      <c r="T78" s="8">
        <f t="shared" si="40"/>
        <v>0</v>
      </c>
      <c r="U78" s="8">
        <f t="shared" si="40"/>
        <v>0</v>
      </c>
      <c r="V78" s="8">
        <f t="shared" si="40"/>
        <v>0</v>
      </c>
      <c r="W78" s="8">
        <f t="shared" si="40"/>
        <v>0</v>
      </c>
      <c r="X78" s="8">
        <f t="shared" si="40"/>
        <v>0</v>
      </c>
      <c r="Y78" s="8">
        <f t="shared" si="40"/>
        <v>0</v>
      </c>
      <c r="Z78" s="8">
        <f t="shared" si="40"/>
        <v>0</v>
      </c>
      <c r="AA78" s="8">
        <f t="shared" si="40"/>
        <v>0</v>
      </c>
      <c r="AB78" s="8">
        <f t="shared" si="40"/>
        <v>0</v>
      </c>
      <c r="AC78" s="8">
        <f t="shared" si="40"/>
        <v>0</v>
      </c>
      <c r="AD78" s="8">
        <f t="shared" si="40"/>
        <v>0</v>
      </c>
      <c r="AE78" s="8">
        <f t="shared" si="40"/>
        <v>0</v>
      </c>
      <c r="AF78" s="8">
        <f t="shared" si="40"/>
        <v>0</v>
      </c>
      <c r="AG78" s="8">
        <f t="shared" si="40"/>
        <v>0</v>
      </c>
      <c r="AH78" s="8">
        <f t="shared" si="40"/>
        <v>0</v>
      </c>
      <c r="AI78" s="8">
        <f t="shared" si="40"/>
        <v>0</v>
      </c>
      <c r="AJ78" s="294">
        <f>SUM(C78:AI78)</f>
        <v>0</v>
      </c>
      <c r="AK78" s="8"/>
    </row>
    <row r="79" spans="1:37" ht="15.75" x14ac:dyDescent="0.25">
      <c r="A79" s="237" t="s">
        <v>405</v>
      </c>
      <c r="B79" s="302"/>
      <c r="C79" s="84"/>
      <c r="D79" s="84"/>
      <c r="E79" s="84"/>
      <c r="F79" s="84"/>
      <c r="G79" s="84"/>
      <c r="H79" s="84"/>
      <c r="I79" s="84"/>
      <c r="J79" s="84">
        <v>0</v>
      </c>
      <c r="K79" s="84">
        <f>+K78-K80</f>
        <v>0</v>
      </c>
      <c r="L79" s="84">
        <f t="shared" ref="L79:AI79" si="41">+L78-L80</f>
        <v>0</v>
      </c>
      <c r="M79" s="84">
        <f t="shared" si="41"/>
        <v>0</v>
      </c>
      <c r="N79" s="8">
        <f t="shared" si="41"/>
        <v>0</v>
      </c>
      <c r="O79" s="8">
        <f t="shared" si="41"/>
        <v>0</v>
      </c>
      <c r="P79" s="8">
        <f t="shared" si="41"/>
        <v>0</v>
      </c>
      <c r="Q79" s="8">
        <f t="shared" si="41"/>
        <v>0</v>
      </c>
      <c r="R79" s="8">
        <f t="shared" si="41"/>
        <v>0</v>
      </c>
      <c r="S79" s="8">
        <f t="shared" si="41"/>
        <v>0</v>
      </c>
      <c r="T79" s="8">
        <f t="shared" si="41"/>
        <v>0</v>
      </c>
      <c r="U79" s="8">
        <f t="shared" si="41"/>
        <v>0</v>
      </c>
      <c r="V79" s="8">
        <f t="shared" si="41"/>
        <v>0</v>
      </c>
      <c r="W79" s="8">
        <f t="shared" si="41"/>
        <v>0</v>
      </c>
      <c r="X79" s="8">
        <f t="shared" si="41"/>
        <v>0</v>
      </c>
      <c r="Y79" s="8">
        <f t="shared" si="41"/>
        <v>0</v>
      </c>
      <c r="Z79" s="8">
        <f t="shared" si="41"/>
        <v>0</v>
      </c>
      <c r="AA79" s="8">
        <f t="shared" si="41"/>
        <v>0</v>
      </c>
      <c r="AB79" s="8">
        <f t="shared" si="41"/>
        <v>0</v>
      </c>
      <c r="AC79" s="8">
        <f t="shared" si="41"/>
        <v>0</v>
      </c>
      <c r="AD79" s="8">
        <f t="shared" si="41"/>
        <v>0</v>
      </c>
      <c r="AE79" s="8">
        <f t="shared" si="41"/>
        <v>0</v>
      </c>
      <c r="AF79" s="8">
        <f t="shared" si="41"/>
        <v>0</v>
      </c>
      <c r="AG79" s="8">
        <f t="shared" si="41"/>
        <v>0</v>
      </c>
      <c r="AH79" s="8">
        <f t="shared" si="41"/>
        <v>0</v>
      </c>
      <c r="AI79" s="8">
        <f t="shared" si="41"/>
        <v>0</v>
      </c>
      <c r="AJ79" s="294">
        <f>SUM(C79:AI79)</f>
        <v>0</v>
      </c>
      <c r="AK79" s="8"/>
    </row>
    <row r="80" spans="1:37" ht="15.75" x14ac:dyDescent="0.25">
      <c r="A80" s="237" t="s">
        <v>406</v>
      </c>
      <c r="B80" s="302"/>
      <c r="C80" s="84"/>
      <c r="D80" s="84"/>
      <c r="E80" s="84"/>
      <c r="F80" s="84"/>
      <c r="G80" s="84"/>
      <c r="H80" s="84"/>
      <c r="I80" s="84"/>
      <c r="J80" s="84">
        <v>0</v>
      </c>
      <c r="K80" s="84">
        <f t="shared" ref="K80:AI80" si="42">+$B$19*J77</f>
        <v>0</v>
      </c>
      <c r="L80" s="84">
        <f t="shared" si="42"/>
        <v>0</v>
      </c>
      <c r="M80" s="84">
        <f t="shared" si="42"/>
        <v>0</v>
      </c>
      <c r="N80" s="8">
        <f t="shared" si="42"/>
        <v>0</v>
      </c>
      <c r="O80" s="8">
        <f t="shared" si="42"/>
        <v>0</v>
      </c>
      <c r="P80" s="8">
        <f t="shared" si="42"/>
        <v>0</v>
      </c>
      <c r="Q80" s="8">
        <f t="shared" si="42"/>
        <v>0</v>
      </c>
      <c r="R80" s="8">
        <f t="shared" si="42"/>
        <v>0</v>
      </c>
      <c r="S80" s="8">
        <f t="shared" si="42"/>
        <v>0</v>
      </c>
      <c r="T80" s="8">
        <f t="shared" si="42"/>
        <v>0</v>
      </c>
      <c r="U80" s="8">
        <f t="shared" si="42"/>
        <v>0</v>
      </c>
      <c r="V80" s="8">
        <f t="shared" si="42"/>
        <v>0</v>
      </c>
      <c r="W80" s="8">
        <f t="shared" si="42"/>
        <v>0</v>
      </c>
      <c r="X80" s="8">
        <f t="shared" si="42"/>
        <v>0</v>
      </c>
      <c r="Y80" s="8">
        <f t="shared" si="42"/>
        <v>0</v>
      </c>
      <c r="Z80" s="8">
        <f t="shared" si="42"/>
        <v>0</v>
      </c>
      <c r="AA80" s="8">
        <f t="shared" si="42"/>
        <v>0</v>
      </c>
      <c r="AB80" s="8">
        <f t="shared" si="42"/>
        <v>0</v>
      </c>
      <c r="AC80" s="8">
        <f t="shared" si="42"/>
        <v>0</v>
      </c>
      <c r="AD80" s="8">
        <f t="shared" si="42"/>
        <v>0</v>
      </c>
      <c r="AE80" s="8">
        <f t="shared" si="42"/>
        <v>0</v>
      </c>
      <c r="AF80" s="8">
        <f t="shared" si="42"/>
        <v>0</v>
      </c>
      <c r="AG80" s="8">
        <f t="shared" si="42"/>
        <v>0</v>
      </c>
      <c r="AH80" s="8">
        <f t="shared" si="42"/>
        <v>0</v>
      </c>
      <c r="AI80" s="8">
        <f t="shared" si="42"/>
        <v>0</v>
      </c>
      <c r="AJ80" s="294">
        <f>SUM(C80:AI80)</f>
        <v>0</v>
      </c>
      <c r="AK80" s="8"/>
    </row>
    <row r="81" spans="1:37" ht="15.75" x14ac:dyDescent="0.25">
      <c r="A81" s="237"/>
      <c r="B81" s="301"/>
      <c r="C81" s="84"/>
      <c r="D81" s="84"/>
      <c r="E81" s="84"/>
      <c r="F81" s="84"/>
      <c r="G81" s="84"/>
      <c r="H81" s="84"/>
      <c r="I81" s="84"/>
      <c r="J81" s="84"/>
      <c r="K81" s="84"/>
      <c r="L81" s="84"/>
      <c r="M81" s="84"/>
      <c r="N81" s="8"/>
      <c r="O81" s="8"/>
      <c r="P81" s="8"/>
      <c r="Q81" s="8"/>
      <c r="R81" s="8"/>
      <c r="S81" s="8"/>
      <c r="T81" s="8"/>
      <c r="U81" s="8"/>
      <c r="V81" s="8"/>
      <c r="W81" s="8"/>
      <c r="X81" s="8"/>
      <c r="Y81" s="8"/>
      <c r="Z81" s="8"/>
      <c r="AA81" s="8"/>
      <c r="AB81" s="8"/>
      <c r="AC81" s="8"/>
      <c r="AD81" s="8"/>
      <c r="AE81" s="8"/>
      <c r="AF81" s="8"/>
      <c r="AG81" s="8"/>
      <c r="AH81" s="8"/>
      <c r="AI81" s="8"/>
      <c r="AJ81" s="8"/>
      <c r="AK81" s="8"/>
    </row>
    <row r="82" spans="1:37" ht="15.75" x14ac:dyDescent="0.25">
      <c r="A82" s="243">
        <f>+K3</f>
        <v>2025</v>
      </c>
      <c r="B82" s="302"/>
      <c r="C82" s="84"/>
      <c r="D82" s="84"/>
      <c r="E82" s="84"/>
      <c r="F82" s="84"/>
      <c r="G82" s="84"/>
      <c r="H82" s="84"/>
      <c r="I82" s="84"/>
      <c r="J82" s="84"/>
      <c r="K82" s="84">
        <f>K$39</f>
        <v>0</v>
      </c>
      <c r="L82" s="84">
        <f t="shared" ref="L82:AI82" si="43">+K82-L84</f>
        <v>0</v>
      </c>
      <c r="M82" s="84">
        <f t="shared" si="43"/>
        <v>0</v>
      </c>
      <c r="N82" s="8">
        <f t="shared" si="43"/>
        <v>0</v>
      </c>
      <c r="O82" s="8">
        <f t="shared" si="43"/>
        <v>0</v>
      </c>
      <c r="P82" s="8">
        <f t="shared" si="43"/>
        <v>0</v>
      </c>
      <c r="Q82" s="8">
        <f t="shared" si="43"/>
        <v>0</v>
      </c>
      <c r="R82" s="8">
        <f t="shared" si="43"/>
        <v>0</v>
      </c>
      <c r="S82" s="8">
        <f t="shared" si="43"/>
        <v>0</v>
      </c>
      <c r="T82" s="8">
        <f t="shared" si="43"/>
        <v>0</v>
      </c>
      <c r="U82" s="8">
        <f t="shared" si="43"/>
        <v>0</v>
      </c>
      <c r="V82" s="8">
        <f t="shared" si="43"/>
        <v>0</v>
      </c>
      <c r="W82" s="8">
        <f t="shared" si="43"/>
        <v>0</v>
      </c>
      <c r="X82" s="8">
        <f t="shared" si="43"/>
        <v>0</v>
      </c>
      <c r="Y82" s="8">
        <f t="shared" si="43"/>
        <v>0</v>
      </c>
      <c r="Z82" s="8">
        <f t="shared" si="43"/>
        <v>0</v>
      </c>
      <c r="AA82" s="8">
        <f t="shared" si="43"/>
        <v>0</v>
      </c>
      <c r="AB82" s="8">
        <f t="shared" si="43"/>
        <v>0</v>
      </c>
      <c r="AC82" s="8">
        <f t="shared" si="43"/>
        <v>0</v>
      </c>
      <c r="AD82" s="8">
        <f t="shared" si="43"/>
        <v>0</v>
      </c>
      <c r="AE82" s="8">
        <f t="shared" si="43"/>
        <v>0</v>
      </c>
      <c r="AF82" s="8">
        <f t="shared" si="43"/>
        <v>0</v>
      </c>
      <c r="AG82" s="8">
        <f t="shared" si="43"/>
        <v>0</v>
      </c>
      <c r="AH82" s="8">
        <f t="shared" si="43"/>
        <v>0</v>
      </c>
      <c r="AI82" s="8">
        <f t="shared" si="43"/>
        <v>0</v>
      </c>
      <c r="AJ82" s="8"/>
      <c r="AK82" s="8"/>
    </row>
    <row r="83" spans="1:37" ht="15.75" x14ac:dyDescent="0.25">
      <c r="A83" s="237" t="s">
        <v>404</v>
      </c>
      <c r="B83" s="301">
        <f>+K82/((1-(1/(1+$B$19)^$B$18))/$B$19)</f>
        <v>0</v>
      </c>
      <c r="C83" s="84"/>
      <c r="D83" s="84"/>
      <c r="E83" s="84"/>
      <c r="F83" s="84"/>
      <c r="G83" s="84"/>
      <c r="H83" s="84"/>
      <c r="I83" s="84"/>
      <c r="J83" s="84"/>
      <c r="K83" s="84">
        <v>0</v>
      </c>
      <c r="L83" s="84">
        <f t="shared" ref="L83:AI83" si="44">+IF(K82&lt;0.01,0,$B$83)</f>
        <v>0</v>
      </c>
      <c r="M83" s="84">
        <f t="shared" si="44"/>
        <v>0</v>
      </c>
      <c r="N83" s="8">
        <f t="shared" si="44"/>
        <v>0</v>
      </c>
      <c r="O83" s="8">
        <f t="shared" si="44"/>
        <v>0</v>
      </c>
      <c r="P83" s="8">
        <f t="shared" si="44"/>
        <v>0</v>
      </c>
      <c r="Q83" s="8">
        <f t="shared" si="44"/>
        <v>0</v>
      </c>
      <c r="R83" s="8">
        <f t="shared" si="44"/>
        <v>0</v>
      </c>
      <c r="S83" s="8">
        <f t="shared" si="44"/>
        <v>0</v>
      </c>
      <c r="T83" s="8">
        <f t="shared" si="44"/>
        <v>0</v>
      </c>
      <c r="U83" s="8">
        <f t="shared" si="44"/>
        <v>0</v>
      </c>
      <c r="V83" s="8">
        <f t="shared" si="44"/>
        <v>0</v>
      </c>
      <c r="W83" s="8">
        <f t="shared" si="44"/>
        <v>0</v>
      </c>
      <c r="X83" s="8">
        <f t="shared" si="44"/>
        <v>0</v>
      </c>
      <c r="Y83" s="8">
        <f t="shared" si="44"/>
        <v>0</v>
      </c>
      <c r="Z83" s="8">
        <f t="shared" si="44"/>
        <v>0</v>
      </c>
      <c r="AA83" s="8">
        <f t="shared" si="44"/>
        <v>0</v>
      </c>
      <c r="AB83" s="8">
        <f t="shared" si="44"/>
        <v>0</v>
      </c>
      <c r="AC83" s="8">
        <f t="shared" si="44"/>
        <v>0</v>
      </c>
      <c r="AD83" s="8">
        <f t="shared" si="44"/>
        <v>0</v>
      </c>
      <c r="AE83" s="8">
        <f t="shared" si="44"/>
        <v>0</v>
      </c>
      <c r="AF83" s="8">
        <f t="shared" si="44"/>
        <v>0</v>
      </c>
      <c r="AG83" s="8">
        <f t="shared" si="44"/>
        <v>0</v>
      </c>
      <c r="AH83" s="8">
        <f t="shared" si="44"/>
        <v>0</v>
      </c>
      <c r="AI83" s="8">
        <f t="shared" si="44"/>
        <v>0</v>
      </c>
      <c r="AJ83" s="294">
        <f>SUM(C83:AI83)</f>
        <v>0</v>
      </c>
      <c r="AK83" s="8"/>
    </row>
    <row r="84" spans="1:37" ht="15.75" x14ac:dyDescent="0.25">
      <c r="A84" s="237" t="s">
        <v>405</v>
      </c>
      <c r="B84" s="302"/>
      <c r="C84" s="84"/>
      <c r="D84" s="84"/>
      <c r="E84" s="84"/>
      <c r="F84" s="84"/>
      <c r="G84" s="84"/>
      <c r="H84" s="84"/>
      <c r="I84" s="84"/>
      <c r="J84" s="84"/>
      <c r="K84" s="84">
        <v>0</v>
      </c>
      <c r="L84" s="84">
        <f>+L83-L85</f>
        <v>0</v>
      </c>
      <c r="M84" s="84">
        <f t="shared" ref="M84:AI84" si="45">+M83-M85</f>
        <v>0</v>
      </c>
      <c r="N84" s="8">
        <f t="shared" si="45"/>
        <v>0</v>
      </c>
      <c r="O84" s="8">
        <f t="shared" si="45"/>
        <v>0</v>
      </c>
      <c r="P84" s="8">
        <f t="shared" si="45"/>
        <v>0</v>
      </c>
      <c r="Q84" s="8">
        <f t="shared" si="45"/>
        <v>0</v>
      </c>
      <c r="R84" s="8">
        <f t="shared" si="45"/>
        <v>0</v>
      </c>
      <c r="S84" s="8">
        <f t="shared" si="45"/>
        <v>0</v>
      </c>
      <c r="T84" s="8">
        <f t="shared" si="45"/>
        <v>0</v>
      </c>
      <c r="U84" s="8">
        <f t="shared" si="45"/>
        <v>0</v>
      </c>
      <c r="V84" s="8">
        <f t="shared" si="45"/>
        <v>0</v>
      </c>
      <c r="W84" s="8">
        <f t="shared" si="45"/>
        <v>0</v>
      </c>
      <c r="X84" s="8">
        <f t="shared" si="45"/>
        <v>0</v>
      </c>
      <c r="Y84" s="8">
        <f t="shared" si="45"/>
        <v>0</v>
      </c>
      <c r="Z84" s="8">
        <f t="shared" si="45"/>
        <v>0</v>
      </c>
      <c r="AA84" s="8">
        <f t="shared" si="45"/>
        <v>0</v>
      </c>
      <c r="AB84" s="8">
        <f t="shared" si="45"/>
        <v>0</v>
      </c>
      <c r="AC84" s="8">
        <f t="shared" si="45"/>
        <v>0</v>
      </c>
      <c r="AD84" s="8">
        <f t="shared" si="45"/>
        <v>0</v>
      </c>
      <c r="AE84" s="8">
        <f t="shared" si="45"/>
        <v>0</v>
      </c>
      <c r="AF84" s="8">
        <f t="shared" si="45"/>
        <v>0</v>
      </c>
      <c r="AG84" s="8">
        <f t="shared" si="45"/>
        <v>0</v>
      </c>
      <c r="AH84" s="8">
        <f t="shared" si="45"/>
        <v>0</v>
      </c>
      <c r="AI84" s="8">
        <f t="shared" si="45"/>
        <v>0</v>
      </c>
      <c r="AJ84" s="294">
        <f>SUM(C84:AI84)</f>
        <v>0</v>
      </c>
      <c r="AK84" s="8"/>
    </row>
    <row r="85" spans="1:37" ht="15.75" x14ac:dyDescent="0.25">
      <c r="A85" s="237" t="s">
        <v>406</v>
      </c>
      <c r="B85" s="302"/>
      <c r="C85" s="84"/>
      <c r="D85" s="84"/>
      <c r="E85" s="84"/>
      <c r="F85" s="84"/>
      <c r="G85" s="84"/>
      <c r="H85" s="84"/>
      <c r="I85" s="84"/>
      <c r="J85" s="84"/>
      <c r="K85" s="84">
        <v>0</v>
      </c>
      <c r="L85" s="84">
        <f t="shared" ref="L85:AI85" si="46">+$B$19*K82</f>
        <v>0</v>
      </c>
      <c r="M85" s="84">
        <f t="shared" si="46"/>
        <v>0</v>
      </c>
      <c r="N85" s="8">
        <f t="shared" si="46"/>
        <v>0</v>
      </c>
      <c r="O85" s="8">
        <f t="shared" si="46"/>
        <v>0</v>
      </c>
      <c r="P85" s="8">
        <f t="shared" si="46"/>
        <v>0</v>
      </c>
      <c r="Q85" s="8">
        <f t="shared" si="46"/>
        <v>0</v>
      </c>
      <c r="R85" s="8">
        <f t="shared" si="46"/>
        <v>0</v>
      </c>
      <c r="S85" s="8">
        <f t="shared" si="46"/>
        <v>0</v>
      </c>
      <c r="T85" s="8">
        <f t="shared" si="46"/>
        <v>0</v>
      </c>
      <c r="U85" s="8">
        <f t="shared" si="46"/>
        <v>0</v>
      </c>
      <c r="V85" s="8">
        <f t="shared" si="46"/>
        <v>0</v>
      </c>
      <c r="W85" s="8">
        <f t="shared" si="46"/>
        <v>0</v>
      </c>
      <c r="X85" s="8">
        <f t="shared" si="46"/>
        <v>0</v>
      </c>
      <c r="Y85" s="8">
        <f t="shared" si="46"/>
        <v>0</v>
      </c>
      <c r="Z85" s="8">
        <f t="shared" si="46"/>
        <v>0</v>
      </c>
      <c r="AA85" s="8">
        <f t="shared" si="46"/>
        <v>0</v>
      </c>
      <c r="AB85" s="8">
        <f t="shared" si="46"/>
        <v>0</v>
      </c>
      <c r="AC85" s="8">
        <f t="shared" si="46"/>
        <v>0</v>
      </c>
      <c r="AD85" s="8">
        <f t="shared" si="46"/>
        <v>0</v>
      </c>
      <c r="AE85" s="8">
        <f t="shared" si="46"/>
        <v>0</v>
      </c>
      <c r="AF85" s="8">
        <f t="shared" si="46"/>
        <v>0</v>
      </c>
      <c r="AG85" s="8">
        <f t="shared" si="46"/>
        <v>0</v>
      </c>
      <c r="AH85" s="8">
        <f t="shared" si="46"/>
        <v>0</v>
      </c>
      <c r="AI85" s="8">
        <f t="shared" si="46"/>
        <v>0</v>
      </c>
      <c r="AJ85" s="294">
        <f>SUM(C85:AI85)</f>
        <v>0</v>
      </c>
      <c r="AK85" s="8"/>
    </row>
    <row r="86" spans="1:37" ht="15.75" x14ac:dyDescent="0.25">
      <c r="A86" s="237"/>
      <c r="B86" s="301"/>
      <c r="C86" s="84"/>
      <c r="D86" s="84"/>
      <c r="E86" s="84"/>
      <c r="F86" s="84"/>
      <c r="G86" s="84"/>
      <c r="H86" s="84"/>
      <c r="I86" s="84"/>
      <c r="J86" s="84"/>
      <c r="K86" s="84"/>
      <c r="L86" s="84"/>
      <c r="M86" s="84"/>
      <c r="N86" s="8"/>
      <c r="O86" s="8"/>
      <c r="P86" s="8"/>
      <c r="Q86" s="8"/>
      <c r="R86" s="8"/>
      <c r="S86" s="8"/>
      <c r="T86" s="8"/>
      <c r="U86" s="8"/>
      <c r="V86" s="8"/>
      <c r="W86" s="8"/>
      <c r="X86" s="8"/>
      <c r="Y86" s="8"/>
      <c r="Z86" s="8"/>
      <c r="AA86" s="8"/>
      <c r="AB86" s="8"/>
      <c r="AC86" s="8"/>
      <c r="AD86" s="8"/>
      <c r="AE86" s="8"/>
      <c r="AF86" s="8"/>
      <c r="AG86" s="8"/>
      <c r="AH86" s="8"/>
      <c r="AI86" s="8"/>
      <c r="AJ86" s="8"/>
      <c r="AK86" s="8"/>
    </row>
    <row r="87" spans="1:37" ht="15.75" x14ac:dyDescent="0.25">
      <c r="A87" s="243">
        <f>L3</f>
        <v>2026</v>
      </c>
      <c r="B87" s="302"/>
      <c r="C87" s="84"/>
      <c r="D87" s="84"/>
      <c r="E87" s="84"/>
      <c r="F87" s="84"/>
      <c r="G87" s="84"/>
      <c r="H87" s="84"/>
      <c r="I87" s="84"/>
      <c r="J87" s="84"/>
      <c r="K87" s="84"/>
      <c r="L87" s="84">
        <f>L$39</f>
        <v>0</v>
      </c>
      <c r="M87" s="84">
        <f t="shared" ref="M87:AI87" si="47">+L87-M89</f>
        <v>0</v>
      </c>
      <c r="N87" s="8">
        <f t="shared" si="47"/>
        <v>0</v>
      </c>
      <c r="O87" s="8">
        <f t="shared" si="47"/>
        <v>0</v>
      </c>
      <c r="P87" s="8">
        <f t="shared" si="47"/>
        <v>0</v>
      </c>
      <c r="Q87" s="8">
        <f t="shared" si="47"/>
        <v>0</v>
      </c>
      <c r="R87" s="8">
        <f t="shared" si="47"/>
        <v>0</v>
      </c>
      <c r="S87" s="8">
        <f t="shared" si="47"/>
        <v>0</v>
      </c>
      <c r="T87" s="8">
        <f t="shared" si="47"/>
        <v>0</v>
      </c>
      <c r="U87" s="8">
        <f t="shared" si="47"/>
        <v>0</v>
      </c>
      <c r="V87" s="8">
        <f t="shared" si="47"/>
        <v>0</v>
      </c>
      <c r="W87" s="8">
        <f t="shared" si="47"/>
        <v>0</v>
      </c>
      <c r="X87" s="8">
        <f t="shared" si="47"/>
        <v>0</v>
      </c>
      <c r="Y87" s="8">
        <f t="shared" si="47"/>
        <v>0</v>
      </c>
      <c r="Z87" s="8">
        <f t="shared" si="47"/>
        <v>0</v>
      </c>
      <c r="AA87" s="8">
        <f t="shared" si="47"/>
        <v>0</v>
      </c>
      <c r="AB87" s="8">
        <f t="shared" si="47"/>
        <v>0</v>
      </c>
      <c r="AC87" s="8">
        <f t="shared" si="47"/>
        <v>0</v>
      </c>
      <c r="AD87" s="8">
        <f t="shared" si="47"/>
        <v>0</v>
      </c>
      <c r="AE87" s="8">
        <f t="shared" si="47"/>
        <v>0</v>
      </c>
      <c r="AF87" s="8">
        <f t="shared" si="47"/>
        <v>0</v>
      </c>
      <c r="AG87" s="8">
        <f t="shared" si="47"/>
        <v>0</v>
      </c>
      <c r="AH87" s="8">
        <f t="shared" si="47"/>
        <v>0</v>
      </c>
      <c r="AI87" s="8">
        <f t="shared" si="47"/>
        <v>0</v>
      </c>
      <c r="AJ87" s="8"/>
      <c r="AK87" s="8"/>
    </row>
    <row r="88" spans="1:37" ht="15.75" x14ac:dyDescent="0.25">
      <c r="A88" s="237" t="s">
        <v>404</v>
      </c>
      <c r="B88" s="301">
        <f>+L87/((1-(1/(1+$B$19)^$B$18))/$B$19)</f>
        <v>0</v>
      </c>
      <c r="C88" s="84"/>
      <c r="D88" s="84"/>
      <c r="E88" s="84"/>
      <c r="F88" s="84"/>
      <c r="G88" s="84"/>
      <c r="H88" s="84"/>
      <c r="I88" s="84"/>
      <c r="J88" s="84"/>
      <c r="K88" s="84"/>
      <c r="L88" s="84">
        <v>0</v>
      </c>
      <c r="M88" s="84">
        <f t="shared" ref="M88:AI88" si="48">+IF(L87&lt;0.01,0,$B$88)</f>
        <v>0</v>
      </c>
      <c r="N88" s="8">
        <f t="shared" si="48"/>
        <v>0</v>
      </c>
      <c r="O88" s="8">
        <f t="shared" si="48"/>
        <v>0</v>
      </c>
      <c r="P88" s="8">
        <f t="shared" si="48"/>
        <v>0</v>
      </c>
      <c r="Q88" s="8">
        <f t="shared" si="48"/>
        <v>0</v>
      </c>
      <c r="R88" s="8">
        <f t="shared" si="48"/>
        <v>0</v>
      </c>
      <c r="S88" s="8">
        <f t="shared" si="48"/>
        <v>0</v>
      </c>
      <c r="T88" s="8">
        <f t="shared" si="48"/>
        <v>0</v>
      </c>
      <c r="U88" s="8">
        <f t="shared" si="48"/>
        <v>0</v>
      </c>
      <c r="V88" s="8">
        <f t="shared" si="48"/>
        <v>0</v>
      </c>
      <c r="W88" s="8">
        <f t="shared" si="48"/>
        <v>0</v>
      </c>
      <c r="X88" s="8">
        <f t="shared" si="48"/>
        <v>0</v>
      </c>
      <c r="Y88" s="8">
        <f t="shared" si="48"/>
        <v>0</v>
      </c>
      <c r="Z88" s="8">
        <f t="shared" si="48"/>
        <v>0</v>
      </c>
      <c r="AA88" s="8">
        <f t="shared" si="48"/>
        <v>0</v>
      </c>
      <c r="AB88" s="8">
        <f t="shared" si="48"/>
        <v>0</v>
      </c>
      <c r="AC88" s="8">
        <f t="shared" si="48"/>
        <v>0</v>
      </c>
      <c r="AD88" s="8">
        <f t="shared" si="48"/>
        <v>0</v>
      </c>
      <c r="AE88" s="8">
        <f t="shared" si="48"/>
        <v>0</v>
      </c>
      <c r="AF88" s="8">
        <f t="shared" si="48"/>
        <v>0</v>
      </c>
      <c r="AG88" s="8">
        <f t="shared" si="48"/>
        <v>0</v>
      </c>
      <c r="AH88" s="8">
        <f t="shared" si="48"/>
        <v>0</v>
      </c>
      <c r="AI88" s="8">
        <f t="shared" si="48"/>
        <v>0</v>
      </c>
      <c r="AJ88" s="294">
        <f>SUM(C88:AI88)</f>
        <v>0</v>
      </c>
      <c r="AK88" s="8"/>
    </row>
    <row r="89" spans="1:37" ht="15.75" x14ac:dyDescent="0.25">
      <c r="A89" s="237" t="s">
        <v>405</v>
      </c>
      <c r="B89" s="302"/>
      <c r="C89" s="84"/>
      <c r="D89" s="84"/>
      <c r="E89" s="84"/>
      <c r="F89" s="84"/>
      <c r="G89" s="84"/>
      <c r="H89" s="84"/>
      <c r="I89" s="84"/>
      <c r="J89" s="84"/>
      <c r="K89" s="84"/>
      <c r="L89" s="84">
        <v>0</v>
      </c>
      <c r="M89" s="84">
        <f t="shared" ref="M89:AI89" si="49">+M88-M90</f>
        <v>0</v>
      </c>
      <c r="N89" s="8">
        <f t="shared" si="49"/>
        <v>0</v>
      </c>
      <c r="O89" s="8">
        <f t="shared" si="49"/>
        <v>0</v>
      </c>
      <c r="P89" s="8">
        <f t="shared" si="49"/>
        <v>0</v>
      </c>
      <c r="Q89" s="8">
        <f t="shared" si="49"/>
        <v>0</v>
      </c>
      <c r="R89" s="8">
        <f t="shared" si="49"/>
        <v>0</v>
      </c>
      <c r="S89" s="8">
        <f t="shared" si="49"/>
        <v>0</v>
      </c>
      <c r="T89" s="8">
        <f t="shared" si="49"/>
        <v>0</v>
      </c>
      <c r="U89" s="8">
        <f t="shared" si="49"/>
        <v>0</v>
      </c>
      <c r="V89" s="8">
        <f t="shared" si="49"/>
        <v>0</v>
      </c>
      <c r="W89" s="8">
        <f t="shared" si="49"/>
        <v>0</v>
      </c>
      <c r="X89" s="8">
        <f t="shared" si="49"/>
        <v>0</v>
      </c>
      <c r="Y89" s="8">
        <f t="shared" si="49"/>
        <v>0</v>
      </c>
      <c r="Z89" s="8">
        <f t="shared" si="49"/>
        <v>0</v>
      </c>
      <c r="AA89" s="8">
        <f t="shared" si="49"/>
        <v>0</v>
      </c>
      <c r="AB89" s="8">
        <f t="shared" si="49"/>
        <v>0</v>
      </c>
      <c r="AC89" s="8">
        <f t="shared" si="49"/>
        <v>0</v>
      </c>
      <c r="AD89" s="8">
        <f t="shared" si="49"/>
        <v>0</v>
      </c>
      <c r="AE89" s="8">
        <f t="shared" si="49"/>
        <v>0</v>
      </c>
      <c r="AF89" s="8">
        <f t="shared" si="49"/>
        <v>0</v>
      </c>
      <c r="AG89" s="8">
        <f t="shared" si="49"/>
        <v>0</v>
      </c>
      <c r="AH89" s="8">
        <f t="shared" si="49"/>
        <v>0</v>
      </c>
      <c r="AI89" s="8">
        <f t="shared" si="49"/>
        <v>0</v>
      </c>
      <c r="AJ89" s="294">
        <f>SUM(C89:AI89)</f>
        <v>0</v>
      </c>
      <c r="AK89" s="8"/>
    </row>
    <row r="90" spans="1:37" ht="15.75" x14ac:dyDescent="0.25">
      <c r="A90" s="237" t="s">
        <v>406</v>
      </c>
      <c r="B90" s="302"/>
      <c r="C90" s="84"/>
      <c r="D90" s="84"/>
      <c r="E90" s="84"/>
      <c r="F90" s="84"/>
      <c r="G90" s="84"/>
      <c r="H90" s="84"/>
      <c r="I90" s="84"/>
      <c r="J90" s="84"/>
      <c r="K90" s="84"/>
      <c r="L90" s="84">
        <v>0</v>
      </c>
      <c r="M90" s="84">
        <f t="shared" ref="M90:AI90" si="50">+$B$19*L87</f>
        <v>0</v>
      </c>
      <c r="N90" s="8">
        <f t="shared" si="50"/>
        <v>0</v>
      </c>
      <c r="O90" s="8">
        <f t="shared" si="50"/>
        <v>0</v>
      </c>
      <c r="P90" s="8">
        <f t="shared" si="50"/>
        <v>0</v>
      </c>
      <c r="Q90" s="8">
        <f t="shared" si="50"/>
        <v>0</v>
      </c>
      <c r="R90" s="8">
        <f t="shared" si="50"/>
        <v>0</v>
      </c>
      <c r="S90" s="8">
        <f t="shared" si="50"/>
        <v>0</v>
      </c>
      <c r="T90" s="8">
        <f t="shared" si="50"/>
        <v>0</v>
      </c>
      <c r="U90" s="8">
        <f t="shared" si="50"/>
        <v>0</v>
      </c>
      <c r="V90" s="8">
        <f t="shared" si="50"/>
        <v>0</v>
      </c>
      <c r="W90" s="8">
        <f t="shared" si="50"/>
        <v>0</v>
      </c>
      <c r="X90" s="8">
        <f t="shared" si="50"/>
        <v>0</v>
      </c>
      <c r="Y90" s="8">
        <f t="shared" si="50"/>
        <v>0</v>
      </c>
      <c r="Z90" s="8">
        <f t="shared" si="50"/>
        <v>0</v>
      </c>
      <c r="AA90" s="8">
        <f t="shared" si="50"/>
        <v>0</v>
      </c>
      <c r="AB90" s="8">
        <f t="shared" si="50"/>
        <v>0</v>
      </c>
      <c r="AC90" s="8">
        <f t="shared" si="50"/>
        <v>0</v>
      </c>
      <c r="AD90" s="8">
        <f t="shared" si="50"/>
        <v>0</v>
      </c>
      <c r="AE90" s="8">
        <f t="shared" si="50"/>
        <v>0</v>
      </c>
      <c r="AF90" s="8">
        <f t="shared" si="50"/>
        <v>0</v>
      </c>
      <c r="AG90" s="8">
        <f t="shared" si="50"/>
        <v>0</v>
      </c>
      <c r="AH90" s="8">
        <f t="shared" si="50"/>
        <v>0</v>
      </c>
      <c r="AI90" s="8">
        <f t="shared" si="50"/>
        <v>0</v>
      </c>
      <c r="AJ90" s="294">
        <f>SUM(C90:AI90)</f>
        <v>0</v>
      </c>
      <c r="AK90" s="8"/>
    </row>
    <row r="91" spans="1:37" ht="15.75" x14ac:dyDescent="0.25">
      <c r="A91" s="244"/>
      <c r="B91" s="301"/>
      <c r="C91" s="84"/>
      <c r="D91" s="84"/>
      <c r="E91" s="84"/>
      <c r="F91" s="84"/>
      <c r="G91" s="84"/>
      <c r="H91" s="84"/>
      <c r="I91" s="84"/>
      <c r="J91" s="84"/>
      <c r="K91" s="84"/>
      <c r="L91" s="84"/>
      <c r="M91" s="84"/>
      <c r="N91" s="8"/>
      <c r="O91" s="8"/>
      <c r="P91" s="8"/>
      <c r="Q91" s="8"/>
      <c r="R91" s="8"/>
      <c r="S91" s="8"/>
      <c r="T91" s="8"/>
      <c r="U91" s="8"/>
      <c r="V91" s="8"/>
      <c r="W91" s="8"/>
      <c r="X91" s="8"/>
      <c r="Y91" s="8"/>
      <c r="Z91" s="8"/>
      <c r="AA91" s="8"/>
      <c r="AB91" s="8"/>
      <c r="AC91" s="8"/>
      <c r="AD91" s="8"/>
      <c r="AE91" s="8"/>
      <c r="AF91" s="8"/>
      <c r="AG91" s="8"/>
      <c r="AH91" s="8"/>
      <c r="AI91" s="8"/>
      <c r="AJ91" s="8"/>
      <c r="AK91" s="8"/>
    </row>
    <row r="92" spans="1:37" ht="15.75" x14ac:dyDescent="0.25">
      <c r="A92" s="243">
        <f>M3</f>
        <v>2027</v>
      </c>
      <c r="B92" s="302"/>
      <c r="C92" s="84"/>
      <c r="D92" s="84"/>
      <c r="E92" s="84"/>
      <c r="F92" s="84"/>
      <c r="G92" s="84"/>
      <c r="H92" s="84"/>
      <c r="I92" s="84"/>
      <c r="J92" s="84"/>
      <c r="K92" s="84"/>
      <c r="L92" s="84"/>
      <c r="M92" s="84">
        <f>M$39</f>
        <v>0</v>
      </c>
      <c r="N92" s="8">
        <f t="shared" ref="N92:AI92" si="51">+M92-N94</f>
        <v>0</v>
      </c>
      <c r="O92" s="8">
        <f t="shared" si="51"/>
        <v>0</v>
      </c>
      <c r="P92" s="8">
        <f t="shared" si="51"/>
        <v>0</v>
      </c>
      <c r="Q92" s="8">
        <f t="shared" si="51"/>
        <v>0</v>
      </c>
      <c r="R92" s="8">
        <f t="shared" si="51"/>
        <v>0</v>
      </c>
      <c r="S92" s="8">
        <f t="shared" si="51"/>
        <v>0</v>
      </c>
      <c r="T92" s="8">
        <f t="shared" si="51"/>
        <v>0</v>
      </c>
      <c r="U92" s="8">
        <f t="shared" si="51"/>
        <v>0</v>
      </c>
      <c r="V92" s="8">
        <f t="shared" si="51"/>
        <v>0</v>
      </c>
      <c r="W92" s="8">
        <f t="shared" si="51"/>
        <v>0</v>
      </c>
      <c r="X92" s="8">
        <f t="shared" si="51"/>
        <v>0</v>
      </c>
      <c r="Y92" s="8">
        <f t="shared" si="51"/>
        <v>0</v>
      </c>
      <c r="Z92" s="8">
        <f t="shared" si="51"/>
        <v>0</v>
      </c>
      <c r="AA92" s="8">
        <f t="shared" si="51"/>
        <v>0</v>
      </c>
      <c r="AB92" s="8">
        <f t="shared" si="51"/>
        <v>0</v>
      </c>
      <c r="AC92" s="8">
        <f t="shared" si="51"/>
        <v>0</v>
      </c>
      <c r="AD92" s="8">
        <f t="shared" si="51"/>
        <v>0</v>
      </c>
      <c r="AE92" s="8">
        <f t="shared" si="51"/>
        <v>0</v>
      </c>
      <c r="AF92" s="8">
        <f t="shared" si="51"/>
        <v>0</v>
      </c>
      <c r="AG92" s="8">
        <f t="shared" si="51"/>
        <v>0</v>
      </c>
      <c r="AH92" s="8">
        <f t="shared" si="51"/>
        <v>0</v>
      </c>
      <c r="AI92" s="8">
        <f t="shared" si="51"/>
        <v>0</v>
      </c>
      <c r="AJ92" s="8"/>
      <c r="AK92" s="8"/>
    </row>
    <row r="93" spans="1:37" ht="15.75" x14ac:dyDescent="0.25">
      <c r="A93" s="237" t="s">
        <v>404</v>
      </c>
      <c r="B93" s="301">
        <f>+M92/((1-(1/(1+$B$19)^$B$18))/$B$19)</f>
        <v>0</v>
      </c>
      <c r="C93" s="84"/>
      <c r="D93" s="84"/>
      <c r="E93" s="84"/>
      <c r="F93" s="84"/>
      <c r="G93" s="84"/>
      <c r="H93" s="84"/>
      <c r="I93" s="84"/>
      <c r="J93" s="84"/>
      <c r="K93" s="84"/>
      <c r="L93" s="84"/>
      <c r="M93" s="84">
        <v>0</v>
      </c>
      <c r="N93" s="8">
        <f t="shared" ref="N93:AI93" si="52">+IF(M92&lt;0.01,0,$B$93)</f>
        <v>0</v>
      </c>
      <c r="O93" s="8">
        <f t="shared" si="52"/>
        <v>0</v>
      </c>
      <c r="P93" s="8">
        <f t="shared" si="52"/>
        <v>0</v>
      </c>
      <c r="Q93" s="8">
        <f t="shared" si="52"/>
        <v>0</v>
      </c>
      <c r="R93" s="8">
        <f t="shared" si="52"/>
        <v>0</v>
      </c>
      <c r="S93" s="8">
        <f t="shared" si="52"/>
        <v>0</v>
      </c>
      <c r="T93" s="8">
        <f t="shared" si="52"/>
        <v>0</v>
      </c>
      <c r="U93" s="8">
        <f t="shared" si="52"/>
        <v>0</v>
      </c>
      <c r="V93" s="8">
        <f t="shared" si="52"/>
        <v>0</v>
      </c>
      <c r="W93" s="8">
        <f t="shared" si="52"/>
        <v>0</v>
      </c>
      <c r="X93" s="8">
        <f t="shared" si="52"/>
        <v>0</v>
      </c>
      <c r="Y93" s="8">
        <f t="shared" si="52"/>
        <v>0</v>
      </c>
      <c r="Z93" s="8">
        <f t="shared" si="52"/>
        <v>0</v>
      </c>
      <c r="AA93" s="8">
        <f t="shared" si="52"/>
        <v>0</v>
      </c>
      <c r="AB93" s="8">
        <f t="shared" si="52"/>
        <v>0</v>
      </c>
      <c r="AC93" s="8">
        <f t="shared" si="52"/>
        <v>0</v>
      </c>
      <c r="AD93" s="8">
        <f t="shared" si="52"/>
        <v>0</v>
      </c>
      <c r="AE93" s="8">
        <f t="shared" si="52"/>
        <v>0</v>
      </c>
      <c r="AF93" s="8">
        <f t="shared" si="52"/>
        <v>0</v>
      </c>
      <c r="AG93" s="8">
        <f t="shared" si="52"/>
        <v>0</v>
      </c>
      <c r="AH93" s="8">
        <f t="shared" si="52"/>
        <v>0</v>
      </c>
      <c r="AI93" s="8">
        <f t="shared" si="52"/>
        <v>0</v>
      </c>
      <c r="AJ93" s="294">
        <f>SUM(C93:AI93)</f>
        <v>0</v>
      </c>
      <c r="AK93" s="8"/>
    </row>
    <row r="94" spans="1:37" ht="15.75" x14ac:dyDescent="0.25">
      <c r="A94" s="237" t="s">
        <v>405</v>
      </c>
      <c r="B94" s="302"/>
      <c r="C94" s="84"/>
      <c r="D94" s="84"/>
      <c r="E94" s="84"/>
      <c r="F94" s="84"/>
      <c r="G94" s="84"/>
      <c r="H94" s="84"/>
      <c r="I94" s="84"/>
      <c r="J94" s="84"/>
      <c r="K94" s="84"/>
      <c r="L94" s="84"/>
      <c r="M94" s="84">
        <v>0</v>
      </c>
      <c r="N94" s="8">
        <f t="shared" ref="N94:AI94" si="53">+N93-N95</f>
        <v>0</v>
      </c>
      <c r="O94" s="8">
        <f t="shared" si="53"/>
        <v>0</v>
      </c>
      <c r="P94" s="8">
        <f t="shared" si="53"/>
        <v>0</v>
      </c>
      <c r="Q94" s="8">
        <f t="shared" si="53"/>
        <v>0</v>
      </c>
      <c r="R94" s="8">
        <f t="shared" si="53"/>
        <v>0</v>
      </c>
      <c r="S94" s="8">
        <f t="shared" si="53"/>
        <v>0</v>
      </c>
      <c r="T94" s="8">
        <f t="shared" si="53"/>
        <v>0</v>
      </c>
      <c r="U94" s="8">
        <f t="shared" si="53"/>
        <v>0</v>
      </c>
      <c r="V94" s="8">
        <f t="shared" si="53"/>
        <v>0</v>
      </c>
      <c r="W94" s="8">
        <f t="shared" si="53"/>
        <v>0</v>
      </c>
      <c r="X94" s="8">
        <f t="shared" si="53"/>
        <v>0</v>
      </c>
      <c r="Y94" s="8">
        <f t="shared" si="53"/>
        <v>0</v>
      </c>
      <c r="Z94" s="8">
        <f t="shared" si="53"/>
        <v>0</v>
      </c>
      <c r="AA94" s="8">
        <f t="shared" si="53"/>
        <v>0</v>
      </c>
      <c r="AB94" s="8">
        <f t="shared" si="53"/>
        <v>0</v>
      </c>
      <c r="AC94" s="8">
        <f t="shared" si="53"/>
        <v>0</v>
      </c>
      <c r="AD94" s="8">
        <f t="shared" si="53"/>
        <v>0</v>
      </c>
      <c r="AE94" s="8">
        <f t="shared" si="53"/>
        <v>0</v>
      </c>
      <c r="AF94" s="8">
        <f t="shared" si="53"/>
        <v>0</v>
      </c>
      <c r="AG94" s="8">
        <f t="shared" si="53"/>
        <v>0</v>
      </c>
      <c r="AH94" s="8">
        <f t="shared" si="53"/>
        <v>0</v>
      </c>
      <c r="AI94" s="8">
        <f t="shared" si="53"/>
        <v>0</v>
      </c>
      <c r="AJ94" s="294">
        <f>SUM(C94:AI94)</f>
        <v>0</v>
      </c>
      <c r="AK94" s="8"/>
    </row>
    <row r="95" spans="1:37" ht="15.75" x14ac:dyDescent="0.25">
      <c r="A95" s="237" t="s">
        <v>406</v>
      </c>
      <c r="B95" s="302"/>
      <c r="C95" s="84"/>
      <c r="D95" s="84"/>
      <c r="E95" s="84"/>
      <c r="F95" s="84"/>
      <c r="G95" s="84"/>
      <c r="H95" s="84"/>
      <c r="I95" s="84"/>
      <c r="J95" s="84"/>
      <c r="K95" s="84"/>
      <c r="L95" s="84"/>
      <c r="M95" s="84">
        <v>0</v>
      </c>
      <c r="N95" s="8">
        <f t="shared" ref="N95:AI95" si="54">+$B$19*M92</f>
        <v>0</v>
      </c>
      <c r="O95" s="8">
        <f t="shared" si="54"/>
        <v>0</v>
      </c>
      <c r="P95" s="8">
        <f t="shared" si="54"/>
        <v>0</v>
      </c>
      <c r="Q95" s="8">
        <f t="shared" si="54"/>
        <v>0</v>
      </c>
      <c r="R95" s="8">
        <f t="shared" si="54"/>
        <v>0</v>
      </c>
      <c r="S95" s="8">
        <f t="shared" si="54"/>
        <v>0</v>
      </c>
      <c r="T95" s="8">
        <f t="shared" si="54"/>
        <v>0</v>
      </c>
      <c r="U95" s="8">
        <f t="shared" si="54"/>
        <v>0</v>
      </c>
      <c r="V95" s="8">
        <f t="shared" si="54"/>
        <v>0</v>
      </c>
      <c r="W95" s="8">
        <f t="shared" si="54"/>
        <v>0</v>
      </c>
      <c r="X95" s="8">
        <f t="shared" si="54"/>
        <v>0</v>
      </c>
      <c r="Y95" s="8">
        <f t="shared" si="54"/>
        <v>0</v>
      </c>
      <c r="Z95" s="8">
        <f t="shared" si="54"/>
        <v>0</v>
      </c>
      <c r="AA95" s="8">
        <f t="shared" si="54"/>
        <v>0</v>
      </c>
      <c r="AB95" s="8">
        <f t="shared" si="54"/>
        <v>0</v>
      </c>
      <c r="AC95" s="8">
        <f t="shared" si="54"/>
        <v>0</v>
      </c>
      <c r="AD95" s="8">
        <f t="shared" si="54"/>
        <v>0</v>
      </c>
      <c r="AE95" s="8">
        <f t="shared" si="54"/>
        <v>0</v>
      </c>
      <c r="AF95" s="8">
        <f t="shared" si="54"/>
        <v>0</v>
      </c>
      <c r="AG95" s="8">
        <f t="shared" si="54"/>
        <v>0</v>
      </c>
      <c r="AH95" s="8">
        <f t="shared" si="54"/>
        <v>0</v>
      </c>
      <c r="AI95" s="8">
        <f t="shared" si="54"/>
        <v>0</v>
      </c>
      <c r="AJ95" s="294">
        <f>SUM(C95:AI95)</f>
        <v>0</v>
      </c>
      <c r="AK95" s="8"/>
    </row>
    <row r="96" spans="1:37" ht="15.75" x14ac:dyDescent="0.25">
      <c r="A96" s="237"/>
      <c r="B96" s="301"/>
      <c r="C96" s="84"/>
      <c r="D96" s="84"/>
      <c r="E96" s="84"/>
      <c r="F96" s="84"/>
      <c r="G96" s="84"/>
      <c r="H96" s="84"/>
      <c r="I96" s="84"/>
      <c r="J96" s="84"/>
      <c r="K96" s="84"/>
      <c r="L96" s="84"/>
      <c r="M96" s="84"/>
      <c r="N96" s="8"/>
      <c r="O96" s="8"/>
      <c r="P96" s="8"/>
      <c r="Q96" s="8"/>
      <c r="R96" s="8"/>
      <c r="S96" s="8"/>
      <c r="T96" s="8"/>
      <c r="U96" s="8"/>
      <c r="V96" s="8"/>
      <c r="W96" s="8"/>
      <c r="X96" s="8"/>
      <c r="Y96" s="8"/>
      <c r="Z96" s="8"/>
      <c r="AA96" s="8"/>
      <c r="AB96" s="8"/>
      <c r="AC96" s="8"/>
      <c r="AD96" s="8"/>
      <c r="AE96" s="8"/>
      <c r="AF96" s="8"/>
      <c r="AG96" s="8"/>
      <c r="AH96" s="8"/>
      <c r="AI96" s="8"/>
      <c r="AJ96" s="8"/>
      <c r="AK96" s="8"/>
    </row>
    <row r="97" spans="1:37" ht="15.75" x14ac:dyDescent="0.25">
      <c r="A97" s="243">
        <f>N3</f>
        <v>2028</v>
      </c>
      <c r="B97" s="302"/>
      <c r="C97" s="84"/>
      <c r="D97" s="84"/>
      <c r="E97" s="84"/>
      <c r="F97" s="84"/>
      <c r="G97" s="84"/>
      <c r="H97" s="84"/>
      <c r="I97" s="84"/>
      <c r="J97" s="84"/>
      <c r="K97" s="84"/>
      <c r="L97" s="84"/>
      <c r="M97" s="84"/>
      <c r="N97" s="84">
        <f>N$39</f>
        <v>0</v>
      </c>
      <c r="O97" s="8">
        <f t="shared" ref="O97:AI97" si="55">+N97-O99</f>
        <v>0</v>
      </c>
      <c r="P97" s="8">
        <f t="shared" si="55"/>
        <v>0</v>
      </c>
      <c r="Q97" s="8">
        <f t="shared" si="55"/>
        <v>0</v>
      </c>
      <c r="R97" s="8">
        <f t="shared" si="55"/>
        <v>0</v>
      </c>
      <c r="S97" s="8">
        <f t="shared" si="55"/>
        <v>0</v>
      </c>
      <c r="T97" s="8">
        <f t="shared" si="55"/>
        <v>0</v>
      </c>
      <c r="U97" s="8">
        <f t="shared" si="55"/>
        <v>0</v>
      </c>
      <c r="V97" s="8">
        <f t="shared" si="55"/>
        <v>0</v>
      </c>
      <c r="W97" s="8">
        <f t="shared" si="55"/>
        <v>0</v>
      </c>
      <c r="X97" s="8">
        <f t="shared" si="55"/>
        <v>0</v>
      </c>
      <c r="Y97" s="8">
        <f t="shared" si="55"/>
        <v>0</v>
      </c>
      <c r="Z97" s="8">
        <f t="shared" si="55"/>
        <v>0</v>
      </c>
      <c r="AA97" s="8">
        <f t="shared" si="55"/>
        <v>0</v>
      </c>
      <c r="AB97" s="8">
        <f t="shared" si="55"/>
        <v>0</v>
      </c>
      <c r="AC97" s="8">
        <f t="shared" si="55"/>
        <v>0</v>
      </c>
      <c r="AD97" s="8">
        <f t="shared" si="55"/>
        <v>0</v>
      </c>
      <c r="AE97" s="8">
        <f t="shared" si="55"/>
        <v>0</v>
      </c>
      <c r="AF97" s="8">
        <f t="shared" si="55"/>
        <v>0</v>
      </c>
      <c r="AG97" s="8">
        <f t="shared" si="55"/>
        <v>0</v>
      </c>
      <c r="AH97" s="8">
        <f t="shared" si="55"/>
        <v>0</v>
      </c>
      <c r="AI97" s="8">
        <f t="shared" si="55"/>
        <v>0</v>
      </c>
      <c r="AJ97" s="8"/>
      <c r="AK97" s="8"/>
    </row>
    <row r="98" spans="1:37" ht="15.75" x14ac:dyDescent="0.25">
      <c r="A98" s="237" t="s">
        <v>404</v>
      </c>
      <c r="B98" s="301">
        <f>+N97/((1-(1/(1+$B$19)^$B$18))/$B$19)</f>
        <v>0</v>
      </c>
      <c r="C98" s="84"/>
      <c r="D98" s="84"/>
      <c r="E98" s="84"/>
      <c r="F98" s="84"/>
      <c r="G98" s="84"/>
      <c r="H98" s="84"/>
      <c r="I98" s="84"/>
      <c r="J98" s="84"/>
      <c r="K98" s="84"/>
      <c r="L98" s="84"/>
      <c r="M98" s="84"/>
      <c r="N98" s="8">
        <v>0</v>
      </c>
      <c r="O98" s="8">
        <f t="shared" ref="O98:AI98" si="56">+IF(N97&lt;0.01,0,$B$98)</f>
        <v>0</v>
      </c>
      <c r="P98" s="8">
        <f t="shared" si="56"/>
        <v>0</v>
      </c>
      <c r="Q98" s="8">
        <f t="shared" si="56"/>
        <v>0</v>
      </c>
      <c r="R98" s="8">
        <f t="shared" si="56"/>
        <v>0</v>
      </c>
      <c r="S98" s="8">
        <f t="shared" si="56"/>
        <v>0</v>
      </c>
      <c r="T98" s="8">
        <f t="shared" si="56"/>
        <v>0</v>
      </c>
      <c r="U98" s="8">
        <f t="shared" si="56"/>
        <v>0</v>
      </c>
      <c r="V98" s="8">
        <f t="shared" si="56"/>
        <v>0</v>
      </c>
      <c r="W98" s="8">
        <f t="shared" si="56"/>
        <v>0</v>
      </c>
      <c r="X98" s="8">
        <f t="shared" si="56"/>
        <v>0</v>
      </c>
      <c r="Y98" s="8">
        <f t="shared" si="56"/>
        <v>0</v>
      </c>
      <c r="Z98" s="8">
        <f t="shared" si="56"/>
        <v>0</v>
      </c>
      <c r="AA98" s="8">
        <f t="shared" si="56"/>
        <v>0</v>
      </c>
      <c r="AB98" s="8">
        <f t="shared" si="56"/>
        <v>0</v>
      </c>
      <c r="AC98" s="8">
        <f t="shared" si="56"/>
        <v>0</v>
      </c>
      <c r="AD98" s="8">
        <f t="shared" si="56"/>
        <v>0</v>
      </c>
      <c r="AE98" s="8">
        <f t="shared" si="56"/>
        <v>0</v>
      </c>
      <c r="AF98" s="8">
        <f t="shared" si="56"/>
        <v>0</v>
      </c>
      <c r="AG98" s="8">
        <f t="shared" si="56"/>
        <v>0</v>
      </c>
      <c r="AH98" s="8">
        <f t="shared" si="56"/>
        <v>0</v>
      </c>
      <c r="AI98" s="8">
        <f t="shared" si="56"/>
        <v>0</v>
      </c>
      <c r="AJ98" s="294">
        <f>SUM(C98:AI98)</f>
        <v>0</v>
      </c>
      <c r="AK98" s="8"/>
    </row>
    <row r="99" spans="1:37" ht="15.75" x14ac:dyDescent="0.25">
      <c r="A99" s="237" t="s">
        <v>405</v>
      </c>
      <c r="B99" s="302"/>
      <c r="C99" s="84"/>
      <c r="D99" s="84"/>
      <c r="E99" s="84"/>
      <c r="F99" s="84"/>
      <c r="G99" s="84"/>
      <c r="H99" s="84"/>
      <c r="I99" s="84"/>
      <c r="J99" s="84"/>
      <c r="K99" s="84"/>
      <c r="L99" s="84"/>
      <c r="M99" s="84"/>
      <c r="N99" s="8">
        <v>0</v>
      </c>
      <c r="O99" s="8">
        <f t="shared" ref="O99:AI99" si="57">+O98-O100</f>
        <v>0</v>
      </c>
      <c r="P99" s="8">
        <f t="shared" si="57"/>
        <v>0</v>
      </c>
      <c r="Q99" s="8">
        <f t="shared" si="57"/>
        <v>0</v>
      </c>
      <c r="R99" s="8">
        <f t="shared" si="57"/>
        <v>0</v>
      </c>
      <c r="S99" s="8">
        <f t="shared" si="57"/>
        <v>0</v>
      </c>
      <c r="T99" s="8">
        <f t="shared" si="57"/>
        <v>0</v>
      </c>
      <c r="U99" s="8">
        <f t="shared" si="57"/>
        <v>0</v>
      </c>
      <c r="V99" s="8">
        <f t="shared" si="57"/>
        <v>0</v>
      </c>
      <c r="W99" s="8">
        <f t="shared" si="57"/>
        <v>0</v>
      </c>
      <c r="X99" s="8">
        <f t="shared" si="57"/>
        <v>0</v>
      </c>
      <c r="Y99" s="8">
        <f t="shared" si="57"/>
        <v>0</v>
      </c>
      <c r="Z99" s="8">
        <f t="shared" si="57"/>
        <v>0</v>
      </c>
      <c r="AA99" s="8">
        <f t="shared" si="57"/>
        <v>0</v>
      </c>
      <c r="AB99" s="8">
        <f t="shared" si="57"/>
        <v>0</v>
      </c>
      <c r="AC99" s="8">
        <f t="shared" si="57"/>
        <v>0</v>
      </c>
      <c r="AD99" s="8">
        <f t="shared" si="57"/>
        <v>0</v>
      </c>
      <c r="AE99" s="8">
        <f t="shared" si="57"/>
        <v>0</v>
      </c>
      <c r="AF99" s="8">
        <f t="shared" si="57"/>
        <v>0</v>
      </c>
      <c r="AG99" s="8">
        <f t="shared" si="57"/>
        <v>0</v>
      </c>
      <c r="AH99" s="8">
        <f t="shared" si="57"/>
        <v>0</v>
      </c>
      <c r="AI99" s="8">
        <f t="shared" si="57"/>
        <v>0</v>
      </c>
      <c r="AJ99" s="294">
        <f>SUM(C99:AI99)</f>
        <v>0</v>
      </c>
      <c r="AK99" s="8"/>
    </row>
    <row r="100" spans="1:37" ht="15.75" x14ac:dyDescent="0.25">
      <c r="A100" s="237" t="s">
        <v>406</v>
      </c>
      <c r="B100" s="302"/>
      <c r="C100" s="84"/>
      <c r="D100" s="84"/>
      <c r="E100" s="84"/>
      <c r="F100" s="84"/>
      <c r="G100" s="84"/>
      <c r="H100" s="84"/>
      <c r="I100" s="84"/>
      <c r="J100" s="84"/>
      <c r="K100" s="84"/>
      <c r="L100" s="84"/>
      <c r="M100" s="84"/>
      <c r="N100" s="8">
        <v>0</v>
      </c>
      <c r="O100" s="8">
        <f t="shared" ref="O100:AI100" si="58">+$B$19*N97</f>
        <v>0</v>
      </c>
      <c r="P100" s="8">
        <f t="shared" si="58"/>
        <v>0</v>
      </c>
      <c r="Q100" s="8">
        <f t="shared" si="58"/>
        <v>0</v>
      </c>
      <c r="R100" s="8">
        <f t="shared" si="58"/>
        <v>0</v>
      </c>
      <c r="S100" s="8">
        <f t="shared" si="58"/>
        <v>0</v>
      </c>
      <c r="T100" s="8">
        <f t="shared" si="58"/>
        <v>0</v>
      </c>
      <c r="U100" s="8">
        <f t="shared" si="58"/>
        <v>0</v>
      </c>
      <c r="V100" s="8">
        <f t="shared" si="58"/>
        <v>0</v>
      </c>
      <c r="W100" s="8">
        <f t="shared" si="58"/>
        <v>0</v>
      </c>
      <c r="X100" s="8">
        <f t="shared" si="58"/>
        <v>0</v>
      </c>
      <c r="Y100" s="8">
        <f t="shared" si="58"/>
        <v>0</v>
      </c>
      <c r="Z100" s="8">
        <f t="shared" si="58"/>
        <v>0</v>
      </c>
      <c r="AA100" s="8">
        <f t="shared" si="58"/>
        <v>0</v>
      </c>
      <c r="AB100" s="8">
        <f t="shared" si="58"/>
        <v>0</v>
      </c>
      <c r="AC100" s="8">
        <f t="shared" si="58"/>
        <v>0</v>
      </c>
      <c r="AD100" s="8">
        <f t="shared" si="58"/>
        <v>0</v>
      </c>
      <c r="AE100" s="8">
        <f t="shared" si="58"/>
        <v>0</v>
      </c>
      <c r="AF100" s="8">
        <f t="shared" si="58"/>
        <v>0</v>
      </c>
      <c r="AG100" s="8">
        <f t="shared" si="58"/>
        <v>0</v>
      </c>
      <c r="AH100" s="8">
        <f t="shared" si="58"/>
        <v>0</v>
      </c>
      <c r="AI100" s="8">
        <f t="shared" si="58"/>
        <v>0</v>
      </c>
      <c r="AJ100" s="294">
        <f>SUM(C100:AI100)</f>
        <v>0</v>
      </c>
      <c r="AK100" s="8"/>
    </row>
    <row r="101" spans="1:37" ht="15.75" x14ac:dyDescent="0.25">
      <c r="A101" s="237"/>
      <c r="B101" s="301"/>
      <c r="C101" s="84"/>
      <c r="D101" s="84"/>
      <c r="E101" s="84"/>
      <c r="F101" s="84"/>
      <c r="G101" s="84"/>
      <c r="H101" s="84"/>
      <c r="I101" s="84"/>
      <c r="J101" s="84"/>
      <c r="K101" s="84"/>
      <c r="L101" s="84"/>
      <c r="M101" s="84"/>
      <c r="N101" s="8"/>
      <c r="O101" s="8"/>
      <c r="P101" s="8"/>
      <c r="Q101" s="8"/>
      <c r="R101" s="8"/>
      <c r="S101" s="8"/>
      <c r="T101" s="8"/>
      <c r="U101" s="8"/>
      <c r="V101" s="8"/>
      <c r="W101" s="8"/>
      <c r="X101" s="8"/>
      <c r="Y101" s="8"/>
      <c r="Z101" s="8"/>
      <c r="AA101" s="8"/>
      <c r="AB101" s="8"/>
      <c r="AC101" s="8"/>
      <c r="AD101" s="8"/>
      <c r="AE101" s="8"/>
      <c r="AF101" s="8"/>
      <c r="AG101" s="8"/>
      <c r="AH101" s="8"/>
      <c r="AI101" s="8"/>
      <c r="AJ101" s="8"/>
      <c r="AK101" s="8"/>
    </row>
    <row r="102" spans="1:37" ht="15.75" x14ac:dyDescent="0.25">
      <c r="A102" s="243">
        <f>O3</f>
        <v>2029</v>
      </c>
      <c r="B102" s="302"/>
      <c r="C102" s="84"/>
      <c r="D102" s="84"/>
      <c r="E102" s="84"/>
      <c r="F102" s="84"/>
      <c r="G102" s="84"/>
      <c r="H102" s="84"/>
      <c r="I102" s="84"/>
      <c r="J102" s="84"/>
      <c r="K102" s="84"/>
      <c r="L102" s="84"/>
      <c r="M102" s="84"/>
      <c r="N102" s="8"/>
      <c r="O102" s="84">
        <f>O$39</f>
        <v>0</v>
      </c>
      <c r="P102" s="8">
        <f t="shared" ref="P102:AI102" si="59">+O102-P104</f>
        <v>0</v>
      </c>
      <c r="Q102" s="8">
        <f t="shared" si="59"/>
        <v>0</v>
      </c>
      <c r="R102" s="8">
        <f t="shared" si="59"/>
        <v>0</v>
      </c>
      <c r="S102" s="8">
        <f t="shared" si="59"/>
        <v>0</v>
      </c>
      <c r="T102" s="8">
        <f t="shared" si="59"/>
        <v>0</v>
      </c>
      <c r="U102" s="8">
        <f t="shared" si="59"/>
        <v>0</v>
      </c>
      <c r="V102" s="8">
        <f t="shared" si="59"/>
        <v>0</v>
      </c>
      <c r="W102" s="8">
        <f t="shared" si="59"/>
        <v>0</v>
      </c>
      <c r="X102" s="8">
        <f t="shared" si="59"/>
        <v>0</v>
      </c>
      <c r="Y102" s="8">
        <f t="shared" si="59"/>
        <v>0</v>
      </c>
      <c r="Z102" s="8">
        <f t="shared" si="59"/>
        <v>0</v>
      </c>
      <c r="AA102" s="8">
        <f t="shared" si="59"/>
        <v>0</v>
      </c>
      <c r="AB102" s="8">
        <f t="shared" si="59"/>
        <v>0</v>
      </c>
      <c r="AC102" s="8">
        <f t="shared" si="59"/>
        <v>0</v>
      </c>
      <c r="AD102" s="8">
        <f t="shared" si="59"/>
        <v>0</v>
      </c>
      <c r="AE102" s="8">
        <f t="shared" si="59"/>
        <v>0</v>
      </c>
      <c r="AF102" s="8">
        <f t="shared" si="59"/>
        <v>0</v>
      </c>
      <c r="AG102" s="8">
        <f t="shared" si="59"/>
        <v>0</v>
      </c>
      <c r="AH102" s="8">
        <f t="shared" si="59"/>
        <v>0</v>
      </c>
      <c r="AI102" s="8">
        <f t="shared" si="59"/>
        <v>0</v>
      </c>
      <c r="AJ102" s="8"/>
      <c r="AK102" s="8"/>
    </row>
    <row r="103" spans="1:37" ht="15.75" x14ac:dyDescent="0.25">
      <c r="A103" s="237" t="s">
        <v>404</v>
      </c>
      <c r="B103" s="301">
        <f>+O102/((1-(1/(1+$B$19)^$B$18))/$B$19)</f>
        <v>0</v>
      </c>
      <c r="C103" s="84"/>
      <c r="D103" s="84"/>
      <c r="E103" s="84"/>
      <c r="F103" s="84"/>
      <c r="G103" s="84"/>
      <c r="H103" s="84"/>
      <c r="I103" s="84"/>
      <c r="J103" s="84"/>
      <c r="K103" s="84"/>
      <c r="L103" s="84"/>
      <c r="M103" s="84"/>
      <c r="N103" s="8"/>
      <c r="O103" s="8">
        <v>0</v>
      </c>
      <c r="P103" s="8">
        <f t="shared" ref="P103:AI103" si="60">+IF(O102&lt;0.01,0,$B$103)</f>
        <v>0</v>
      </c>
      <c r="Q103" s="8">
        <f t="shared" si="60"/>
        <v>0</v>
      </c>
      <c r="R103" s="8">
        <f t="shared" si="60"/>
        <v>0</v>
      </c>
      <c r="S103" s="8">
        <f t="shared" si="60"/>
        <v>0</v>
      </c>
      <c r="T103" s="8">
        <f t="shared" si="60"/>
        <v>0</v>
      </c>
      <c r="U103" s="8">
        <f t="shared" si="60"/>
        <v>0</v>
      </c>
      <c r="V103" s="8">
        <f t="shared" si="60"/>
        <v>0</v>
      </c>
      <c r="W103" s="8">
        <f t="shared" si="60"/>
        <v>0</v>
      </c>
      <c r="X103" s="8">
        <f t="shared" si="60"/>
        <v>0</v>
      </c>
      <c r="Y103" s="8">
        <f t="shared" si="60"/>
        <v>0</v>
      </c>
      <c r="Z103" s="8">
        <f t="shared" si="60"/>
        <v>0</v>
      </c>
      <c r="AA103" s="8">
        <f t="shared" si="60"/>
        <v>0</v>
      </c>
      <c r="AB103" s="8">
        <f t="shared" si="60"/>
        <v>0</v>
      </c>
      <c r="AC103" s="8">
        <f t="shared" si="60"/>
        <v>0</v>
      </c>
      <c r="AD103" s="8">
        <f t="shared" si="60"/>
        <v>0</v>
      </c>
      <c r="AE103" s="8">
        <f t="shared" si="60"/>
        <v>0</v>
      </c>
      <c r="AF103" s="8">
        <f t="shared" si="60"/>
        <v>0</v>
      </c>
      <c r="AG103" s="8">
        <f t="shared" si="60"/>
        <v>0</v>
      </c>
      <c r="AH103" s="8">
        <f t="shared" si="60"/>
        <v>0</v>
      </c>
      <c r="AI103" s="8">
        <f t="shared" si="60"/>
        <v>0</v>
      </c>
      <c r="AJ103" s="294">
        <f>SUM(C103:AI103)</f>
        <v>0</v>
      </c>
      <c r="AK103" s="8"/>
    </row>
    <row r="104" spans="1:37" ht="15.75" x14ac:dyDescent="0.25">
      <c r="A104" s="237" t="s">
        <v>405</v>
      </c>
      <c r="B104" s="302"/>
      <c r="C104" s="84"/>
      <c r="D104" s="84"/>
      <c r="E104" s="84"/>
      <c r="F104" s="84"/>
      <c r="G104" s="84"/>
      <c r="H104" s="84"/>
      <c r="I104" s="84"/>
      <c r="J104" s="84"/>
      <c r="K104" s="84"/>
      <c r="L104" s="84"/>
      <c r="M104" s="84"/>
      <c r="N104" s="8"/>
      <c r="O104" s="8">
        <v>0</v>
      </c>
      <c r="P104" s="8">
        <f t="shared" ref="P104:AI104" si="61">+P103-P105</f>
        <v>0</v>
      </c>
      <c r="Q104" s="8">
        <f t="shared" si="61"/>
        <v>0</v>
      </c>
      <c r="R104" s="8">
        <f t="shared" si="61"/>
        <v>0</v>
      </c>
      <c r="S104" s="8">
        <f t="shared" si="61"/>
        <v>0</v>
      </c>
      <c r="T104" s="8">
        <f t="shared" si="61"/>
        <v>0</v>
      </c>
      <c r="U104" s="8">
        <f t="shared" si="61"/>
        <v>0</v>
      </c>
      <c r="V104" s="8">
        <f t="shared" si="61"/>
        <v>0</v>
      </c>
      <c r="W104" s="8">
        <f t="shared" si="61"/>
        <v>0</v>
      </c>
      <c r="X104" s="8">
        <f t="shared" si="61"/>
        <v>0</v>
      </c>
      <c r="Y104" s="8">
        <f t="shared" si="61"/>
        <v>0</v>
      </c>
      <c r="Z104" s="8">
        <f t="shared" si="61"/>
        <v>0</v>
      </c>
      <c r="AA104" s="8">
        <f t="shared" si="61"/>
        <v>0</v>
      </c>
      <c r="AB104" s="8">
        <f t="shared" si="61"/>
        <v>0</v>
      </c>
      <c r="AC104" s="8">
        <f t="shared" si="61"/>
        <v>0</v>
      </c>
      <c r="AD104" s="8">
        <f t="shared" si="61"/>
        <v>0</v>
      </c>
      <c r="AE104" s="8">
        <f t="shared" si="61"/>
        <v>0</v>
      </c>
      <c r="AF104" s="8">
        <f t="shared" si="61"/>
        <v>0</v>
      </c>
      <c r="AG104" s="8">
        <f t="shared" si="61"/>
        <v>0</v>
      </c>
      <c r="AH104" s="8">
        <f t="shared" si="61"/>
        <v>0</v>
      </c>
      <c r="AI104" s="8">
        <f t="shared" si="61"/>
        <v>0</v>
      </c>
      <c r="AJ104" s="294">
        <f>SUM(C104:AI104)</f>
        <v>0</v>
      </c>
      <c r="AK104" s="8"/>
    </row>
    <row r="105" spans="1:37" ht="15.75" x14ac:dyDescent="0.25">
      <c r="A105" s="237" t="s">
        <v>406</v>
      </c>
      <c r="B105" s="302"/>
      <c r="C105" s="84"/>
      <c r="D105" s="84"/>
      <c r="E105" s="84"/>
      <c r="F105" s="84"/>
      <c r="G105" s="84"/>
      <c r="H105" s="84"/>
      <c r="I105" s="84"/>
      <c r="J105" s="84"/>
      <c r="K105" s="84"/>
      <c r="L105" s="84"/>
      <c r="M105" s="84"/>
      <c r="N105" s="8"/>
      <c r="O105" s="8">
        <v>0</v>
      </c>
      <c r="P105" s="8">
        <f t="shared" ref="P105:AI105" si="62">+$B$19*O102</f>
        <v>0</v>
      </c>
      <c r="Q105" s="8">
        <f t="shared" si="62"/>
        <v>0</v>
      </c>
      <c r="R105" s="8">
        <f t="shared" si="62"/>
        <v>0</v>
      </c>
      <c r="S105" s="8">
        <f t="shared" si="62"/>
        <v>0</v>
      </c>
      <c r="T105" s="8">
        <f t="shared" si="62"/>
        <v>0</v>
      </c>
      <c r="U105" s="8">
        <f t="shared" si="62"/>
        <v>0</v>
      </c>
      <c r="V105" s="8">
        <f t="shared" si="62"/>
        <v>0</v>
      </c>
      <c r="W105" s="8">
        <f t="shared" si="62"/>
        <v>0</v>
      </c>
      <c r="X105" s="8">
        <f t="shared" si="62"/>
        <v>0</v>
      </c>
      <c r="Y105" s="8">
        <f t="shared" si="62"/>
        <v>0</v>
      </c>
      <c r="Z105" s="8">
        <f t="shared" si="62"/>
        <v>0</v>
      </c>
      <c r="AA105" s="8">
        <f t="shared" si="62"/>
        <v>0</v>
      </c>
      <c r="AB105" s="8">
        <f t="shared" si="62"/>
        <v>0</v>
      </c>
      <c r="AC105" s="8">
        <f t="shared" si="62"/>
        <v>0</v>
      </c>
      <c r="AD105" s="8">
        <f t="shared" si="62"/>
        <v>0</v>
      </c>
      <c r="AE105" s="8">
        <f t="shared" si="62"/>
        <v>0</v>
      </c>
      <c r="AF105" s="8">
        <f t="shared" si="62"/>
        <v>0</v>
      </c>
      <c r="AG105" s="8">
        <f t="shared" si="62"/>
        <v>0</v>
      </c>
      <c r="AH105" s="8">
        <f t="shared" si="62"/>
        <v>0</v>
      </c>
      <c r="AI105" s="8">
        <f t="shared" si="62"/>
        <v>0</v>
      </c>
      <c r="AJ105" s="294">
        <f>SUM(C105:AI105)</f>
        <v>0</v>
      </c>
      <c r="AK105" s="8"/>
    </row>
    <row r="106" spans="1:37" ht="15.75" x14ac:dyDescent="0.25">
      <c r="A106" s="237"/>
      <c r="B106" s="301"/>
      <c r="C106" s="84"/>
      <c r="D106" s="84"/>
      <c r="E106" s="84"/>
      <c r="F106" s="84"/>
      <c r="G106" s="84"/>
      <c r="H106" s="84"/>
      <c r="I106" s="84"/>
      <c r="J106" s="84"/>
      <c r="K106" s="84"/>
      <c r="L106" s="84"/>
      <c r="M106" s="84"/>
      <c r="N106" s="8"/>
      <c r="O106" s="8"/>
      <c r="P106" s="8"/>
      <c r="Q106" s="8"/>
      <c r="R106" s="8"/>
      <c r="S106" s="8"/>
      <c r="T106" s="8"/>
      <c r="U106" s="8"/>
      <c r="V106" s="8"/>
      <c r="W106" s="8"/>
      <c r="X106" s="8"/>
      <c r="Y106" s="8"/>
      <c r="Z106" s="8"/>
      <c r="AA106" s="8"/>
      <c r="AB106" s="8"/>
      <c r="AC106" s="8"/>
      <c r="AD106" s="8"/>
      <c r="AE106" s="8"/>
      <c r="AF106" s="8"/>
      <c r="AG106" s="8"/>
      <c r="AH106" s="8"/>
      <c r="AI106" s="8"/>
      <c r="AJ106" s="8"/>
      <c r="AK106" s="8"/>
    </row>
    <row r="107" spans="1:37" ht="15.75" x14ac:dyDescent="0.25">
      <c r="A107" s="243">
        <f>P3</f>
        <v>2030</v>
      </c>
      <c r="B107" s="302"/>
      <c r="C107" s="84"/>
      <c r="D107" s="84"/>
      <c r="E107" s="84"/>
      <c r="F107" s="84"/>
      <c r="G107" s="84"/>
      <c r="H107" s="84"/>
      <c r="I107" s="84"/>
      <c r="J107" s="84"/>
      <c r="K107" s="84"/>
      <c r="L107" s="84"/>
      <c r="M107" s="84"/>
      <c r="N107" s="8"/>
      <c r="O107" s="8"/>
      <c r="P107" s="84">
        <f>P$39</f>
        <v>0</v>
      </c>
      <c r="Q107" s="8">
        <f t="shared" ref="Q107:AI107" si="63">+P107-Q109</f>
        <v>0</v>
      </c>
      <c r="R107" s="8">
        <f t="shared" si="63"/>
        <v>0</v>
      </c>
      <c r="S107" s="8">
        <f t="shared" si="63"/>
        <v>0</v>
      </c>
      <c r="T107" s="8">
        <f t="shared" si="63"/>
        <v>0</v>
      </c>
      <c r="U107" s="8">
        <f t="shared" si="63"/>
        <v>0</v>
      </c>
      <c r="V107" s="8">
        <f t="shared" si="63"/>
        <v>0</v>
      </c>
      <c r="W107" s="8">
        <f t="shared" si="63"/>
        <v>0</v>
      </c>
      <c r="X107" s="8">
        <f t="shared" si="63"/>
        <v>0</v>
      </c>
      <c r="Y107" s="8">
        <f t="shared" si="63"/>
        <v>0</v>
      </c>
      <c r="Z107" s="8">
        <f t="shared" si="63"/>
        <v>0</v>
      </c>
      <c r="AA107" s="8">
        <f t="shared" si="63"/>
        <v>0</v>
      </c>
      <c r="AB107" s="8">
        <f t="shared" si="63"/>
        <v>0</v>
      </c>
      <c r="AC107" s="8">
        <f t="shared" si="63"/>
        <v>0</v>
      </c>
      <c r="AD107" s="8">
        <f t="shared" si="63"/>
        <v>0</v>
      </c>
      <c r="AE107" s="8">
        <f t="shared" si="63"/>
        <v>0</v>
      </c>
      <c r="AF107" s="8">
        <f t="shared" si="63"/>
        <v>0</v>
      </c>
      <c r="AG107" s="8">
        <f t="shared" si="63"/>
        <v>0</v>
      </c>
      <c r="AH107" s="8">
        <f t="shared" si="63"/>
        <v>0</v>
      </c>
      <c r="AI107" s="8">
        <f t="shared" si="63"/>
        <v>0</v>
      </c>
      <c r="AJ107" s="8"/>
      <c r="AK107" s="8"/>
    </row>
    <row r="108" spans="1:37" ht="15.75" x14ac:dyDescent="0.25">
      <c r="A108" s="237" t="s">
        <v>404</v>
      </c>
      <c r="B108" s="301">
        <f>+P107/((1-(1/(1+$B$19)^$B$18))/$B$19)</f>
        <v>0</v>
      </c>
      <c r="C108" s="84"/>
      <c r="D108" s="84"/>
      <c r="E108" s="84"/>
      <c r="F108" s="84"/>
      <c r="G108" s="84"/>
      <c r="H108" s="84"/>
      <c r="I108" s="84"/>
      <c r="J108" s="84"/>
      <c r="K108" s="84"/>
      <c r="L108" s="84"/>
      <c r="M108" s="84"/>
      <c r="N108" s="8"/>
      <c r="O108" s="8"/>
      <c r="P108" s="8">
        <v>0</v>
      </c>
      <c r="Q108" s="8">
        <f t="shared" ref="Q108:AI108" si="64">+IF(P107&lt;0.01,0,$B$108)</f>
        <v>0</v>
      </c>
      <c r="R108" s="8">
        <f t="shared" si="64"/>
        <v>0</v>
      </c>
      <c r="S108" s="8">
        <f t="shared" si="64"/>
        <v>0</v>
      </c>
      <c r="T108" s="8">
        <f t="shared" si="64"/>
        <v>0</v>
      </c>
      <c r="U108" s="8">
        <f t="shared" si="64"/>
        <v>0</v>
      </c>
      <c r="V108" s="8">
        <f t="shared" si="64"/>
        <v>0</v>
      </c>
      <c r="W108" s="8">
        <f t="shared" si="64"/>
        <v>0</v>
      </c>
      <c r="X108" s="8">
        <f t="shared" si="64"/>
        <v>0</v>
      </c>
      <c r="Y108" s="8">
        <f t="shared" si="64"/>
        <v>0</v>
      </c>
      <c r="Z108" s="8">
        <f t="shared" si="64"/>
        <v>0</v>
      </c>
      <c r="AA108" s="8">
        <f t="shared" si="64"/>
        <v>0</v>
      </c>
      <c r="AB108" s="8">
        <f t="shared" si="64"/>
        <v>0</v>
      </c>
      <c r="AC108" s="8">
        <f t="shared" si="64"/>
        <v>0</v>
      </c>
      <c r="AD108" s="8">
        <f t="shared" si="64"/>
        <v>0</v>
      </c>
      <c r="AE108" s="8">
        <f t="shared" si="64"/>
        <v>0</v>
      </c>
      <c r="AF108" s="8">
        <f t="shared" si="64"/>
        <v>0</v>
      </c>
      <c r="AG108" s="8">
        <f t="shared" si="64"/>
        <v>0</v>
      </c>
      <c r="AH108" s="8">
        <f t="shared" si="64"/>
        <v>0</v>
      </c>
      <c r="AI108" s="8">
        <f t="shared" si="64"/>
        <v>0</v>
      </c>
      <c r="AJ108" s="294">
        <f>SUM(C108:AI108)</f>
        <v>0</v>
      </c>
      <c r="AK108" s="8"/>
    </row>
    <row r="109" spans="1:37" ht="15.75" x14ac:dyDescent="0.25">
      <c r="A109" s="237" t="s">
        <v>405</v>
      </c>
      <c r="B109" s="302"/>
      <c r="C109" s="84"/>
      <c r="D109" s="84"/>
      <c r="E109" s="84"/>
      <c r="F109" s="84"/>
      <c r="G109" s="84"/>
      <c r="H109" s="84"/>
      <c r="I109" s="84"/>
      <c r="J109" s="84"/>
      <c r="K109" s="84"/>
      <c r="L109" s="84"/>
      <c r="M109" s="84"/>
      <c r="N109" s="8"/>
      <c r="O109" s="8"/>
      <c r="P109" s="8">
        <v>0</v>
      </c>
      <c r="Q109" s="8">
        <f t="shared" ref="Q109:AI109" si="65">+Q108-Q110</f>
        <v>0</v>
      </c>
      <c r="R109" s="8">
        <f t="shared" si="65"/>
        <v>0</v>
      </c>
      <c r="S109" s="8">
        <f t="shared" si="65"/>
        <v>0</v>
      </c>
      <c r="T109" s="8">
        <f t="shared" si="65"/>
        <v>0</v>
      </c>
      <c r="U109" s="8">
        <f t="shared" si="65"/>
        <v>0</v>
      </c>
      <c r="V109" s="8">
        <f t="shared" si="65"/>
        <v>0</v>
      </c>
      <c r="W109" s="8">
        <f t="shared" si="65"/>
        <v>0</v>
      </c>
      <c r="X109" s="8">
        <f t="shared" si="65"/>
        <v>0</v>
      </c>
      <c r="Y109" s="8">
        <f t="shared" si="65"/>
        <v>0</v>
      </c>
      <c r="Z109" s="8">
        <f t="shared" si="65"/>
        <v>0</v>
      </c>
      <c r="AA109" s="8">
        <f t="shared" si="65"/>
        <v>0</v>
      </c>
      <c r="AB109" s="8">
        <f t="shared" si="65"/>
        <v>0</v>
      </c>
      <c r="AC109" s="8">
        <f t="shared" si="65"/>
        <v>0</v>
      </c>
      <c r="AD109" s="8">
        <f t="shared" si="65"/>
        <v>0</v>
      </c>
      <c r="AE109" s="8">
        <f t="shared" si="65"/>
        <v>0</v>
      </c>
      <c r="AF109" s="8">
        <f t="shared" si="65"/>
        <v>0</v>
      </c>
      <c r="AG109" s="8">
        <f t="shared" si="65"/>
        <v>0</v>
      </c>
      <c r="AH109" s="8">
        <f t="shared" si="65"/>
        <v>0</v>
      </c>
      <c r="AI109" s="8">
        <f t="shared" si="65"/>
        <v>0</v>
      </c>
      <c r="AJ109" s="294">
        <f>SUM(C109:AI109)</f>
        <v>0</v>
      </c>
      <c r="AK109" s="8"/>
    </row>
    <row r="110" spans="1:37" ht="15.75" x14ac:dyDescent="0.25">
      <c r="A110" s="237" t="s">
        <v>406</v>
      </c>
      <c r="B110" s="302"/>
      <c r="C110" s="84"/>
      <c r="D110" s="84"/>
      <c r="E110" s="84"/>
      <c r="F110" s="84"/>
      <c r="G110" s="84"/>
      <c r="H110" s="84"/>
      <c r="I110" s="84"/>
      <c r="J110" s="84"/>
      <c r="K110" s="84"/>
      <c r="L110" s="84"/>
      <c r="M110" s="84"/>
      <c r="N110" s="8"/>
      <c r="O110" s="8"/>
      <c r="P110" s="8">
        <v>0</v>
      </c>
      <c r="Q110" s="8">
        <f t="shared" ref="Q110:AI110" si="66">+$B$19*P107</f>
        <v>0</v>
      </c>
      <c r="R110" s="8">
        <f t="shared" si="66"/>
        <v>0</v>
      </c>
      <c r="S110" s="8">
        <f t="shared" si="66"/>
        <v>0</v>
      </c>
      <c r="T110" s="8">
        <f t="shared" si="66"/>
        <v>0</v>
      </c>
      <c r="U110" s="8">
        <f t="shared" si="66"/>
        <v>0</v>
      </c>
      <c r="V110" s="8">
        <f t="shared" si="66"/>
        <v>0</v>
      </c>
      <c r="W110" s="8">
        <f t="shared" si="66"/>
        <v>0</v>
      </c>
      <c r="X110" s="8">
        <f t="shared" si="66"/>
        <v>0</v>
      </c>
      <c r="Y110" s="8">
        <f t="shared" si="66"/>
        <v>0</v>
      </c>
      <c r="Z110" s="8">
        <f t="shared" si="66"/>
        <v>0</v>
      </c>
      <c r="AA110" s="8">
        <f t="shared" si="66"/>
        <v>0</v>
      </c>
      <c r="AB110" s="8">
        <f t="shared" si="66"/>
        <v>0</v>
      </c>
      <c r="AC110" s="8">
        <f t="shared" si="66"/>
        <v>0</v>
      </c>
      <c r="AD110" s="8">
        <f t="shared" si="66"/>
        <v>0</v>
      </c>
      <c r="AE110" s="8">
        <f t="shared" si="66"/>
        <v>0</v>
      </c>
      <c r="AF110" s="8">
        <f t="shared" si="66"/>
        <v>0</v>
      </c>
      <c r="AG110" s="8">
        <f t="shared" si="66"/>
        <v>0</v>
      </c>
      <c r="AH110" s="8">
        <f t="shared" si="66"/>
        <v>0</v>
      </c>
      <c r="AI110" s="8">
        <f t="shared" si="66"/>
        <v>0</v>
      </c>
      <c r="AJ110" s="294">
        <f>SUM(C110:AI110)</f>
        <v>0</v>
      </c>
      <c r="AK110" s="8"/>
    </row>
    <row r="111" spans="1:37" ht="15.75" x14ac:dyDescent="0.25">
      <c r="A111" s="237"/>
      <c r="B111" s="301"/>
      <c r="C111" s="84"/>
      <c r="D111" s="84"/>
      <c r="E111" s="84"/>
      <c r="F111" s="84"/>
      <c r="G111" s="84"/>
      <c r="H111" s="84"/>
      <c r="I111" s="84"/>
      <c r="J111" s="84"/>
      <c r="K111" s="84"/>
      <c r="L111" s="84"/>
      <c r="M111" s="84"/>
      <c r="N111" s="8"/>
      <c r="O111" s="8"/>
      <c r="P111" s="8"/>
      <c r="Q111" s="8"/>
      <c r="R111" s="8"/>
      <c r="S111" s="8"/>
      <c r="T111" s="8"/>
      <c r="U111" s="8"/>
      <c r="V111" s="8"/>
      <c r="W111" s="8"/>
      <c r="X111" s="8"/>
      <c r="Y111" s="8"/>
      <c r="Z111" s="8"/>
      <c r="AA111" s="8"/>
      <c r="AB111" s="8"/>
      <c r="AC111" s="8"/>
      <c r="AD111" s="8"/>
      <c r="AE111" s="8"/>
      <c r="AF111" s="8"/>
      <c r="AG111" s="8"/>
      <c r="AH111" s="8"/>
      <c r="AI111" s="8"/>
      <c r="AJ111" s="8"/>
      <c r="AK111" s="8"/>
    </row>
    <row r="112" spans="1:37" ht="15.75" x14ac:dyDescent="0.25">
      <c r="A112" s="243">
        <f>Q3</f>
        <v>2031</v>
      </c>
      <c r="B112" s="302"/>
      <c r="C112" s="84"/>
      <c r="D112" s="84"/>
      <c r="E112" s="84"/>
      <c r="F112" s="84"/>
      <c r="G112" s="84"/>
      <c r="H112" s="84"/>
      <c r="I112" s="84"/>
      <c r="J112" s="84"/>
      <c r="K112" s="84"/>
      <c r="L112" s="84"/>
      <c r="M112" s="84"/>
      <c r="N112" s="8"/>
      <c r="O112" s="8"/>
      <c r="P112" s="8"/>
      <c r="Q112" s="84">
        <f>Q$39</f>
        <v>0</v>
      </c>
      <c r="R112" s="8">
        <f t="shared" ref="R112:AI112" si="67">+Q112-R114</f>
        <v>0</v>
      </c>
      <c r="S112" s="8">
        <f t="shared" si="67"/>
        <v>0</v>
      </c>
      <c r="T112" s="8">
        <f t="shared" si="67"/>
        <v>0</v>
      </c>
      <c r="U112" s="8">
        <f t="shared" si="67"/>
        <v>0</v>
      </c>
      <c r="V112" s="8">
        <f t="shared" si="67"/>
        <v>0</v>
      </c>
      <c r="W112" s="8">
        <f t="shared" si="67"/>
        <v>0</v>
      </c>
      <c r="X112" s="8">
        <f t="shared" si="67"/>
        <v>0</v>
      </c>
      <c r="Y112" s="8">
        <f t="shared" si="67"/>
        <v>0</v>
      </c>
      <c r="Z112" s="8">
        <f t="shared" si="67"/>
        <v>0</v>
      </c>
      <c r="AA112" s="8">
        <f t="shared" si="67"/>
        <v>0</v>
      </c>
      <c r="AB112" s="8">
        <f t="shared" si="67"/>
        <v>0</v>
      </c>
      <c r="AC112" s="8">
        <f t="shared" si="67"/>
        <v>0</v>
      </c>
      <c r="AD112" s="8">
        <f t="shared" si="67"/>
        <v>0</v>
      </c>
      <c r="AE112" s="8">
        <f t="shared" si="67"/>
        <v>0</v>
      </c>
      <c r="AF112" s="8">
        <f t="shared" si="67"/>
        <v>0</v>
      </c>
      <c r="AG112" s="8">
        <f t="shared" si="67"/>
        <v>0</v>
      </c>
      <c r="AH112" s="8">
        <f t="shared" si="67"/>
        <v>0</v>
      </c>
      <c r="AI112" s="8">
        <f t="shared" si="67"/>
        <v>0</v>
      </c>
      <c r="AJ112" s="8"/>
      <c r="AK112" s="8"/>
    </row>
    <row r="113" spans="1:37" ht="15.75" x14ac:dyDescent="0.25">
      <c r="A113" s="237" t="s">
        <v>404</v>
      </c>
      <c r="B113" s="301">
        <f>+Q112/((1-(1/(1+$B$19)^$B$18))/$B$19)</f>
        <v>0</v>
      </c>
      <c r="C113" s="84"/>
      <c r="D113" s="84"/>
      <c r="E113" s="84"/>
      <c r="F113" s="84"/>
      <c r="G113" s="84"/>
      <c r="H113" s="84"/>
      <c r="I113" s="84"/>
      <c r="J113" s="84"/>
      <c r="K113" s="84"/>
      <c r="L113" s="84"/>
      <c r="M113" s="84"/>
      <c r="N113" s="8"/>
      <c r="O113" s="8"/>
      <c r="P113" s="8"/>
      <c r="Q113" s="8">
        <v>0</v>
      </c>
      <c r="R113" s="8">
        <f t="shared" ref="R113:AI113" si="68">+IF(Q112&lt;0.01,0,$B$113)</f>
        <v>0</v>
      </c>
      <c r="S113" s="8">
        <f t="shared" si="68"/>
        <v>0</v>
      </c>
      <c r="T113" s="8">
        <f t="shared" si="68"/>
        <v>0</v>
      </c>
      <c r="U113" s="8">
        <f t="shared" si="68"/>
        <v>0</v>
      </c>
      <c r="V113" s="8">
        <f t="shared" si="68"/>
        <v>0</v>
      </c>
      <c r="W113" s="8">
        <f t="shared" si="68"/>
        <v>0</v>
      </c>
      <c r="X113" s="8">
        <f t="shared" si="68"/>
        <v>0</v>
      </c>
      <c r="Y113" s="8">
        <f t="shared" si="68"/>
        <v>0</v>
      </c>
      <c r="Z113" s="8">
        <f t="shared" si="68"/>
        <v>0</v>
      </c>
      <c r="AA113" s="8">
        <f t="shared" si="68"/>
        <v>0</v>
      </c>
      <c r="AB113" s="8">
        <f t="shared" si="68"/>
        <v>0</v>
      </c>
      <c r="AC113" s="8">
        <f t="shared" si="68"/>
        <v>0</v>
      </c>
      <c r="AD113" s="8">
        <f t="shared" si="68"/>
        <v>0</v>
      </c>
      <c r="AE113" s="8">
        <f t="shared" si="68"/>
        <v>0</v>
      </c>
      <c r="AF113" s="8">
        <f t="shared" si="68"/>
        <v>0</v>
      </c>
      <c r="AG113" s="8">
        <f t="shared" si="68"/>
        <v>0</v>
      </c>
      <c r="AH113" s="8">
        <f t="shared" si="68"/>
        <v>0</v>
      </c>
      <c r="AI113" s="8">
        <f t="shared" si="68"/>
        <v>0</v>
      </c>
      <c r="AJ113" s="294">
        <f>SUM(C113:AI113)</f>
        <v>0</v>
      </c>
      <c r="AK113" s="8"/>
    </row>
    <row r="114" spans="1:37" ht="15.75" x14ac:dyDescent="0.25">
      <c r="A114" s="237" t="s">
        <v>405</v>
      </c>
      <c r="B114" s="302"/>
      <c r="C114" s="84"/>
      <c r="D114" s="84"/>
      <c r="E114" s="84"/>
      <c r="F114" s="84"/>
      <c r="G114" s="84"/>
      <c r="H114" s="84"/>
      <c r="I114" s="84"/>
      <c r="J114" s="84"/>
      <c r="K114" s="84"/>
      <c r="L114" s="84"/>
      <c r="M114" s="84"/>
      <c r="N114" s="8"/>
      <c r="O114" s="8"/>
      <c r="P114" s="8"/>
      <c r="Q114" s="8">
        <v>0</v>
      </c>
      <c r="R114" s="8">
        <f t="shared" ref="R114:AI114" si="69">+R113-R115</f>
        <v>0</v>
      </c>
      <c r="S114" s="8">
        <f t="shared" si="69"/>
        <v>0</v>
      </c>
      <c r="T114" s="8">
        <f t="shared" si="69"/>
        <v>0</v>
      </c>
      <c r="U114" s="8">
        <f t="shared" si="69"/>
        <v>0</v>
      </c>
      <c r="V114" s="8">
        <f t="shared" si="69"/>
        <v>0</v>
      </c>
      <c r="W114" s="8">
        <f t="shared" si="69"/>
        <v>0</v>
      </c>
      <c r="X114" s="8">
        <f t="shared" si="69"/>
        <v>0</v>
      </c>
      <c r="Y114" s="8">
        <f t="shared" si="69"/>
        <v>0</v>
      </c>
      <c r="Z114" s="8">
        <f t="shared" si="69"/>
        <v>0</v>
      </c>
      <c r="AA114" s="8">
        <f t="shared" si="69"/>
        <v>0</v>
      </c>
      <c r="AB114" s="8">
        <f t="shared" si="69"/>
        <v>0</v>
      </c>
      <c r="AC114" s="8">
        <f t="shared" si="69"/>
        <v>0</v>
      </c>
      <c r="AD114" s="8">
        <f t="shared" si="69"/>
        <v>0</v>
      </c>
      <c r="AE114" s="8">
        <f t="shared" si="69"/>
        <v>0</v>
      </c>
      <c r="AF114" s="8">
        <f t="shared" si="69"/>
        <v>0</v>
      </c>
      <c r="AG114" s="8">
        <f t="shared" si="69"/>
        <v>0</v>
      </c>
      <c r="AH114" s="8">
        <f t="shared" si="69"/>
        <v>0</v>
      </c>
      <c r="AI114" s="8">
        <f t="shared" si="69"/>
        <v>0</v>
      </c>
      <c r="AJ114" s="294">
        <f>SUM(C114:AI114)</f>
        <v>0</v>
      </c>
      <c r="AK114" s="8"/>
    </row>
    <row r="115" spans="1:37" ht="15.75" x14ac:dyDescent="0.25">
      <c r="A115" s="237" t="s">
        <v>406</v>
      </c>
      <c r="B115" s="302"/>
      <c r="C115" s="84"/>
      <c r="D115" s="84"/>
      <c r="E115" s="84"/>
      <c r="F115" s="84"/>
      <c r="G115" s="84"/>
      <c r="H115" s="84"/>
      <c r="I115" s="84"/>
      <c r="J115" s="84"/>
      <c r="K115" s="84"/>
      <c r="L115" s="84"/>
      <c r="M115" s="84"/>
      <c r="N115" s="8"/>
      <c r="O115" s="8"/>
      <c r="P115" s="8"/>
      <c r="Q115" s="8">
        <v>0</v>
      </c>
      <c r="R115" s="8">
        <f t="shared" ref="R115:AI115" si="70">+$B$19*Q112</f>
        <v>0</v>
      </c>
      <c r="S115" s="8">
        <f t="shared" si="70"/>
        <v>0</v>
      </c>
      <c r="T115" s="8">
        <f t="shared" si="70"/>
        <v>0</v>
      </c>
      <c r="U115" s="8">
        <f t="shared" si="70"/>
        <v>0</v>
      </c>
      <c r="V115" s="8">
        <f t="shared" si="70"/>
        <v>0</v>
      </c>
      <c r="W115" s="8">
        <f t="shared" si="70"/>
        <v>0</v>
      </c>
      <c r="X115" s="8">
        <f t="shared" si="70"/>
        <v>0</v>
      </c>
      <c r="Y115" s="8">
        <f t="shared" si="70"/>
        <v>0</v>
      </c>
      <c r="Z115" s="8">
        <f t="shared" si="70"/>
        <v>0</v>
      </c>
      <c r="AA115" s="8">
        <f t="shared" si="70"/>
        <v>0</v>
      </c>
      <c r="AB115" s="8">
        <f t="shared" si="70"/>
        <v>0</v>
      </c>
      <c r="AC115" s="8">
        <f t="shared" si="70"/>
        <v>0</v>
      </c>
      <c r="AD115" s="8">
        <f t="shared" si="70"/>
        <v>0</v>
      </c>
      <c r="AE115" s="8">
        <f t="shared" si="70"/>
        <v>0</v>
      </c>
      <c r="AF115" s="8">
        <f t="shared" si="70"/>
        <v>0</v>
      </c>
      <c r="AG115" s="8">
        <f t="shared" si="70"/>
        <v>0</v>
      </c>
      <c r="AH115" s="8">
        <f t="shared" si="70"/>
        <v>0</v>
      </c>
      <c r="AI115" s="8">
        <f t="shared" si="70"/>
        <v>0</v>
      </c>
      <c r="AJ115" s="294">
        <f>SUM(C115:AI115)</f>
        <v>0</v>
      </c>
      <c r="AK115" s="8"/>
    </row>
    <row r="116" spans="1:37" ht="15.75" x14ac:dyDescent="0.25">
      <c r="A116" s="237"/>
      <c r="B116" s="301"/>
      <c r="C116" s="84"/>
      <c r="D116" s="84"/>
      <c r="E116" s="84"/>
      <c r="F116" s="84"/>
      <c r="G116" s="84"/>
      <c r="H116" s="84"/>
      <c r="I116" s="84"/>
      <c r="J116" s="84"/>
      <c r="K116" s="84"/>
      <c r="L116" s="84"/>
      <c r="M116" s="84"/>
      <c r="N116" s="8"/>
      <c r="O116" s="8"/>
      <c r="P116" s="8"/>
      <c r="Q116" s="8"/>
      <c r="R116" s="8"/>
      <c r="S116" s="8"/>
      <c r="T116" s="8"/>
      <c r="U116" s="8"/>
      <c r="V116" s="8"/>
      <c r="W116" s="8"/>
      <c r="X116" s="8"/>
      <c r="Y116" s="8"/>
      <c r="Z116" s="8"/>
      <c r="AA116" s="8"/>
      <c r="AB116" s="8"/>
      <c r="AC116" s="8"/>
      <c r="AD116" s="8"/>
      <c r="AE116" s="8"/>
      <c r="AF116" s="8"/>
      <c r="AG116" s="8"/>
      <c r="AH116" s="8"/>
      <c r="AI116" s="8"/>
      <c r="AJ116" s="8"/>
      <c r="AK116" s="8"/>
    </row>
    <row r="117" spans="1:37" ht="15.75" x14ac:dyDescent="0.25">
      <c r="A117" s="243">
        <f>R3</f>
        <v>2032</v>
      </c>
      <c r="B117" s="302"/>
      <c r="C117" s="84"/>
      <c r="D117" s="84"/>
      <c r="E117" s="84"/>
      <c r="F117" s="84"/>
      <c r="G117" s="84"/>
      <c r="H117" s="84"/>
      <c r="I117" s="84"/>
      <c r="J117" s="84"/>
      <c r="K117" s="84"/>
      <c r="L117" s="84"/>
      <c r="M117" s="84"/>
      <c r="N117" s="8"/>
      <c r="O117" s="8"/>
      <c r="P117" s="8"/>
      <c r="Q117" s="8"/>
      <c r="R117" s="84">
        <f>R$39</f>
        <v>0</v>
      </c>
      <c r="S117" s="8">
        <f t="shared" ref="S117:AI117" si="71">+R117-S119</f>
        <v>0</v>
      </c>
      <c r="T117" s="8">
        <f t="shared" si="71"/>
        <v>0</v>
      </c>
      <c r="U117" s="8">
        <f t="shared" si="71"/>
        <v>0</v>
      </c>
      <c r="V117" s="8">
        <f t="shared" si="71"/>
        <v>0</v>
      </c>
      <c r="W117" s="8">
        <f t="shared" si="71"/>
        <v>0</v>
      </c>
      <c r="X117" s="8">
        <f t="shared" si="71"/>
        <v>0</v>
      </c>
      <c r="Y117" s="8">
        <f t="shared" si="71"/>
        <v>0</v>
      </c>
      <c r="Z117" s="8">
        <f t="shared" si="71"/>
        <v>0</v>
      </c>
      <c r="AA117" s="8">
        <f t="shared" si="71"/>
        <v>0</v>
      </c>
      <c r="AB117" s="8">
        <f t="shared" si="71"/>
        <v>0</v>
      </c>
      <c r="AC117" s="8">
        <f t="shared" si="71"/>
        <v>0</v>
      </c>
      <c r="AD117" s="8">
        <f t="shared" si="71"/>
        <v>0</v>
      </c>
      <c r="AE117" s="8">
        <f t="shared" si="71"/>
        <v>0</v>
      </c>
      <c r="AF117" s="8">
        <f t="shared" si="71"/>
        <v>0</v>
      </c>
      <c r="AG117" s="8">
        <f t="shared" si="71"/>
        <v>0</v>
      </c>
      <c r="AH117" s="8">
        <f t="shared" si="71"/>
        <v>0</v>
      </c>
      <c r="AI117" s="8">
        <f t="shared" si="71"/>
        <v>0</v>
      </c>
      <c r="AJ117" s="8"/>
      <c r="AK117" s="8"/>
    </row>
    <row r="118" spans="1:37" ht="15.75" x14ac:dyDescent="0.25">
      <c r="A118" s="237" t="s">
        <v>404</v>
      </c>
      <c r="B118" s="301">
        <f>+R117/((1-(1/(1+$B$19)^$B$18))/$B$19)</f>
        <v>0</v>
      </c>
      <c r="C118" s="84"/>
      <c r="D118" s="84"/>
      <c r="E118" s="84"/>
      <c r="F118" s="84"/>
      <c r="G118" s="84"/>
      <c r="H118" s="84"/>
      <c r="I118" s="84"/>
      <c r="J118" s="84"/>
      <c r="K118" s="84"/>
      <c r="L118" s="84"/>
      <c r="M118" s="84"/>
      <c r="N118" s="8"/>
      <c r="O118" s="8"/>
      <c r="P118" s="8"/>
      <c r="Q118" s="8"/>
      <c r="R118" s="8">
        <v>0</v>
      </c>
      <c r="S118" s="8">
        <f t="shared" ref="S118:AI118" si="72">+IF(R117&lt;0.01,0,$B$118)</f>
        <v>0</v>
      </c>
      <c r="T118" s="8">
        <f t="shared" si="72"/>
        <v>0</v>
      </c>
      <c r="U118" s="8">
        <f t="shared" si="72"/>
        <v>0</v>
      </c>
      <c r="V118" s="8">
        <f t="shared" si="72"/>
        <v>0</v>
      </c>
      <c r="W118" s="8">
        <f t="shared" si="72"/>
        <v>0</v>
      </c>
      <c r="X118" s="8">
        <f t="shared" si="72"/>
        <v>0</v>
      </c>
      <c r="Y118" s="8">
        <f t="shared" si="72"/>
        <v>0</v>
      </c>
      <c r="Z118" s="8">
        <f t="shared" si="72"/>
        <v>0</v>
      </c>
      <c r="AA118" s="8">
        <f t="shared" si="72"/>
        <v>0</v>
      </c>
      <c r="AB118" s="8">
        <f t="shared" si="72"/>
        <v>0</v>
      </c>
      <c r="AC118" s="8">
        <f t="shared" si="72"/>
        <v>0</v>
      </c>
      <c r="AD118" s="8">
        <f t="shared" si="72"/>
        <v>0</v>
      </c>
      <c r="AE118" s="8">
        <f t="shared" si="72"/>
        <v>0</v>
      </c>
      <c r="AF118" s="8">
        <f t="shared" si="72"/>
        <v>0</v>
      </c>
      <c r="AG118" s="8">
        <f t="shared" si="72"/>
        <v>0</v>
      </c>
      <c r="AH118" s="8">
        <f t="shared" si="72"/>
        <v>0</v>
      </c>
      <c r="AI118" s="8">
        <f t="shared" si="72"/>
        <v>0</v>
      </c>
      <c r="AJ118" s="294">
        <f>SUM(C118:AI118)</f>
        <v>0</v>
      </c>
      <c r="AK118" s="8"/>
    </row>
    <row r="119" spans="1:37" ht="15.75" x14ac:dyDescent="0.25">
      <c r="A119" s="237" t="s">
        <v>405</v>
      </c>
      <c r="B119" s="302"/>
      <c r="C119" s="84"/>
      <c r="D119" s="84"/>
      <c r="E119" s="84"/>
      <c r="F119" s="84"/>
      <c r="G119" s="84"/>
      <c r="H119" s="84"/>
      <c r="I119" s="84"/>
      <c r="J119" s="84"/>
      <c r="K119" s="84"/>
      <c r="L119" s="84"/>
      <c r="M119" s="84"/>
      <c r="N119" s="8"/>
      <c r="O119" s="8"/>
      <c r="P119" s="8"/>
      <c r="Q119" s="8"/>
      <c r="R119" s="8">
        <v>0</v>
      </c>
      <c r="S119" s="8">
        <f t="shared" ref="S119:AI119" si="73">+S118-S120</f>
        <v>0</v>
      </c>
      <c r="T119" s="8">
        <f t="shared" si="73"/>
        <v>0</v>
      </c>
      <c r="U119" s="8">
        <f t="shared" si="73"/>
        <v>0</v>
      </c>
      <c r="V119" s="8">
        <f t="shared" si="73"/>
        <v>0</v>
      </c>
      <c r="W119" s="8">
        <f t="shared" si="73"/>
        <v>0</v>
      </c>
      <c r="X119" s="8">
        <f t="shared" si="73"/>
        <v>0</v>
      </c>
      <c r="Y119" s="8">
        <f t="shared" si="73"/>
        <v>0</v>
      </c>
      <c r="Z119" s="8">
        <f t="shared" si="73"/>
        <v>0</v>
      </c>
      <c r="AA119" s="8">
        <f t="shared" si="73"/>
        <v>0</v>
      </c>
      <c r="AB119" s="8">
        <f t="shared" si="73"/>
        <v>0</v>
      </c>
      <c r="AC119" s="8">
        <f t="shared" si="73"/>
        <v>0</v>
      </c>
      <c r="AD119" s="8">
        <f t="shared" si="73"/>
        <v>0</v>
      </c>
      <c r="AE119" s="8">
        <f t="shared" si="73"/>
        <v>0</v>
      </c>
      <c r="AF119" s="8">
        <f t="shared" si="73"/>
        <v>0</v>
      </c>
      <c r="AG119" s="8">
        <f t="shared" si="73"/>
        <v>0</v>
      </c>
      <c r="AH119" s="8">
        <f t="shared" si="73"/>
        <v>0</v>
      </c>
      <c r="AI119" s="8">
        <f t="shared" si="73"/>
        <v>0</v>
      </c>
      <c r="AJ119" s="294">
        <f>SUM(C119:AI119)</f>
        <v>0</v>
      </c>
      <c r="AK119" s="8"/>
    </row>
    <row r="120" spans="1:37" ht="15.75" x14ac:dyDescent="0.25">
      <c r="A120" s="237" t="s">
        <v>406</v>
      </c>
      <c r="B120" s="302"/>
      <c r="C120" s="84"/>
      <c r="D120" s="84"/>
      <c r="E120" s="84"/>
      <c r="F120" s="84"/>
      <c r="G120" s="84"/>
      <c r="H120" s="84"/>
      <c r="I120" s="84"/>
      <c r="J120" s="84"/>
      <c r="K120" s="84"/>
      <c r="L120" s="84"/>
      <c r="M120" s="84"/>
      <c r="N120" s="8"/>
      <c r="O120" s="8"/>
      <c r="P120" s="8"/>
      <c r="Q120" s="8"/>
      <c r="R120" s="8">
        <v>0</v>
      </c>
      <c r="S120" s="8">
        <f t="shared" ref="S120:AI120" si="74">+$B$19*R117</f>
        <v>0</v>
      </c>
      <c r="T120" s="8">
        <f t="shared" si="74"/>
        <v>0</v>
      </c>
      <c r="U120" s="8">
        <f t="shared" si="74"/>
        <v>0</v>
      </c>
      <c r="V120" s="8">
        <f t="shared" si="74"/>
        <v>0</v>
      </c>
      <c r="W120" s="8">
        <f t="shared" si="74"/>
        <v>0</v>
      </c>
      <c r="X120" s="8">
        <f t="shared" si="74"/>
        <v>0</v>
      </c>
      <c r="Y120" s="8">
        <f t="shared" si="74"/>
        <v>0</v>
      </c>
      <c r="Z120" s="8">
        <f t="shared" si="74"/>
        <v>0</v>
      </c>
      <c r="AA120" s="8">
        <f t="shared" si="74"/>
        <v>0</v>
      </c>
      <c r="AB120" s="8">
        <f t="shared" si="74"/>
        <v>0</v>
      </c>
      <c r="AC120" s="8">
        <f t="shared" si="74"/>
        <v>0</v>
      </c>
      <c r="AD120" s="8">
        <f t="shared" si="74"/>
        <v>0</v>
      </c>
      <c r="AE120" s="8">
        <f t="shared" si="74"/>
        <v>0</v>
      </c>
      <c r="AF120" s="8">
        <f t="shared" si="74"/>
        <v>0</v>
      </c>
      <c r="AG120" s="8">
        <f t="shared" si="74"/>
        <v>0</v>
      </c>
      <c r="AH120" s="8">
        <f t="shared" si="74"/>
        <v>0</v>
      </c>
      <c r="AI120" s="8">
        <f t="shared" si="74"/>
        <v>0</v>
      </c>
      <c r="AJ120" s="294">
        <f>SUM(C120:AI120)</f>
        <v>0</v>
      </c>
      <c r="AK120" s="8"/>
    </row>
    <row r="121" spans="1:37" ht="15.75" x14ac:dyDescent="0.25">
      <c r="A121" s="237"/>
      <c r="B121" s="301"/>
      <c r="C121" s="84"/>
      <c r="D121" s="84"/>
      <c r="E121" s="84"/>
      <c r="F121" s="84"/>
      <c r="G121" s="84"/>
      <c r="H121" s="84"/>
      <c r="I121" s="84"/>
      <c r="J121" s="84"/>
      <c r="K121" s="84"/>
      <c r="L121" s="84"/>
      <c r="M121" s="84"/>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1:37" ht="15.75" x14ac:dyDescent="0.25">
      <c r="A122" s="243">
        <f>S3</f>
        <v>2033</v>
      </c>
      <c r="B122" s="302"/>
      <c r="C122" s="84"/>
      <c r="D122" s="84"/>
      <c r="E122" s="84"/>
      <c r="F122" s="84"/>
      <c r="G122" s="84"/>
      <c r="H122" s="84"/>
      <c r="I122" s="84"/>
      <c r="J122" s="84"/>
      <c r="K122" s="84"/>
      <c r="L122" s="84"/>
      <c r="M122" s="84"/>
      <c r="N122" s="8"/>
      <c r="O122" s="8"/>
      <c r="P122" s="8"/>
      <c r="Q122" s="8"/>
      <c r="R122" s="8"/>
      <c r="S122" s="84">
        <f>S$39</f>
        <v>0</v>
      </c>
      <c r="T122" s="8">
        <f t="shared" ref="T122:AI122" si="75">+S122-T124</f>
        <v>0</v>
      </c>
      <c r="U122" s="8">
        <f t="shared" si="75"/>
        <v>0</v>
      </c>
      <c r="V122" s="8">
        <f t="shared" si="75"/>
        <v>0</v>
      </c>
      <c r="W122" s="8">
        <f t="shared" si="75"/>
        <v>0</v>
      </c>
      <c r="X122" s="8">
        <f t="shared" si="75"/>
        <v>0</v>
      </c>
      <c r="Y122" s="8">
        <f t="shared" si="75"/>
        <v>0</v>
      </c>
      <c r="Z122" s="8">
        <f t="shared" si="75"/>
        <v>0</v>
      </c>
      <c r="AA122" s="8">
        <f t="shared" si="75"/>
        <v>0</v>
      </c>
      <c r="AB122" s="8">
        <f t="shared" si="75"/>
        <v>0</v>
      </c>
      <c r="AC122" s="8">
        <f t="shared" si="75"/>
        <v>0</v>
      </c>
      <c r="AD122" s="8">
        <f t="shared" si="75"/>
        <v>0</v>
      </c>
      <c r="AE122" s="8">
        <f t="shared" si="75"/>
        <v>0</v>
      </c>
      <c r="AF122" s="8">
        <f t="shared" si="75"/>
        <v>0</v>
      </c>
      <c r="AG122" s="8">
        <f t="shared" si="75"/>
        <v>0</v>
      </c>
      <c r="AH122" s="8">
        <f t="shared" si="75"/>
        <v>0</v>
      </c>
      <c r="AI122" s="8">
        <f t="shared" si="75"/>
        <v>0</v>
      </c>
      <c r="AJ122" s="8"/>
      <c r="AK122" s="8"/>
    </row>
    <row r="123" spans="1:37" ht="15.75" x14ac:dyDescent="0.25">
      <c r="A123" s="237" t="s">
        <v>404</v>
      </c>
      <c r="B123" s="301">
        <f>+S122/((1-(1/(1+$B$19)^$B$18))/$B$19)</f>
        <v>0</v>
      </c>
      <c r="C123" s="84"/>
      <c r="D123" s="84"/>
      <c r="E123" s="84"/>
      <c r="F123" s="84"/>
      <c r="G123" s="84"/>
      <c r="H123" s="84"/>
      <c r="I123" s="84"/>
      <c r="J123" s="84"/>
      <c r="K123" s="84"/>
      <c r="L123" s="84"/>
      <c r="M123" s="84"/>
      <c r="N123" s="8"/>
      <c r="O123" s="8"/>
      <c r="P123" s="8"/>
      <c r="Q123" s="8"/>
      <c r="R123" s="8"/>
      <c r="S123" s="8">
        <v>0</v>
      </c>
      <c r="T123" s="8">
        <f t="shared" ref="T123:AI123" si="76">+IF(S122&lt;0.01,0,$B$123)</f>
        <v>0</v>
      </c>
      <c r="U123" s="8">
        <f t="shared" si="76"/>
        <v>0</v>
      </c>
      <c r="V123" s="8">
        <f t="shared" si="76"/>
        <v>0</v>
      </c>
      <c r="W123" s="8">
        <f t="shared" si="76"/>
        <v>0</v>
      </c>
      <c r="X123" s="8">
        <f t="shared" si="76"/>
        <v>0</v>
      </c>
      <c r="Y123" s="8">
        <f t="shared" si="76"/>
        <v>0</v>
      </c>
      <c r="Z123" s="8">
        <f t="shared" si="76"/>
        <v>0</v>
      </c>
      <c r="AA123" s="8">
        <f t="shared" si="76"/>
        <v>0</v>
      </c>
      <c r="AB123" s="8">
        <f t="shared" si="76"/>
        <v>0</v>
      </c>
      <c r="AC123" s="8">
        <f t="shared" si="76"/>
        <v>0</v>
      </c>
      <c r="AD123" s="8">
        <f t="shared" si="76"/>
        <v>0</v>
      </c>
      <c r="AE123" s="8">
        <f t="shared" si="76"/>
        <v>0</v>
      </c>
      <c r="AF123" s="8">
        <f t="shared" si="76"/>
        <v>0</v>
      </c>
      <c r="AG123" s="8">
        <f t="shared" si="76"/>
        <v>0</v>
      </c>
      <c r="AH123" s="8">
        <f t="shared" si="76"/>
        <v>0</v>
      </c>
      <c r="AI123" s="8">
        <f t="shared" si="76"/>
        <v>0</v>
      </c>
      <c r="AJ123" s="294">
        <f>SUM(C123:AI123)</f>
        <v>0</v>
      </c>
      <c r="AK123" s="8"/>
    </row>
    <row r="124" spans="1:37" ht="15.75" x14ac:dyDescent="0.25">
      <c r="A124" s="237" t="s">
        <v>405</v>
      </c>
      <c r="B124" s="302"/>
      <c r="C124" s="84"/>
      <c r="D124" s="84"/>
      <c r="E124" s="84"/>
      <c r="F124" s="84"/>
      <c r="G124" s="84"/>
      <c r="H124" s="84"/>
      <c r="I124" s="84"/>
      <c r="J124" s="84"/>
      <c r="K124" s="84"/>
      <c r="L124" s="84"/>
      <c r="M124" s="84"/>
      <c r="N124" s="8"/>
      <c r="O124" s="8"/>
      <c r="P124" s="8"/>
      <c r="Q124" s="8"/>
      <c r="R124" s="8"/>
      <c r="S124" s="8">
        <v>0</v>
      </c>
      <c r="T124" s="8">
        <f t="shared" ref="T124:AI124" si="77">+T123-T125</f>
        <v>0</v>
      </c>
      <c r="U124" s="8">
        <f t="shared" si="77"/>
        <v>0</v>
      </c>
      <c r="V124" s="8">
        <f t="shared" si="77"/>
        <v>0</v>
      </c>
      <c r="W124" s="8">
        <f t="shared" si="77"/>
        <v>0</v>
      </c>
      <c r="X124" s="8">
        <f t="shared" si="77"/>
        <v>0</v>
      </c>
      <c r="Y124" s="8">
        <f t="shared" si="77"/>
        <v>0</v>
      </c>
      <c r="Z124" s="8">
        <f t="shared" si="77"/>
        <v>0</v>
      </c>
      <c r="AA124" s="8">
        <f t="shared" si="77"/>
        <v>0</v>
      </c>
      <c r="AB124" s="8">
        <f t="shared" si="77"/>
        <v>0</v>
      </c>
      <c r="AC124" s="8">
        <f t="shared" si="77"/>
        <v>0</v>
      </c>
      <c r="AD124" s="8">
        <f t="shared" si="77"/>
        <v>0</v>
      </c>
      <c r="AE124" s="8">
        <f t="shared" si="77"/>
        <v>0</v>
      </c>
      <c r="AF124" s="8">
        <f t="shared" si="77"/>
        <v>0</v>
      </c>
      <c r="AG124" s="8">
        <f t="shared" si="77"/>
        <v>0</v>
      </c>
      <c r="AH124" s="8">
        <f t="shared" si="77"/>
        <v>0</v>
      </c>
      <c r="AI124" s="8">
        <f t="shared" si="77"/>
        <v>0</v>
      </c>
      <c r="AJ124" s="294">
        <f>SUM(C124:AI124)</f>
        <v>0</v>
      </c>
      <c r="AK124" s="8"/>
    </row>
    <row r="125" spans="1:37" ht="15.75" x14ac:dyDescent="0.25">
      <c r="A125" s="237" t="s">
        <v>406</v>
      </c>
      <c r="B125" s="302"/>
      <c r="C125" s="84"/>
      <c r="D125" s="84"/>
      <c r="E125" s="84"/>
      <c r="F125" s="84"/>
      <c r="G125" s="84"/>
      <c r="H125" s="84"/>
      <c r="I125" s="84"/>
      <c r="J125" s="84"/>
      <c r="K125" s="84"/>
      <c r="L125" s="84"/>
      <c r="M125" s="84"/>
      <c r="N125" s="8"/>
      <c r="O125" s="8"/>
      <c r="P125" s="8"/>
      <c r="Q125" s="8"/>
      <c r="R125" s="8"/>
      <c r="S125" s="8">
        <v>0</v>
      </c>
      <c r="T125" s="8">
        <f t="shared" ref="T125:AI125" si="78">+$B$19*S122</f>
        <v>0</v>
      </c>
      <c r="U125" s="8">
        <f t="shared" si="78"/>
        <v>0</v>
      </c>
      <c r="V125" s="8">
        <f t="shared" si="78"/>
        <v>0</v>
      </c>
      <c r="W125" s="8">
        <f t="shared" si="78"/>
        <v>0</v>
      </c>
      <c r="X125" s="8">
        <f t="shared" si="78"/>
        <v>0</v>
      </c>
      <c r="Y125" s="8">
        <f t="shared" si="78"/>
        <v>0</v>
      </c>
      <c r="Z125" s="8">
        <f t="shared" si="78"/>
        <v>0</v>
      </c>
      <c r="AA125" s="8">
        <f t="shared" si="78"/>
        <v>0</v>
      </c>
      <c r="AB125" s="8">
        <f t="shared" si="78"/>
        <v>0</v>
      </c>
      <c r="AC125" s="8">
        <f t="shared" si="78"/>
        <v>0</v>
      </c>
      <c r="AD125" s="8">
        <f t="shared" si="78"/>
        <v>0</v>
      </c>
      <c r="AE125" s="8">
        <f t="shared" si="78"/>
        <v>0</v>
      </c>
      <c r="AF125" s="8">
        <f t="shared" si="78"/>
        <v>0</v>
      </c>
      <c r="AG125" s="8">
        <f t="shared" si="78"/>
        <v>0</v>
      </c>
      <c r="AH125" s="8">
        <f t="shared" si="78"/>
        <v>0</v>
      </c>
      <c r="AI125" s="8">
        <f t="shared" si="78"/>
        <v>0</v>
      </c>
      <c r="AJ125" s="294">
        <f>SUM(C125:AI125)</f>
        <v>0</v>
      </c>
      <c r="AK125" s="8"/>
    </row>
    <row r="126" spans="1:37" ht="15.75" x14ac:dyDescent="0.25">
      <c r="A126" s="237"/>
      <c r="B126" s="301"/>
      <c r="C126" s="84"/>
      <c r="D126" s="84"/>
      <c r="E126" s="84"/>
      <c r="F126" s="84"/>
      <c r="G126" s="84"/>
      <c r="H126" s="84"/>
      <c r="I126" s="84"/>
      <c r="J126" s="84"/>
      <c r="K126" s="84"/>
      <c r="L126" s="84"/>
      <c r="M126" s="84"/>
      <c r="N126" s="8"/>
      <c r="O126" s="8"/>
      <c r="P126" s="8"/>
      <c r="Q126" s="8"/>
      <c r="R126" s="8"/>
      <c r="S126" s="8"/>
      <c r="T126" s="8"/>
      <c r="U126" s="8"/>
      <c r="V126" s="8"/>
      <c r="W126" s="8"/>
      <c r="X126" s="8"/>
      <c r="Y126" s="8"/>
      <c r="Z126" s="8"/>
      <c r="AA126" s="8"/>
      <c r="AB126" s="8"/>
      <c r="AC126" s="8"/>
      <c r="AD126" s="8"/>
      <c r="AE126" s="8"/>
      <c r="AF126" s="8"/>
      <c r="AG126" s="8"/>
      <c r="AH126" s="8"/>
      <c r="AI126" s="8"/>
      <c r="AJ126" s="8"/>
      <c r="AK126" s="8"/>
    </row>
    <row r="127" spans="1:37" ht="15.75" x14ac:dyDescent="0.25">
      <c r="A127" s="243">
        <f>T3</f>
        <v>2034</v>
      </c>
      <c r="B127" s="302"/>
      <c r="C127" s="84"/>
      <c r="D127" s="84"/>
      <c r="E127" s="84"/>
      <c r="F127" s="84"/>
      <c r="G127" s="84"/>
      <c r="H127" s="84"/>
      <c r="I127" s="84"/>
      <c r="J127" s="84"/>
      <c r="K127" s="84"/>
      <c r="L127" s="84"/>
      <c r="M127" s="84"/>
      <c r="N127" s="8"/>
      <c r="O127" s="8"/>
      <c r="P127" s="8"/>
      <c r="Q127" s="8"/>
      <c r="R127" s="8"/>
      <c r="S127" s="8"/>
      <c r="T127" s="84">
        <f>T$39</f>
        <v>0</v>
      </c>
      <c r="U127" s="8">
        <f t="shared" ref="U127:AI127" si="79">+T127-U129</f>
        <v>0</v>
      </c>
      <c r="V127" s="8">
        <f t="shared" si="79"/>
        <v>0</v>
      </c>
      <c r="W127" s="8">
        <f t="shared" si="79"/>
        <v>0</v>
      </c>
      <c r="X127" s="8">
        <f t="shared" si="79"/>
        <v>0</v>
      </c>
      <c r="Y127" s="8">
        <f t="shared" si="79"/>
        <v>0</v>
      </c>
      <c r="Z127" s="8">
        <f t="shared" si="79"/>
        <v>0</v>
      </c>
      <c r="AA127" s="8">
        <f t="shared" si="79"/>
        <v>0</v>
      </c>
      <c r="AB127" s="8">
        <f t="shared" si="79"/>
        <v>0</v>
      </c>
      <c r="AC127" s="8">
        <f t="shared" si="79"/>
        <v>0</v>
      </c>
      <c r="AD127" s="8">
        <f t="shared" si="79"/>
        <v>0</v>
      </c>
      <c r="AE127" s="8">
        <f t="shared" si="79"/>
        <v>0</v>
      </c>
      <c r="AF127" s="8">
        <f t="shared" si="79"/>
        <v>0</v>
      </c>
      <c r="AG127" s="8">
        <f t="shared" si="79"/>
        <v>0</v>
      </c>
      <c r="AH127" s="8">
        <f t="shared" si="79"/>
        <v>0</v>
      </c>
      <c r="AI127" s="8">
        <f t="shared" si="79"/>
        <v>0</v>
      </c>
      <c r="AJ127" s="8"/>
      <c r="AK127" s="8"/>
    </row>
    <row r="128" spans="1:37" ht="15.75" x14ac:dyDescent="0.25">
      <c r="A128" s="237" t="s">
        <v>404</v>
      </c>
      <c r="B128" s="301">
        <f>+T127/((1-(1/(1+$B$19)^$B$18))/$B$19)</f>
        <v>0</v>
      </c>
      <c r="C128" s="84"/>
      <c r="D128" s="84"/>
      <c r="E128" s="84"/>
      <c r="F128" s="84"/>
      <c r="G128" s="84"/>
      <c r="H128" s="84"/>
      <c r="I128" s="84"/>
      <c r="J128" s="84"/>
      <c r="K128" s="84"/>
      <c r="L128" s="84"/>
      <c r="M128" s="84"/>
      <c r="N128" s="8"/>
      <c r="O128" s="8"/>
      <c r="P128" s="8"/>
      <c r="Q128" s="8"/>
      <c r="R128" s="8"/>
      <c r="S128" s="8"/>
      <c r="T128" s="8">
        <v>0</v>
      </c>
      <c r="U128" s="8">
        <f t="shared" ref="U128:AI128" si="80">+IF(T127&lt;0.01,0,$B$128)</f>
        <v>0</v>
      </c>
      <c r="V128" s="8">
        <f t="shared" si="80"/>
        <v>0</v>
      </c>
      <c r="W128" s="8">
        <f t="shared" si="80"/>
        <v>0</v>
      </c>
      <c r="X128" s="8">
        <f t="shared" si="80"/>
        <v>0</v>
      </c>
      <c r="Y128" s="8">
        <f t="shared" si="80"/>
        <v>0</v>
      </c>
      <c r="Z128" s="8">
        <f t="shared" si="80"/>
        <v>0</v>
      </c>
      <c r="AA128" s="8">
        <f t="shared" si="80"/>
        <v>0</v>
      </c>
      <c r="AB128" s="8">
        <f t="shared" si="80"/>
        <v>0</v>
      </c>
      <c r="AC128" s="8">
        <f t="shared" si="80"/>
        <v>0</v>
      </c>
      <c r="AD128" s="8">
        <f t="shared" si="80"/>
        <v>0</v>
      </c>
      <c r="AE128" s="8">
        <f t="shared" si="80"/>
        <v>0</v>
      </c>
      <c r="AF128" s="8">
        <f t="shared" si="80"/>
        <v>0</v>
      </c>
      <c r="AG128" s="8">
        <f t="shared" si="80"/>
        <v>0</v>
      </c>
      <c r="AH128" s="8">
        <f t="shared" si="80"/>
        <v>0</v>
      </c>
      <c r="AI128" s="8">
        <f t="shared" si="80"/>
        <v>0</v>
      </c>
      <c r="AJ128" s="294">
        <f>SUM(C128:AI128)</f>
        <v>0</v>
      </c>
      <c r="AK128" s="8"/>
    </row>
    <row r="129" spans="1:37" ht="15.75" x14ac:dyDescent="0.25">
      <c r="A129" s="237" t="s">
        <v>405</v>
      </c>
      <c r="B129" s="302"/>
      <c r="C129" s="84"/>
      <c r="D129" s="84"/>
      <c r="E129" s="84"/>
      <c r="F129" s="84"/>
      <c r="G129" s="84"/>
      <c r="H129" s="84"/>
      <c r="I129" s="84"/>
      <c r="J129" s="84"/>
      <c r="K129" s="84"/>
      <c r="L129" s="84"/>
      <c r="M129" s="84"/>
      <c r="N129" s="8"/>
      <c r="O129" s="8"/>
      <c r="P129" s="8"/>
      <c r="Q129" s="8"/>
      <c r="R129" s="8"/>
      <c r="S129" s="8"/>
      <c r="T129" s="8">
        <v>0</v>
      </c>
      <c r="U129" s="8">
        <f t="shared" ref="U129:AI129" si="81">+U128-U130</f>
        <v>0</v>
      </c>
      <c r="V129" s="8">
        <f t="shared" si="81"/>
        <v>0</v>
      </c>
      <c r="W129" s="8">
        <f t="shared" si="81"/>
        <v>0</v>
      </c>
      <c r="X129" s="8">
        <f t="shared" si="81"/>
        <v>0</v>
      </c>
      <c r="Y129" s="8">
        <f t="shared" si="81"/>
        <v>0</v>
      </c>
      <c r="Z129" s="8">
        <f t="shared" si="81"/>
        <v>0</v>
      </c>
      <c r="AA129" s="8">
        <f t="shared" si="81"/>
        <v>0</v>
      </c>
      <c r="AB129" s="8">
        <f t="shared" si="81"/>
        <v>0</v>
      </c>
      <c r="AC129" s="8">
        <f t="shared" si="81"/>
        <v>0</v>
      </c>
      <c r="AD129" s="8">
        <f t="shared" si="81"/>
        <v>0</v>
      </c>
      <c r="AE129" s="8">
        <f t="shared" si="81"/>
        <v>0</v>
      </c>
      <c r="AF129" s="8">
        <f t="shared" si="81"/>
        <v>0</v>
      </c>
      <c r="AG129" s="8">
        <f t="shared" si="81"/>
        <v>0</v>
      </c>
      <c r="AH129" s="8">
        <f t="shared" si="81"/>
        <v>0</v>
      </c>
      <c r="AI129" s="8">
        <f t="shared" si="81"/>
        <v>0</v>
      </c>
      <c r="AJ129" s="294">
        <f>SUM(C129:AI129)</f>
        <v>0</v>
      </c>
      <c r="AK129" s="8"/>
    </row>
    <row r="130" spans="1:37" ht="15.75" x14ac:dyDescent="0.25">
      <c r="A130" s="237" t="s">
        <v>406</v>
      </c>
      <c r="B130" s="302"/>
      <c r="C130" s="84"/>
      <c r="D130" s="84"/>
      <c r="E130" s="84"/>
      <c r="F130" s="84"/>
      <c r="G130" s="84"/>
      <c r="H130" s="84"/>
      <c r="I130" s="84"/>
      <c r="J130" s="84"/>
      <c r="K130" s="84"/>
      <c r="L130" s="84"/>
      <c r="M130" s="84"/>
      <c r="N130" s="8"/>
      <c r="O130" s="8"/>
      <c r="P130" s="8"/>
      <c r="Q130" s="8"/>
      <c r="R130" s="8"/>
      <c r="S130" s="8"/>
      <c r="T130" s="8">
        <v>0</v>
      </c>
      <c r="U130" s="8">
        <f t="shared" ref="U130:AI130" si="82">+$B$19*T127</f>
        <v>0</v>
      </c>
      <c r="V130" s="8">
        <f t="shared" si="82"/>
        <v>0</v>
      </c>
      <c r="W130" s="8">
        <f t="shared" si="82"/>
        <v>0</v>
      </c>
      <c r="X130" s="8">
        <f t="shared" si="82"/>
        <v>0</v>
      </c>
      <c r="Y130" s="8">
        <f t="shared" si="82"/>
        <v>0</v>
      </c>
      <c r="Z130" s="8">
        <f t="shared" si="82"/>
        <v>0</v>
      </c>
      <c r="AA130" s="8">
        <f t="shared" si="82"/>
        <v>0</v>
      </c>
      <c r="AB130" s="8">
        <f t="shared" si="82"/>
        <v>0</v>
      </c>
      <c r="AC130" s="8">
        <f t="shared" si="82"/>
        <v>0</v>
      </c>
      <c r="AD130" s="8">
        <f t="shared" si="82"/>
        <v>0</v>
      </c>
      <c r="AE130" s="8">
        <f t="shared" si="82"/>
        <v>0</v>
      </c>
      <c r="AF130" s="8">
        <f t="shared" si="82"/>
        <v>0</v>
      </c>
      <c r="AG130" s="8">
        <f t="shared" si="82"/>
        <v>0</v>
      </c>
      <c r="AH130" s="8">
        <f t="shared" si="82"/>
        <v>0</v>
      </c>
      <c r="AI130" s="8">
        <f t="shared" si="82"/>
        <v>0</v>
      </c>
      <c r="AJ130" s="294">
        <f>SUM(C130:AI130)</f>
        <v>0</v>
      </c>
      <c r="AK130" s="8"/>
    </row>
    <row r="131" spans="1:37" ht="15.75" x14ac:dyDescent="0.25">
      <c r="A131" s="237"/>
      <c r="B131" s="301"/>
      <c r="C131" s="84"/>
      <c r="D131" s="84"/>
      <c r="E131" s="84"/>
      <c r="F131" s="84"/>
      <c r="G131" s="84"/>
      <c r="H131" s="84"/>
      <c r="I131" s="84"/>
      <c r="J131" s="84"/>
      <c r="K131" s="84"/>
      <c r="L131" s="84"/>
      <c r="M131" s="84"/>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1:37" ht="15.75" x14ac:dyDescent="0.25">
      <c r="A132" s="243">
        <f>U3</f>
        <v>2035</v>
      </c>
      <c r="B132" s="302"/>
      <c r="C132" s="84"/>
      <c r="D132" s="84"/>
      <c r="E132" s="84"/>
      <c r="F132" s="84"/>
      <c r="G132" s="84"/>
      <c r="H132" s="84"/>
      <c r="I132" s="84"/>
      <c r="J132" s="84"/>
      <c r="K132" s="84"/>
      <c r="L132" s="84"/>
      <c r="M132" s="84"/>
      <c r="N132" s="8"/>
      <c r="O132" s="8"/>
      <c r="P132" s="8"/>
      <c r="Q132" s="8"/>
      <c r="R132" s="8"/>
      <c r="S132" s="8"/>
      <c r="T132" s="8"/>
      <c r="U132" s="84">
        <f>U$39</f>
        <v>0</v>
      </c>
      <c r="V132" s="8">
        <f t="shared" ref="V132:AI132" si="83">+U132-V134</f>
        <v>0</v>
      </c>
      <c r="W132" s="8">
        <f t="shared" si="83"/>
        <v>0</v>
      </c>
      <c r="X132" s="8">
        <f t="shared" si="83"/>
        <v>0</v>
      </c>
      <c r="Y132" s="8">
        <f t="shared" si="83"/>
        <v>0</v>
      </c>
      <c r="Z132" s="8">
        <f t="shared" si="83"/>
        <v>0</v>
      </c>
      <c r="AA132" s="8">
        <f t="shared" si="83"/>
        <v>0</v>
      </c>
      <c r="AB132" s="8">
        <f t="shared" si="83"/>
        <v>0</v>
      </c>
      <c r="AC132" s="8">
        <f t="shared" si="83"/>
        <v>0</v>
      </c>
      <c r="AD132" s="8">
        <f t="shared" si="83"/>
        <v>0</v>
      </c>
      <c r="AE132" s="8">
        <f t="shared" si="83"/>
        <v>0</v>
      </c>
      <c r="AF132" s="8">
        <f t="shared" si="83"/>
        <v>0</v>
      </c>
      <c r="AG132" s="8">
        <f t="shared" si="83"/>
        <v>0</v>
      </c>
      <c r="AH132" s="8">
        <f t="shared" si="83"/>
        <v>0</v>
      </c>
      <c r="AI132" s="8">
        <f t="shared" si="83"/>
        <v>0</v>
      </c>
      <c r="AJ132" s="8"/>
      <c r="AK132" s="8"/>
    </row>
    <row r="133" spans="1:37" ht="15.75" x14ac:dyDescent="0.25">
      <c r="A133" s="237" t="s">
        <v>404</v>
      </c>
      <c r="B133" s="301">
        <f>+U132/((1-(1/(1+$B$19)^$B$18))/$B$19)</f>
        <v>0</v>
      </c>
      <c r="C133" s="84"/>
      <c r="D133" s="84"/>
      <c r="E133" s="84"/>
      <c r="F133" s="84"/>
      <c r="G133" s="84"/>
      <c r="H133" s="84"/>
      <c r="I133" s="84"/>
      <c r="J133" s="84"/>
      <c r="K133" s="84"/>
      <c r="L133" s="84"/>
      <c r="M133" s="84"/>
      <c r="N133" s="8"/>
      <c r="O133" s="8"/>
      <c r="P133" s="8"/>
      <c r="Q133" s="8"/>
      <c r="R133" s="8"/>
      <c r="S133" s="8"/>
      <c r="T133" s="8"/>
      <c r="U133" s="8">
        <v>0</v>
      </c>
      <c r="V133" s="8">
        <f t="shared" ref="V133:AI133" si="84">+IF(U132&lt;0.01,0,$B$133)</f>
        <v>0</v>
      </c>
      <c r="W133" s="8">
        <f t="shared" si="84"/>
        <v>0</v>
      </c>
      <c r="X133" s="8">
        <f t="shared" si="84"/>
        <v>0</v>
      </c>
      <c r="Y133" s="8">
        <f t="shared" si="84"/>
        <v>0</v>
      </c>
      <c r="Z133" s="8">
        <f t="shared" si="84"/>
        <v>0</v>
      </c>
      <c r="AA133" s="8">
        <f t="shared" si="84"/>
        <v>0</v>
      </c>
      <c r="AB133" s="8">
        <f t="shared" si="84"/>
        <v>0</v>
      </c>
      <c r="AC133" s="8">
        <f t="shared" si="84"/>
        <v>0</v>
      </c>
      <c r="AD133" s="8">
        <f t="shared" si="84"/>
        <v>0</v>
      </c>
      <c r="AE133" s="8">
        <f t="shared" si="84"/>
        <v>0</v>
      </c>
      <c r="AF133" s="8">
        <f t="shared" si="84"/>
        <v>0</v>
      </c>
      <c r="AG133" s="8">
        <f t="shared" si="84"/>
        <v>0</v>
      </c>
      <c r="AH133" s="8">
        <f t="shared" si="84"/>
        <v>0</v>
      </c>
      <c r="AI133" s="8">
        <f t="shared" si="84"/>
        <v>0</v>
      </c>
      <c r="AJ133" s="294">
        <f>SUM(C133:AI133)</f>
        <v>0</v>
      </c>
      <c r="AK133" s="8"/>
    </row>
    <row r="134" spans="1:37" ht="15.75" x14ac:dyDescent="0.25">
      <c r="A134" s="237" t="s">
        <v>405</v>
      </c>
      <c r="B134" s="302"/>
      <c r="C134" s="84"/>
      <c r="D134" s="84"/>
      <c r="E134" s="84"/>
      <c r="F134" s="84"/>
      <c r="G134" s="84"/>
      <c r="H134" s="84"/>
      <c r="I134" s="84"/>
      <c r="J134" s="84"/>
      <c r="K134" s="84"/>
      <c r="L134" s="84"/>
      <c r="M134" s="84"/>
      <c r="N134" s="8"/>
      <c r="O134" s="8"/>
      <c r="P134" s="8"/>
      <c r="Q134" s="8"/>
      <c r="R134" s="8"/>
      <c r="S134" s="8"/>
      <c r="T134" s="8"/>
      <c r="U134" s="8">
        <v>0</v>
      </c>
      <c r="V134" s="8">
        <f t="shared" ref="V134:AI134" si="85">+V133-V135</f>
        <v>0</v>
      </c>
      <c r="W134" s="8">
        <f t="shared" si="85"/>
        <v>0</v>
      </c>
      <c r="X134" s="8">
        <f t="shared" si="85"/>
        <v>0</v>
      </c>
      <c r="Y134" s="8">
        <f t="shared" si="85"/>
        <v>0</v>
      </c>
      <c r="Z134" s="8">
        <f t="shared" si="85"/>
        <v>0</v>
      </c>
      <c r="AA134" s="8">
        <f t="shared" si="85"/>
        <v>0</v>
      </c>
      <c r="AB134" s="8">
        <f t="shared" si="85"/>
        <v>0</v>
      </c>
      <c r="AC134" s="8">
        <f t="shared" si="85"/>
        <v>0</v>
      </c>
      <c r="AD134" s="8">
        <f t="shared" si="85"/>
        <v>0</v>
      </c>
      <c r="AE134" s="8">
        <f t="shared" si="85"/>
        <v>0</v>
      </c>
      <c r="AF134" s="8">
        <f t="shared" si="85"/>
        <v>0</v>
      </c>
      <c r="AG134" s="8">
        <f t="shared" si="85"/>
        <v>0</v>
      </c>
      <c r="AH134" s="8">
        <f t="shared" si="85"/>
        <v>0</v>
      </c>
      <c r="AI134" s="8">
        <f t="shared" si="85"/>
        <v>0</v>
      </c>
      <c r="AJ134" s="294">
        <f>SUM(C134:AI134)</f>
        <v>0</v>
      </c>
      <c r="AK134" s="8"/>
    </row>
    <row r="135" spans="1:37" ht="15.75" x14ac:dyDescent="0.25">
      <c r="A135" s="237" t="s">
        <v>406</v>
      </c>
      <c r="B135" s="302"/>
      <c r="C135" s="84"/>
      <c r="D135" s="84"/>
      <c r="E135" s="84"/>
      <c r="F135" s="84"/>
      <c r="G135" s="84"/>
      <c r="H135" s="84"/>
      <c r="I135" s="84"/>
      <c r="J135" s="84"/>
      <c r="K135" s="84"/>
      <c r="L135" s="84"/>
      <c r="M135" s="84"/>
      <c r="N135" s="8"/>
      <c r="O135" s="8"/>
      <c r="P135" s="8"/>
      <c r="Q135" s="8"/>
      <c r="R135" s="8"/>
      <c r="S135" s="8"/>
      <c r="T135" s="8"/>
      <c r="U135" s="8">
        <v>0</v>
      </c>
      <c r="V135" s="8">
        <f t="shared" ref="V135:AI135" si="86">+$B$19*U132</f>
        <v>0</v>
      </c>
      <c r="W135" s="8">
        <f t="shared" si="86"/>
        <v>0</v>
      </c>
      <c r="X135" s="8">
        <f t="shared" si="86"/>
        <v>0</v>
      </c>
      <c r="Y135" s="8">
        <f t="shared" si="86"/>
        <v>0</v>
      </c>
      <c r="Z135" s="8">
        <f t="shared" si="86"/>
        <v>0</v>
      </c>
      <c r="AA135" s="8">
        <f t="shared" si="86"/>
        <v>0</v>
      </c>
      <c r="AB135" s="8">
        <f t="shared" si="86"/>
        <v>0</v>
      </c>
      <c r="AC135" s="8">
        <f t="shared" si="86"/>
        <v>0</v>
      </c>
      <c r="AD135" s="8">
        <f t="shared" si="86"/>
        <v>0</v>
      </c>
      <c r="AE135" s="8">
        <f t="shared" si="86"/>
        <v>0</v>
      </c>
      <c r="AF135" s="8">
        <f t="shared" si="86"/>
        <v>0</v>
      </c>
      <c r="AG135" s="8">
        <f t="shared" si="86"/>
        <v>0</v>
      </c>
      <c r="AH135" s="8">
        <f t="shared" si="86"/>
        <v>0</v>
      </c>
      <c r="AI135" s="8">
        <f t="shared" si="86"/>
        <v>0</v>
      </c>
      <c r="AJ135" s="294">
        <f>SUM(C135:AI135)</f>
        <v>0</v>
      </c>
      <c r="AK135" s="8"/>
    </row>
    <row r="136" spans="1:37" ht="15.75" x14ac:dyDescent="0.25">
      <c r="A136" s="237"/>
      <c r="B136" s="301"/>
      <c r="C136" s="84"/>
      <c r="D136" s="84"/>
      <c r="E136" s="84"/>
      <c r="F136" s="84"/>
      <c r="G136" s="84"/>
      <c r="H136" s="84"/>
      <c r="I136" s="84"/>
      <c r="J136" s="84"/>
      <c r="K136" s="84"/>
      <c r="L136" s="84"/>
      <c r="M136" s="84"/>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1:37" ht="15.75" x14ac:dyDescent="0.25">
      <c r="A137" s="243">
        <f>V3</f>
        <v>2036</v>
      </c>
      <c r="B137" s="302"/>
      <c r="C137" s="84"/>
      <c r="D137" s="84"/>
      <c r="E137" s="84"/>
      <c r="F137" s="84"/>
      <c r="G137" s="84"/>
      <c r="H137" s="84"/>
      <c r="I137" s="84"/>
      <c r="J137" s="84"/>
      <c r="K137" s="84"/>
      <c r="L137" s="84"/>
      <c r="M137" s="84"/>
      <c r="N137" s="8"/>
      <c r="O137" s="8"/>
      <c r="P137" s="8"/>
      <c r="Q137" s="8"/>
      <c r="R137" s="8"/>
      <c r="S137" s="8"/>
      <c r="T137" s="8"/>
      <c r="U137" s="8"/>
      <c r="V137" s="84">
        <f>V$39</f>
        <v>0</v>
      </c>
      <c r="W137" s="8">
        <f t="shared" ref="W137:AI137" si="87">+V137-W139</f>
        <v>0</v>
      </c>
      <c r="X137" s="8">
        <f t="shared" si="87"/>
        <v>0</v>
      </c>
      <c r="Y137" s="8">
        <f t="shared" si="87"/>
        <v>0</v>
      </c>
      <c r="Z137" s="8">
        <f t="shared" si="87"/>
        <v>0</v>
      </c>
      <c r="AA137" s="8">
        <f t="shared" si="87"/>
        <v>0</v>
      </c>
      <c r="AB137" s="8">
        <f t="shared" si="87"/>
        <v>0</v>
      </c>
      <c r="AC137" s="8">
        <f t="shared" si="87"/>
        <v>0</v>
      </c>
      <c r="AD137" s="8">
        <f t="shared" si="87"/>
        <v>0</v>
      </c>
      <c r="AE137" s="8">
        <f t="shared" si="87"/>
        <v>0</v>
      </c>
      <c r="AF137" s="8">
        <f t="shared" si="87"/>
        <v>0</v>
      </c>
      <c r="AG137" s="8">
        <f t="shared" si="87"/>
        <v>0</v>
      </c>
      <c r="AH137" s="8">
        <f t="shared" si="87"/>
        <v>0</v>
      </c>
      <c r="AI137" s="8">
        <f t="shared" si="87"/>
        <v>0</v>
      </c>
      <c r="AJ137" s="8"/>
      <c r="AK137" s="8"/>
    </row>
    <row r="138" spans="1:37" ht="15.75" x14ac:dyDescent="0.25">
      <c r="A138" s="237" t="s">
        <v>404</v>
      </c>
      <c r="B138" s="301">
        <f>+V137/((1-(1/(1+$B$19)^$B$18))/$B$19)</f>
        <v>0</v>
      </c>
      <c r="C138" s="84"/>
      <c r="D138" s="84"/>
      <c r="E138" s="84"/>
      <c r="F138" s="84"/>
      <c r="G138" s="84"/>
      <c r="H138" s="84"/>
      <c r="I138" s="84"/>
      <c r="J138" s="84"/>
      <c r="K138" s="84"/>
      <c r="L138" s="84"/>
      <c r="M138" s="84"/>
      <c r="N138" s="8"/>
      <c r="O138" s="8"/>
      <c r="P138" s="8"/>
      <c r="Q138" s="8"/>
      <c r="R138" s="8"/>
      <c r="S138" s="8"/>
      <c r="T138" s="8"/>
      <c r="U138" s="8"/>
      <c r="V138" s="8">
        <v>0</v>
      </c>
      <c r="W138" s="8">
        <f t="shared" ref="W138:AI138" si="88">+IF(V137&lt;0.01,0,$B$138)</f>
        <v>0</v>
      </c>
      <c r="X138" s="8">
        <f t="shared" si="88"/>
        <v>0</v>
      </c>
      <c r="Y138" s="8">
        <f t="shared" si="88"/>
        <v>0</v>
      </c>
      <c r="Z138" s="8">
        <f t="shared" si="88"/>
        <v>0</v>
      </c>
      <c r="AA138" s="8">
        <f t="shared" si="88"/>
        <v>0</v>
      </c>
      <c r="AB138" s="8">
        <f t="shared" si="88"/>
        <v>0</v>
      </c>
      <c r="AC138" s="8">
        <f t="shared" si="88"/>
        <v>0</v>
      </c>
      <c r="AD138" s="8">
        <f t="shared" si="88"/>
        <v>0</v>
      </c>
      <c r="AE138" s="8">
        <f t="shared" si="88"/>
        <v>0</v>
      </c>
      <c r="AF138" s="8">
        <f t="shared" si="88"/>
        <v>0</v>
      </c>
      <c r="AG138" s="8">
        <f t="shared" si="88"/>
        <v>0</v>
      </c>
      <c r="AH138" s="8">
        <f t="shared" si="88"/>
        <v>0</v>
      </c>
      <c r="AI138" s="8">
        <f t="shared" si="88"/>
        <v>0</v>
      </c>
      <c r="AJ138" s="294">
        <f>SUM(C138:AI138)</f>
        <v>0</v>
      </c>
      <c r="AK138" s="8"/>
    </row>
    <row r="139" spans="1:37" ht="15.75" x14ac:dyDescent="0.25">
      <c r="A139" s="237" t="s">
        <v>405</v>
      </c>
      <c r="B139" s="302"/>
      <c r="C139" s="84"/>
      <c r="D139" s="84"/>
      <c r="E139" s="84"/>
      <c r="F139" s="84"/>
      <c r="G139" s="84"/>
      <c r="H139" s="84"/>
      <c r="I139" s="84"/>
      <c r="J139" s="84"/>
      <c r="K139" s="84"/>
      <c r="L139" s="84"/>
      <c r="M139" s="84"/>
      <c r="N139" s="8"/>
      <c r="O139" s="8"/>
      <c r="P139" s="8"/>
      <c r="Q139" s="8"/>
      <c r="R139" s="8"/>
      <c r="S139" s="8"/>
      <c r="T139" s="8"/>
      <c r="U139" s="8"/>
      <c r="V139" s="8">
        <v>0</v>
      </c>
      <c r="W139" s="8">
        <f t="shared" ref="W139:AI139" si="89">+W138-W140</f>
        <v>0</v>
      </c>
      <c r="X139" s="8">
        <f t="shared" si="89"/>
        <v>0</v>
      </c>
      <c r="Y139" s="8">
        <f t="shared" si="89"/>
        <v>0</v>
      </c>
      <c r="Z139" s="8">
        <f t="shared" si="89"/>
        <v>0</v>
      </c>
      <c r="AA139" s="8">
        <f t="shared" si="89"/>
        <v>0</v>
      </c>
      <c r="AB139" s="8">
        <f t="shared" si="89"/>
        <v>0</v>
      </c>
      <c r="AC139" s="8">
        <f t="shared" si="89"/>
        <v>0</v>
      </c>
      <c r="AD139" s="8">
        <f t="shared" si="89"/>
        <v>0</v>
      </c>
      <c r="AE139" s="8">
        <f t="shared" si="89"/>
        <v>0</v>
      </c>
      <c r="AF139" s="8">
        <f t="shared" si="89"/>
        <v>0</v>
      </c>
      <c r="AG139" s="8">
        <f t="shared" si="89"/>
        <v>0</v>
      </c>
      <c r="AH139" s="8">
        <f t="shared" si="89"/>
        <v>0</v>
      </c>
      <c r="AI139" s="8">
        <f t="shared" si="89"/>
        <v>0</v>
      </c>
      <c r="AJ139" s="294">
        <f>SUM(C139:AI139)</f>
        <v>0</v>
      </c>
      <c r="AK139" s="8"/>
    </row>
    <row r="140" spans="1:37" ht="15.75" x14ac:dyDescent="0.25">
      <c r="A140" s="237" t="s">
        <v>406</v>
      </c>
      <c r="B140" s="302"/>
      <c r="C140" s="84"/>
      <c r="D140" s="84"/>
      <c r="E140" s="84"/>
      <c r="F140" s="84"/>
      <c r="G140" s="84"/>
      <c r="H140" s="84"/>
      <c r="I140" s="84"/>
      <c r="J140" s="84"/>
      <c r="K140" s="84"/>
      <c r="L140" s="84"/>
      <c r="M140" s="84"/>
      <c r="N140" s="8"/>
      <c r="O140" s="8"/>
      <c r="P140" s="8"/>
      <c r="Q140" s="8"/>
      <c r="R140" s="8"/>
      <c r="S140" s="8"/>
      <c r="T140" s="8"/>
      <c r="U140" s="8"/>
      <c r="V140" s="8">
        <v>0</v>
      </c>
      <c r="W140" s="8">
        <f t="shared" ref="W140:AI140" si="90">+$B$19*V137</f>
        <v>0</v>
      </c>
      <c r="X140" s="8">
        <f t="shared" si="90"/>
        <v>0</v>
      </c>
      <c r="Y140" s="8">
        <f t="shared" si="90"/>
        <v>0</v>
      </c>
      <c r="Z140" s="8">
        <f t="shared" si="90"/>
        <v>0</v>
      </c>
      <c r="AA140" s="8">
        <f t="shared" si="90"/>
        <v>0</v>
      </c>
      <c r="AB140" s="8">
        <f t="shared" si="90"/>
        <v>0</v>
      </c>
      <c r="AC140" s="8">
        <f t="shared" si="90"/>
        <v>0</v>
      </c>
      <c r="AD140" s="8">
        <f t="shared" si="90"/>
        <v>0</v>
      </c>
      <c r="AE140" s="8">
        <f t="shared" si="90"/>
        <v>0</v>
      </c>
      <c r="AF140" s="8">
        <f t="shared" si="90"/>
        <v>0</v>
      </c>
      <c r="AG140" s="8">
        <f t="shared" si="90"/>
        <v>0</v>
      </c>
      <c r="AH140" s="8">
        <f t="shared" si="90"/>
        <v>0</v>
      </c>
      <c r="AI140" s="8">
        <f t="shared" si="90"/>
        <v>0</v>
      </c>
      <c r="AJ140" s="294">
        <f>SUM(C140:AI140)</f>
        <v>0</v>
      </c>
      <c r="AK140" s="8"/>
    </row>
    <row r="141" spans="1:37" ht="15.75" x14ac:dyDescent="0.25">
      <c r="A141" s="237"/>
      <c r="B141" s="302"/>
      <c r="C141" s="84"/>
      <c r="D141" s="84"/>
      <c r="E141" s="84"/>
      <c r="F141" s="84"/>
      <c r="G141" s="84"/>
      <c r="H141" s="84"/>
      <c r="I141" s="84"/>
      <c r="J141" s="84"/>
      <c r="K141" s="84"/>
      <c r="L141" s="84"/>
      <c r="M141" s="84"/>
      <c r="N141" s="8"/>
      <c r="O141" s="8"/>
      <c r="P141" s="8"/>
      <c r="Q141" s="8"/>
      <c r="R141" s="8"/>
      <c r="S141" s="8"/>
      <c r="T141" s="8"/>
      <c r="U141" s="8"/>
      <c r="V141" s="8"/>
      <c r="W141" s="8"/>
      <c r="X141" s="8"/>
      <c r="Y141" s="8"/>
      <c r="Z141" s="8"/>
      <c r="AA141" s="8"/>
      <c r="AB141" s="8"/>
      <c r="AC141" s="8"/>
      <c r="AD141" s="8"/>
      <c r="AE141" s="8"/>
      <c r="AF141" s="8"/>
      <c r="AG141" s="8"/>
      <c r="AH141" s="8"/>
      <c r="AI141" s="8"/>
      <c r="AJ141" s="8"/>
      <c r="AK141" s="8"/>
    </row>
    <row r="142" spans="1:37" ht="15.75" x14ac:dyDescent="0.25">
      <c r="A142" s="243">
        <f>W3</f>
        <v>2037</v>
      </c>
      <c r="B142" s="302"/>
      <c r="C142" s="84"/>
      <c r="D142" s="84"/>
      <c r="E142" s="84"/>
      <c r="F142" s="84"/>
      <c r="G142" s="84"/>
      <c r="H142" s="84"/>
      <c r="I142" s="84"/>
      <c r="J142" s="84"/>
      <c r="K142" s="84"/>
      <c r="L142" s="84"/>
      <c r="M142" s="84"/>
      <c r="N142" s="8"/>
      <c r="O142" s="8"/>
      <c r="P142" s="8"/>
      <c r="Q142" s="8"/>
      <c r="R142" s="8"/>
      <c r="S142" s="8"/>
      <c r="T142" s="8"/>
      <c r="U142" s="8"/>
      <c r="V142" s="8"/>
      <c r="W142" s="84">
        <f>W$39</f>
        <v>0</v>
      </c>
      <c r="X142" s="8">
        <f t="shared" ref="X142:AI142" si="91">+W142-X144</f>
        <v>0</v>
      </c>
      <c r="Y142" s="8">
        <f t="shared" si="91"/>
        <v>0</v>
      </c>
      <c r="Z142" s="8">
        <f t="shared" si="91"/>
        <v>0</v>
      </c>
      <c r="AA142" s="8">
        <f t="shared" si="91"/>
        <v>0</v>
      </c>
      <c r="AB142" s="8">
        <f t="shared" si="91"/>
        <v>0</v>
      </c>
      <c r="AC142" s="8">
        <f t="shared" si="91"/>
        <v>0</v>
      </c>
      <c r="AD142" s="8">
        <f t="shared" si="91"/>
        <v>0</v>
      </c>
      <c r="AE142" s="8">
        <f t="shared" si="91"/>
        <v>0</v>
      </c>
      <c r="AF142" s="8">
        <f t="shared" si="91"/>
        <v>0</v>
      </c>
      <c r="AG142" s="8">
        <f t="shared" si="91"/>
        <v>0</v>
      </c>
      <c r="AH142" s="8">
        <f t="shared" si="91"/>
        <v>0</v>
      </c>
      <c r="AI142" s="8">
        <f t="shared" si="91"/>
        <v>0</v>
      </c>
      <c r="AJ142" s="8"/>
      <c r="AK142" s="8"/>
    </row>
    <row r="143" spans="1:37" ht="15.75" x14ac:dyDescent="0.25">
      <c r="A143" s="237" t="s">
        <v>404</v>
      </c>
      <c r="B143" s="301">
        <f>+W142/((1-(1/(1+$B$19)^$B$18))/$B$19)</f>
        <v>0</v>
      </c>
      <c r="C143" s="84"/>
      <c r="D143" s="84"/>
      <c r="E143" s="84"/>
      <c r="F143" s="84"/>
      <c r="G143" s="84"/>
      <c r="H143" s="84"/>
      <c r="I143" s="84"/>
      <c r="J143" s="84"/>
      <c r="K143" s="84"/>
      <c r="L143" s="84"/>
      <c r="M143" s="84"/>
      <c r="N143" s="8"/>
      <c r="O143" s="8"/>
      <c r="P143" s="8"/>
      <c r="Q143" s="8"/>
      <c r="R143" s="8"/>
      <c r="S143" s="8"/>
      <c r="T143" s="8"/>
      <c r="U143" s="8"/>
      <c r="V143" s="8"/>
      <c r="W143" s="8">
        <v>0</v>
      </c>
      <c r="X143" s="8">
        <f t="shared" ref="X143:AI143" si="92">+IF(W142&lt;0.01,0,$B$143)</f>
        <v>0</v>
      </c>
      <c r="Y143" s="8">
        <f t="shared" si="92"/>
        <v>0</v>
      </c>
      <c r="Z143" s="8">
        <f t="shared" si="92"/>
        <v>0</v>
      </c>
      <c r="AA143" s="8">
        <f t="shared" si="92"/>
        <v>0</v>
      </c>
      <c r="AB143" s="8">
        <f t="shared" si="92"/>
        <v>0</v>
      </c>
      <c r="AC143" s="8">
        <f t="shared" si="92"/>
        <v>0</v>
      </c>
      <c r="AD143" s="8">
        <f t="shared" si="92"/>
        <v>0</v>
      </c>
      <c r="AE143" s="8">
        <f t="shared" si="92"/>
        <v>0</v>
      </c>
      <c r="AF143" s="8">
        <f t="shared" si="92"/>
        <v>0</v>
      </c>
      <c r="AG143" s="8">
        <f t="shared" si="92"/>
        <v>0</v>
      </c>
      <c r="AH143" s="8">
        <f t="shared" si="92"/>
        <v>0</v>
      </c>
      <c r="AI143" s="8">
        <f t="shared" si="92"/>
        <v>0</v>
      </c>
      <c r="AJ143" s="294">
        <f>SUM(C143:AI143)</f>
        <v>0</v>
      </c>
      <c r="AK143" s="8"/>
    </row>
    <row r="144" spans="1:37" ht="15.75" x14ac:dyDescent="0.25">
      <c r="A144" s="237" t="s">
        <v>405</v>
      </c>
      <c r="B144" s="302"/>
      <c r="C144" s="84"/>
      <c r="D144" s="84"/>
      <c r="E144" s="84"/>
      <c r="F144" s="84"/>
      <c r="G144" s="84"/>
      <c r="H144" s="84"/>
      <c r="I144" s="84"/>
      <c r="J144" s="84"/>
      <c r="K144" s="84"/>
      <c r="L144" s="84"/>
      <c r="M144" s="84"/>
      <c r="N144" s="8"/>
      <c r="O144" s="8"/>
      <c r="P144" s="8"/>
      <c r="Q144" s="8"/>
      <c r="R144" s="8"/>
      <c r="S144" s="8"/>
      <c r="T144" s="8"/>
      <c r="U144" s="8"/>
      <c r="V144" s="8"/>
      <c r="W144" s="8">
        <v>0</v>
      </c>
      <c r="X144" s="8">
        <f t="shared" ref="X144:AI144" si="93">+X143-X145</f>
        <v>0</v>
      </c>
      <c r="Y144" s="8">
        <f t="shared" si="93"/>
        <v>0</v>
      </c>
      <c r="Z144" s="8">
        <f t="shared" si="93"/>
        <v>0</v>
      </c>
      <c r="AA144" s="8">
        <f t="shared" si="93"/>
        <v>0</v>
      </c>
      <c r="AB144" s="8">
        <f t="shared" si="93"/>
        <v>0</v>
      </c>
      <c r="AC144" s="8">
        <f t="shared" si="93"/>
        <v>0</v>
      </c>
      <c r="AD144" s="8">
        <f t="shared" si="93"/>
        <v>0</v>
      </c>
      <c r="AE144" s="8">
        <f t="shared" si="93"/>
        <v>0</v>
      </c>
      <c r="AF144" s="8">
        <f t="shared" si="93"/>
        <v>0</v>
      </c>
      <c r="AG144" s="8">
        <f t="shared" si="93"/>
        <v>0</v>
      </c>
      <c r="AH144" s="8">
        <f t="shared" si="93"/>
        <v>0</v>
      </c>
      <c r="AI144" s="8">
        <f t="shared" si="93"/>
        <v>0</v>
      </c>
      <c r="AJ144" s="294">
        <f>SUM(C144:AI144)</f>
        <v>0</v>
      </c>
      <c r="AK144" s="8"/>
    </row>
    <row r="145" spans="1:37" ht="15.75" x14ac:dyDescent="0.25">
      <c r="A145" s="237" t="s">
        <v>406</v>
      </c>
      <c r="B145" s="302"/>
      <c r="C145" s="84"/>
      <c r="D145" s="84"/>
      <c r="E145" s="84"/>
      <c r="F145" s="84"/>
      <c r="G145" s="84"/>
      <c r="H145" s="84"/>
      <c r="I145" s="84"/>
      <c r="J145" s="84"/>
      <c r="K145" s="84"/>
      <c r="L145" s="84"/>
      <c r="M145" s="84"/>
      <c r="N145" s="8"/>
      <c r="O145" s="8"/>
      <c r="P145" s="8"/>
      <c r="Q145" s="8"/>
      <c r="R145" s="8"/>
      <c r="S145" s="8"/>
      <c r="T145" s="8"/>
      <c r="U145" s="8"/>
      <c r="V145" s="8"/>
      <c r="W145" s="8">
        <v>0</v>
      </c>
      <c r="X145" s="8">
        <f t="shared" ref="X145:AI145" si="94">+$B$19*W142</f>
        <v>0</v>
      </c>
      <c r="Y145" s="8">
        <f t="shared" si="94"/>
        <v>0</v>
      </c>
      <c r="Z145" s="8">
        <f t="shared" si="94"/>
        <v>0</v>
      </c>
      <c r="AA145" s="8">
        <f t="shared" si="94"/>
        <v>0</v>
      </c>
      <c r="AB145" s="8">
        <f t="shared" si="94"/>
        <v>0</v>
      </c>
      <c r="AC145" s="8">
        <f t="shared" si="94"/>
        <v>0</v>
      </c>
      <c r="AD145" s="8">
        <f t="shared" si="94"/>
        <v>0</v>
      </c>
      <c r="AE145" s="8">
        <f t="shared" si="94"/>
        <v>0</v>
      </c>
      <c r="AF145" s="8">
        <f t="shared" si="94"/>
        <v>0</v>
      </c>
      <c r="AG145" s="8">
        <f t="shared" si="94"/>
        <v>0</v>
      </c>
      <c r="AH145" s="8">
        <f t="shared" si="94"/>
        <v>0</v>
      </c>
      <c r="AI145" s="8">
        <f t="shared" si="94"/>
        <v>0</v>
      </c>
      <c r="AJ145" s="294">
        <f>SUM(C145:AI145)</f>
        <v>0</v>
      </c>
      <c r="AK145" s="8"/>
    </row>
    <row r="146" spans="1:37" ht="15.75" x14ac:dyDescent="0.25">
      <c r="A146" s="237"/>
      <c r="B146" s="301"/>
      <c r="C146" s="84"/>
      <c r="D146" s="84"/>
      <c r="E146" s="84"/>
      <c r="F146" s="84"/>
      <c r="G146" s="84"/>
      <c r="H146" s="84"/>
      <c r="I146" s="84"/>
      <c r="J146" s="84"/>
      <c r="K146" s="84"/>
      <c r="L146" s="84"/>
      <c r="M146" s="84"/>
      <c r="N146" s="8"/>
      <c r="O146" s="8"/>
      <c r="P146" s="8"/>
      <c r="Q146" s="8"/>
      <c r="R146" s="8"/>
      <c r="S146" s="8"/>
      <c r="T146" s="8"/>
      <c r="U146" s="8"/>
      <c r="V146" s="8"/>
      <c r="W146" s="8"/>
      <c r="X146" s="8"/>
      <c r="Y146" s="8"/>
      <c r="Z146" s="8"/>
      <c r="AA146" s="8"/>
      <c r="AB146" s="8"/>
      <c r="AC146" s="8"/>
      <c r="AD146" s="8"/>
      <c r="AE146" s="8"/>
      <c r="AF146" s="8"/>
      <c r="AG146" s="8"/>
      <c r="AH146" s="8"/>
      <c r="AI146" s="8"/>
      <c r="AJ146" s="8"/>
      <c r="AK146" s="8"/>
    </row>
    <row r="147" spans="1:37" ht="15.75" x14ac:dyDescent="0.25">
      <c r="A147" s="243">
        <f>X3</f>
        <v>2038</v>
      </c>
      <c r="B147" s="302"/>
      <c r="C147" s="84"/>
      <c r="D147" s="84"/>
      <c r="E147" s="84"/>
      <c r="F147" s="84"/>
      <c r="G147" s="84"/>
      <c r="H147" s="84"/>
      <c r="I147" s="84"/>
      <c r="J147" s="84"/>
      <c r="K147" s="84"/>
      <c r="L147" s="84"/>
      <c r="M147" s="84"/>
      <c r="N147" s="8"/>
      <c r="O147" s="8"/>
      <c r="P147" s="8"/>
      <c r="Q147" s="8"/>
      <c r="R147" s="8"/>
      <c r="S147" s="8"/>
      <c r="T147" s="8"/>
      <c r="U147" s="8"/>
      <c r="V147" s="8"/>
      <c r="W147" s="8"/>
      <c r="X147" s="84">
        <f>X$39</f>
        <v>0</v>
      </c>
      <c r="Y147" s="8">
        <f t="shared" ref="Y147:AI147" si="95">+X147-Y149</f>
        <v>0</v>
      </c>
      <c r="Z147" s="8">
        <f t="shared" si="95"/>
        <v>0</v>
      </c>
      <c r="AA147" s="8">
        <f t="shared" si="95"/>
        <v>0</v>
      </c>
      <c r="AB147" s="8">
        <f t="shared" si="95"/>
        <v>0</v>
      </c>
      <c r="AC147" s="8">
        <f t="shared" si="95"/>
        <v>0</v>
      </c>
      <c r="AD147" s="8">
        <f t="shared" si="95"/>
        <v>0</v>
      </c>
      <c r="AE147" s="8">
        <f t="shared" si="95"/>
        <v>0</v>
      </c>
      <c r="AF147" s="8">
        <f t="shared" si="95"/>
        <v>0</v>
      </c>
      <c r="AG147" s="8">
        <f t="shared" si="95"/>
        <v>0</v>
      </c>
      <c r="AH147" s="8">
        <f t="shared" si="95"/>
        <v>0</v>
      </c>
      <c r="AI147" s="8">
        <f t="shared" si="95"/>
        <v>0</v>
      </c>
      <c r="AJ147" s="8"/>
      <c r="AK147" s="8"/>
    </row>
    <row r="148" spans="1:37" ht="15.75" x14ac:dyDescent="0.25">
      <c r="A148" s="237" t="s">
        <v>404</v>
      </c>
      <c r="B148" s="301">
        <f>+X147/((1-(1/(1+$B$19)^$B$18))/$B$19)</f>
        <v>0</v>
      </c>
      <c r="C148" s="84"/>
      <c r="D148" s="84"/>
      <c r="E148" s="84"/>
      <c r="F148" s="84"/>
      <c r="G148" s="84"/>
      <c r="H148" s="84"/>
      <c r="I148" s="84"/>
      <c r="J148" s="84"/>
      <c r="K148" s="84"/>
      <c r="L148" s="84"/>
      <c r="M148" s="84"/>
      <c r="N148" s="8"/>
      <c r="O148" s="8"/>
      <c r="P148" s="8"/>
      <c r="Q148" s="8"/>
      <c r="R148" s="8"/>
      <c r="S148" s="8"/>
      <c r="T148" s="8"/>
      <c r="U148" s="8"/>
      <c r="V148" s="8"/>
      <c r="W148" s="8"/>
      <c r="X148" s="8">
        <v>0</v>
      </c>
      <c r="Y148" s="8">
        <f t="shared" ref="Y148:AI148" si="96">+IF(X147&lt;0.01,0,$B$148)</f>
        <v>0</v>
      </c>
      <c r="Z148" s="8">
        <f t="shared" si="96"/>
        <v>0</v>
      </c>
      <c r="AA148" s="8">
        <f t="shared" si="96"/>
        <v>0</v>
      </c>
      <c r="AB148" s="8">
        <f t="shared" si="96"/>
        <v>0</v>
      </c>
      <c r="AC148" s="8">
        <f t="shared" si="96"/>
        <v>0</v>
      </c>
      <c r="AD148" s="8">
        <f t="shared" si="96"/>
        <v>0</v>
      </c>
      <c r="AE148" s="8">
        <f t="shared" si="96"/>
        <v>0</v>
      </c>
      <c r="AF148" s="8">
        <f t="shared" si="96"/>
        <v>0</v>
      </c>
      <c r="AG148" s="8">
        <f t="shared" si="96"/>
        <v>0</v>
      </c>
      <c r="AH148" s="8">
        <f t="shared" si="96"/>
        <v>0</v>
      </c>
      <c r="AI148" s="8">
        <f t="shared" si="96"/>
        <v>0</v>
      </c>
      <c r="AJ148" s="294">
        <f>SUM(C148:AI148)</f>
        <v>0</v>
      </c>
      <c r="AK148" s="8"/>
    </row>
    <row r="149" spans="1:37" ht="15.75" x14ac:dyDescent="0.25">
      <c r="A149" s="237" t="s">
        <v>405</v>
      </c>
      <c r="B149" s="302"/>
      <c r="C149" s="84"/>
      <c r="D149" s="84"/>
      <c r="E149" s="84"/>
      <c r="F149" s="84"/>
      <c r="G149" s="84"/>
      <c r="H149" s="84"/>
      <c r="I149" s="84"/>
      <c r="J149" s="84"/>
      <c r="K149" s="84"/>
      <c r="L149" s="84"/>
      <c r="M149" s="84"/>
      <c r="N149" s="8"/>
      <c r="O149" s="8"/>
      <c r="P149" s="8"/>
      <c r="Q149" s="8"/>
      <c r="R149" s="8"/>
      <c r="S149" s="8"/>
      <c r="T149" s="8"/>
      <c r="U149" s="8"/>
      <c r="V149" s="8"/>
      <c r="W149" s="8"/>
      <c r="X149" s="8">
        <v>0</v>
      </c>
      <c r="Y149" s="8">
        <f t="shared" ref="Y149:AI149" si="97">+Y148-Y150</f>
        <v>0</v>
      </c>
      <c r="Z149" s="8">
        <f t="shared" si="97"/>
        <v>0</v>
      </c>
      <c r="AA149" s="8">
        <f t="shared" si="97"/>
        <v>0</v>
      </c>
      <c r="AB149" s="8">
        <f t="shared" si="97"/>
        <v>0</v>
      </c>
      <c r="AC149" s="8">
        <f t="shared" si="97"/>
        <v>0</v>
      </c>
      <c r="AD149" s="8">
        <f t="shared" si="97"/>
        <v>0</v>
      </c>
      <c r="AE149" s="8">
        <f t="shared" si="97"/>
        <v>0</v>
      </c>
      <c r="AF149" s="8">
        <f t="shared" si="97"/>
        <v>0</v>
      </c>
      <c r="AG149" s="8">
        <f t="shared" si="97"/>
        <v>0</v>
      </c>
      <c r="AH149" s="8">
        <f t="shared" si="97"/>
        <v>0</v>
      </c>
      <c r="AI149" s="8">
        <f t="shared" si="97"/>
        <v>0</v>
      </c>
      <c r="AJ149" s="294">
        <f>SUM(C149:AI149)</f>
        <v>0</v>
      </c>
      <c r="AK149" s="8"/>
    </row>
    <row r="150" spans="1:37" ht="15.75" x14ac:dyDescent="0.25">
      <c r="A150" s="237" t="s">
        <v>406</v>
      </c>
      <c r="B150" s="302"/>
      <c r="C150" s="84"/>
      <c r="D150" s="84"/>
      <c r="E150" s="84"/>
      <c r="F150" s="84"/>
      <c r="G150" s="84"/>
      <c r="H150" s="84"/>
      <c r="I150" s="84"/>
      <c r="J150" s="84"/>
      <c r="K150" s="84"/>
      <c r="L150" s="84"/>
      <c r="M150" s="84"/>
      <c r="N150" s="8"/>
      <c r="O150" s="8"/>
      <c r="P150" s="8"/>
      <c r="Q150" s="8"/>
      <c r="R150" s="8"/>
      <c r="S150" s="8"/>
      <c r="T150" s="8"/>
      <c r="U150" s="8"/>
      <c r="V150" s="8"/>
      <c r="W150" s="8"/>
      <c r="X150" s="8">
        <v>0</v>
      </c>
      <c r="Y150" s="8">
        <f t="shared" ref="Y150:AI150" si="98">+$B$19*X147</f>
        <v>0</v>
      </c>
      <c r="Z150" s="8">
        <f t="shared" si="98"/>
        <v>0</v>
      </c>
      <c r="AA150" s="8">
        <f t="shared" si="98"/>
        <v>0</v>
      </c>
      <c r="AB150" s="8">
        <f t="shared" si="98"/>
        <v>0</v>
      </c>
      <c r="AC150" s="8">
        <f t="shared" si="98"/>
        <v>0</v>
      </c>
      <c r="AD150" s="8">
        <f t="shared" si="98"/>
        <v>0</v>
      </c>
      <c r="AE150" s="8">
        <f t="shared" si="98"/>
        <v>0</v>
      </c>
      <c r="AF150" s="8">
        <f t="shared" si="98"/>
        <v>0</v>
      </c>
      <c r="AG150" s="8">
        <f t="shared" si="98"/>
        <v>0</v>
      </c>
      <c r="AH150" s="8">
        <f t="shared" si="98"/>
        <v>0</v>
      </c>
      <c r="AI150" s="8">
        <f t="shared" si="98"/>
        <v>0</v>
      </c>
      <c r="AJ150" s="294">
        <f>SUM(C150:AI150)</f>
        <v>0</v>
      </c>
      <c r="AK150" s="8"/>
    </row>
    <row r="151" spans="1:37" ht="15.75" x14ac:dyDescent="0.25">
      <c r="A151" s="237"/>
      <c r="B151" s="301"/>
      <c r="C151" s="84"/>
      <c r="D151" s="84"/>
      <c r="E151" s="84"/>
      <c r="F151" s="84"/>
      <c r="G151" s="84"/>
      <c r="H151" s="84"/>
      <c r="I151" s="84"/>
      <c r="J151" s="84"/>
      <c r="K151" s="84"/>
      <c r="L151" s="84"/>
      <c r="M151" s="84"/>
      <c r="N151" s="8"/>
      <c r="O151" s="8"/>
      <c r="P151" s="8"/>
      <c r="Q151" s="8"/>
      <c r="R151" s="8"/>
      <c r="S151" s="8"/>
      <c r="T151" s="8"/>
      <c r="U151" s="8"/>
      <c r="V151" s="8"/>
      <c r="W151" s="8"/>
      <c r="X151" s="8"/>
      <c r="Y151" s="8"/>
      <c r="Z151" s="8"/>
      <c r="AA151" s="8"/>
      <c r="AB151" s="8"/>
      <c r="AC151" s="8"/>
      <c r="AD151" s="8"/>
      <c r="AE151" s="8"/>
      <c r="AF151" s="8"/>
      <c r="AG151" s="8"/>
      <c r="AH151" s="8"/>
      <c r="AI151" s="8"/>
      <c r="AJ151" s="8"/>
      <c r="AK151" s="8"/>
    </row>
    <row r="152" spans="1:37" ht="15.75" x14ac:dyDescent="0.25">
      <c r="A152" s="243">
        <f>Y3</f>
        <v>2039</v>
      </c>
      <c r="B152" s="302"/>
      <c r="C152" s="84"/>
      <c r="D152" s="84"/>
      <c r="E152" s="84"/>
      <c r="F152" s="84"/>
      <c r="G152" s="84"/>
      <c r="H152" s="84"/>
      <c r="I152" s="84"/>
      <c r="J152" s="84"/>
      <c r="K152" s="84"/>
      <c r="L152" s="84"/>
      <c r="M152" s="84"/>
      <c r="N152" s="8"/>
      <c r="O152" s="8"/>
      <c r="P152" s="8"/>
      <c r="Q152" s="8"/>
      <c r="R152" s="8"/>
      <c r="S152" s="8"/>
      <c r="T152" s="8"/>
      <c r="U152" s="8"/>
      <c r="V152" s="8"/>
      <c r="W152" s="8"/>
      <c r="X152" s="8"/>
      <c r="Y152" s="84">
        <f>Y$39</f>
        <v>0</v>
      </c>
      <c r="Z152" s="8">
        <f t="shared" ref="Z152:AI152" si="99">+Y152-Z154</f>
        <v>0</v>
      </c>
      <c r="AA152" s="8">
        <f t="shared" si="99"/>
        <v>0</v>
      </c>
      <c r="AB152" s="8">
        <f t="shared" si="99"/>
        <v>0</v>
      </c>
      <c r="AC152" s="8">
        <f t="shared" si="99"/>
        <v>0</v>
      </c>
      <c r="AD152" s="8">
        <f t="shared" si="99"/>
        <v>0</v>
      </c>
      <c r="AE152" s="8">
        <f t="shared" si="99"/>
        <v>0</v>
      </c>
      <c r="AF152" s="8">
        <f t="shared" si="99"/>
        <v>0</v>
      </c>
      <c r="AG152" s="8">
        <f t="shared" si="99"/>
        <v>0</v>
      </c>
      <c r="AH152" s="8">
        <f t="shared" si="99"/>
        <v>0</v>
      </c>
      <c r="AI152" s="8">
        <f t="shared" si="99"/>
        <v>0</v>
      </c>
      <c r="AJ152" s="8"/>
      <c r="AK152" s="8"/>
    </row>
    <row r="153" spans="1:37" ht="15.75" x14ac:dyDescent="0.25">
      <c r="A153" s="237" t="s">
        <v>404</v>
      </c>
      <c r="B153" s="301">
        <f>+Y152/((1-(1/(1+$B$19)^$B$18))/$B$19)</f>
        <v>0</v>
      </c>
      <c r="C153" s="84"/>
      <c r="D153" s="84"/>
      <c r="E153" s="84"/>
      <c r="F153" s="84"/>
      <c r="G153" s="84"/>
      <c r="H153" s="84"/>
      <c r="I153" s="84"/>
      <c r="J153" s="84"/>
      <c r="K153" s="84"/>
      <c r="L153" s="84"/>
      <c r="M153" s="84"/>
      <c r="N153" s="8"/>
      <c r="O153" s="8"/>
      <c r="P153" s="8"/>
      <c r="Q153" s="8"/>
      <c r="R153" s="8"/>
      <c r="S153" s="8"/>
      <c r="T153" s="8"/>
      <c r="U153" s="8"/>
      <c r="V153" s="8"/>
      <c r="W153" s="8"/>
      <c r="X153" s="8"/>
      <c r="Y153" s="8">
        <v>0</v>
      </c>
      <c r="Z153" s="8">
        <f t="shared" ref="Z153:AI153" si="100">+IF(Y152&lt;0.01,0,$B$153)</f>
        <v>0</v>
      </c>
      <c r="AA153" s="8">
        <f t="shared" si="100"/>
        <v>0</v>
      </c>
      <c r="AB153" s="8">
        <f t="shared" si="100"/>
        <v>0</v>
      </c>
      <c r="AC153" s="8">
        <f t="shared" si="100"/>
        <v>0</v>
      </c>
      <c r="AD153" s="8">
        <f t="shared" si="100"/>
        <v>0</v>
      </c>
      <c r="AE153" s="8">
        <f t="shared" si="100"/>
        <v>0</v>
      </c>
      <c r="AF153" s="8">
        <f t="shared" si="100"/>
        <v>0</v>
      </c>
      <c r="AG153" s="8">
        <f t="shared" si="100"/>
        <v>0</v>
      </c>
      <c r="AH153" s="8">
        <f t="shared" si="100"/>
        <v>0</v>
      </c>
      <c r="AI153" s="8">
        <f t="shared" si="100"/>
        <v>0</v>
      </c>
      <c r="AJ153" s="294">
        <f>SUM(C153:AI153)</f>
        <v>0</v>
      </c>
      <c r="AK153" s="8"/>
    </row>
    <row r="154" spans="1:37" ht="15.75" x14ac:dyDescent="0.25">
      <c r="A154" s="237" t="s">
        <v>405</v>
      </c>
      <c r="B154" s="302"/>
      <c r="C154" s="84"/>
      <c r="D154" s="84"/>
      <c r="E154" s="84"/>
      <c r="F154" s="84"/>
      <c r="G154" s="84"/>
      <c r="H154" s="84"/>
      <c r="I154" s="84"/>
      <c r="J154" s="84"/>
      <c r="K154" s="84"/>
      <c r="L154" s="84"/>
      <c r="M154" s="84"/>
      <c r="N154" s="8"/>
      <c r="O154" s="8"/>
      <c r="P154" s="8"/>
      <c r="Q154" s="8"/>
      <c r="R154" s="8"/>
      <c r="S154" s="8"/>
      <c r="T154" s="8"/>
      <c r="U154" s="8"/>
      <c r="V154" s="8"/>
      <c r="W154" s="8"/>
      <c r="X154" s="8"/>
      <c r="Y154" s="8">
        <v>0</v>
      </c>
      <c r="Z154" s="8">
        <f t="shared" ref="Z154:AI154" si="101">+Z153-Z155</f>
        <v>0</v>
      </c>
      <c r="AA154" s="8">
        <f t="shared" si="101"/>
        <v>0</v>
      </c>
      <c r="AB154" s="8">
        <f t="shared" si="101"/>
        <v>0</v>
      </c>
      <c r="AC154" s="8">
        <f t="shared" si="101"/>
        <v>0</v>
      </c>
      <c r="AD154" s="8">
        <f t="shared" si="101"/>
        <v>0</v>
      </c>
      <c r="AE154" s="8">
        <f t="shared" si="101"/>
        <v>0</v>
      </c>
      <c r="AF154" s="8">
        <f t="shared" si="101"/>
        <v>0</v>
      </c>
      <c r="AG154" s="8">
        <f t="shared" si="101"/>
        <v>0</v>
      </c>
      <c r="AH154" s="8">
        <f t="shared" si="101"/>
        <v>0</v>
      </c>
      <c r="AI154" s="8">
        <f t="shared" si="101"/>
        <v>0</v>
      </c>
      <c r="AJ154" s="294">
        <f>SUM(C154:AI154)</f>
        <v>0</v>
      </c>
      <c r="AK154" s="8"/>
    </row>
    <row r="155" spans="1:37" ht="15.75" x14ac:dyDescent="0.25">
      <c r="A155" s="237" t="s">
        <v>406</v>
      </c>
      <c r="B155" s="302"/>
      <c r="C155" s="84"/>
      <c r="D155" s="84"/>
      <c r="E155" s="84"/>
      <c r="F155" s="84"/>
      <c r="G155" s="84"/>
      <c r="H155" s="84"/>
      <c r="I155" s="84"/>
      <c r="J155" s="84"/>
      <c r="K155" s="84"/>
      <c r="L155" s="84"/>
      <c r="M155" s="84"/>
      <c r="N155" s="8"/>
      <c r="O155" s="8"/>
      <c r="P155" s="8"/>
      <c r="Q155" s="8"/>
      <c r="R155" s="8"/>
      <c r="S155" s="8"/>
      <c r="T155" s="8"/>
      <c r="U155" s="8"/>
      <c r="V155" s="8"/>
      <c r="W155" s="8"/>
      <c r="X155" s="8"/>
      <c r="Y155" s="8">
        <v>0</v>
      </c>
      <c r="Z155" s="8">
        <f t="shared" ref="Z155:AI155" si="102">+$B$19*Y152</f>
        <v>0</v>
      </c>
      <c r="AA155" s="8">
        <f t="shared" si="102"/>
        <v>0</v>
      </c>
      <c r="AB155" s="8">
        <f t="shared" si="102"/>
        <v>0</v>
      </c>
      <c r="AC155" s="8">
        <f t="shared" si="102"/>
        <v>0</v>
      </c>
      <c r="AD155" s="8">
        <f t="shared" si="102"/>
        <v>0</v>
      </c>
      <c r="AE155" s="8">
        <f t="shared" si="102"/>
        <v>0</v>
      </c>
      <c r="AF155" s="8">
        <f t="shared" si="102"/>
        <v>0</v>
      </c>
      <c r="AG155" s="8">
        <f t="shared" si="102"/>
        <v>0</v>
      </c>
      <c r="AH155" s="8">
        <f t="shared" si="102"/>
        <v>0</v>
      </c>
      <c r="AI155" s="8">
        <f t="shared" si="102"/>
        <v>0</v>
      </c>
      <c r="AJ155" s="294">
        <f>SUM(C155:AI155)</f>
        <v>0</v>
      </c>
      <c r="AK155" s="8"/>
    </row>
    <row r="156" spans="1:37" ht="15.75" x14ac:dyDescent="0.25">
      <c r="A156" s="237"/>
      <c r="B156" s="301"/>
      <c r="C156" s="84"/>
      <c r="D156" s="84"/>
      <c r="E156" s="84"/>
      <c r="F156" s="84"/>
      <c r="G156" s="84"/>
      <c r="H156" s="84"/>
      <c r="I156" s="84"/>
      <c r="J156" s="84"/>
      <c r="K156" s="84"/>
      <c r="L156" s="84"/>
      <c r="M156" s="84"/>
      <c r="N156" s="8"/>
      <c r="O156" s="8"/>
      <c r="P156" s="8"/>
      <c r="Q156" s="8"/>
      <c r="R156" s="8"/>
      <c r="S156" s="8"/>
      <c r="T156" s="8"/>
      <c r="U156" s="8"/>
      <c r="V156" s="8"/>
      <c r="W156" s="8"/>
      <c r="X156" s="8"/>
      <c r="Y156" s="8"/>
      <c r="Z156" s="8"/>
      <c r="AA156" s="8"/>
      <c r="AB156" s="8"/>
      <c r="AC156" s="8"/>
      <c r="AD156" s="8"/>
      <c r="AE156" s="8"/>
      <c r="AF156" s="8"/>
      <c r="AG156" s="8"/>
      <c r="AH156" s="8"/>
      <c r="AI156" s="8"/>
      <c r="AJ156" s="8"/>
      <c r="AK156" s="8"/>
    </row>
    <row r="157" spans="1:37" ht="15.75" x14ac:dyDescent="0.25">
      <c r="A157" s="243">
        <f>Z3</f>
        <v>2040</v>
      </c>
      <c r="B157" s="302"/>
      <c r="C157" s="84"/>
      <c r="D157" s="84"/>
      <c r="E157" s="84"/>
      <c r="F157" s="84"/>
      <c r="G157" s="84"/>
      <c r="H157" s="84"/>
      <c r="I157" s="84"/>
      <c r="J157" s="84"/>
      <c r="K157" s="84"/>
      <c r="L157" s="84"/>
      <c r="M157" s="84"/>
      <c r="N157" s="8"/>
      <c r="O157" s="8"/>
      <c r="P157" s="8"/>
      <c r="Q157" s="8"/>
      <c r="R157" s="8"/>
      <c r="S157" s="8"/>
      <c r="T157" s="8"/>
      <c r="U157" s="8"/>
      <c r="V157" s="8"/>
      <c r="W157" s="8"/>
      <c r="X157" s="8"/>
      <c r="Y157" s="8"/>
      <c r="Z157" s="84">
        <f>Z$39</f>
        <v>0</v>
      </c>
      <c r="AA157" s="8">
        <f t="shared" ref="AA157:AI157" si="103">+Z157-AA159</f>
        <v>0</v>
      </c>
      <c r="AB157" s="8">
        <f t="shared" si="103"/>
        <v>0</v>
      </c>
      <c r="AC157" s="8">
        <f t="shared" si="103"/>
        <v>0</v>
      </c>
      <c r="AD157" s="8">
        <f t="shared" si="103"/>
        <v>0</v>
      </c>
      <c r="AE157" s="8">
        <f t="shared" si="103"/>
        <v>0</v>
      </c>
      <c r="AF157" s="8">
        <f t="shared" si="103"/>
        <v>0</v>
      </c>
      <c r="AG157" s="8">
        <f t="shared" si="103"/>
        <v>0</v>
      </c>
      <c r="AH157" s="8">
        <f t="shared" si="103"/>
        <v>0</v>
      </c>
      <c r="AI157" s="8">
        <f t="shared" si="103"/>
        <v>0</v>
      </c>
      <c r="AJ157" s="8"/>
      <c r="AK157" s="8"/>
    </row>
    <row r="158" spans="1:37" ht="15.75" x14ac:dyDescent="0.25">
      <c r="A158" s="237" t="s">
        <v>404</v>
      </c>
      <c r="B158" s="301">
        <f>+Z157/((1-(1/(1+$B$19)^$B$18))/$B$19)</f>
        <v>0</v>
      </c>
      <c r="C158" s="84"/>
      <c r="D158" s="84"/>
      <c r="E158" s="84"/>
      <c r="F158" s="84"/>
      <c r="G158" s="84"/>
      <c r="H158" s="84"/>
      <c r="I158" s="84"/>
      <c r="J158" s="84"/>
      <c r="K158" s="84"/>
      <c r="L158" s="84"/>
      <c r="M158" s="84"/>
      <c r="N158" s="8"/>
      <c r="O158" s="8"/>
      <c r="P158" s="8"/>
      <c r="Q158" s="8"/>
      <c r="R158" s="8"/>
      <c r="S158" s="8"/>
      <c r="T158" s="8"/>
      <c r="U158" s="8"/>
      <c r="V158" s="8"/>
      <c r="W158" s="8"/>
      <c r="X158" s="8"/>
      <c r="Y158" s="8"/>
      <c r="Z158" s="8">
        <v>0</v>
      </c>
      <c r="AA158" s="8">
        <f t="shared" ref="AA158:AI158" si="104">+IF(Z157&lt;0.01,0,$B$158)</f>
        <v>0</v>
      </c>
      <c r="AB158" s="8">
        <f t="shared" si="104"/>
        <v>0</v>
      </c>
      <c r="AC158" s="8">
        <f t="shared" si="104"/>
        <v>0</v>
      </c>
      <c r="AD158" s="8">
        <f t="shared" si="104"/>
        <v>0</v>
      </c>
      <c r="AE158" s="8">
        <f t="shared" si="104"/>
        <v>0</v>
      </c>
      <c r="AF158" s="8">
        <f t="shared" si="104"/>
        <v>0</v>
      </c>
      <c r="AG158" s="8">
        <f t="shared" si="104"/>
        <v>0</v>
      </c>
      <c r="AH158" s="8">
        <f t="shared" si="104"/>
        <v>0</v>
      </c>
      <c r="AI158" s="8">
        <f t="shared" si="104"/>
        <v>0</v>
      </c>
      <c r="AJ158" s="294">
        <f>SUM(C158:AI158)</f>
        <v>0</v>
      </c>
      <c r="AK158" s="8"/>
    </row>
    <row r="159" spans="1:37" ht="15.75" x14ac:dyDescent="0.25">
      <c r="A159" s="237" t="s">
        <v>405</v>
      </c>
      <c r="B159" s="302"/>
      <c r="C159" s="84"/>
      <c r="D159" s="84"/>
      <c r="E159" s="84"/>
      <c r="F159" s="84"/>
      <c r="G159" s="84"/>
      <c r="H159" s="84"/>
      <c r="I159" s="84"/>
      <c r="J159" s="84"/>
      <c r="K159" s="84"/>
      <c r="L159" s="84"/>
      <c r="M159" s="84"/>
      <c r="N159" s="8"/>
      <c r="O159" s="8"/>
      <c r="P159" s="8"/>
      <c r="Q159" s="8"/>
      <c r="R159" s="8"/>
      <c r="S159" s="8"/>
      <c r="T159" s="8"/>
      <c r="U159" s="8"/>
      <c r="V159" s="8"/>
      <c r="W159" s="8"/>
      <c r="X159" s="8"/>
      <c r="Y159" s="8"/>
      <c r="Z159" s="8">
        <v>0</v>
      </c>
      <c r="AA159" s="8">
        <f t="shared" ref="AA159:AI159" si="105">+AA158-AA160</f>
        <v>0</v>
      </c>
      <c r="AB159" s="8">
        <f t="shared" si="105"/>
        <v>0</v>
      </c>
      <c r="AC159" s="8">
        <f t="shared" si="105"/>
        <v>0</v>
      </c>
      <c r="AD159" s="8">
        <f t="shared" si="105"/>
        <v>0</v>
      </c>
      <c r="AE159" s="8">
        <f t="shared" si="105"/>
        <v>0</v>
      </c>
      <c r="AF159" s="8">
        <f t="shared" si="105"/>
        <v>0</v>
      </c>
      <c r="AG159" s="8">
        <f t="shared" si="105"/>
        <v>0</v>
      </c>
      <c r="AH159" s="8">
        <f t="shared" si="105"/>
        <v>0</v>
      </c>
      <c r="AI159" s="8">
        <f t="shared" si="105"/>
        <v>0</v>
      </c>
      <c r="AJ159" s="294">
        <f>SUM(C159:AI159)</f>
        <v>0</v>
      </c>
      <c r="AK159" s="8"/>
    </row>
    <row r="160" spans="1:37" ht="15.75" x14ac:dyDescent="0.25">
      <c r="A160" s="237" t="s">
        <v>406</v>
      </c>
      <c r="B160" s="302"/>
      <c r="C160" s="84"/>
      <c r="D160" s="84"/>
      <c r="E160" s="84"/>
      <c r="F160" s="84"/>
      <c r="G160" s="84"/>
      <c r="H160" s="84"/>
      <c r="I160" s="84"/>
      <c r="J160" s="84"/>
      <c r="K160" s="84"/>
      <c r="L160" s="84"/>
      <c r="M160" s="84"/>
      <c r="N160" s="8"/>
      <c r="O160" s="8"/>
      <c r="P160" s="8"/>
      <c r="Q160" s="8"/>
      <c r="R160" s="8"/>
      <c r="S160" s="8"/>
      <c r="T160" s="8"/>
      <c r="U160" s="8"/>
      <c r="V160" s="8"/>
      <c r="W160" s="8"/>
      <c r="X160" s="8"/>
      <c r="Y160" s="8"/>
      <c r="Z160" s="8">
        <v>0</v>
      </c>
      <c r="AA160" s="8">
        <f t="shared" ref="AA160:AI160" si="106">+$B$19*Z157</f>
        <v>0</v>
      </c>
      <c r="AB160" s="8">
        <f t="shared" si="106"/>
        <v>0</v>
      </c>
      <c r="AC160" s="8">
        <f t="shared" si="106"/>
        <v>0</v>
      </c>
      <c r="AD160" s="8">
        <f t="shared" si="106"/>
        <v>0</v>
      </c>
      <c r="AE160" s="8">
        <f t="shared" si="106"/>
        <v>0</v>
      </c>
      <c r="AF160" s="8">
        <f t="shared" si="106"/>
        <v>0</v>
      </c>
      <c r="AG160" s="8">
        <f t="shared" si="106"/>
        <v>0</v>
      </c>
      <c r="AH160" s="8">
        <f t="shared" si="106"/>
        <v>0</v>
      </c>
      <c r="AI160" s="8">
        <f t="shared" si="106"/>
        <v>0</v>
      </c>
      <c r="AJ160" s="294">
        <f>SUM(C160:AI160)</f>
        <v>0</v>
      </c>
      <c r="AK160" s="8"/>
    </row>
    <row r="161" spans="1:37" ht="15.75" x14ac:dyDescent="0.25">
      <c r="A161" s="237"/>
      <c r="B161" s="301"/>
      <c r="C161" s="84"/>
      <c r="D161" s="84"/>
      <c r="E161" s="84"/>
      <c r="F161" s="84"/>
      <c r="G161" s="84"/>
      <c r="H161" s="84"/>
      <c r="I161" s="84"/>
      <c r="J161" s="84"/>
      <c r="K161" s="84"/>
      <c r="L161" s="84"/>
      <c r="M161" s="84"/>
      <c r="N161" s="8"/>
      <c r="O161" s="8"/>
      <c r="P161" s="8"/>
      <c r="Q161" s="8"/>
      <c r="R161" s="8"/>
      <c r="S161" s="8"/>
      <c r="T161" s="8"/>
      <c r="U161" s="8"/>
      <c r="V161" s="8"/>
      <c r="W161" s="8"/>
      <c r="X161" s="8"/>
      <c r="Y161" s="8"/>
      <c r="Z161" s="8"/>
      <c r="AA161" s="8"/>
      <c r="AB161" s="8"/>
      <c r="AC161" s="8"/>
      <c r="AD161" s="8"/>
      <c r="AE161" s="8"/>
      <c r="AF161" s="8"/>
      <c r="AG161" s="8"/>
      <c r="AH161" s="8"/>
      <c r="AI161" s="8"/>
      <c r="AJ161" s="8"/>
      <c r="AK161" s="8"/>
    </row>
    <row r="162" spans="1:37" ht="15.75" x14ac:dyDescent="0.25">
      <c r="A162" s="243">
        <f>AA3</f>
        <v>2041</v>
      </c>
      <c r="B162" s="302"/>
      <c r="C162" s="84"/>
      <c r="D162" s="84"/>
      <c r="E162" s="84"/>
      <c r="F162" s="84"/>
      <c r="G162" s="84"/>
      <c r="H162" s="84"/>
      <c r="I162" s="84"/>
      <c r="J162" s="84"/>
      <c r="K162" s="84"/>
      <c r="L162" s="84"/>
      <c r="M162" s="84"/>
      <c r="N162" s="8"/>
      <c r="O162" s="8"/>
      <c r="P162" s="8"/>
      <c r="Q162" s="8"/>
      <c r="R162" s="8"/>
      <c r="S162" s="8"/>
      <c r="T162" s="8"/>
      <c r="U162" s="8"/>
      <c r="V162" s="8"/>
      <c r="W162" s="8"/>
      <c r="X162" s="8"/>
      <c r="Y162" s="8"/>
      <c r="Z162" s="8"/>
      <c r="AA162" s="84">
        <f>AA$39</f>
        <v>0</v>
      </c>
      <c r="AB162" s="8">
        <f t="shared" ref="AB162:AI162" si="107">+AA162-AB164</f>
        <v>0</v>
      </c>
      <c r="AC162" s="8">
        <f t="shared" si="107"/>
        <v>0</v>
      </c>
      <c r="AD162" s="8">
        <f t="shared" si="107"/>
        <v>0</v>
      </c>
      <c r="AE162" s="8">
        <f t="shared" si="107"/>
        <v>0</v>
      </c>
      <c r="AF162" s="8">
        <f t="shared" si="107"/>
        <v>0</v>
      </c>
      <c r="AG162" s="8">
        <f t="shared" si="107"/>
        <v>0</v>
      </c>
      <c r="AH162" s="8">
        <f t="shared" si="107"/>
        <v>0</v>
      </c>
      <c r="AI162" s="8">
        <f t="shared" si="107"/>
        <v>0</v>
      </c>
      <c r="AJ162" s="8"/>
      <c r="AK162" s="8"/>
    </row>
    <row r="163" spans="1:37" ht="15.75" x14ac:dyDescent="0.25">
      <c r="A163" s="237" t="s">
        <v>404</v>
      </c>
      <c r="B163" s="301">
        <f>+AA162/((1-(1/(1+$B$19)^$B$18))/$B$19)</f>
        <v>0</v>
      </c>
      <c r="C163" s="84"/>
      <c r="D163" s="84"/>
      <c r="E163" s="84"/>
      <c r="F163" s="84"/>
      <c r="G163" s="84"/>
      <c r="H163" s="84"/>
      <c r="I163" s="84"/>
      <c r="J163" s="84"/>
      <c r="K163" s="84"/>
      <c r="L163" s="84"/>
      <c r="M163" s="84"/>
      <c r="N163" s="8"/>
      <c r="O163" s="8"/>
      <c r="P163" s="8"/>
      <c r="Q163" s="8"/>
      <c r="R163" s="8"/>
      <c r="S163" s="8"/>
      <c r="T163" s="8"/>
      <c r="U163" s="8"/>
      <c r="V163" s="8"/>
      <c r="W163" s="8"/>
      <c r="X163" s="8"/>
      <c r="Y163" s="8"/>
      <c r="Z163" s="8"/>
      <c r="AA163" s="8">
        <v>0</v>
      </c>
      <c r="AB163" s="8">
        <f t="shared" ref="AB163:AI163" si="108">+IF(AA162&lt;0.01,0,$B$163)</f>
        <v>0</v>
      </c>
      <c r="AC163" s="8">
        <f t="shared" si="108"/>
        <v>0</v>
      </c>
      <c r="AD163" s="8">
        <f t="shared" si="108"/>
        <v>0</v>
      </c>
      <c r="AE163" s="8">
        <f t="shared" si="108"/>
        <v>0</v>
      </c>
      <c r="AF163" s="8">
        <f t="shared" si="108"/>
        <v>0</v>
      </c>
      <c r="AG163" s="8">
        <f t="shared" si="108"/>
        <v>0</v>
      </c>
      <c r="AH163" s="8">
        <f t="shared" si="108"/>
        <v>0</v>
      </c>
      <c r="AI163" s="8">
        <f t="shared" si="108"/>
        <v>0</v>
      </c>
      <c r="AJ163" s="294">
        <f>SUM(C163:AI163)</f>
        <v>0</v>
      </c>
      <c r="AK163" s="8"/>
    </row>
    <row r="164" spans="1:37" ht="15.75" x14ac:dyDescent="0.25">
      <c r="A164" s="237" t="s">
        <v>405</v>
      </c>
      <c r="B164" s="302"/>
      <c r="C164" s="84"/>
      <c r="D164" s="84"/>
      <c r="E164" s="84"/>
      <c r="F164" s="84"/>
      <c r="G164" s="84"/>
      <c r="H164" s="84"/>
      <c r="I164" s="84"/>
      <c r="J164" s="84"/>
      <c r="K164" s="84"/>
      <c r="L164" s="84"/>
      <c r="M164" s="84"/>
      <c r="N164" s="8"/>
      <c r="O164" s="8"/>
      <c r="P164" s="8"/>
      <c r="Q164" s="8"/>
      <c r="R164" s="8"/>
      <c r="S164" s="8"/>
      <c r="T164" s="8"/>
      <c r="U164" s="8"/>
      <c r="V164" s="8"/>
      <c r="W164" s="8"/>
      <c r="X164" s="8"/>
      <c r="Y164" s="8"/>
      <c r="Z164" s="8"/>
      <c r="AA164" s="8">
        <v>0</v>
      </c>
      <c r="AB164" s="8">
        <f t="shared" ref="AB164:AI164" si="109">+AB163-AB165</f>
        <v>0</v>
      </c>
      <c r="AC164" s="8">
        <f t="shared" si="109"/>
        <v>0</v>
      </c>
      <c r="AD164" s="8">
        <f t="shared" si="109"/>
        <v>0</v>
      </c>
      <c r="AE164" s="8">
        <f t="shared" si="109"/>
        <v>0</v>
      </c>
      <c r="AF164" s="8">
        <f t="shared" si="109"/>
        <v>0</v>
      </c>
      <c r="AG164" s="8">
        <f t="shared" si="109"/>
        <v>0</v>
      </c>
      <c r="AH164" s="8">
        <f t="shared" si="109"/>
        <v>0</v>
      </c>
      <c r="AI164" s="8">
        <f t="shared" si="109"/>
        <v>0</v>
      </c>
      <c r="AJ164" s="294">
        <f>SUM(C164:AI164)</f>
        <v>0</v>
      </c>
      <c r="AK164" s="8"/>
    </row>
    <row r="165" spans="1:37" ht="15.75" x14ac:dyDescent="0.25">
      <c r="A165" s="237" t="s">
        <v>406</v>
      </c>
      <c r="B165" s="302"/>
      <c r="C165" s="84"/>
      <c r="D165" s="84"/>
      <c r="E165" s="84"/>
      <c r="F165" s="84"/>
      <c r="G165" s="84"/>
      <c r="H165" s="84"/>
      <c r="I165" s="84"/>
      <c r="J165" s="84"/>
      <c r="K165" s="84"/>
      <c r="L165" s="84"/>
      <c r="M165" s="84"/>
      <c r="N165" s="8"/>
      <c r="O165" s="8"/>
      <c r="P165" s="8"/>
      <c r="Q165" s="8"/>
      <c r="R165" s="8"/>
      <c r="S165" s="8"/>
      <c r="T165" s="8"/>
      <c r="U165" s="8"/>
      <c r="V165" s="8"/>
      <c r="W165" s="8"/>
      <c r="X165" s="8"/>
      <c r="Y165" s="8"/>
      <c r="Z165" s="8"/>
      <c r="AA165" s="8">
        <v>0</v>
      </c>
      <c r="AB165" s="8">
        <f t="shared" ref="AB165:AI165" si="110">+$B$19*AA162</f>
        <v>0</v>
      </c>
      <c r="AC165" s="8">
        <f t="shared" si="110"/>
        <v>0</v>
      </c>
      <c r="AD165" s="8">
        <f t="shared" si="110"/>
        <v>0</v>
      </c>
      <c r="AE165" s="8">
        <f t="shared" si="110"/>
        <v>0</v>
      </c>
      <c r="AF165" s="8">
        <f t="shared" si="110"/>
        <v>0</v>
      </c>
      <c r="AG165" s="8">
        <f t="shared" si="110"/>
        <v>0</v>
      </c>
      <c r="AH165" s="8">
        <f t="shared" si="110"/>
        <v>0</v>
      </c>
      <c r="AI165" s="8">
        <f t="shared" si="110"/>
        <v>0</v>
      </c>
      <c r="AJ165" s="294">
        <f>SUM(C165:AI165)</f>
        <v>0</v>
      </c>
      <c r="AK165" s="8"/>
    </row>
    <row r="166" spans="1:37" ht="15.75" x14ac:dyDescent="0.25">
      <c r="A166" s="237"/>
      <c r="B166" s="301"/>
      <c r="C166" s="84"/>
      <c r="D166" s="84"/>
      <c r="E166" s="84"/>
      <c r="F166" s="84"/>
      <c r="G166" s="84"/>
      <c r="H166" s="84"/>
      <c r="I166" s="84"/>
      <c r="J166" s="84"/>
      <c r="K166" s="84"/>
      <c r="L166" s="84"/>
      <c r="M166" s="84"/>
      <c r="N166" s="8"/>
      <c r="O166" s="8"/>
      <c r="P166" s="8"/>
      <c r="Q166" s="8"/>
      <c r="R166" s="8"/>
      <c r="S166" s="8"/>
      <c r="T166" s="8"/>
      <c r="U166" s="8"/>
      <c r="V166" s="8"/>
      <c r="W166" s="8"/>
      <c r="X166" s="8"/>
      <c r="Y166" s="8"/>
      <c r="Z166" s="8"/>
      <c r="AA166" s="8"/>
      <c r="AB166" s="8"/>
      <c r="AC166" s="8"/>
      <c r="AD166" s="8"/>
      <c r="AE166" s="8"/>
      <c r="AF166" s="8"/>
      <c r="AG166" s="8"/>
      <c r="AH166" s="8"/>
      <c r="AI166" s="8"/>
      <c r="AJ166" s="8"/>
      <c r="AK166" s="8"/>
    </row>
    <row r="167" spans="1:37" ht="15.75" x14ac:dyDescent="0.25">
      <c r="A167" s="243">
        <f>AB3</f>
        <v>2042</v>
      </c>
      <c r="B167" s="302"/>
      <c r="C167" s="84"/>
      <c r="D167" s="84"/>
      <c r="E167" s="84"/>
      <c r="F167" s="84"/>
      <c r="G167" s="84"/>
      <c r="H167" s="84"/>
      <c r="I167" s="84"/>
      <c r="J167" s="84"/>
      <c r="K167" s="84"/>
      <c r="L167" s="84"/>
      <c r="M167" s="84"/>
      <c r="N167" s="8"/>
      <c r="O167" s="8"/>
      <c r="P167" s="8"/>
      <c r="Q167" s="8"/>
      <c r="R167" s="8"/>
      <c r="S167" s="8"/>
      <c r="T167" s="8"/>
      <c r="U167" s="8"/>
      <c r="V167" s="8"/>
      <c r="W167" s="8"/>
      <c r="X167" s="8"/>
      <c r="Y167" s="8"/>
      <c r="Z167" s="8"/>
      <c r="AA167" s="8"/>
      <c r="AB167" s="84">
        <f>AB$39</f>
        <v>0</v>
      </c>
      <c r="AC167" s="8">
        <f t="shared" ref="AC167:AI167" si="111">+AB167-AC169</f>
        <v>0</v>
      </c>
      <c r="AD167" s="8">
        <f t="shared" si="111"/>
        <v>0</v>
      </c>
      <c r="AE167" s="8">
        <f t="shared" si="111"/>
        <v>0</v>
      </c>
      <c r="AF167" s="8">
        <f t="shared" si="111"/>
        <v>0</v>
      </c>
      <c r="AG167" s="8">
        <f t="shared" si="111"/>
        <v>0</v>
      </c>
      <c r="AH167" s="8">
        <f t="shared" si="111"/>
        <v>0</v>
      </c>
      <c r="AI167" s="8">
        <f t="shared" si="111"/>
        <v>0</v>
      </c>
      <c r="AJ167" s="8"/>
      <c r="AK167" s="8"/>
    </row>
    <row r="168" spans="1:37" ht="15.75" x14ac:dyDescent="0.25">
      <c r="A168" s="237" t="s">
        <v>404</v>
      </c>
      <c r="B168" s="301">
        <f>+AB167/((1-(1/(1+$B$19)^$B$18))/$B$19)</f>
        <v>0</v>
      </c>
      <c r="C168" s="84"/>
      <c r="D168" s="84"/>
      <c r="E168" s="84"/>
      <c r="F168" s="84"/>
      <c r="G168" s="84"/>
      <c r="H168" s="84"/>
      <c r="I168" s="84"/>
      <c r="J168" s="84"/>
      <c r="K168" s="84"/>
      <c r="L168" s="84"/>
      <c r="M168" s="84"/>
      <c r="N168" s="8"/>
      <c r="O168" s="8"/>
      <c r="P168" s="8"/>
      <c r="Q168" s="8"/>
      <c r="R168" s="8"/>
      <c r="S168" s="8"/>
      <c r="T168" s="8"/>
      <c r="U168" s="8"/>
      <c r="V168" s="8"/>
      <c r="W168" s="8"/>
      <c r="X168" s="8"/>
      <c r="Y168" s="8"/>
      <c r="Z168" s="8"/>
      <c r="AA168" s="8"/>
      <c r="AB168" s="8">
        <v>0</v>
      </c>
      <c r="AC168" s="8">
        <f t="shared" ref="AC168:AI168" si="112">+IF(AB167&lt;0.01,0,$B$168)</f>
        <v>0</v>
      </c>
      <c r="AD168" s="8">
        <f t="shared" si="112"/>
        <v>0</v>
      </c>
      <c r="AE168" s="8">
        <f t="shared" si="112"/>
        <v>0</v>
      </c>
      <c r="AF168" s="8">
        <f t="shared" si="112"/>
        <v>0</v>
      </c>
      <c r="AG168" s="8">
        <f t="shared" si="112"/>
        <v>0</v>
      </c>
      <c r="AH168" s="8">
        <f t="shared" si="112"/>
        <v>0</v>
      </c>
      <c r="AI168" s="8">
        <f t="shared" si="112"/>
        <v>0</v>
      </c>
      <c r="AJ168" s="294">
        <f>SUM(C168:AI168)</f>
        <v>0</v>
      </c>
      <c r="AK168" s="8"/>
    </row>
    <row r="169" spans="1:37" ht="15.75" x14ac:dyDescent="0.25">
      <c r="A169" s="237" t="s">
        <v>405</v>
      </c>
      <c r="B169" s="302"/>
      <c r="C169" s="84"/>
      <c r="D169" s="84"/>
      <c r="E169" s="84"/>
      <c r="F169" s="84"/>
      <c r="G169" s="84"/>
      <c r="H169" s="84"/>
      <c r="I169" s="84"/>
      <c r="J169" s="84"/>
      <c r="K169" s="84"/>
      <c r="L169" s="84"/>
      <c r="M169" s="84"/>
      <c r="N169" s="8"/>
      <c r="O169" s="8"/>
      <c r="P169" s="8"/>
      <c r="Q169" s="8"/>
      <c r="R169" s="8"/>
      <c r="S169" s="8"/>
      <c r="T169" s="8"/>
      <c r="U169" s="8"/>
      <c r="V169" s="8"/>
      <c r="W169" s="8"/>
      <c r="X169" s="8"/>
      <c r="Y169" s="8"/>
      <c r="Z169" s="8"/>
      <c r="AA169" s="8"/>
      <c r="AB169" s="8">
        <v>0</v>
      </c>
      <c r="AC169" s="8">
        <f t="shared" ref="AC169:AI169" si="113">+AC168-AC170</f>
        <v>0</v>
      </c>
      <c r="AD169" s="8">
        <f t="shared" si="113"/>
        <v>0</v>
      </c>
      <c r="AE169" s="8">
        <f t="shared" si="113"/>
        <v>0</v>
      </c>
      <c r="AF169" s="8">
        <f t="shared" si="113"/>
        <v>0</v>
      </c>
      <c r="AG169" s="8">
        <f t="shared" si="113"/>
        <v>0</v>
      </c>
      <c r="AH169" s="8">
        <f t="shared" si="113"/>
        <v>0</v>
      </c>
      <c r="AI169" s="8">
        <f t="shared" si="113"/>
        <v>0</v>
      </c>
      <c r="AJ169" s="294">
        <f>SUM(C169:AI169)</f>
        <v>0</v>
      </c>
      <c r="AK169" s="8"/>
    </row>
    <row r="170" spans="1:37" ht="15.75" x14ac:dyDescent="0.25">
      <c r="A170" s="237" t="s">
        <v>406</v>
      </c>
      <c r="B170" s="302"/>
      <c r="C170" s="84"/>
      <c r="D170" s="84"/>
      <c r="E170" s="84"/>
      <c r="F170" s="84"/>
      <c r="G170" s="84"/>
      <c r="H170" s="84"/>
      <c r="I170" s="84"/>
      <c r="J170" s="84"/>
      <c r="K170" s="84"/>
      <c r="L170" s="84"/>
      <c r="M170" s="84"/>
      <c r="N170" s="8"/>
      <c r="O170" s="8"/>
      <c r="P170" s="8"/>
      <c r="Q170" s="8"/>
      <c r="R170" s="8"/>
      <c r="S170" s="8"/>
      <c r="T170" s="8"/>
      <c r="U170" s="8"/>
      <c r="V170" s="8"/>
      <c r="W170" s="8"/>
      <c r="X170" s="8"/>
      <c r="Y170" s="8"/>
      <c r="Z170" s="8"/>
      <c r="AA170" s="8"/>
      <c r="AB170" s="8">
        <v>0</v>
      </c>
      <c r="AC170" s="8">
        <f t="shared" ref="AC170:AI170" si="114">+$B$19*AB167</f>
        <v>0</v>
      </c>
      <c r="AD170" s="8">
        <f t="shared" si="114"/>
        <v>0</v>
      </c>
      <c r="AE170" s="8">
        <f t="shared" si="114"/>
        <v>0</v>
      </c>
      <c r="AF170" s="8">
        <f t="shared" si="114"/>
        <v>0</v>
      </c>
      <c r="AG170" s="8">
        <f t="shared" si="114"/>
        <v>0</v>
      </c>
      <c r="AH170" s="8">
        <f t="shared" si="114"/>
        <v>0</v>
      </c>
      <c r="AI170" s="8">
        <f t="shared" si="114"/>
        <v>0</v>
      </c>
      <c r="AJ170" s="294">
        <f>SUM(C170:AI170)</f>
        <v>0</v>
      </c>
      <c r="AK170" s="8"/>
    </row>
    <row r="171" spans="1:37" ht="15.75" x14ac:dyDescent="0.25">
      <c r="A171" s="237"/>
      <c r="B171" s="301"/>
      <c r="C171" s="84"/>
      <c r="D171" s="84"/>
      <c r="E171" s="84"/>
      <c r="F171" s="84"/>
      <c r="G171" s="84"/>
      <c r="H171" s="84"/>
      <c r="I171" s="84"/>
      <c r="J171" s="84"/>
      <c r="K171" s="84"/>
      <c r="L171" s="84"/>
      <c r="M171" s="84"/>
      <c r="N171" s="8"/>
      <c r="O171" s="8"/>
      <c r="P171" s="8"/>
      <c r="Q171" s="8"/>
      <c r="R171" s="8"/>
      <c r="S171" s="8"/>
      <c r="T171" s="8"/>
      <c r="U171" s="8"/>
      <c r="V171" s="8"/>
      <c r="W171" s="8"/>
      <c r="X171" s="8"/>
      <c r="Y171" s="8"/>
      <c r="Z171" s="8"/>
      <c r="AA171" s="8"/>
      <c r="AB171" s="8"/>
      <c r="AC171" s="8"/>
      <c r="AD171" s="8"/>
      <c r="AE171" s="8"/>
      <c r="AF171" s="8"/>
      <c r="AG171" s="8"/>
      <c r="AH171" s="8"/>
      <c r="AI171" s="8"/>
      <c r="AJ171" s="8"/>
      <c r="AK171" s="8"/>
    </row>
    <row r="172" spans="1:37" ht="15.75" x14ac:dyDescent="0.25">
      <c r="A172" s="243">
        <f>AC3</f>
        <v>2043</v>
      </c>
      <c r="B172" s="302"/>
      <c r="C172" s="84"/>
      <c r="D172" s="84"/>
      <c r="E172" s="84"/>
      <c r="F172" s="84"/>
      <c r="G172" s="84"/>
      <c r="H172" s="84"/>
      <c r="I172" s="84"/>
      <c r="J172" s="84"/>
      <c r="K172" s="84"/>
      <c r="L172" s="84"/>
      <c r="M172" s="84"/>
      <c r="N172" s="8"/>
      <c r="O172" s="8"/>
      <c r="P172" s="8"/>
      <c r="Q172" s="8"/>
      <c r="R172" s="8"/>
      <c r="S172" s="8"/>
      <c r="T172" s="8"/>
      <c r="U172" s="8"/>
      <c r="V172" s="8"/>
      <c r="W172" s="8"/>
      <c r="X172" s="8"/>
      <c r="Y172" s="8"/>
      <c r="Z172" s="8"/>
      <c r="AA172" s="8"/>
      <c r="AB172" s="8"/>
      <c r="AC172" s="84">
        <f>AC$39</f>
        <v>0</v>
      </c>
      <c r="AD172" s="8">
        <f t="shared" ref="AD172:AI172" si="115">+AC172-AD174</f>
        <v>0</v>
      </c>
      <c r="AE172" s="8">
        <f t="shared" si="115"/>
        <v>0</v>
      </c>
      <c r="AF172" s="8">
        <f t="shared" si="115"/>
        <v>0</v>
      </c>
      <c r="AG172" s="8">
        <f t="shared" si="115"/>
        <v>0</v>
      </c>
      <c r="AH172" s="8">
        <f t="shared" si="115"/>
        <v>0</v>
      </c>
      <c r="AI172" s="8">
        <f t="shared" si="115"/>
        <v>0</v>
      </c>
      <c r="AJ172" s="8"/>
      <c r="AK172" s="8"/>
    </row>
    <row r="173" spans="1:37" ht="15.75" x14ac:dyDescent="0.25">
      <c r="A173" s="237" t="s">
        <v>404</v>
      </c>
      <c r="B173" s="301">
        <f>+AC172/((1-(1/(1+$B$19)^$B$18))/$B$19)</f>
        <v>0</v>
      </c>
      <c r="C173" s="84"/>
      <c r="D173" s="84"/>
      <c r="E173" s="84"/>
      <c r="F173" s="84"/>
      <c r="G173" s="84"/>
      <c r="H173" s="84"/>
      <c r="I173" s="84"/>
      <c r="J173" s="84"/>
      <c r="K173" s="84"/>
      <c r="L173" s="84"/>
      <c r="M173" s="84"/>
      <c r="N173" s="8"/>
      <c r="O173" s="8"/>
      <c r="P173" s="8"/>
      <c r="Q173" s="8"/>
      <c r="R173" s="8"/>
      <c r="S173" s="8"/>
      <c r="T173" s="8"/>
      <c r="U173" s="8"/>
      <c r="V173" s="8"/>
      <c r="W173" s="8"/>
      <c r="X173" s="8"/>
      <c r="Y173" s="8"/>
      <c r="Z173" s="8"/>
      <c r="AA173" s="8"/>
      <c r="AB173" s="8"/>
      <c r="AC173" s="8">
        <v>0</v>
      </c>
      <c r="AD173" s="8">
        <f t="shared" ref="AD173:AI173" si="116">+IF(AC172&lt;0.01,0,$B$173)</f>
        <v>0</v>
      </c>
      <c r="AE173" s="8">
        <f t="shared" si="116"/>
        <v>0</v>
      </c>
      <c r="AF173" s="8">
        <f t="shared" si="116"/>
        <v>0</v>
      </c>
      <c r="AG173" s="8">
        <f t="shared" si="116"/>
        <v>0</v>
      </c>
      <c r="AH173" s="8">
        <f t="shared" si="116"/>
        <v>0</v>
      </c>
      <c r="AI173" s="8">
        <f t="shared" si="116"/>
        <v>0</v>
      </c>
      <c r="AJ173" s="294">
        <f>SUM(C173:AI173)</f>
        <v>0</v>
      </c>
      <c r="AK173" s="8"/>
    </row>
    <row r="174" spans="1:37" ht="15.75" x14ac:dyDescent="0.25">
      <c r="A174" s="237" t="s">
        <v>405</v>
      </c>
      <c r="B174" s="302"/>
      <c r="C174" s="84"/>
      <c r="D174" s="84"/>
      <c r="E174" s="84"/>
      <c r="F174" s="84"/>
      <c r="G174" s="84"/>
      <c r="H174" s="84"/>
      <c r="I174" s="84"/>
      <c r="J174" s="84"/>
      <c r="K174" s="84"/>
      <c r="L174" s="84"/>
      <c r="M174" s="84"/>
      <c r="N174" s="8"/>
      <c r="O174" s="8"/>
      <c r="P174" s="8"/>
      <c r="Q174" s="8"/>
      <c r="R174" s="8"/>
      <c r="S174" s="8"/>
      <c r="T174" s="8"/>
      <c r="U174" s="8"/>
      <c r="V174" s="8"/>
      <c r="W174" s="8"/>
      <c r="X174" s="8"/>
      <c r="Y174" s="8"/>
      <c r="Z174" s="8"/>
      <c r="AA174" s="8"/>
      <c r="AB174" s="8"/>
      <c r="AC174" s="8">
        <v>0</v>
      </c>
      <c r="AD174" s="8">
        <f t="shared" ref="AD174:AI174" si="117">+AD173-AD175</f>
        <v>0</v>
      </c>
      <c r="AE174" s="8">
        <f t="shared" si="117"/>
        <v>0</v>
      </c>
      <c r="AF174" s="8">
        <f t="shared" si="117"/>
        <v>0</v>
      </c>
      <c r="AG174" s="8">
        <f t="shared" si="117"/>
        <v>0</v>
      </c>
      <c r="AH174" s="8">
        <f t="shared" si="117"/>
        <v>0</v>
      </c>
      <c r="AI174" s="8">
        <f t="shared" si="117"/>
        <v>0</v>
      </c>
      <c r="AJ174" s="294">
        <f>SUM(C174:AI174)</f>
        <v>0</v>
      </c>
      <c r="AK174" s="8"/>
    </row>
    <row r="175" spans="1:37" ht="15.75" x14ac:dyDescent="0.25">
      <c r="A175" s="237" t="s">
        <v>406</v>
      </c>
      <c r="B175" s="302"/>
      <c r="C175" s="84"/>
      <c r="D175" s="84"/>
      <c r="E175" s="84"/>
      <c r="F175" s="84"/>
      <c r="G175" s="84"/>
      <c r="H175" s="84"/>
      <c r="I175" s="84"/>
      <c r="J175" s="84"/>
      <c r="K175" s="84"/>
      <c r="L175" s="84"/>
      <c r="M175" s="84"/>
      <c r="N175" s="8"/>
      <c r="O175" s="8"/>
      <c r="P175" s="8"/>
      <c r="Q175" s="8"/>
      <c r="R175" s="8"/>
      <c r="S175" s="8"/>
      <c r="T175" s="8"/>
      <c r="U175" s="8"/>
      <c r="V175" s="8"/>
      <c r="W175" s="8"/>
      <c r="X175" s="8"/>
      <c r="Y175" s="8"/>
      <c r="Z175" s="8"/>
      <c r="AA175" s="8"/>
      <c r="AB175" s="8"/>
      <c r="AC175" s="8">
        <v>0</v>
      </c>
      <c r="AD175" s="8">
        <f t="shared" ref="AD175:AI175" si="118">+$B$19*AC172</f>
        <v>0</v>
      </c>
      <c r="AE175" s="8">
        <f t="shared" si="118"/>
        <v>0</v>
      </c>
      <c r="AF175" s="8">
        <f t="shared" si="118"/>
        <v>0</v>
      </c>
      <c r="AG175" s="8">
        <f t="shared" si="118"/>
        <v>0</v>
      </c>
      <c r="AH175" s="8">
        <f t="shared" si="118"/>
        <v>0</v>
      </c>
      <c r="AI175" s="8">
        <f t="shared" si="118"/>
        <v>0</v>
      </c>
      <c r="AJ175" s="294">
        <f>SUM(C175:AI175)</f>
        <v>0</v>
      </c>
      <c r="AK175" s="8"/>
    </row>
    <row r="176" spans="1:37" ht="15.75" x14ac:dyDescent="0.25">
      <c r="A176" s="237"/>
      <c r="B176" s="301"/>
      <c r="C176" s="84"/>
      <c r="D176" s="84"/>
      <c r="E176" s="84"/>
      <c r="F176" s="84"/>
      <c r="G176" s="84"/>
      <c r="H176" s="84"/>
      <c r="I176" s="84"/>
      <c r="J176" s="84"/>
      <c r="K176" s="84"/>
      <c r="L176" s="84"/>
      <c r="M176" s="84"/>
      <c r="N176" s="8"/>
      <c r="O176" s="8"/>
      <c r="P176" s="8"/>
      <c r="Q176" s="8"/>
      <c r="R176" s="8"/>
      <c r="S176" s="8"/>
      <c r="T176" s="8"/>
      <c r="U176" s="8"/>
      <c r="V176" s="8"/>
      <c r="W176" s="8"/>
      <c r="X176" s="8"/>
      <c r="Y176" s="8"/>
      <c r="Z176" s="8"/>
      <c r="AA176" s="8"/>
      <c r="AB176" s="8"/>
      <c r="AC176" s="8"/>
      <c r="AD176" s="8"/>
      <c r="AE176" s="8"/>
      <c r="AF176" s="8"/>
      <c r="AG176" s="8"/>
      <c r="AH176" s="8"/>
      <c r="AI176" s="8"/>
      <c r="AJ176" s="8"/>
      <c r="AK176" s="8"/>
    </row>
    <row r="177" spans="1:37" ht="15.75" x14ac:dyDescent="0.25">
      <c r="A177" s="243">
        <f>AD3</f>
        <v>2044</v>
      </c>
      <c r="B177" s="302"/>
      <c r="C177" s="84"/>
      <c r="D177" s="84"/>
      <c r="E177" s="84"/>
      <c r="F177" s="84"/>
      <c r="G177" s="84"/>
      <c r="H177" s="84"/>
      <c r="I177" s="84"/>
      <c r="J177" s="84"/>
      <c r="K177" s="84"/>
      <c r="L177" s="84"/>
      <c r="M177" s="84"/>
      <c r="N177" s="8"/>
      <c r="O177" s="8"/>
      <c r="P177" s="8"/>
      <c r="Q177" s="8"/>
      <c r="R177" s="8"/>
      <c r="S177" s="8"/>
      <c r="T177" s="8"/>
      <c r="U177" s="8"/>
      <c r="V177" s="8"/>
      <c r="W177" s="8"/>
      <c r="X177" s="8"/>
      <c r="Y177" s="8"/>
      <c r="Z177" s="8"/>
      <c r="AA177" s="8"/>
      <c r="AB177" s="8"/>
      <c r="AC177" s="8"/>
      <c r="AD177" s="84">
        <f>AD$39</f>
        <v>0</v>
      </c>
      <c r="AE177" s="8">
        <f>+AD177-AE179</f>
        <v>0</v>
      </c>
      <c r="AF177" s="8">
        <f>+AE177-AF179</f>
        <v>0</v>
      </c>
      <c r="AG177" s="8">
        <f>+AF177-AG179</f>
        <v>0</v>
      </c>
      <c r="AH177" s="8">
        <f>+AG177-AH179</f>
        <v>0</v>
      </c>
      <c r="AI177" s="8">
        <f>+AH177-AI179</f>
        <v>0</v>
      </c>
      <c r="AJ177" s="8"/>
      <c r="AK177" s="8"/>
    </row>
    <row r="178" spans="1:37" ht="15.75" x14ac:dyDescent="0.25">
      <c r="A178" s="237" t="s">
        <v>404</v>
      </c>
      <c r="B178" s="301">
        <f>+AD177/((1-(1/(1+$B$19)^$B$18))/$B$19)</f>
        <v>0</v>
      </c>
      <c r="C178" s="84"/>
      <c r="D178" s="84"/>
      <c r="E178" s="84"/>
      <c r="F178" s="84"/>
      <c r="G178" s="84"/>
      <c r="H178" s="84"/>
      <c r="I178" s="84"/>
      <c r="J178" s="84"/>
      <c r="K178" s="84"/>
      <c r="L178" s="84"/>
      <c r="M178" s="84"/>
      <c r="N178" s="8"/>
      <c r="O178" s="8"/>
      <c r="P178" s="8"/>
      <c r="Q178" s="8"/>
      <c r="R178" s="8"/>
      <c r="S178" s="8"/>
      <c r="T178" s="8"/>
      <c r="U178" s="8"/>
      <c r="V178" s="8"/>
      <c r="W178" s="8"/>
      <c r="X178" s="8"/>
      <c r="Y178" s="8"/>
      <c r="Z178" s="8"/>
      <c r="AA178" s="8"/>
      <c r="AB178" s="8"/>
      <c r="AC178" s="8"/>
      <c r="AD178" s="8">
        <v>0</v>
      </c>
      <c r="AE178" s="8">
        <f>+IF(AD177&lt;0.01,0,$B$178)</f>
        <v>0</v>
      </c>
      <c r="AF178" s="8">
        <f>+IF(AE177&lt;0.01,0,$B$178)</f>
        <v>0</v>
      </c>
      <c r="AG178" s="8">
        <f>+IF(AF177&lt;0.01,0,$B$178)</f>
        <v>0</v>
      </c>
      <c r="AH178" s="8">
        <f>+IF(AG177&lt;0.01,0,$B$178)</f>
        <v>0</v>
      </c>
      <c r="AI178" s="8">
        <f>+IF(AH177&lt;0.01,0,$B$178)</f>
        <v>0</v>
      </c>
      <c r="AJ178" s="294">
        <f>SUM(C178:AI178)</f>
        <v>0</v>
      </c>
      <c r="AK178" s="8"/>
    </row>
    <row r="179" spans="1:37" ht="15.75" x14ac:dyDescent="0.25">
      <c r="A179" s="237" t="s">
        <v>405</v>
      </c>
      <c r="B179" s="302"/>
      <c r="C179" s="84"/>
      <c r="D179" s="84"/>
      <c r="E179" s="84"/>
      <c r="F179" s="84"/>
      <c r="G179" s="84"/>
      <c r="H179" s="84"/>
      <c r="I179" s="84"/>
      <c r="J179" s="84"/>
      <c r="K179" s="84"/>
      <c r="L179" s="84"/>
      <c r="M179" s="84"/>
      <c r="N179" s="8"/>
      <c r="O179" s="8"/>
      <c r="P179" s="8"/>
      <c r="Q179" s="8"/>
      <c r="R179" s="8"/>
      <c r="S179" s="8"/>
      <c r="T179" s="8"/>
      <c r="U179" s="8"/>
      <c r="V179" s="8"/>
      <c r="W179" s="8"/>
      <c r="X179" s="8"/>
      <c r="Y179" s="8"/>
      <c r="Z179" s="8"/>
      <c r="AA179" s="8"/>
      <c r="AB179" s="8"/>
      <c r="AC179" s="8"/>
      <c r="AD179" s="8">
        <v>0</v>
      </c>
      <c r="AE179" s="8">
        <f>+AE178-AE180</f>
        <v>0</v>
      </c>
      <c r="AF179" s="8">
        <f>+AF178-AF180</f>
        <v>0</v>
      </c>
      <c r="AG179" s="8">
        <f>+AG178-AG180</f>
        <v>0</v>
      </c>
      <c r="AH179" s="8">
        <f>+AH178-AH180</f>
        <v>0</v>
      </c>
      <c r="AI179" s="8">
        <f>+AI178-AI180</f>
        <v>0</v>
      </c>
      <c r="AJ179" s="294">
        <f>SUM(C179:AI179)</f>
        <v>0</v>
      </c>
      <c r="AK179" s="8"/>
    </row>
    <row r="180" spans="1:37" ht="15.75" x14ac:dyDescent="0.25">
      <c r="A180" s="237" t="s">
        <v>406</v>
      </c>
      <c r="B180" s="302"/>
      <c r="C180" s="84"/>
      <c r="D180" s="84"/>
      <c r="E180" s="84"/>
      <c r="F180" s="84"/>
      <c r="G180" s="84"/>
      <c r="H180" s="84"/>
      <c r="I180" s="84"/>
      <c r="J180" s="84"/>
      <c r="K180" s="84"/>
      <c r="L180" s="84"/>
      <c r="M180" s="84"/>
      <c r="N180" s="8"/>
      <c r="O180" s="8"/>
      <c r="P180" s="8"/>
      <c r="Q180" s="8"/>
      <c r="R180" s="8"/>
      <c r="S180" s="8"/>
      <c r="T180" s="8"/>
      <c r="U180" s="8"/>
      <c r="V180" s="8"/>
      <c r="W180" s="8"/>
      <c r="X180" s="8"/>
      <c r="Y180" s="8"/>
      <c r="Z180" s="8"/>
      <c r="AA180" s="8"/>
      <c r="AB180" s="8"/>
      <c r="AC180" s="8"/>
      <c r="AD180" s="8">
        <v>0</v>
      </c>
      <c r="AE180" s="8">
        <f>+$B$19*AD177</f>
        <v>0</v>
      </c>
      <c r="AF180" s="8">
        <f>+$B$19*AE177</f>
        <v>0</v>
      </c>
      <c r="AG180" s="8">
        <f>+$B$19*AF177</f>
        <v>0</v>
      </c>
      <c r="AH180" s="8">
        <f>+$B$19*AG177</f>
        <v>0</v>
      </c>
      <c r="AI180" s="8">
        <f>+$B$19*AH177</f>
        <v>0</v>
      </c>
      <c r="AJ180" s="294">
        <f>SUM(C180:AI180)</f>
        <v>0</v>
      </c>
      <c r="AK180" s="8"/>
    </row>
    <row r="181" spans="1:37" ht="15.75" x14ac:dyDescent="0.25">
      <c r="A181" s="237"/>
      <c r="B181" s="301"/>
      <c r="C181" s="84"/>
      <c r="D181" s="84"/>
      <c r="E181" s="84"/>
      <c r="F181" s="84"/>
      <c r="G181" s="84"/>
      <c r="H181" s="84"/>
      <c r="I181" s="84"/>
      <c r="J181" s="84"/>
      <c r="K181" s="84"/>
      <c r="L181" s="84"/>
      <c r="M181" s="84"/>
      <c r="N181" s="8"/>
      <c r="O181" s="8"/>
      <c r="P181" s="8"/>
      <c r="Q181" s="8"/>
      <c r="R181" s="8"/>
      <c r="S181" s="8"/>
      <c r="T181" s="8"/>
      <c r="U181" s="8"/>
      <c r="V181" s="8"/>
      <c r="W181" s="8"/>
      <c r="X181" s="8"/>
      <c r="Y181" s="8"/>
      <c r="Z181" s="8"/>
      <c r="AA181" s="8"/>
      <c r="AB181" s="8"/>
      <c r="AC181" s="8"/>
      <c r="AD181" s="8"/>
      <c r="AE181" s="8"/>
      <c r="AF181" s="8"/>
      <c r="AG181" s="8"/>
      <c r="AH181" s="8"/>
      <c r="AI181" s="8"/>
      <c r="AJ181" s="8"/>
      <c r="AK181" s="8"/>
    </row>
    <row r="182" spans="1:37" ht="15.75" x14ac:dyDescent="0.25">
      <c r="A182" s="243">
        <f>AE3</f>
        <v>2045</v>
      </c>
      <c r="B182" s="302"/>
      <c r="C182" s="84"/>
      <c r="D182" s="84"/>
      <c r="E182" s="84"/>
      <c r="F182" s="84"/>
      <c r="G182" s="84"/>
      <c r="H182" s="84"/>
      <c r="I182" s="84"/>
      <c r="J182" s="84"/>
      <c r="K182" s="84"/>
      <c r="L182" s="84"/>
      <c r="M182" s="84"/>
      <c r="N182" s="8"/>
      <c r="O182" s="8"/>
      <c r="P182" s="8"/>
      <c r="Q182" s="8"/>
      <c r="R182" s="8"/>
      <c r="S182" s="8"/>
      <c r="T182" s="8"/>
      <c r="U182" s="8"/>
      <c r="V182" s="8"/>
      <c r="W182" s="8"/>
      <c r="X182" s="8"/>
      <c r="Y182" s="8"/>
      <c r="Z182" s="8"/>
      <c r="AA182" s="8"/>
      <c r="AB182" s="8"/>
      <c r="AC182" s="8"/>
      <c r="AD182" s="8"/>
      <c r="AE182" s="84">
        <f>AE$39</f>
        <v>0</v>
      </c>
      <c r="AF182" s="8">
        <f>+AE182-AF184</f>
        <v>0</v>
      </c>
      <c r="AG182" s="8">
        <f>+AF182-AG184</f>
        <v>0</v>
      </c>
      <c r="AH182" s="8">
        <f>+AG182-AH184</f>
        <v>0</v>
      </c>
      <c r="AI182" s="8">
        <f>+AH182-AI184</f>
        <v>0</v>
      </c>
      <c r="AJ182" s="8"/>
      <c r="AK182" s="8"/>
    </row>
    <row r="183" spans="1:37" ht="15.75" x14ac:dyDescent="0.25">
      <c r="A183" s="237" t="s">
        <v>404</v>
      </c>
      <c r="B183" s="301">
        <f>+AE182/((1-(1/(1+$B$19)^$B$18))/$B$19)</f>
        <v>0</v>
      </c>
      <c r="C183" s="84"/>
      <c r="D183" s="84"/>
      <c r="E183" s="84"/>
      <c r="F183" s="84"/>
      <c r="G183" s="84"/>
      <c r="H183" s="84"/>
      <c r="I183" s="84"/>
      <c r="J183" s="84"/>
      <c r="K183" s="84"/>
      <c r="L183" s="84"/>
      <c r="M183" s="84"/>
      <c r="N183" s="8"/>
      <c r="O183" s="8"/>
      <c r="P183" s="8"/>
      <c r="Q183" s="8"/>
      <c r="R183" s="8"/>
      <c r="S183" s="8"/>
      <c r="T183" s="8"/>
      <c r="U183" s="8"/>
      <c r="V183" s="8"/>
      <c r="W183" s="8"/>
      <c r="X183" s="8"/>
      <c r="Y183" s="8"/>
      <c r="Z183" s="8"/>
      <c r="AA183" s="8"/>
      <c r="AB183" s="8"/>
      <c r="AC183" s="8"/>
      <c r="AD183" s="8"/>
      <c r="AE183" s="8">
        <v>0</v>
      </c>
      <c r="AF183" s="8">
        <f>+IF(AE182&lt;0.01,0,$B$183)</f>
        <v>0</v>
      </c>
      <c r="AG183" s="8">
        <f>+IF(AF182&lt;0.01,0,$B$183)</f>
        <v>0</v>
      </c>
      <c r="AH183" s="8">
        <f>+IF(AG182&lt;0.01,0,$B$183)</f>
        <v>0</v>
      </c>
      <c r="AI183" s="8">
        <f>+IF(AH182&lt;0.01,0,$B$183)</f>
        <v>0</v>
      </c>
      <c r="AJ183" s="294">
        <f>SUM(C183:AI183)</f>
        <v>0</v>
      </c>
      <c r="AK183" s="8"/>
    </row>
    <row r="184" spans="1:37" ht="15.75" x14ac:dyDescent="0.25">
      <c r="A184" s="237" t="s">
        <v>405</v>
      </c>
      <c r="B184" s="302"/>
      <c r="C184" s="84"/>
      <c r="D184" s="84"/>
      <c r="E184" s="84"/>
      <c r="F184" s="84"/>
      <c r="G184" s="84"/>
      <c r="H184" s="84"/>
      <c r="I184" s="84"/>
      <c r="J184" s="84"/>
      <c r="K184" s="84"/>
      <c r="L184" s="84"/>
      <c r="M184" s="84"/>
      <c r="N184" s="8"/>
      <c r="O184" s="8"/>
      <c r="P184" s="8"/>
      <c r="Q184" s="8"/>
      <c r="R184" s="8"/>
      <c r="S184" s="8"/>
      <c r="T184" s="8"/>
      <c r="U184" s="8"/>
      <c r="V184" s="8"/>
      <c r="W184" s="8"/>
      <c r="X184" s="8"/>
      <c r="Y184" s="8"/>
      <c r="Z184" s="8"/>
      <c r="AA184" s="8"/>
      <c r="AB184" s="8"/>
      <c r="AC184" s="8"/>
      <c r="AD184" s="8"/>
      <c r="AE184" s="8">
        <v>0</v>
      </c>
      <c r="AF184" s="8">
        <f>+AF183-AF185</f>
        <v>0</v>
      </c>
      <c r="AG184" s="8">
        <f>+AG183-AG185</f>
        <v>0</v>
      </c>
      <c r="AH184" s="8">
        <f>+AH183-AH185</f>
        <v>0</v>
      </c>
      <c r="AI184" s="8">
        <f>+AI183-AI185</f>
        <v>0</v>
      </c>
      <c r="AJ184" s="294">
        <f>SUM(C184:AI184)</f>
        <v>0</v>
      </c>
      <c r="AK184" s="8"/>
    </row>
    <row r="185" spans="1:37" ht="15.75" x14ac:dyDescent="0.25">
      <c r="A185" s="237" t="s">
        <v>406</v>
      </c>
      <c r="B185" s="302"/>
      <c r="C185" s="84"/>
      <c r="D185" s="84"/>
      <c r="E185" s="84"/>
      <c r="F185" s="84"/>
      <c r="G185" s="84"/>
      <c r="H185" s="84"/>
      <c r="I185" s="84"/>
      <c r="J185" s="84"/>
      <c r="K185" s="84"/>
      <c r="L185" s="84"/>
      <c r="M185" s="84"/>
      <c r="N185" s="8"/>
      <c r="O185" s="8"/>
      <c r="P185" s="8"/>
      <c r="Q185" s="8"/>
      <c r="R185" s="8"/>
      <c r="S185" s="8"/>
      <c r="T185" s="8"/>
      <c r="U185" s="8"/>
      <c r="V185" s="8"/>
      <c r="W185" s="8"/>
      <c r="X185" s="8"/>
      <c r="Y185" s="8"/>
      <c r="Z185" s="8"/>
      <c r="AA185" s="8"/>
      <c r="AB185" s="8"/>
      <c r="AC185" s="8"/>
      <c r="AD185" s="8"/>
      <c r="AE185" s="8">
        <v>0</v>
      </c>
      <c r="AF185" s="8">
        <f>+$B$19*AE182</f>
        <v>0</v>
      </c>
      <c r="AG185" s="8">
        <f>+$B$19*AF182</f>
        <v>0</v>
      </c>
      <c r="AH185" s="8">
        <f>+$B$19*AG182</f>
        <v>0</v>
      </c>
      <c r="AI185" s="8">
        <f>+$B$19*AH182</f>
        <v>0</v>
      </c>
      <c r="AJ185" s="294">
        <f>SUM(C185:AI185)</f>
        <v>0</v>
      </c>
      <c r="AK185" s="8"/>
    </row>
    <row r="186" spans="1:37" ht="15.75" x14ac:dyDescent="0.25">
      <c r="A186" s="237"/>
      <c r="B186" s="301"/>
      <c r="C186" s="84"/>
      <c r="D186" s="84"/>
      <c r="E186" s="84"/>
      <c r="F186" s="84"/>
      <c r="G186" s="84"/>
      <c r="H186" s="84"/>
      <c r="I186" s="84"/>
      <c r="J186" s="84"/>
      <c r="K186" s="84"/>
      <c r="L186" s="84"/>
      <c r="M186" s="84"/>
      <c r="N186" s="8"/>
      <c r="O186" s="8"/>
      <c r="P186" s="8"/>
      <c r="Q186" s="8"/>
      <c r="R186" s="8"/>
      <c r="S186" s="8"/>
      <c r="T186" s="8"/>
      <c r="U186" s="8"/>
      <c r="V186" s="8"/>
      <c r="W186" s="8"/>
      <c r="X186" s="8"/>
      <c r="Y186" s="8"/>
      <c r="Z186" s="8"/>
      <c r="AA186" s="8"/>
      <c r="AB186" s="8"/>
      <c r="AC186" s="8"/>
      <c r="AD186" s="8"/>
      <c r="AE186" s="8"/>
      <c r="AF186" s="8"/>
      <c r="AG186" s="8"/>
      <c r="AH186" s="8"/>
      <c r="AI186" s="8"/>
      <c r="AJ186" s="8"/>
      <c r="AK186" s="8"/>
    </row>
    <row r="187" spans="1:37" ht="15.75" x14ac:dyDescent="0.25">
      <c r="A187" s="243">
        <f>AF3</f>
        <v>2046</v>
      </c>
      <c r="B187" s="302"/>
      <c r="C187" s="84"/>
      <c r="D187" s="84"/>
      <c r="E187" s="84"/>
      <c r="F187" s="84"/>
      <c r="G187" s="84"/>
      <c r="H187" s="84"/>
      <c r="I187" s="84"/>
      <c r="J187" s="84"/>
      <c r="K187" s="84"/>
      <c r="L187" s="84"/>
      <c r="M187" s="84"/>
      <c r="N187" s="8"/>
      <c r="O187" s="8"/>
      <c r="P187" s="8"/>
      <c r="Q187" s="8"/>
      <c r="R187" s="8"/>
      <c r="S187" s="8"/>
      <c r="T187" s="8"/>
      <c r="U187" s="8"/>
      <c r="V187" s="8"/>
      <c r="W187" s="8"/>
      <c r="X187" s="8"/>
      <c r="Y187" s="8"/>
      <c r="Z187" s="8"/>
      <c r="AA187" s="8"/>
      <c r="AB187" s="8"/>
      <c r="AC187" s="8"/>
      <c r="AD187" s="8"/>
      <c r="AE187" s="8"/>
      <c r="AF187" s="84">
        <f>AF$39</f>
        <v>0</v>
      </c>
      <c r="AG187" s="8">
        <f>+AF187-AG189</f>
        <v>0</v>
      </c>
      <c r="AH187" s="8">
        <f>+AG187-AH189</f>
        <v>0</v>
      </c>
      <c r="AI187" s="8">
        <f>+AH187-AI189</f>
        <v>0</v>
      </c>
      <c r="AJ187" s="8"/>
      <c r="AK187" s="8"/>
    </row>
    <row r="188" spans="1:37" ht="15.75" x14ac:dyDescent="0.25">
      <c r="A188" s="237" t="s">
        <v>404</v>
      </c>
      <c r="B188" s="301">
        <f>+AF187/((1-(1/(1+$B$19)^$B$18))/$B$19)</f>
        <v>0</v>
      </c>
      <c r="C188" s="84"/>
      <c r="D188" s="84"/>
      <c r="E188" s="84"/>
      <c r="F188" s="84"/>
      <c r="G188" s="84"/>
      <c r="H188" s="84"/>
      <c r="I188" s="84"/>
      <c r="J188" s="84"/>
      <c r="K188" s="84"/>
      <c r="L188" s="84"/>
      <c r="M188" s="84"/>
      <c r="N188" s="8"/>
      <c r="O188" s="8"/>
      <c r="P188" s="8"/>
      <c r="Q188" s="8"/>
      <c r="R188" s="8"/>
      <c r="S188" s="8"/>
      <c r="T188" s="8"/>
      <c r="U188" s="8"/>
      <c r="V188" s="8"/>
      <c r="W188" s="8"/>
      <c r="X188" s="8"/>
      <c r="Y188" s="8"/>
      <c r="Z188" s="8"/>
      <c r="AA188" s="8"/>
      <c r="AB188" s="8"/>
      <c r="AC188" s="8"/>
      <c r="AD188" s="8"/>
      <c r="AE188" s="8"/>
      <c r="AF188" s="8">
        <v>0</v>
      </c>
      <c r="AG188" s="8">
        <f>+IF(AF187&lt;0.01,0,$B$188)</f>
        <v>0</v>
      </c>
      <c r="AH188" s="8">
        <f>+IF(AG187&lt;0.01,0,$B$188)</f>
        <v>0</v>
      </c>
      <c r="AI188" s="8">
        <f>+IF(AH187&lt;0.01,0,$B$188)</f>
        <v>0</v>
      </c>
      <c r="AJ188" s="294">
        <f>SUM(C188:AI188)</f>
        <v>0</v>
      </c>
      <c r="AK188" s="8"/>
    </row>
    <row r="189" spans="1:37" ht="15.75" x14ac:dyDescent="0.25">
      <c r="A189" s="237" t="s">
        <v>405</v>
      </c>
      <c r="B189" s="302"/>
      <c r="C189" s="84"/>
      <c r="D189" s="84"/>
      <c r="E189" s="84"/>
      <c r="F189" s="84"/>
      <c r="G189" s="84"/>
      <c r="H189" s="84"/>
      <c r="I189" s="84"/>
      <c r="J189" s="84"/>
      <c r="K189" s="84"/>
      <c r="L189" s="84"/>
      <c r="M189" s="84"/>
      <c r="N189" s="8"/>
      <c r="O189" s="8"/>
      <c r="P189" s="8"/>
      <c r="Q189" s="8"/>
      <c r="R189" s="8"/>
      <c r="S189" s="8"/>
      <c r="T189" s="8"/>
      <c r="U189" s="8"/>
      <c r="V189" s="8"/>
      <c r="W189" s="8"/>
      <c r="X189" s="8"/>
      <c r="Y189" s="8"/>
      <c r="Z189" s="8"/>
      <c r="AA189" s="8"/>
      <c r="AB189" s="8"/>
      <c r="AC189" s="8"/>
      <c r="AD189" s="8"/>
      <c r="AE189" s="8"/>
      <c r="AF189" s="8">
        <v>0</v>
      </c>
      <c r="AG189" s="8">
        <f>+AG188-AG190</f>
        <v>0</v>
      </c>
      <c r="AH189" s="8">
        <f>+AH188-AH190</f>
        <v>0</v>
      </c>
      <c r="AI189" s="8">
        <f>+AI188-AI190</f>
        <v>0</v>
      </c>
      <c r="AJ189" s="294">
        <f>SUM(C189:AI189)</f>
        <v>0</v>
      </c>
      <c r="AK189" s="8"/>
    </row>
    <row r="190" spans="1:37" ht="15.75" x14ac:dyDescent="0.25">
      <c r="A190" s="237" t="s">
        <v>406</v>
      </c>
      <c r="B190" s="302"/>
      <c r="C190" s="84"/>
      <c r="D190" s="84"/>
      <c r="E190" s="84"/>
      <c r="F190" s="84"/>
      <c r="G190" s="84"/>
      <c r="H190" s="84"/>
      <c r="I190" s="84"/>
      <c r="J190" s="84"/>
      <c r="K190" s="84"/>
      <c r="L190" s="84"/>
      <c r="M190" s="84"/>
      <c r="N190" s="8"/>
      <c r="O190" s="8"/>
      <c r="P190" s="8"/>
      <c r="Q190" s="8"/>
      <c r="R190" s="8"/>
      <c r="S190" s="8"/>
      <c r="T190" s="8"/>
      <c r="U190" s="8"/>
      <c r="V190" s="8"/>
      <c r="W190" s="8"/>
      <c r="X190" s="8"/>
      <c r="Y190" s="8"/>
      <c r="Z190" s="8"/>
      <c r="AA190" s="8"/>
      <c r="AB190" s="8"/>
      <c r="AC190" s="8"/>
      <c r="AD190" s="8"/>
      <c r="AE190" s="8"/>
      <c r="AF190" s="8">
        <v>0</v>
      </c>
      <c r="AG190" s="8">
        <f>+$B$19*AF187</f>
        <v>0</v>
      </c>
      <c r="AH190" s="8">
        <f>+$B$19*AG187</f>
        <v>0</v>
      </c>
      <c r="AI190" s="8">
        <f>+$B$19*AH187</f>
        <v>0</v>
      </c>
      <c r="AJ190" s="294">
        <f>SUM(C190:AI190)</f>
        <v>0</v>
      </c>
      <c r="AK190" s="8"/>
    </row>
    <row r="191" spans="1:37" ht="15.75" x14ac:dyDescent="0.25">
      <c r="A191" s="244"/>
      <c r="B191" s="301"/>
      <c r="C191" s="84"/>
      <c r="D191" s="84"/>
      <c r="E191" s="84"/>
      <c r="F191" s="84"/>
      <c r="G191" s="84"/>
      <c r="H191" s="84"/>
      <c r="I191" s="84"/>
      <c r="J191" s="84"/>
      <c r="K191" s="84"/>
      <c r="L191" s="84"/>
      <c r="M191" s="84"/>
      <c r="N191" s="8"/>
      <c r="O191" s="8"/>
      <c r="P191" s="8"/>
      <c r="Q191" s="8"/>
      <c r="R191" s="8"/>
      <c r="S191" s="8"/>
      <c r="T191" s="8"/>
      <c r="U191" s="8"/>
      <c r="V191" s="8"/>
      <c r="W191" s="8"/>
      <c r="X191" s="8"/>
      <c r="Y191" s="8"/>
      <c r="Z191" s="8"/>
      <c r="AA191" s="8"/>
      <c r="AB191" s="8"/>
      <c r="AC191" s="8"/>
      <c r="AD191" s="8"/>
      <c r="AE191" s="8"/>
      <c r="AF191" s="8"/>
      <c r="AG191" s="8"/>
      <c r="AH191" s="8"/>
      <c r="AI191" s="8"/>
      <c r="AJ191" s="8"/>
      <c r="AK191" s="8"/>
    </row>
    <row r="192" spans="1:37" ht="15.75" x14ac:dyDescent="0.25">
      <c r="A192" s="243">
        <f>AG3</f>
        <v>2047</v>
      </c>
      <c r="B192" s="302"/>
      <c r="C192" s="84"/>
      <c r="D192" s="84"/>
      <c r="E192" s="84"/>
      <c r="F192" s="84"/>
      <c r="G192" s="84"/>
      <c r="H192" s="84"/>
      <c r="I192" s="84"/>
      <c r="J192" s="84"/>
      <c r="K192" s="84"/>
      <c r="L192" s="84"/>
      <c r="M192" s="84"/>
      <c r="N192" s="8"/>
      <c r="O192" s="8"/>
      <c r="P192" s="8"/>
      <c r="Q192" s="8"/>
      <c r="R192" s="8"/>
      <c r="S192" s="8"/>
      <c r="T192" s="8"/>
      <c r="U192" s="8"/>
      <c r="V192" s="8"/>
      <c r="W192" s="8"/>
      <c r="X192" s="8"/>
      <c r="Y192" s="8"/>
      <c r="Z192" s="8"/>
      <c r="AA192" s="8"/>
      <c r="AB192" s="8"/>
      <c r="AC192" s="8"/>
      <c r="AD192" s="8"/>
      <c r="AE192" s="8"/>
      <c r="AF192" s="8"/>
      <c r="AG192" s="84">
        <f>AG$39</f>
        <v>0</v>
      </c>
      <c r="AH192" s="8">
        <f>+AG192-AH194</f>
        <v>0</v>
      </c>
      <c r="AI192" s="8">
        <f>+AH192-AI194</f>
        <v>0</v>
      </c>
      <c r="AJ192" s="8"/>
      <c r="AK192" s="8"/>
    </row>
    <row r="193" spans="1:37" ht="15.75" x14ac:dyDescent="0.25">
      <c r="A193" s="237" t="s">
        <v>404</v>
      </c>
      <c r="B193" s="301">
        <f>+AG192/((1-(1/(1+$B$19)^$B$18))/$B$19)</f>
        <v>0</v>
      </c>
      <c r="C193" s="84"/>
      <c r="D193" s="84"/>
      <c r="E193" s="84"/>
      <c r="F193" s="84"/>
      <c r="G193" s="84"/>
      <c r="H193" s="84"/>
      <c r="I193" s="84"/>
      <c r="J193" s="84"/>
      <c r="K193" s="84"/>
      <c r="L193" s="84"/>
      <c r="M193" s="84"/>
      <c r="N193" s="8"/>
      <c r="O193" s="8"/>
      <c r="P193" s="8"/>
      <c r="Q193" s="8"/>
      <c r="R193" s="8"/>
      <c r="S193" s="8"/>
      <c r="T193" s="8"/>
      <c r="U193" s="8"/>
      <c r="V193" s="8"/>
      <c r="W193" s="8"/>
      <c r="X193" s="8"/>
      <c r="Y193" s="8"/>
      <c r="Z193" s="8"/>
      <c r="AA193" s="8"/>
      <c r="AB193" s="8"/>
      <c r="AC193" s="8"/>
      <c r="AD193" s="8"/>
      <c r="AE193" s="8"/>
      <c r="AF193" s="8"/>
      <c r="AG193" s="8">
        <v>0</v>
      </c>
      <c r="AH193" s="8">
        <f>+IF(AG192&lt;0.01,0,$B$193)</f>
        <v>0</v>
      </c>
      <c r="AI193" s="8">
        <f>+IF(AH192&lt;0.01,0,$B$193)</f>
        <v>0</v>
      </c>
      <c r="AJ193" s="294">
        <f>SUM(C193:AI193)</f>
        <v>0</v>
      </c>
      <c r="AK193" s="8"/>
    </row>
    <row r="194" spans="1:37" ht="15.75" x14ac:dyDescent="0.25">
      <c r="A194" s="237" t="s">
        <v>405</v>
      </c>
      <c r="B194" s="302"/>
      <c r="C194" s="84"/>
      <c r="D194" s="84"/>
      <c r="E194" s="84"/>
      <c r="F194" s="84"/>
      <c r="G194" s="84"/>
      <c r="H194" s="84"/>
      <c r="I194" s="84"/>
      <c r="J194" s="84"/>
      <c r="K194" s="84"/>
      <c r="L194" s="84"/>
      <c r="M194" s="84"/>
      <c r="N194" s="8"/>
      <c r="O194" s="8"/>
      <c r="P194" s="8"/>
      <c r="Q194" s="8"/>
      <c r="R194" s="8"/>
      <c r="S194" s="8"/>
      <c r="T194" s="8"/>
      <c r="U194" s="8"/>
      <c r="V194" s="8"/>
      <c r="W194" s="8"/>
      <c r="X194" s="8"/>
      <c r="Y194" s="8"/>
      <c r="Z194" s="8"/>
      <c r="AA194" s="8"/>
      <c r="AB194" s="8"/>
      <c r="AC194" s="8"/>
      <c r="AD194" s="8"/>
      <c r="AE194" s="8"/>
      <c r="AF194" s="8"/>
      <c r="AG194" s="8">
        <v>0</v>
      </c>
      <c r="AH194" s="8">
        <f>+AH193-AH195</f>
        <v>0</v>
      </c>
      <c r="AI194" s="8">
        <f>+AI193-AI195</f>
        <v>0</v>
      </c>
      <c r="AJ194" s="294">
        <f>SUM(C194:AI194)</f>
        <v>0</v>
      </c>
      <c r="AK194" s="8"/>
    </row>
    <row r="195" spans="1:37" ht="15.75" x14ac:dyDescent="0.25">
      <c r="A195" s="237" t="s">
        <v>406</v>
      </c>
      <c r="B195" s="302"/>
      <c r="C195" s="84"/>
      <c r="D195" s="84"/>
      <c r="E195" s="84"/>
      <c r="F195" s="84"/>
      <c r="G195" s="84"/>
      <c r="H195" s="84"/>
      <c r="I195" s="84"/>
      <c r="J195" s="84"/>
      <c r="K195" s="84"/>
      <c r="L195" s="84"/>
      <c r="M195" s="84"/>
      <c r="N195" s="8"/>
      <c r="O195" s="8"/>
      <c r="P195" s="8"/>
      <c r="Q195" s="8"/>
      <c r="R195" s="8"/>
      <c r="S195" s="8"/>
      <c r="T195" s="8"/>
      <c r="U195" s="8"/>
      <c r="V195" s="8"/>
      <c r="W195" s="8"/>
      <c r="X195" s="8"/>
      <c r="Y195" s="8"/>
      <c r="Z195" s="8"/>
      <c r="AA195" s="8"/>
      <c r="AB195" s="8"/>
      <c r="AC195" s="8"/>
      <c r="AD195" s="8"/>
      <c r="AE195" s="8"/>
      <c r="AF195" s="8"/>
      <c r="AG195" s="8">
        <v>0</v>
      </c>
      <c r="AH195" s="8">
        <f>+$B$19*AG192</f>
        <v>0</v>
      </c>
      <c r="AI195" s="8">
        <f>+$B$19*AH192</f>
        <v>0</v>
      </c>
      <c r="AJ195" s="294">
        <f>SUM(C195:AI195)</f>
        <v>0</v>
      </c>
      <c r="AK195" s="8"/>
    </row>
    <row r="196" spans="1:37" ht="15.75" x14ac:dyDescent="0.25">
      <c r="A196" s="237"/>
      <c r="B196" s="301"/>
      <c r="C196" s="84"/>
      <c r="D196" s="84"/>
      <c r="E196" s="84"/>
      <c r="F196" s="84"/>
      <c r="G196" s="84"/>
      <c r="H196" s="84"/>
      <c r="I196" s="84"/>
      <c r="J196" s="84"/>
      <c r="K196" s="84"/>
      <c r="L196" s="84"/>
      <c r="M196" s="84"/>
      <c r="N196" s="8"/>
      <c r="O196" s="8"/>
      <c r="P196" s="8"/>
      <c r="Q196" s="8"/>
      <c r="R196" s="8"/>
      <c r="S196" s="8"/>
      <c r="T196" s="8"/>
      <c r="U196" s="8"/>
      <c r="V196" s="8"/>
      <c r="W196" s="8"/>
      <c r="X196" s="8"/>
      <c r="Y196" s="8"/>
      <c r="Z196" s="8"/>
      <c r="AA196" s="8"/>
      <c r="AB196" s="8"/>
      <c r="AC196" s="8"/>
      <c r="AD196" s="8"/>
      <c r="AE196" s="8"/>
      <c r="AF196" s="8"/>
      <c r="AG196" s="8"/>
      <c r="AH196" s="8"/>
      <c r="AI196" s="8"/>
      <c r="AJ196" s="8"/>
      <c r="AK196" s="8"/>
    </row>
    <row r="197" spans="1:37" ht="15.75" x14ac:dyDescent="0.25">
      <c r="A197" s="243">
        <f>AH3</f>
        <v>2048</v>
      </c>
      <c r="B197" s="302"/>
      <c r="C197" s="84"/>
      <c r="D197" s="84"/>
      <c r="E197" s="84"/>
      <c r="F197" s="84"/>
      <c r="G197" s="84"/>
      <c r="H197" s="84"/>
      <c r="I197" s="84"/>
      <c r="J197" s="84"/>
      <c r="K197" s="84"/>
      <c r="L197" s="84"/>
      <c r="M197" s="84"/>
      <c r="N197" s="8"/>
      <c r="O197" s="8"/>
      <c r="P197" s="8"/>
      <c r="Q197" s="8"/>
      <c r="R197" s="8"/>
      <c r="S197" s="8"/>
      <c r="T197" s="8"/>
      <c r="U197" s="8"/>
      <c r="V197" s="8"/>
      <c r="W197" s="8"/>
      <c r="X197" s="8"/>
      <c r="Y197" s="8"/>
      <c r="Z197" s="8"/>
      <c r="AA197" s="8"/>
      <c r="AB197" s="8"/>
      <c r="AC197" s="8"/>
      <c r="AD197" s="8"/>
      <c r="AE197" s="8"/>
      <c r="AF197" s="8"/>
      <c r="AG197" s="8"/>
      <c r="AH197" s="84">
        <f>AH$39</f>
        <v>0</v>
      </c>
      <c r="AI197" s="8">
        <f>+AH197-AI199</f>
        <v>0</v>
      </c>
      <c r="AJ197" s="8"/>
      <c r="AK197" s="8"/>
    </row>
    <row r="198" spans="1:37" ht="15.75" x14ac:dyDescent="0.25">
      <c r="A198" s="237" t="s">
        <v>404</v>
      </c>
      <c r="B198" s="301">
        <f>+AH197/((1-(1/(1+$B$19)^$B$18))/$B$19)</f>
        <v>0</v>
      </c>
      <c r="C198" s="84"/>
      <c r="D198" s="84"/>
      <c r="E198" s="84"/>
      <c r="F198" s="84"/>
      <c r="G198" s="84"/>
      <c r="H198" s="84"/>
      <c r="I198" s="84"/>
      <c r="J198" s="84"/>
      <c r="K198" s="84"/>
      <c r="L198" s="84"/>
      <c r="M198" s="84"/>
      <c r="N198" s="8"/>
      <c r="O198" s="8"/>
      <c r="P198" s="8"/>
      <c r="Q198" s="8"/>
      <c r="R198" s="8"/>
      <c r="S198" s="8"/>
      <c r="T198" s="8"/>
      <c r="U198" s="8"/>
      <c r="V198" s="8"/>
      <c r="W198" s="8"/>
      <c r="X198" s="8"/>
      <c r="Y198" s="8"/>
      <c r="Z198" s="8"/>
      <c r="AA198" s="8"/>
      <c r="AB198" s="8"/>
      <c r="AC198" s="8"/>
      <c r="AD198" s="8"/>
      <c r="AE198" s="8"/>
      <c r="AF198" s="8"/>
      <c r="AG198" s="8"/>
      <c r="AH198" s="8">
        <v>0</v>
      </c>
      <c r="AI198" s="8">
        <f>+IF(AH197&lt;0.01,0,$B$198)</f>
        <v>0</v>
      </c>
      <c r="AJ198" s="294">
        <f>SUM(C198:AI198)</f>
        <v>0</v>
      </c>
      <c r="AK198" s="8"/>
    </row>
    <row r="199" spans="1:37" ht="15.75" x14ac:dyDescent="0.25">
      <c r="A199" s="237" t="s">
        <v>405</v>
      </c>
      <c r="B199" s="302"/>
      <c r="C199" s="84"/>
      <c r="D199" s="84"/>
      <c r="E199" s="84"/>
      <c r="F199" s="84"/>
      <c r="G199" s="84"/>
      <c r="H199" s="84"/>
      <c r="I199" s="84"/>
      <c r="J199" s="84"/>
      <c r="K199" s="84"/>
      <c r="L199" s="84"/>
      <c r="M199" s="84"/>
      <c r="N199" s="8"/>
      <c r="O199" s="8"/>
      <c r="P199" s="8"/>
      <c r="Q199" s="8"/>
      <c r="R199" s="8"/>
      <c r="S199" s="8"/>
      <c r="T199" s="8"/>
      <c r="U199" s="8"/>
      <c r="V199" s="8"/>
      <c r="W199" s="8"/>
      <c r="X199" s="8"/>
      <c r="Y199" s="8"/>
      <c r="Z199" s="8"/>
      <c r="AA199" s="8"/>
      <c r="AB199" s="8"/>
      <c r="AC199" s="8"/>
      <c r="AD199" s="8"/>
      <c r="AE199" s="8"/>
      <c r="AF199" s="8"/>
      <c r="AG199" s="8"/>
      <c r="AH199" s="8">
        <v>0</v>
      </c>
      <c r="AI199" s="8">
        <f>+AI198-AI200</f>
        <v>0</v>
      </c>
      <c r="AJ199" s="294">
        <f>SUM(C199:AI199)</f>
        <v>0</v>
      </c>
      <c r="AK199" s="8"/>
    </row>
    <row r="200" spans="1:37" ht="15.75" x14ac:dyDescent="0.25">
      <c r="A200" s="237" t="s">
        <v>406</v>
      </c>
      <c r="B200" s="302"/>
      <c r="C200" s="84"/>
      <c r="D200" s="84"/>
      <c r="E200" s="84"/>
      <c r="F200" s="84"/>
      <c r="G200" s="84"/>
      <c r="H200" s="84"/>
      <c r="I200" s="84"/>
      <c r="J200" s="84"/>
      <c r="K200" s="84"/>
      <c r="L200" s="84"/>
      <c r="M200" s="84"/>
      <c r="N200" s="8"/>
      <c r="O200" s="8"/>
      <c r="P200" s="8"/>
      <c r="Q200" s="8"/>
      <c r="R200" s="8"/>
      <c r="S200" s="8"/>
      <c r="T200" s="8"/>
      <c r="U200" s="8"/>
      <c r="V200" s="8"/>
      <c r="W200" s="8"/>
      <c r="X200" s="8"/>
      <c r="Y200" s="8"/>
      <c r="Z200" s="8"/>
      <c r="AA200" s="8"/>
      <c r="AB200" s="8"/>
      <c r="AC200" s="8"/>
      <c r="AD200" s="8"/>
      <c r="AE200" s="8"/>
      <c r="AF200" s="8"/>
      <c r="AG200" s="8"/>
      <c r="AH200" s="8">
        <v>0</v>
      </c>
      <c r="AI200" s="8">
        <f>+$B$19*AH197</f>
        <v>0</v>
      </c>
      <c r="AJ200" s="294">
        <f>SUM(C200:AI200)</f>
        <v>0</v>
      </c>
      <c r="AK200" s="8"/>
    </row>
    <row r="201" spans="1:37" ht="15.75" x14ac:dyDescent="0.25">
      <c r="A201" s="237"/>
      <c r="B201" s="301"/>
      <c r="C201" s="84"/>
      <c r="D201" s="84"/>
      <c r="E201" s="84"/>
      <c r="F201" s="84"/>
      <c r="G201" s="84"/>
      <c r="H201" s="84"/>
      <c r="I201" s="84"/>
      <c r="J201" s="84"/>
      <c r="K201" s="84"/>
      <c r="L201" s="84"/>
      <c r="M201" s="84"/>
      <c r="N201" s="8"/>
      <c r="O201" s="8"/>
      <c r="P201" s="8"/>
      <c r="Q201" s="8"/>
      <c r="R201" s="8"/>
      <c r="S201" s="8"/>
      <c r="T201" s="8"/>
      <c r="U201" s="8"/>
      <c r="V201" s="8"/>
      <c r="W201" s="8"/>
      <c r="X201" s="8"/>
      <c r="Y201" s="8"/>
      <c r="Z201" s="8"/>
      <c r="AA201" s="8"/>
      <c r="AB201" s="8"/>
      <c r="AC201" s="8"/>
      <c r="AD201" s="8"/>
      <c r="AE201" s="8"/>
      <c r="AF201" s="8"/>
      <c r="AG201" s="8"/>
      <c r="AH201" s="8"/>
      <c r="AI201" s="8"/>
      <c r="AJ201" s="8"/>
      <c r="AK201" s="8"/>
    </row>
    <row r="202" spans="1:37" ht="15.75" x14ac:dyDescent="0.25">
      <c r="A202" s="243">
        <f>AI3</f>
        <v>2049</v>
      </c>
      <c r="B202" s="302"/>
      <c r="C202" s="84"/>
      <c r="D202" s="84"/>
      <c r="E202" s="84"/>
      <c r="F202" s="84"/>
      <c r="G202" s="84"/>
      <c r="H202" s="84"/>
      <c r="I202" s="84"/>
      <c r="J202" s="84"/>
      <c r="K202" s="84"/>
      <c r="L202" s="84"/>
      <c r="M202" s="84"/>
      <c r="N202" s="8"/>
      <c r="O202" s="8"/>
      <c r="P202" s="8"/>
      <c r="Q202" s="8"/>
      <c r="R202" s="8"/>
      <c r="S202" s="8"/>
      <c r="T202" s="8"/>
      <c r="U202" s="8"/>
      <c r="V202" s="8"/>
      <c r="W202" s="8"/>
      <c r="X202" s="8"/>
      <c r="Y202" s="8"/>
      <c r="Z202" s="8"/>
      <c r="AA202" s="8"/>
      <c r="AB202" s="8"/>
      <c r="AC202" s="8"/>
      <c r="AD202" s="8"/>
      <c r="AE202" s="8"/>
      <c r="AF202" s="8"/>
      <c r="AG202" s="8"/>
      <c r="AH202" s="8"/>
      <c r="AI202" s="84">
        <f>AI$39</f>
        <v>0</v>
      </c>
      <c r="AJ202" s="8"/>
      <c r="AK202" s="8"/>
    </row>
    <row r="203" spans="1:37" ht="15.75" x14ac:dyDescent="0.25">
      <c r="A203" s="237" t="s">
        <v>404</v>
      </c>
      <c r="B203" s="301">
        <f>+AI202/((1-(1/(1+$B$19)^$B$18))/$B$19)</f>
        <v>0</v>
      </c>
      <c r="C203" s="84"/>
      <c r="D203" s="84"/>
      <c r="E203" s="84"/>
      <c r="F203" s="84"/>
      <c r="G203" s="84"/>
      <c r="H203" s="84"/>
      <c r="I203" s="84"/>
      <c r="J203" s="84"/>
      <c r="K203" s="84"/>
      <c r="L203" s="84"/>
      <c r="M203" s="84"/>
      <c r="N203" s="8"/>
      <c r="O203" s="8"/>
      <c r="P203" s="8"/>
      <c r="Q203" s="8"/>
      <c r="R203" s="8"/>
      <c r="S203" s="8"/>
      <c r="T203" s="8"/>
      <c r="U203" s="8"/>
      <c r="V203" s="8"/>
      <c r="W203" s="8"/>
      <c r="X203" s="8"/>
      <c r="Y203" s="8"/>
      <c r="Z203" s="8"/>
      <c r="AA203" s="8"/>
      <c r="AB203" s="8"/>
      <c r="AC203" s="8"/>
      <c r="AD203" s="8"/>
      <c r="AE203" s="8"/>
      <c r="AF203" s="8"/>
      <c r="AG203" s="8"/>
      <c r="AH203" s="8"/>
      <c r="AI203" s="8">
        <v>0</v>
      </c>
      <c r="AJ203" s="294">
        <f>SUM(C203:AI203)</f>
        <v>0</v>
      </c>
      <c r="AK203" s="8"/>
    </row>
    <row r="204" spans="1:37" ht="15.75" x14ac:dyDescent="0.25">
      <c r="A204" s="237" t="s">
        <v>405</v>
      </c>
      <c r="B204" s="302"/>
      <c r="C204" s="84"/>
      <c r="D204" s="84"/>
      <c r="E204" s="84"/>
      <c r="F204" s="84"/>
      <c r="G204" s="84"/>
      <c r="H204" s="84"/>
      <c r="I204" s="84"/>
      <c r="J204" s="84"/>
      <c r="K204" s="84"/>
      <c r="L204" s="84"/>
      <c r="M204" s="84"/>
      <c r="N204" s="8"/>
      <c r="O204" s="8"/>
      <c r="P204" s="8"/>
      <c r="Q204" s="8"/>
      <c r="R204" s="8"/>
      <c r="S204" s="8"/>
      <c r="T204" s="8"/>
      <c r="U204" s="8"/>
      <c r="V204" s="8"/>
      <c r="W204" s="8"/>
      <c r="X204" s="8"/>
      <c r="Y204" s="8"/>
      <c r="Z204" s="8"/>
      <c r="AA204" s="8"/>
      <c r="AB204" s="8"/>
      <c r="AC204" s="8"/>
      <c r="AD204" s="8"/>
      <c r="AE204" s="8"/>
      <c r="AF204" s="8"/>
      <c r="AG204" s="8"/>
      <c r="AH204" s="8"/>
      <c r="AI204" s="8">
        <v>0</v>
      </c>
      <c r="AJ204" s="294">
        <f>SUM(C204:AI204)</f>
        <v>0</v>
      </c>
      <c r="AK204" s="8"/>
    </row>
    <row r="205" spans="1:37" ht="15.75" x14ac:dyDescent="0.25">
      <c r="A205" s="237" t="s">
        <v>406</v>
      </c>
      <c r="B205" s="302"/>
      <c r="C205" s="84"/>
      <c r="D205" s="84"/>
      <c r="E205" s="84"/>
      <c r="F205" s="84"/>
      <c r="G205" s="84"/>
      <c r="H205" s="84"/>
      <c r="I205" s="84"/>
      <c r="J205" s="84"/>
      <c r="K205" s="84"/>
      <c r="L205" s="84"/>
      <c r="M205" s="84"/>
      <c r="N205" s="8"/>
      <c r="O205" s="8"/>
      <c r="P205" s="8"/>
      <c r="Q205" s="8"/>
      <c r="R205" s="8"/>
      <c r="S205" s="8"/>
      <c r="T205" s="8"/>
      <c r="U205" s="8"/>
      <c r="V205" s="8"/>
      <c r="W205" s="8"/>
      <c r="X205" s="8"/>
      <c r="Y205" s="8"/>
      <c r="Z205" s="8"/>
      <c r="AA205" s="8"/>
      <c r="AB205" s="8"/>
      <c r="AC205" s="8"/>
      <c r="AD205" s="8"/>
      <c r="AE205" s="8"/>
      <c r="AF205" s="8"/>
      <c r="AG205" s="8"/>
      <c r="AH205" s="8"/>
      <c r="AI205" s="8">
        <v>0</v>
      </c>
      <c r="AJ205" s="294">
        <f>SUM(C205:AI205)</f>
        <v>0</v>
      </c>
      <c r="AK205" s="8"/>
    </row>
    <row r="206" spans="1:37" x14ac:dyDescent="0.25">
      <c r="A206" s="237"/>
      <c r="B206" s="219"/>
      <c r="C206" s="84"/>
      <c r="D206" s="84"/>
      <c r="E206" s="84"/>
      <c r="F206" s="84"/>
      <c r="G206" s="84"/>
      <c r="H206" s="84"/>
      <c r="I206" s="84"/>
      <c r="J206" s="84"/>
      <c r="K206" s="84"/>
      <c r="L206" s="84"/>
      <c r="M206" s="84"/>
      <c r="N206" s="8"/>
      <c r="O206" s="8"/>
      <c r="P206" s="8"/>
      <c r="Q206" s="8"/>
      <c r="R206" s="8"/>
      <c r="S206" s="8"/>
      <c r="T206" s="8"/>
      <c r="U206" s="8"/>
      <c r="V206" s="8"/>
      <c r="W206" s="8"/>
      <c r="X206" s="8"/>
      <c r="Y206" s="8"/>
      <c r="Z206" s="8"/>
      <c r="AA206" s="8"/>
      <c r="AB206" s="8"/>
      <c r="AC206" s="8"/>
      <c r="AD206" s="8"/>
      <c r="AE206" s="8"/>
      <c r="AF206" s="8"/>
      <c r="AG206" s="8"/>
      <c r="AH206" s="8"/>
      <c r="AI206" s="8"/>
      <c r="AJ206" s="8"/>
      <c r="AK206" s="8"/>
    </row>
    <row r="207" spans="1:37" x14ac:dyDescent="0.25">
      <c r="A207" s="244"/>
      <c r="B207" s="219"/>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row>
    <row r="208" spans="1:37" x14ac:dyDescent="0.25">
      <c r="A208" s="238" t="s">
        <v>407</v>
      </c>
      <c r="B208" s="217" t="s">
        <v>99</v>
      </c>
      <c r="C208" s="289">
        <f>ROUND(+C44+C49+C54+C59+C64+C69+C74+C79+C84+C89+C94+C99+C104+C109+C114+C119+C124+C129+C134+C139+C144+C149+C154+C159+C164+C169+C174+C179+C184+C189+C194+C199+C204,6)</f>
        <v>0</v>
      </c>
      <c r="D208" s="289">
        <f t="shared" ref="D208:AJ208" si="119">ROUND(+D44+D49+D54+D59+D64+D69+D74+D79+D84+D89+D94+D99+D104+D109+D114+D119+D124+D129+D134+D139+D144+D149+D154+D159+D164+D169+D174+D179+D184+D189+D194+D199+D204,6)</f>
        <v>0</v>
      </c>
      <c r="E208" s="289">
        <f t="shared" si="119"/>
        <v>0</v>
      </c>
      <c r="F208" s="289">
        <f t="shared" si="119"/>
        <v>0</v>
      </c>
      <c r="G208" s="289">
        <f t="shared" si="119"/>
        <v>0</v>
      </c>
      <c r="H208" s="289">
        <f t="shared" si="119"/>
        <v>2088.7545239999999</v>
      </c>
      <c r="I208" s="289">
        <f t="shared" si="119"/>
        <v>2291.3924649999999</v>
      </c>
      <c r="J208" s="289">
        <f t="shared" si="119"/>
        <v>2474.7038619999998</v>
      </c>
      <c r="K208" s="289">
        <f t="shared" si="119"/>
        <v>2672.680171</v>
      </c>
      <c r="L208" s="289">
        <f t="shared" si="119"/>
        <v>2886.4945849999999</v>
      </c>
      <c r="M208" s="289">
        <f t="shared" si="119"/>
        <v>3117.4141519999998</v>
      </c>
      <c r="N208" s="289">
        <f t="shared" si="119"/>
        <v>3366.807284</v>
      </c>
      <c r="O208" s="289">
        <f t="shared" si="119"/>
        <v>3636.151867</v>
      </c>
      <c r="P208" s="289">
        <f t="shared" si="119"/>
        <v>60.905166000000001</v>
      </c>
      <c r="Q208" s="289">
        <f t="shared" si="119"/>
        <v>0</v>
      </c>
      <c r="R208" s="289">
        <f t="shared" si="119"/>
        <v>0</v>
      </c>
      <c r="S208" s="289">
        <f t="shared" si="119"/>
        <v>0</v>
      </c>
      <c r="T208" s="289">
        <f t="shared" si="119"/>
        <v>0</v>
      </c>
      <c r="U208" s="289">
        <f t="shared" si="119"/>
        <v>0</v>
      </c>
      <c r="V208" s="289">
        <f t="shared" si="119"/>
        <v>0</v>
      </c>
      <c r="W208" s="289">
        <f t="shared" si="119"/>
        <v>0</v>
      </c>
      <c r="X208" s="289">
        <f t="shared" si="119"/>
        <v>0</v>
      </c>
      <c r="Y208" s="289">
        <f t="shared" si="119"/>
        <v>0</v>
      </c>
      <c r="Z208" s="289">
        <f t="shared" si="119"/>
        <v>0</v>
      </c>
      <c r="AA208" s="289">
        <f t="shared" si="119"/>
        <v>0</v>
      </c>
      <c r="AB208" s="289">
        <f t="shared" si="119"/>
        <v>0</v>
      </c>
      <c r="AC208" s="289">
        <f t="shared" si="119"/>
        <v>0</v>
      </c>
      <c r="AD208" s="289">
        <f t="shared" si="119"/>
        <v>0</v>
      </c>
      <c r="AE208" s="289">
        <f t="shared" si="119"/>
        <v>0</v>
      </c>
      <c r="AF208" s="289">
        <f t="shared" si="119"/>
        <v>0</v>
      </c>
      <c r="AG208" s="289">
        <f t="shared" si="119"/>
        <v>0</v>
      </c>
      <c r="AH208" s="289">
        <f t="shared" si="119"/>
        <v>0</v>
      </c>
      <c r="AI208" s="289">
        <f t="shared" si="119"/>
        <v>0</v>
      </c>
      <c r="AJ208" s="289">
        <f t="shared" si="119"/>
        <v>22595.304077000001</v>
      </c>
      <c r="AK208" s="289"/>
    </row>
  </sheetData>
  <pageMargins left="0.7" right="0.7" top="0.75" bottom="0.75" header="0.3" footer="0.3"/>
  <pageSetup orientation="portrait" horizontalDpi="360" verticalDpi="36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7" tint="-0.249977111117893"/>
  </sheetPr>
  <dimension ref="A1:AN146"/>
  <sheetViews>
    <sheetView topLeftCell="A83" workbookViewId="0">
      <selection activeCell="C100" sqref="C100"/>
    </sheetView>
  </sheetViews>
  <sheetFormatPr defaultColWidth="8.85546875" defaultRowHeight="15" x14ac:dyDescent="0.25"/>
  <cols>
    <col min="1" max="1" width="55" customWidth="1"/>
    <col min="2" max="2" width="14.42578125" customWidth="1"/>
    <col min="3" max="3" width="12.85546875" customWidth="1"/>
    <col min="4" max="5" width="9.85546875" bestFit="1" customWidth="1"/>
    <col min="6" max="6" width="11.42578125" customWidth="1"/>
    <col min="7" max="33" width="9.7109375" bestFit="1" customWidth="1"/>
    <col min="34" max="34" width="10.7109375" customWidth="1"/>
    <col min="35" max="35" width="9.7109375" bestFit="1" customWidth="1"/>
    <col min="36" max="36" width="12.140625" customWidth="1"/>
  </cols>
  <sheetData>
    <row r="1" spans="1:40" ht="21" x14ac:dyDescent="0.25">
      <c r="A1" s="197" t="s">
        <v>520</v>
      </c>
      <c r="B1" s="69"/>
      <c r="C1" s="69"/>
      <c r="D1" s="75"/>
      <c r="E1" s="69"/>
      <c r="F1" s="69"/>
      <c r="G1" s="69"/>
      <c r="H1" s="25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122"/>
    </row>
    <row r="2" spans="1:40" ht="21" x14ac:dyDescent="0.25">
      <c r="A2" s="197" t="s">
        <v>467</v>
      </c>
      <c r="B2" s="69"/>
      <c r="C2" s="305"/>
      <c r="D2" s="235"/>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132"/>
    </row>
    <row r="3" spans="1:40" x14ac:dyDescent="0.2">
      <c r="A3" s="201"/>
      <c r="D3" s="1"/>
      <c r="AJ3" s="124"/>
    </row>
    <row r="4" spans="1:40" ht="18.95" x14ac:dyDescent="0.25">
      <c r="A4" s="272" t="s">
        <v>454</v>
      </c>
      <c r="B4" t="s">
        <v>234</v>
      </c>
      <c r="C4" s="1">
        <f>'Assumptions &amp; Results'!D2</f>
        <v>2017</v>
      </c>
      <c r="D4" s="1">
        <f>'Assumptions &amp; Results'!E2</f>
        <v>2018</v>
      </c>
      <c r="E4" s="1">
        <f>'Assumptions &amp; Results'!F2</f>
        <v>2019</v>
      </c>
      <c r="F4" s="1">
        <f>'Assumptions &amp; Results'!G2</f>
        <v>2020</v>
      </c>
      <c r="G4" s="1">
        <f>'Assumptions &amp; Results'!H2</f>
        <v>2021</v>
      </c>
      <c r="H4" s="1">
        <f>'Assumptions &amp; Results'!I2</f>
        <v>2022</v>
      </c>
      <c r="I4" s="1">
        <f>'Assumptions &amp; Results'!J2</f>
        <v>2023</v>
      </c>
      <c r="J4" s="1">
        <f>'Assumptions &amp; Results'!K2</f>
        <v>2024</v>
      </c>
      <c r="K4" s="1">
        <f>'Assumptions &amp; Results'!L2</f>
        <v>2025</v>
      </c>
      <c r="L4" s="1">
        <f>'Assumptions &amp; Results'!M2</f>
        <v>2026</v>
      </c>
      <c r="M4" s="1">
        <f>'Assumptions &amp; Results'!N2</f>
        <v>2027</v>
      </c>
      <c r="N4" s="1">
        <f>'Assumptions &amp; Results'!O2</f>
        <v>2028</v>
      </c>
      <c r="O4" s="1">
        <f>'Assumptions &amp; Results'!P2</f>
        <v>2029</v>
      </c>
      <c r="P4" s="1">
        <f>'Assumptions &amp; Results'!Q2</f>
        <v>2030</v>
      </c>
      <c r="Q4" s="1">
        <f>'Assumptions &amp; Results'!R2</f>
        <v>2031</v>
      </c>
      <c r="R4" s="1">
        <f>'Assumptions &amp; Results'!S2</f>
        <v>2032</v>
      </c>
      <c r="S4" s="1">
        <f>'Assumptions &amp; Results'!T2</f>
        <v>2033</v>
      </c>
      <c r="T4" s="1">
        <f>'Assumptions &amp; Results'!U2</f>
        <v>2034</v>
      </c>
      <c r="U4" s="1">
        <f>'Assumptions &amp; Results'!V2</f>
        <v>2035</v>
      </c>
      <c r="V4" s="1">
        <f>'Assumptions &amp; Results'!W2</f>
        <v>2036</v>
      </c>
      <c r="W4" s="1">
        <f>'Assumptions &amp; Results'!X2</f>
        <v>2037</v>
      </c>
      <c r="X4" s="1">
        <f>'Assumptions &amp; Results'!Y2</f>
        <v>2038</v>
      </c>
      <c r="Y4" s="1">
        <f>'Assumptions &amp; Results'!Z2</f>
        <v>2039</v>
      </c>
      <c r="Z4" s="1">
        <f>'Assumptions &amp; Results'!AA2</f>
        <v>2040</v>
      </c>
      <c r="AA4" s="1">
        <f>'Assumptions &amp; Results'!AB2</f>
        <v>2041</v>
      </c>
      <c r="AB4" s="1">
        <f>'Assumptions &amp; Results'!AC2</f>
        <v>2042</v>
      </c>
      <c r="AC4" s="1">
        <f>'Assumptions &amp; Results'!AD2</f>
        <v>2043</v>
      </c>
      <c r="AD4" s="1">
        <f>'Assumptions &amp; Results'!AE2</f>
        <v>2044</v>
      </c>
      <c r="AE4" s="1">
        <f>'Assumptions &amp; Results'!AF2</f>
        <v>2045</v>
      </c>
      <c r="AF4" s="1">
        <f>'Assumptions &amp; Results'!AG2</f>
        <v>2046</v>
      </c>
      <c r="AG4" s="1">
        <f>'Assumptions &amp; Results'!AH2</f>
        <v>2047</v>
      </c>
      <c r="AH4" s="1">
        <f>'Assumptions &amp; Results'!AI2</f>
        <v>2048</v>
      </c>
      <c r="AI4" s="1">
        <f>'Assumptions &amp; Results'!AJ2</f>
        <v>2049</v>
      </c>
      <c r="AJ4" s="130" t="s">
        <v>63</v>
      </c>
    </row>
    <row r="5" spans="1:40" x14ac:dyDescent="0.2">
      <c r="A5" s="267"/>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280"/>
    </row>
    <row r="6" spans="1:40" x14ac:dyDescent="0.2">
      <c r="A6" s="30" t="s">
        <v>449</v>
      </c>
      <c r="B6" t="s">
        <v>99</v>
      </c>
      <c r="C6" s="268">
        <f>IF('Assumptions &amp; Results'!$C$172=1,'Consolidated LNG Tolling'!C4,IF('Assumptions &amp; Results'!$C$172=2,'Consolidated LNG Equity'!C4,'Consolidated One Ring Fence'!C4))</f>
        <v>0</v>
      </c>
      <c r="D6" s="268">
        <f>IF('Assumptions &amp; Results'!$C$172=1,'Consolidated LNG Tolling'!D4,IF('Assumptions &amp; Results'!$C$172=2,'Consolidated LNG Equity'!D4,'Consolidated One Ring Fence'!D4))</f>
        <v>0</v>
      </c>
      <c r="E6" s="268">
        <f>IF('Assumptions &amp; Results'!$C$172=1,'Consolidated LNG Tolling'!E4,IF('Assumptions &amp; Results'!$C$172=2,'Consolidated LNG Equity'!E4,'Consolidated One Ring Fence'!E4))</f>
        <v>0</v>
      </c>
      <c r="F6" s="268">
        <f>IF('Assumptions &amp; Results'!$C$172=1,'Consolidated LNG Tolling'!F4,IF('Assumptions &amp; Results'!$C$172=2,'Consolidated LNG Equity'!F4,'Consolidated One Ring Fence'!F4))</f>
        <v>0</v>
      </c>
      <c r="G6" s="268">
        <f>IF('Assumptions &amp; Results'!$C$172=1,'Consolidated LNG Tolling'!G4,IF('Assumptions &amp; Results'!$C$172=2,'Consolidated LNG Equity'!G4,'Consolidated One Ring Fence'!G4))</f>
        <v>4677.9768750000012</v>
      </c>
      <c r="H6" s="268">
        <f>IF('Assumptions &amp; Results'!$C$172=1,'Consolidated LNG Tolling'!H4,IF('Assumptions &amp; Results'!$C$172=2,'Consolidated LNG Equity'!H4,'Consolidated One Ring Fence'!H4))</f>
        <v>9355.9537500000024</v>
      </c>
      <c r="I6" s="268">
        <f>IF('Assumptions &amp; Results'!$C$172=1,'Consolidated LNG Tolling'!I4,IF('Assumptions &amp; Results'!$C$172=2,'Consolidated LNG Equity'!I4,'Consolidated One Ring Fence'!I4))</f>
        <v>9355.9537500000024</v>
      </c>
      <c r="J6" s="268">
        <f>IF('Assumptions &amp; Results'!$C$172=1,'Consolidated LNG Tolling'!J4,IF('Assumptions &amp; Results'!$C$172=2,'Consolidated LNG Equity'!J4,'Consolidated One Ring Fence'!J4))</f>
        <v>8891.1673124999998</v>
      </c>
      <c r="K6" s="268">
        <f>IF('Assumptions &amp; Results'!$C$172=1,'Consolidated LNG Tolling'!K4,IF('Assumptions &amp; Results'!$C$172=2,'Consolidated LNG Equity'!K4,'Consolidated One Ring Fence'!K4))</f>
        <v>9355.9537500000024</v>
      </c>
      <c r="L6" s="268">
        <f>IF('Assumptions &amp; Results'!$C$172=1,'Consolidated LNG Tolling'!L4,IF('Assumptions &amp; Results'!$C$172=2,'Consolidated LNG Equity'!L4,'Consolidated One Ring Fence'!L4))</f>
        <v>9355.9537500000024</v>
      </c>
      <c r="M6" s="268">
        <f>IF('Assumptions &amp; Results'!$C$172=1,'Consolidated LNG Tolling'!M4,IF('Assumptions &amp; Results'!$C$172=2,'Consolidated LNG Equity'!M4,'Consolidated One Ring Fence'!M4))</f>
        <v>9355.9537500000024</v>
      </c>
      <c r="N6" s="268">
        <f>IF('Assumptions &amp; Results'!$C$172=1,'Consolidated LNG Tolling'!N4,IF('Assumptions &amp; Results'!$C$172=2,'Consolidated LNG Equity'!N4,'Consolidated One Ring Fence'!N4))</f>
        <v>9355.9537500000024</v>
      </c>
      <c r="O6" s="268">
        <f>IF('Assumptions &amp; Results'!$C$172=1,'Consolidated LNG Tolling'!O4,IF('Assumptions &amp; Results'!$C$172=2,'Consolidated LNG Equity'!O4,'Consolidated One Ring Fence'!O4))</f>
        <v>8891.1673124999998</v>
      </c>
      <c r="P6" s="268">
        <f>IF('Assumptions &amp; Results'!$C$172=1,'Consolidated LNG Tolling'!P4,IF('Assumptions &amp; Results'!$C$172=2,'Consolidated LNG Equity'!P4,'Consolidated One Ring Fence'!P4))</f>
        <v>9355.9537500000024</v>
      </c>
      <c r="Q6" s="268">
        <f>IF('Assumptions &amp; Results'!$C$172=1,'Consolidated LNG Tolling'!Q4,IF('Assumptions &amp; Results'!$C$172=2,'Consolidated LNG Equity'!Q4,'Consolidated One Ring Fence'!Q4))</f>
        <v>9355.9537500000024</v>
      </c>
      <c r="R6" s="268">
        <f>IF('Assumptions &amp; Results'!$C$172=1,'Consolidated LNG Tolling'!R4,IF('Assumptions &amp; Results'!$C$172=2,'Consolidated LNG Equity'!R4,'Consolidated One Ring Fence'!R4))</f>
        <v>9355.9537500000024</v>
      </c>
      <c r="S6" s="268">
        <f>IF('Assumptions &amp; Results'!$C$172=1,'Consolidated LNG Tolling'!S4,IF('Assumptions &amp; Results'!$C$172=2,'Consolidated LNG Equity'!S4,'Consolidated One Ring Fence'!S4))</f>
        <v>9355.9537500000024</v>
      </c>
      <c r="T6" s="268">
        <f>IF('Assumptions &amp; Results'!$C$172=1,'Consolidated LNG Tolling'!T4,IF('Assumptions &amp; Results'!$C$172=2,'Consolidated LNG Equity'!T4,'Consolidated One Ring Fence'!T4))</f>
        <v>8891.1673124999998</v>
      </c>
      <c r="U6" s="268">
        <f>IF('Assumptions &amp; Results'!$C$172=1,'Consolidated LNG Tolling'!U4,IF('Assumptions &amp; Results'!$C$172=2,'Consolidated LNG Equity'!U4,'Consolidated One Ring Fence'!U4))</f>
        <v>9355.9537500000024</v>
      </c>
      <c r="V6" s="268">
        <f>IF('Assumptions &amp; Results'!$C$172=1,'Consolidated LNG Tolling'!V4,IF('Assumptions &amp; Results'!$C$172=2,'Consolidated LNG Equity'!V4,'Consolidated One Ring Fence'!V4))</f>
        <v>9355.9537500000024</v>
      </c>
      <c r="W6" s="268">
        <f>IF('Assumptions &amp; Results'!$C$172=1,'Consolidated LNG Tolling'!W4,IF('Assumptions &amp; Results'!$C$172=2,'Consolidated LNG Equity'!W4,'Consolidated One Ring Fence'!W4))</f>
        <v>9355.9537500000024</v>
      </c>
      <c r="X6" s="268">
        <f>IF('Assumptions &amp; Results'!$C$172=1,'Consolidated LNG Tolling'!X4,IF('Assumptions &amp; Results'!$C$172=2,'Consolidated LNG Equity'!X4,'Consolidated One Ring Fence'!X4))</f>
        <v>9355.9537500000024</v>
      </c>
      <c r="Y6" s="268">
        <f>IF('Assumptions &amp; Results'!$C$172=1,'Consolidated LNG Tolling'!Y4,IF('Assumptions &amp; Results'!$C$172=2,'Consolidated LNG Equity'!Y4,'Consolidated One Ring Fence'!Y4))</f>
        <v>8891.1673124999998</v>
      </c>
      <c r="Z6" s="268">
        <f>IF('Assumptions &amp; Results'!$C$172=1,'Consolidated LNG Tolling'!Z4,IF('Assumptions &amp; Results'!$C$172=2,'Consolidated LNG Equity'!Z4,'Consolidated One Ring Fence'!Z4))</f>
        <v>9355.9537500000024</v>
      </c>
      <c r="AA6" s="268">
        <f>IF('Assumptions &amp; Results'!$C$172=1,'Consolidated LNG Tolling'!AA4,IF('Assumptions &amp; Results'!$C$172=2,'Consolidated LNG Equity'!AA4,'Consolidated One Ring Fence'!AA4))</f>
        <v>9355.9537500000024</v>
      </c>
      <c r="AB6" s="268">
        <f>IF('Assumptions &amp; Results'!$C$172=1,'Consolidated LNG Tolling'!AB4,IF('Assumptions &amp; Results'!$C$172=2,'Consolidated LNG Equity'!AB4,'Consolidated One Ring Fence'!AB4))</f>
        <v>9355.9537500000024</v>
      </c>
      <c r="AC6" s="268">
        <f>IF('Assumptions &amp; Results'!$C$172=1,'Consolidated LNG Tolling'!AC4,IF('Assumptions &amp; Results'!$C$172=2,'Consolidated LNG Equity'!AC4,'Consolidated One Ring Fence'!AC4))</f>
        <v>9355.9537500000024</v>
      </c>
      <c r="AD6" s="268">
        <f>IF('Assumptions &amp; Results'!$C$172=1,'Consolidated LNG Tolling'!AD4,IF('Assumptions &amp; Results'!$C$172=2,'Consolidated LNG Equity'!AD4,'Consolidated One Ring Fence'!AD4))</f>
        <v>8891.1673124999998</v>
      </c>
      <c r="AE6" s="268">
        <f>IF('Assumptions &amp; Results'!$C$172=1,'Consolidated LNG Tolling'!AE4,IF('Assumptions &amp; Results'!$C$172=2,'Consolidated LNG Equity'!AE4,'Consolidated One Ring Fence'!AE4))</f>
        <v>9355.9537500000024</v>
      </c>
      <c r="AF6" s="268">
        <f>IF('Assumptions &amp; Results'!$C$172=1,'Consolidated LNG Tolling'!AF4,IF('Assumptions &amp; Results'!$C$172=2,'Consolidated LNG Equity'!AF4,'Consolidated One Ring Fence'!AF4))</f>
        <v>9355.9537500000024</v>
      </c>
      <c r="AG6" s="268">
        <f>IF('Assumptions &amp; Results'!$C$172=1,'Consolidated LNG Tolling'!AG4,IF('Assumptions &amp; Results'!$C$172=2,'Consolidated LNG Equity'!AG4,'Consolidated One Ring Fence'!AG4))</f>
        <v>9355.9537500000024</v>
      </c>
      <c r="AH6" s="268">
        <f>IF('Assumptions &amp; Results'!$C$172=1,'Consolidated LNG Tolling'!AH4,IF('Assumptions &amp; Results'!$C$172=2,'Consolidated LNG Equity'!AH4,'Consolidated One Ring Fence'!AH4))</f>
        <v>9355.9537500000024</v>
      </c>
      <c r="AI6" s="268">
        <f>IF('Assumptions &amp; Results'!$C$172=1,'Consolidated LNG Tolling'!AI4,IF('Assumptions &amp; Results'!$C$172=2,'Consolidated LNG Equity'!AI4,'Consolidated One Ring Fence'!AI4))</f>
        <v>9355.9537500000024</v>
      </c>
      <c r="AJ6" s="271">
        <f>SUM(C6:AI6)</f>
        <v>264320.74968750018</v>
      </c>
      <c r="AK6" s="37"/>
      <c r="AL6" s="37"/>
      <c r="AM6" s="37"/>
      <c r="AN6" s="37"/>
    </row>
    <row r="7" spans="1:40" x14ac:dyDescent="0.2">
      <c r="A7" s="267"/>
      <c r="B7" s="37"/>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70"/>
      <c r="AK7" s="37"/>
      <c r="AL7" s="37"/>
      <c r="AM7" s="37"/>
      <c r="AN7" s="37"/>
    </row>
    <row r="8" spans="1:40" x14ac:dyDescent="0.2">
      <c r="A8" t="s">
        <v>478</v>
      </c>
      <c r="B8" t="s">
        <v>99</v>
      </c>
      <c r="C8" s="268">
        <f>IF('Assumptions &amp; Results'!$C$172=1,'Consolidated LNG Tolling'!C6,IF('Assumptions &amp; Results'!$C$172=2,'Consolidated LNG Equity'!C6,'Consolidated One Ring Fence'!C6))</f>
        <v>0</v>
      </c>
      <c r="D8" s="268">
        <f>IF('Assumptions &amp; Results'!$C$172=1,'Consolidated LNG Tolling'!D6,IF('Assumptions &amp; Results'!$C$172=2,'Consolidated LNG Equity'!D6,'Consolidated One Ring Fence'!D6))</f>
        <v>0</v>
      </c>
      <c r="E8" s="268">
        <f>IF('Assumptions &amp; Results'!$C$172=1,'Consolidated LNG Tolling'!E6,IF('Assumptions &amp; Results'!$C$172=2,'Consolidated LNG Equity'!E6,'Consolidated One Ring Fence'!E6))</f>
        <v>0</v>
      </c>
      <c r="F8" s="268">
        <f>IF('Assumptions &amp; Results'!$C$172=1,'Consolidated LNG Tolling'!F6,IF('Assumptions &amp; Results'!$C$172=2,'Consolidated LNG Equity'!F6,'Consolidated One Ring Fence'!F6))</f>
        <v>0</v>
      </c>
      <c r="G8" s="268">
        <f>IF('Assumptions &amp; Results'!$C$172=1,'Consolidated LNG Tolling'!G6,IF('Assumptions &amp; Results'!$C$172=2,'Consolidated LNG Equity'!G6,'Consolidated One Ring Fence'!G6))</f>
        <v>-1139.3486</v>
      </c>
      <c r="H8" s="268">
        <f>IF('Assumptions &amp; Results'!$C$172=1,'Consolidated LNG Tolling'!H6,IF('Assumptions &amp; Results'!$C$172=2,'Consolidated LNG Equity'!H6,'Consolidated One Ring Fence'!H6))</f>
        <v>-2278.6972000000001</v>
      </c>
      <c r="I8" s="268">
        <f>IF('Assumptions &amp; Results'!$C$172=1,'Consolidated LNG Tolling'!I6,IF('Assumptions &amp; Results'!$C$172=2,'Consolidated LNG Equity'!I6,'Consolidated One Ring Fence'!I6))</f>
        <v>-2278.6972000000001</v>
      </c>
      <c r="J8" s="268">
        <f>IF('Assumptions &amp; Results'!$C$172=1,'Consolidated LNG Tolling'!J6,IF('Assumptions &amp; Results'!$C$172=2,'Consolidated LNG Equity'!J6,'Consolidated One Ring Fence'!J6))</f>
        <v>-2390.0837000000001</v>
      </c>
      <c r="K8" s="268">
        <f>IF('Assumptions &amp; Results'!$C$172=1,'Consolidated LNG Tolling'!K6,IF('Assumptions &amp; Results'!$C$172=2,'Consolidated LNG Equity'!K6,'Consolidated One Ring Fence'!K6))</f>
        <v>-2278.6972000000001</v>
      </c>
      <c r="L8" s="268">
        <f>IF('Assumptions &amp; Results'!$C$172=1,'Consolidated LNG Tolling'!L6,IF('Assumptions &amp; Results'!$C$172=2,'Consolidated LNG Equity'!L6,'Consolidated One Ring Fence'!L6))</f>
        <v>-2278.6972000000001</v>
      </c>
      <c r="M8" s="268">
        <f>IF('Assumptions &amp; Results'!$C$172=1,'Consolidated LNG Tolling'!M6,IF('Assumptions &amp; Results'!$C$172=2,'Consolidated LNG Equity'!M6,'Consolidated One Ring Fence'!M6))</f>
        <v>-2278.6972000000001</v>
      </c>
      <c r="N8" s="268">
        <f>IF('Assumptions &amp; Results'!$C$172=1,'Consolidated LNG Tolling'!N6,IF('Assumptions &amp; Results'!$C$172=2,'Consolidated LNG Equity'!N6,'Consolidated One Ring Fence'!N6))</f>
        <v>-2278.6972000000001</v>
      </c>
      <c r="O8" s="268">
        <f>IF('Assumptions &amp; Results'!$C$172=1,'Consolidated LNG Tolling'!O6,IF('Assumptions &amp; Results'!$C$172=2,'Consolidated LNG Equity'!O6,'Consolidated One Ring Fence'!O6))</f>
        <v>-2390.0837000000001</v>
      </c>
      <c r="P8" s="268">
        <f>IF('Assumptions &amp; Results'!$C$172=1,'Consolidated LNG Tolling'!P6,IF('Assumptions &amp; Results'!$C$172=2,'Consolidated LNG Equity'!P6,'Consolidated One Ring Fence'!P6))</f>
        <v>-2278.6972000000001</v>
      </c>
      <c r="Q8" s="268">
        <f>IF('Assumptions &amp; Results'!$C$172=1,'Consolidated LNG Tolling'!Q6,IF('Assumptions &amp; Results'!$C$172=2,'Consolidated LNG Equity'!Q6,'Consolidated One Ring Fence'!Q6))</f>
        <v>-2278.6972000000001</v>
      </c>
      <c r="R8" s="268">
        <f>IF('Assumptions &amp; Results'!$C$172=1,'Consolidated LNG Tolling'!R6,IF('Assumptions &amp; Results'!$C$172=2,'Consolidated LNG Equity'!R6,'Consolidated One Ring Fence'!R6))</f>
        <v>-2278.6972000000001</v>
      </c>
      <c r="S8" s="268">
        <f>IF('Assumptions &amp; Results'!$C$172=1,'Consolidated LNG Tolling'!S6,IF('Assumptions &amp; Results'!$C$172=2,'Consolidated LNG Equity'!S6,'Consolidated One Ring Fence'!S6))</f>
        <v>-2278.6972000000001</v>
      </c>
      <c r="T8" s="268">
        <f>IF('Assumptions &amp; Results'!$C$172=1,'Consolidated LNG Tolling'!T6,IF('Assumptions &amp; Results'!$C$172=2,'Consolidated LNG Equity'!T6,'Consolidated One Ring Fence'!T6))</f>
        <v>-2390.0837000000001</v>
      </c>
      <c r="U8" s="268">
        <f>IF('Assumptions &amp; Results'!$C$172=1,'Consolidated LNG Tolling'!U6,IF('Assumptions &amp; Results'!$C$172=2,'Consolidated LNG Equity'!U6,'Consolidated One Ring Fence'!U6))</f>
        <v>-2278.6972000000001</v>
      </c>
      <c r="V8" s="268">
        <f>IF('Assumptions &amp; Results'!$C$172=1,'Consolidated LNG Tolling'!V6,IF('Assumptions &amp; Results'!$C$172=2,'Consolidated LNG Equity'!V6,'Consolidated One Ring Fence'!V6))</f>
        <v>-2278.6972000000001</v>
      </c>
      <c r="W8" s="268">
        <f>IF('Assumptions &amp; Results'!$C$172=1,'Consolidated LNG Tolling'!W6,IF('Assumptions &amp; Results'!$C$172=2,'Consolidated LNG Equity'!W6,'Consolidated One Ring Fence'!W6))</f>
        <v>-2278.6972000000001</v>
      </c>
      <c r="X8" s="268">
        <f>IF('Assumptions &amp; Results'!$C$172=1,'Consolidated LNG Tolling'!X6,IF('Assumptions &amp; Results'!$C$172=2,'Consolidated LNG Equity'!X6,'Consolidated One Ring Fence'!X6))</f>
        <v>-2278.6972000000001</v>
      </c>
      <c r="Y8" s="268">
        <f>IF('Assumptions &amp; Results'!$C$172=1,'Consolidated LNG Tolling'!Y6,IF('Assumptions &amp; Results'!$C$172=2,'Consolidated LNG Equity'!Y6,'Consolidated One Ring Fence'!Y6))</f>
        <v>-2390.0837000000001</v>
      </c>
      <c r="Z8" s="268">
        <f>IF('Assumptions &amp; Results'!$C$172=1,'Consolidated LNG Tolling'!Z6,IF('Assumptions &amp; Results'!$C$172=2,'Consolidated LNG Equity'!Z6,'Consolidated One Ring Fence'!Z6))</f>
        <v>-2278.6972000000001</v>
      </c>
      <c r="AA8" s="268">
        <f>IF('Assumptions &amp; Results'!$C$172=1,'Consolidated LNG Tolling'!AA6,IF('Assumptions &amp; Results'!$C$172=2,'Consolidated LNG Equity'!AA6,'Consolidated One Ring Fence'!AA6))</f>
        <v>-2278.6972000000001</v>
      </c>
      <c r="AB8" s="268">
        <f>IF('Assumptions &amp; Results'!$C$172=1,'Consolidated LNG Tolling'!AB6,IF('Assumptions &amp; Results'!$C$172=2,'Consolidated LNG Equity'!AB6,'Consolidated One Ring Fence'!AB6))</f>
        <v>-2278.6972000000001</v>
      </c>
      <c r="AC8" s="268">
        <f>IF('Assumptions &amp; Results'!$C$172=1,'Consolidated LNG Tolling'!AC6,IF('Assumptions &amp; Results'!$C$172=2,'Consolidated LNG Equity'!AC6,'Consolidated One Ring Fence'!AC6))</f>
        <v>-2278.6972000000001</v>
      </c>
      <c r="AD8" s="268">
        <f>IF('Assumptions &amp; Results'!$C$172=1,'Consolidated LNG Tolling'!AD6,IF('Assumptions &amp; Results'!$C$172=2,'Consolidated LNG Equity'!AD6,'Consolidated One Ring Fence'!AD6))</f>
        <v>-2390.0837000000001</v>
      </c>
      <c r="AE8" s="268">
        <f>IF('Assumptions &amp; Results'!$C$172=1,'Consolidated LNG Tolling'!AE6,IF('Assumptions &amp; Results'!$C$172=2,'Consolidated LNG Equity'!AE6,'Consolidated One Ring Fence'!AE6))</f>
        <v>-2278.6972000000001</v>
      </c>
      <c r="AF8" s="268">
        <f>IF('Assumptions &amp; Results'!$C$172=1,'Consolidated LNG Tolling'!AF6,IF('Assumptions &amp; Results'!$C$172=2,'Consolidated LNG Equity'!AF6,'Consolidated One Ring Fence'!AF6))</f>
        <v>-2278.6972000000001</v>
      </c>
      <c r="AG8" s="268">
        <f>IF('Assumptions &amp; Results'!$C$172=1,'Consolidated LNG Tolling'!AG6,IF('Assumptions &amp; Results'!$C$172=2,'Consolidated LNG Equity'!AG6,'Consolidated One Ring Fence'!AG6))</f>
        <v>-2878.6972000000001</v>
      </c>
      <c r="AH8" s="268">
        <f>IF('Assumptions &amp; Results'!$C$172=1,'Consolidated LNG Tolling'!AH6,IF('Assumptions &amp; Results'!$C$172=2,'Consolidated LNG Equity'!AH6,'Consolidated One Ring Fence'!AH6))</f>
        <v>-2878.6972000000001</v>
      </c>
      <c r="AI8" s="268">
        <f>IF('Assumptions &amp; Results'!$C$172=1,'Consolidated LNG Tolling'!AI6,IF('Assumptions &amp; Results'!$C$172=2,'Consolidated LNG Equity'!AI6,'Consolidated One Ring Fence'!AI6))</f>
        <v>-3478.6972000000001</v>
      </c>
      <c r="AJ8" s="271">
        <f>SUM(C8:AI8)</f>
        <v>-67899.802700000029</v>
      </c>
      <c r="AK8" s="37"/>
      <c r="AL8" s="37"/>
      <c r="AM8" s="37"/>
      <c r="AN8" s="37"/>
    </row>
    <row r="9" spans="1:40" x14ac:dyDescent="0.2">
      <c r="C9" s="281"/>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70"/>
      <c r="AK9" s="37"/>
      <c r="AL9" s="37"/>
      <c r="AM9" s="37"/>
      <c r="AN9" s="37"/>
    </row>
    <row r="10" spans="1:40" x14ac:dyDescent="0.2">
      <c r="A10" s="37" t="s">
        <v>381</v>
      </c>
      <c r="B10" t="s">
        <v>99</v>
      </c>
      <c r="C10" s="268">
        <f>IF('Assumptions &amp; Results'!$C$172=1,'Consolidated LNG Tolling'!C8,IF('Assumptions &amp; Results'!$C$172=2,'Consolidated LNG Equity'!C8,'Consolidated One Ring Fence'!C8))</f>
        <v>-417</v>
      </c>
      <c r="D10" s="268">
        <f>IF('Assumptions &amp; Results'!$C$172=1,'Consolidated LNG Tolling'!D8,IF('Assumptions &amp; Results'!$C$172=2,'Consolidated LNG Equity'!D8,'Consolidated One Ring Fence'!D8))</f>
        <v>-5243</v>
      </c>
      <c r="E10" s="268">
        <f>IF('Assumptions &amp; Results'!$C$172=1,'Consolidated LNG Tolling'!E8,IF('Assumptions &amp; Results'!$C$172=2,'Consolidated LNG Equity'!E8,'Consolidated One Ring Fence'!E8))</f>
        <v>-8207</v>
      </c>
      <c r="F10" s="268">
        <f>IF('Assumptions &amp; Results'!$C$172=1,'Consolidated LNG Tolling'!F8,IF('Assumptions &amp; Results'!$C$172=2,'Consolidated LNG Equity'!F8,'Consolidated One Ring Fence'!F8))</f>
        <v>-10831</v>
      </c>
      <c r="G10" s="268">
        <f>IF('Assumptions &amp; Results'!$C$172=1,'Consolidated LNG Tolling'!G8,IF('Assumptions &amp; Results'!$C$172=2,'Consolidated LNG Equity'!G8,'Consolidated One Ring Fence'!G8))</f>
        <v>-3300</v>
      </c>
      <c r="H10" s="268">
        <f>IF('Assumptions &amp; Results'!$C$172=1,'Consolidated LNG Tolling'!H8,IF('Assumptions &amp; Results'!$C$172=2,'Consolidated LNG Equity'!H8,'Consolidated One Ring Fence'!H8))</f>
        <v>-540</v>
      </c>
      <c r="I10" s="268">
        <f>IF('Assumptions &amp; Results'!$C$172=1,'Consolidated LNG Tolling'!I8,IF('Assumptions &amp; Results'!$C$172=2,'Consolidated LNG Equity'!I8,'Consolidated One Ring Fence'!I8))</f>
        <v>0</v>
      </c>
      <c r="J10" s="268">
        <f>IF('Assumptions &amp; Results'!$C$172=1,'Consolidated LNG Tolling'!J8,IF('Assumptions &amp; Results'!$C$172=2,'Consolidated LNG Equity'!J8,'Consolidated One Ring Fence'!J8))</f>
        <v>0</v>
      </c>
      <c r="K10" s="268">
        <f>IF('Assumptions &amp; Results'!$C$172=1,'Consolidated LNG Tolling'!K8,IF('Assumptions &amp; Results'!$C$172=2,'Consolidated LNG Equity'!K8,'Consolidated One Ring Fence'!K8))</f>
        <v>0</v>
      </c>
      <c r="L10" s="268">
        <f>IF('Assumptions &amp; Results'!$C$172=1,'Consolidated LNG Tolling'!L8,IF('Assumptions &amp; Results'!$C$172=2,'Consolidated LNG Equity'!L8,'Consolidated One Ring Fence'!L8))</f>
        <v>0</v>
      </c>
      <c r="M10" s="268">
        <f>IF('Assumptions &amp; Results'!$C$172=1,'Consolidated LNG Tolling'!M8,IF('Assumptions &amp; Results'!$C$172=2,'Consolidated LNG Equity'!M8,'Consolidated One Ring Fence'!M8))</f>
        <v>0</v>
      </c>
      <c r="N10" s="268">
        <f>IF('Assumptions &amp; Results'!$C$172=1,'Consolidated LNG Tolling'!N8,IF('Assumptions &amp; Results'!$C$172=2,'Consolidated LNG Equity'!N8,'Consolidated One Ring Fence'!N8))</f>
        <v>0</v>
      </c>
      <c r="O10" s="268">
        <f>IF('Assumptions &amp; Results'!$C$172=1,'Consolidated LNG Tolling'!O8,IF('Assumptions &amp; Results'!$C$172=2,'Consolidated LNG Equity'!O8,'Consolidated One Ring Fence'!O8))</f>
        <v>0</v>
      </c>
      <c r="P10" s="268">
        <f>IF('Assumptions &amp; Results'!$C$172=1,'Consolidated LNG Tolling'!P8,IF('Assumptions &amp; Results'!$C$172=2,'Consolidated LNG Equity'!P8,'Consolidated One Ring Fence'!P8))</f>
        <v>0</v>
      </c>
      <c r="Q10" s="268">
        <f>IF('Assumptions &amp; Results'!$C$172=1,'Consolidated LNG Tolling'!Q8,IF('Assumptions &amp; Results'!$C$172=2,'Consolidated LNG Equity'!Q8,'Consolidated One Ring Fence'!Q8))</f>
        <v>0</v>
      </c>
      <c r="R10" s="268">
        <f>IF('Assumptions &amp; Results'!$C$172=1,'Consolidated LNG Tolling'!R8,IF('Assumptions &amp; Results'!$C$172=2,'Consolidated LNG Equity'!R8,'Consolidated One Ring Fence'!R8))</f>
        <v>0</v>
      </c>
      <c r="S10" s="268">
        <f>IF('Assumptions &amp; Results'!$C$172=1,'Consolidated LNG Tolling'!S8,IF('Assumptions &amp; Results'!$C$172=2,'Consolidated LNG Equity'!S8,'Consolidated One Ring Fence'!S8))</f>
        <v>0</v>
      </c>
      <c r="T10" s="268">
        <f>IF('Assumptions &amp; Results'!$C$172=1,'Consolidated LNG Tolling'!T8,IF('Assumptions &amp; Results'!$C$172=2,'Consolidated LNG Equity'!T8,'Consolidated One Ring Fence'!T8))</f>
        <v>0</v>
      </c>
      <c r="U10" s="268">
        <f>IF('Assumptions &amp; Results'!$C$172=1,'Consolidated LNG Tolling'!U8,IF('Assumptions &amp; Results'!$C$172=2,'Consolidated LNG Equity'!U8,'Consolidated One Ring Fence'!U8))</f>
        <v>0</v>
      </c>
      <c r="V10" s="268">
        <f>IF('Assumptions &amp; Results'!$C$172=1,'Consolidated LNG Tolling'!V8,IF('Assumptions &amp; Results'!$C$172=2,'Consolidated LNG Equity'!V8,'Consolidated One Ring Fence'!V8))</f>
        <v>0</v>
      </c>
      <c r="W10" s="268">
        <f>IF('Assumptions &amp; Results'!$C$172=1,'Consolidated LNG Tolling'!W8,IF('Assumptions &amp; Results'!$C$172=2,'Consolidated LNG Equity'!W8,'Consolidated One Ring Fence'!W8))</f>
        <v>0</v>
      </c>
      <c r="X10" s="268">
        <f>IF('Assumptions &amp; Results'!$C$172=1,'Consolidated LNG Tolling'!X8,IF('Assumptions &amp; Results'!$C$172=2,'Consolidated LNG Equity'!X8,'Consolidated One Ring Fence'!X8))</f>
        <v>0</v>
      </c>
      <c r="Y10" s="268">
        <f>IF('Assumptions &amp; Results'!$C$172=1,'Consolidated LNG Tolling'!Y8,IF('Assumptions &amp; Results'!$C$172=2,'Consolidated LNG Equity'!Y8,'Consolidated One Ring Fence'!Y8))</f>
        <v>0</v>
      </c>
      <c r="Z10" s="268">
        <f>IF('Assumptions &amp; Results'!$C$172=1,'Consolidated LNG Tolling'!Z8,IF('Assumptions &amp; Results'!$C$172=2,'Consolidated LNG Equity'!Z8,'Consolidated One Ring Fence'!Z8))</f>
        <v>0</v>
      </c>
      <c r="AA10" s="268">
        <f>IF('Assumptions &amp; Results'!$C$172=1,'Consolidated LNG Tolling'!AA8,IF('Assumptions &amp; Results'!$C$172=2,'Consolidated LNG Equity'!AA8,'Consolidated One Ring Fence'!AA8))</f>
        <v>0</v>
      </c>
      <c r="AB10" s="268">
        <f>IF('Assumptions &amp; Results'!$C$172=1,'Consolidated LNG Tolling'!AB8,IF('Assumptions &amp; Results'!$C$172=2,'Consolidated LNG Equity'!AB8,'Consolidated One Ring Fence'!AB8))</f>
        <v>0</v>
      </c>
      <c r="AC10" s="268">
        <f>IF('Assumptions &amp; Results'!$C$172=1,'Consolidated LNG Tolling'!AC8,IF('Assumptions &amp; Results'!$C$172=2,'Consolidated LNG Equity'!AC8,'Consolidated One Ring Fence'!AC8))</f>
        <v>0</v>
      </c>
      <c r="AD10" s="268">
        <f>IF('Assumptions &amp; Results'!$C$172=1,'Consolidated LNG Tolling'!AD8,IF('Assumptions &amp; Results'!$C$172=2,'Consolidated LNG Equity'!AD8,'Consolidated One Ring Fence'!AD8))</f>
        <v>0</v>
      </c>
      <c r="AE10" s="268">
        <f>IF('Assumptions &amp; Results'!$C$172=1,'Consolidated LNG Tolling'!AE8,IF('Assumptions &amp; Results'!$C$172=2,'Consolidated LNG Equity'!AE8,'Consolidated One Ring Fence'!AE8))</f>
        <v>0</v>
      </c>
      <c r="AF10" s="268">
        <f>IF('Assumptions &amp; Results'!$C$172=1,'Consolidated LNG Tolling'!AF8,IF('Assumptions &amp; Results'!$C$172=2,'Consolidated LNG Equity'!AF8,'Consolidated One Ring Fence'!AF8))</f>
        <v>0</v>
      </c>
      <c r="AG10" s="268">
        <f>IF('Assumptions &amp; Results'!$C$172=1,'Consolidated LNG Tolling'!AG8,IF('Assumptions &amp; Results'!$C$172=2,'Consolidated LNG Equity'!AG8,'Consolidated One Ring Fence'!AG8))</f>
        <v>0</v>
      </c>
      <c r="AH10" s="268">
        <f>IF('Assumptions &amp; Results'!$C$172=1,'Consolidated LNG Tolling'!AH8,IF('Assumptions &amp; Results'!$C$172=2,'Consolidated LNG Equity'!AH8,'Consolidated One Ring Fence'!AH8))</f>
        <v>0</v>
      </c>
      <c r="AI10" s="268">
        <f>IF('Assumptions &amp; Results'!$C$172=1,'Consolidated LNG Tolling'!AI8,IF('Assumptions &amp; Results'!$C$172=2,'Consolidated LNG Equity'!AI8,'Consolidated One Ring Fence'!AI8))</f>
        <v>0</v>
      </c>
      <c r="AJ10" s="271">
        <f>SUM(C10:AI10)</f>
        <v>-28538</v>
      </c>
      <c r="AK10" s="37"/>
      <c r="AL10" s="37"/>
      <c r="AM10" s="37"/>
      <c r="AN10" s="37"/>
    </row>
    <row r="11" spans="1:40" x14ac:dyDescent="0.2">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70"/>
      <c r="AK11" s="37"/>
      <c r="AL11" s="37"/>
      <c r="AM11" s="37"/>
      <c r="AN11" s="37"/>
    </row>
    <row r="12" spans="1:40" x14ac:dyDescent="0.2">
      <c r="A12" t="s">
        <v>382</v>
      </c>
      <c r="B12" t="s">
        <v>99</v>
      </c>
      <c r="C12" s="268">
        <f>IF('Assumptions &amp; Results'!$C$172=1,'Consolidated LNG Tolling'!C10,IF('Assumptions &amp; Results'!$C$172=2,'Consolidated LNG Equity'!C10,'Consolidated One Ring Fence'!C10))</f>
        <v>-417</v>
      </c>
      <c r="D12" s="268">
        <f>IF('Assumptions &amp; Results'!$C$172=1,'Consolidated LNG Tolling'!D10,IF('Assumptions &amp; Results'!$C$172=2,'Consolidated LNG Equity'!D10,'Consolidated One Ring Fence'!D10))</f>
        <v>-5243</v>
      </c>
      <c r="E12" s="268">
        <f>IF('Assumptions &amp; Results'!$C$172=1,'Consolidated LNG Tolling'!E10,IF('Assumptions &amp; Results'!$C$172=2,'Consolidated LNG Equity'!E10,'Consolidated One Ring Fence'!E10))</f>
        <v>-8207</v>
      </c>
      <c r="F12" s="268">
        <f>IF('Assumptions &amp; Results'!$C$172=1,'Consolidated LNG Tolling'!F10,IF('Assumptions &amp; Results'!$C$172=2,'Consolidated LNG Equity'!F10,'Consolidated One Ring Fence'!F10))</f>
        <v>-10831</v>
      </c>
      <c r="G12" s="268">
        <f>IF('Assumptions &amp; Results'!$C$172=1,'Consolidated LNG Tolling'!G10,IF('Assumptions &amp; Results'!$C$172=2,'Consolidated LNG Equity'!G10,'Consolidated One Ring Fence'!G10))</f>
        <v>238.62827500000094</v>
      </c>
      <c r="H12" s="268">
        <f>IF('Assumptions &amp; Results'!$C$172=1,'Consolidated LNG Tolling'!H10,IF('Assumptions &amp; Results'!$C$172=2,'Consolidated LNG Equity'!H10,'Consolidated One Ring Fence'!H10))</f>
        <v>6537.2565500000019</v>
      </c>
      <c r="I12" s="268">
        <f>IF('Assumptions &amp; Results'!$C$172=1,'Consolidated LNG Tolling'!I10,IF('Assumptions &amp; Results'!$C$172=2,'Consolidated LNG Equity'!I10,'Consolidated One Ring Fence'!I10))</f>
        <v>7077.2565500000019</v>
      </c>
      <c r="J12" s="268">
        <f>IF('Assumptions &amp; Results'!$C$172=1,'Consolidated LNG Tolling'!J10,IF('Assumptions &amp; Results'!$C$172=2,'Consolidated LNG Equity'!J10,'Consolidated One Ring Fence'!J10))</f>
        <v>6501.0836124999996</v>
      </c>
      <c r="K12" s="268">
        <f>IF('Assumptions &amp; Results'!$C$172=1,'Consolidated LNG Tolling'!K10,IF('Assumptions &amp; Results'!$C$172=2,'Consolidated LNG Equity'!K10,'Consolidated One Ring Fence'!K10))</f>
        <v>7077.2565500000019</v>
      </c>
      <c r="L12" s="268">
        <f>IF('Assumptions &amp; Results'!$C$172=1,'Consolidated LNG Tolling'!L10,IF('Assumptions &amp; Results'!$C$172=2,'Consolidated LNG Equity'!L10,'Consolidated One Ring Fence'!L10))</f>
        <v>7077.2565500000019</v>
      </c>
      <c r="M12" s="268">
        <f>IF('Assumptions &amp; Results'!$C$172=1,'Consolidated LNG Tolling'!M10,IF('Assumptions &amp; Results'!$C$172=2,'Consolidated LNG Equity'!M10,'Consolidated One Ring Fence'!M10))</f>
        <v>7077.2565500000019</v>
      </c>
      <c r="N12" s="268">
        <f>IF('Assumptions &amp; Results'!$C$172=1,'Consolidated LNG Tolling'!N10,IF('Assumptions &amp; Results'!$C$172=2,'Consolidated LNG Equity'!N10,'Consolidated One Ring Fence'!N10))</f>
        <v>7077.2565500000019</v>
      </c>
      <c r="O12" s="268">
        <f>IF('Assumptions &amp; Results'!$C$172=1,'Consolidated LNG Tolling'!O10,IF('Assumptions &amp; Results'!$C$172=2,'Consolidated LNG Equity'!O10,'Consolidated One Ring Fence'!O10))</f>
        <v>6501.0836124999996</v>
      </c>
      <c r="P12" s="268">
        <f>IF('Assumptions &amp; Results'!$C$172=1,'Consolidated LNG Tolling'!P10,IF('Assumptions &amp; Results'!$C$172=2,'Consolidated LNG Equity'!P10,'Consolidated One Ring Fence'!P10))</f>
        <v>7077.2565500000019</v>
      </c>
      <c r="Q12" s="268">
        <f>IF('Assumptions &amp; Results'!$C$172=1,'Consolidated LNG Tolling'!Q10,IF('Assumptions &amp; Results'!$C$172=2,'Consolidated LNG Equity'!Q10,'Consolidated One Ring Fence'!Q10))</f>
        <v>7077.2565500000019</v>
      </c>
      <c r="R12" s="268">
        <f>IF('Assumptions &amp; Results'!$C$172=1,'Consolidated LNG Tolling'!R10,IF('Assumptions &amp; Results'!$C$172=2,'Consolidated LNG Equity'!R10,'Consolidated One Ring Fence'!R10))</f>
        <v>7077.2565500000019</v>
      </c>
      <c r="S12" s="268">
        <f>IF('Assumptions &amp; Results'!$C$172=1,'Consolidated LNG Tolling'!S10,IF('Assumptions &amp; Results'!$C$172=2,'Consolidated LNG Equity'!S10,'Consolidated One Ring Fence'!S10))</f>
        <v>7077.2565500000019</v>
      </c>
      <c r="T12" s="268">
        <f>IF('Assumptions &amp; Results'!$C$172=1,'Consolidated LNG Tolling'!T10,IF('Assumptions &amp; Results'!$C$172=2,'Consolidated LNG Equity'!T10,'Consolidated One Ring Fence'!T10))</f>
        <v>6501.0836124999996</v>
      </c>
      <c r="U12" s="268">
        <f>IF('Assumptions &amp; Results'!$C$172=1,'Consolidated LNG Tolling'!U10,IF('Assumptions &amp; Results'!$C$172=2,'Consolidated LNG Equity'!U10,'Consolidated One Ring Fence'!U10))</f>
        <v>7077.2565500000019</v>
      </c>
      <c r="V12" s="268">
        <f>IF('Assumptions &amp; Results'!$C$172=1,'Consolidated LNG Tolling'!V10,IF('Assumptions &amp; Results'!$C$172=2,'Consolidated LNG Equity'!V10,'Consolidated One Ring Fence'!V10))</f>
        <v>7077.2565500000019</v>
      </c>
      <c r="W12" s="268">
        <f>IF('Assumptions &amp; Results'!$C$172=1,'Consolidated LNG Tolling'!W10,IF('Assumptions &amp; Results'!$C$172=2,'Consolidated LNG Equity'!W10,'Consolidated One Ring Fence'!W10))</f>
        <v>7077.2565500000019</v>
      </c>
      <c r="X12" s="268">
        <f>IF('Assumptions &amp; Results'!$C$172=1,'Consolidated LNG Tolling'!X10,IF('Assumptions &amp; Results'!$C$172=2,'Consolidated LNG Equity'!X10,'Consolidated One Ring Fence'!X10))</f>
        <v>7077.2565500000019</v>
      </c>
      <c r="Y12" s="268">
        <f>IF('Assumptions &amp; Results'!$C$172=1,'Consolidated LNG Tolling'!Y10,IF('Assumptions &amp; Results'!$C$172=2,'Consolidated LNG Equity'!Y10,'Consolidated One Ring Fence'!Y10))</f>
        <v>6501.0836124999996</v>
      </c>
      <c r="Z12" s="268">
        <f>IF('Assumptions &amp; Results'!$C$172=1,'Consolidated LNG Tolling'!Z10,IF('Assumptions &amp; Results'!$C$172=2,'Consolidated LNG Equity'!Z10,'Consolidated One Ring Fence'!Z10))</f>
        <v>7077.2565500000019</v>
      </c>
      <c r="AA12" s="268">
        <f>IF('Assumptions &amp; Results'!$C$172=1,'Consolidated LNG Tolling'!AA10,IF('Assumptions &amp; Results'!$C$172=2,'Consolidated LNG Equity'!AA10,'Consolidated One Ring Fence'!AA10))</f>
        <v>7077.2565500000019</v>
      </c>
      <c r="AB12" s="268">
        <f>IF('Assumptions &amp; Results'!$C$172=1,'Consolidated LNG Tolling'!AB10,IF('Assumptions &amp; Results'!$C$172=2,'Consolidated LNG Equity'!AB10,'Consolidated One Ring Fence'!AB10))</f>
        <v>7077.2565500000019</v>
      </c>
      <c r="AC12" s="268">
        <f>IF('Assumptions &amp; Results'!$C$172=1,'Consolidated LNG Tolling'!AC10,IF('Assumptions &amp; Results'!$C$172=2,'Consolidated LNG Equity'!AC10,'Consolidated One Ring Fence'!AC10))</f>
        <v>7077.2565500000019</v>
      </c>
      <c r="AD12" s="268">
        <f>IF('Assumptions &amp; Results'!$C$172=1,'Consolidated LNG Tolling'!AD10,IF('Assumptions &amp; Results'!$C$172=2,'Consolidated LNG Equity'!AD10,'Consolidated One Ring Fence'!AD10))</f>
        <v>6501.0836124999996</v>
      </c>
      <c r="AE12" s="268">
        <f>IF('Assumptions &amp; Results'!$C$172=1,'Consolidated LNG Tolling'!AE10,IF('Assumptions &amp; Results'!$C$172=2,'Consolidated LNG Equity'!AE10,'Consolidated One Ring Fence'!AE10))</f>
        <v>7077.2565500000019</v>
      </c>
      <c r="AF12" s="268">
        <f>IF('Assumptions &amp; Results'!$C$172=1,'Consolidated LNG Tolling'!AF10,IF('Assumptions &amp; Results'!$C$172=2,'Consolidated LNG Equity'!AF10,'Consolidated One Ring Fence'!AF10))</f>
        <v>7077.2565500000019</v>
      </c>
      <c r="AG12" s="268">
        <f>IF('Assumptions &amp; Results'!$C$172=1,'Consolidated LNG Tolling'!AG10,IF('Assumptions &amp; Results'!$C$172=2,'Consolidated LNG Equity'!AG10,'Consolidated One Ring Fence'!AG10))</f>
        <v>6477.2565500000019</v>
      </c>
      <c r="AH12" s="268">
        <f>IF('Assumptions &amp; Results'!$C$172=1,'Consolidated LNG Tolling'!AH10,IF('Assumptions &amp; Results'!$C$172=2,'Consolidated LNG Equity'!AH10,'Consolidated One Ring Fence'!AH10))</f>
        <v>6477.2565500000019</v>
      </c>
      <c r="AI12" s="268">
        <f>IF('Assumptions &amp; Results'!$C$172=1,'Consolidated LNG Tolling'!AI10,IF('Assumptions &amp; Results'!$C$172=2,'Consolidated LNG Equity'!AI10,'Consolidated One Ring Fence'!AI10))</f>
        <v>5877.2565500000019</v>
      </c>
      <c r="AJ12" s="271">
        <f>SUM(C12:AI12)</f>
        <v>167882.94698750004</v>
      </c>
      <c r="AK12" s="37"/>
      <c r="AL12" s="37"/>
      <c r="AM12" s="37"/>
      <c r="AN12" s="37"/>
    </row>
    <row r="13" spans="1:40" x14ac:dyDescent="0.2">
      <c r="C13" s="281"/>
      <c r="D13" s="281"/>
      <c r="E13" s="281"/>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70"/>
      <c r="AK13" s="37"/>
      <c r="AL13" s="37"/>
      <c r="AM13" s="37"/>
      <c r="AN13" s="37"/>
    </row>
    <row r="14" spans="1:40" x14ac:dyDescent="0.2">
      <c r="A14" t="s">
        <v>383</v>
      </c>
      <c r="B14" t="s">
        <v>99</v>
      </c>
      <c r="C14" s="268">
        <f>IF('Assumptions &amp; Results'!$C$172=1,'Consolidated LNG Tolling'!C12,IF('Assumptions &amp; Results'!$C$172=2,'Consolidated LNG Equity'!C12,'Consolidated One Ring Fence'!C12))</f>
        <v>0</v>
      </c>
      <c r="D14" s="268">
        <f>IF('Assumptions &amp; Results'!$C$172=1,'Consolidated LNG Tolling'!D12,IF('Assumptions &amp; Results'!$C$172=2,'Consolidated LNG Equity'!D12,'Consolidated One Ring Fence'!D12))</f>
        <v>0</v>
      </c>
      <c r="E14" s="268">
        <f>IF('Assumptions &amp; Results'!$C$172=1,'Consolidated LNG Tolling'!E12,IF('Assumptions &amp; Results'!$C$172=2,'Consolidated LNG Equity'!E12,'Consolidated One Ring Fence'!E12))</f>
        <v>0</v>
      </c>
      <c r="F14" s="268">
        <f>IF('Assumptions &amp; Results'!$C$172=1,'Consolidated LNG Tolling'!F12,IF('Assumptions &amp; Results'!$C$172=2,'Consolidated LNG Equity'!F12,'Consolidated One Ring Fence'!F12))</f>
        <v>0</v>
      </c>
      <c r="G14" s="268">
        <f>IF('Assumptions &amp; Results'!$C$172=1,'Consolidated LNG Tolling'!G12,IF('Assumptions &amp; Results'!$C$172=2,'Consolidated LNG Equity'!G12,'Consolidated One Ring Fence'!G12))</f>
        <v>80.067631875000032</v>
      </c>
      <c r="H14" s="268">
        <f>IF('Assumptions &amp; Results'!$C$172=1,'Consolidated LNG Tolling'!H12,IF('Assumptions &amp; Results'!$C$172=2,'Consolidated LNG Equity'!H12,'Consolidated One Ring Fence'!H12))</f>
        <v>160.13526375000006</v>
      </c>
      <c r="I14" s="268">
        <f>IF('Assumptions &amp; Results'!$C$172=1,'Consolidated LNG Tolling'!I12,IF('Assumptions &amp; Results'!$C$172=2,'Consolidated LNG Equity'!I12,'Consolidated One Ring Fence'!I12))</f>
        <v>160.13526375000006</v>
      </c>
      <c r="J14" s="268">
        <f>IF('Assumptions &amp; Results'!$C$172=1,'Consolidated LNG Tolling'!J12,IF('Assumptions &amp; Results'!$C$172=2,'Consolidated LNG Equity'!J12,'Consolidated One Ring Fence'!J12))</f>
        <v>160.18174239375</v>
      </c>
      <c r="K14" s="268">
        <f>IF('Assumptions &amp; Results'!$C$172=1,'Consolidated LNG Tolling'!K12,IF('Assumptions &amp; Results'!$C$172=2,'Consolidated LNG Equity'!K12,'Consolidated One Ring Fence'!K12))</f>
        <v>320.27052750000013</v>
      </c>
      <c r="L14" s="268">
        <f>IF('Assumptions &amp; Results'!$C$172=1,'Consolidated LNG Tolling'!L12,IF('Assumptions &amp; Results'!$C$172=2,'Consolidated LNG Equity'!L12,'Consolidated One Ring Fence'!L12))</f>
        <v>320.27052750000013</v>
      </c>
      <c r="M14" s="268">
        <f>IF('Assumptions &amp; Results'!$C$172=1,'Consolidated LNG Tolling'!M12,IF('Assumptions &amp; Results'!$C$172=2,'Consolidated LNG Equity'!M12,'Consolidated One Ring Fence'!M12))</f>
        <v>320.27052750000013</v>
      </c>
      <c r="N14" s="268">
        <f>IF('Assumptions &amp; Results'!$C$172=1,'Consolidated LNG Tolling'!N12,IF('Assumptions &amp; Results'!$C$172=2,'Consolidated LNG Equity'!N12,'Consolidated One Ring Fence'!N12))</f>
        <v>455.71328121250082</v>
      </c>
      <c r="O14" s="268">
        <f>IF('Assumptions &amp; Results'!$C$172=1,'Consolidated LNG Tolling'!O12,IF('Assumptions &amp; Results'!$C$172=2,'Consolidated LNG Equity'!O12,'Consolidated One Ring Fence'!O12))</f>
        <v>1011.0582033749998</v>
      </c>
      <c r="P14" s="268">
        <f>IF('Assumptions &amp; Results'!$C$172=1,'Consolidated LNG Tolling'!P12,IF('Assumptions &amp; Results'!$C$172=2,'Consolidated LNG Equity'!P12,'Consolidated One Ring Fence'!P12))</f>
        <v>1010.6598150000004</v>
      </c>
      <c r="Q14" s="268">
        <f>IF('Assumptions &amp; Results'!$C$172=1,'Consolidated LNG Tolling'!Q12,IF('Assumptions &amp; Results'!$C$172=2,'Consolidated LNG Equity'!Q12,'Consolidated One Ring Fence'!Q12))</f>
        <v>1010.6598150000004</v>
      </c>
      <c r="R14" s="268">
        <f>IF('Assumptions &amp; Results'!$C$172=1,'Consolidated LNG Tolling'!R12,IF('Assumptions &amp; Results'!$C$172=2,'Consolidated LNG Equity'!R12,'Consolidated One Ring Fence'!R12))</f>
        <v>1010.6598150000004</v>
      </c>
      <c r="S14" s="268">
        <f>IF('Assumptions &amp; Results'!$C$172=1,'Consolidated LNG Tolling'!S12,IF('Assumptions &amp; Results'!$C$172=2,'Consolidated LNG Equity'!S12,'Consolidated One Ring Fence'!S12))</f>
        <v>1684.4330250000007</v>
      </c>
      <c r="T14" s="268">
        <f>IF('Assumptions &amp; Results'!$C$172=1,'Consolidated LNG Tolling'!T12,IF('Assumptions &amp; Results'!$C$172=2,'Consolidated LNG Equity'!T12,'Consolidated One Ring Fence'!T12))</f>
        <v>1685.0970056249998</v>
      </c>
      <c r="U14" s="268">
        <f>IF('Assumptions &amp; Results'!$C$172=1,'Consolidated LNG Tolling'!U12,IF('Assumptions &amp; Results'!$C$172=2,'Consolidated LNG Equity'!U12,'Consolidated One Ring Fence'!U12))</f>
        <v>1684.4330250000007</v>
      </c>
      <c r="V14" s="268">
        <f>IF('Assumptions &amp; Results'!$C$172=1,'Consolidated LNG Tolling'!V12,IF('Assumptions &amp; Results'!$C$172=2,'Consolidated LNG Equity'!V12,'Consolidated One Ring Fence'!V12))</f>
        <v>1684.4330250000007</v>
      </c>
      <c r="W14" s="268">
        <f>IF('Assumptions &amp; Results'!$C$172=1,'Consolidated LNG Tolling'!W12,IF('Assumptions &amp; Results'!$C$172=2,'Consolidated LNG Equity'!W12,'Consolidated One Ring Fence'!W12))</f>
        <v>1684.4330250000007</v>
      </c>
      <c r="X14" s="268">
        <f>IF('Assumptions &amp; Results'!$C$172=1,'Consolidated LNG Tolling'!X12,IF('Assumptions &amp; Results'!$C$172=2,'Consolidated LNG Equity'!X12,'Consolidated One Ring Fence'!X12))</f>
        <v>1684.4330250000007</v>
      </c>
      <c r="Y14" s="268">
        <f>IF('Assumptions &amp; Results'!$C$172=1,'Consolidated LNG Tolling'!Y12,IF('Assumptions &amp; Results'!$C$172=2,'Consolidated LNG Equity'!Y12,'Consolidated One Ring Fence'!Y12))</f>
        <v>2022.1164067499997</v>
      </c>
      <c r="Z14" s="268">
        <f>IF('Assumptions &amp; Results'!$C$172=1,'Consolidated LNG Tolling'!Z12,IF('Assumptions &amp; Results'!$C$172=2,'Consolidated LNG Equity'!Z12,'Consolidated One Ring Fence'!Z12))</f>
        <v>2021.3196300000009</v>
      </c>
      <c r="AA14" s="268">
        <f>IF('Assumptions &amp; Results'!$C$172=1,'Consolidated LNG Tolling'!AA12,IF('Assumptions &amp; Results'!$C$172=2,'Consolidated LNG Equity'!AA12,'Consolidated One Ring Fence'!AA12))</f>
        <v>2021.3196300000009</v>
      </c>
      <c r="AB14" s="268">
        <f>IF('Assumptions &amp; Results'!$C$172=1,'Consolidated LNG Tolling'!AB12,IF('Assumptions &amp; Results'!$C$172=2,'Consolidated LNG Equity'!AB12,'Consolidated One Ring Fence'!AB12))</f>
        <v>2021.3196300000009</v>
      </c>
      <c r="AC14" s="268">
        <f>IF('Assumptions &amp; Results'!$C$172=1,'Consolidated LNG Tolling'!AC12,IF('Assumptions &amp; Results'!$C$172=2,'Consolidated LNG Equity'!AC12,'Consolidated One Ring Fence'!AC12))</f>
        <v>2021.3196300000009</v>
      </c>
      <c r="AD14" s="268">
        <f>IF('Assumptions &amp; Results'!$C$172=1,'Consolidated LNG Tolling'!AD12,IF('Assumptions &amp; Results'!$C$172=2,'Consolidated LNG Equity'!AD12,'Consolidated One Ring Fence'!AD12))</f>
        <v>2022.1164067499997</v>
      </c>
      <c r="AE14" s="268">
        <f>IF('Assumptions &amp; Results'!$C$172=1,'Consolidated LNG Tolling'!AE12,IF('Assumptions &amp; Results'!$C$172=2,'Consolidated LNG Equity'!AE12,'Consolidated One Ring Fence'!AE12))</f>
        <v>2021.3196300000009</v>
      </c>
      <c r="AF14" s="268">
        <f>IF('Assumptions &amp; Results'!$C$172=1,'Consolidated LNG Tolling'!AF12,IF('Assumptions &amp; Results'!$C$172=2,'Consolidated LNG Equity'!AF12,'Consolidated One Ring Fence'!AF12))</f>
        <v>2021.3196300000009</v>
      </c>
      <c r="AG14" s="268">
        <f>IF('Assumptions &amp; Results'!$C$172=1,'Consolidated LNG Tolling'!AG12,IF('Assumptions &amp; Results'!$C$172=2,'Consolidated LNG Equity'!AG12,'Consolidated One Ring Fence'!AG12))</f>
        <v>1661.3196300000009</v>
      </c>
      <c r="AH14" s="268">
        <f>IF('Assumptions &amp; Results'!$C$172=1,'Consolidated LNG Tolling'!AH12,IF('Assumptions &amp; Results'!$C$172=2,'Consolidated LNG Equity'!AH12,'Consolidated One Ring Fence'!AH12))</f>
        <v>1661.3196300000009</v>
      </c>
      <c r="AI14" s="268">
        <f>IF('Assumptions &amp; Results'!$C$172=1,'Consolidated LNG Tolling'!AI12,IF('Assumptions &amp; Results'!$C$172=2,'Consolidated LNG Equity'!AI12,'Consolidated One Ring Fence'!AI12))</f>
        <v>1301.3196300000009</v>
      </c>
      <c r="AJ14" s="271">
        <f>SUM(C14:AI14)</f>
        <v>36923.454027981257</v>
      </c>
      <c r="AK14" s="37"/>
      <c r="AL14" s="37"/>
      <c r="AM14" s="37"/>
      <c r="AN14" s="37"/>
    </row>
    <row r="15" spans="1:40" x14ac:dyDescent="0.2">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70"/>
      <c r="AK15" s="37"/>
      <c r="AL15" s="37"/>
      <c r="AM15" s="37"/>
      <c r="AN15" s="37"/>
    </row>
    <row r="16" spans="1:40" x14ac:dyDescent="0.2">
      <c r="A16" s="37" t="s">
        <v>391</v>
      </c>
      <c r="B16" t="s">
        <v>99</v>
      </c>
      <c r="C16" s="268">
        <f>IF('Assumptions &amp; Results'!$C$172=1,'Consolidated LNG Tolling'!C14,IF('Assumptions &amp; Results'!$C$172=2,'Consolidated LNG Equity'!C14,'Consolidated One Ring Fence'!C14))</f>
        <v>0</v>
      </c>
      <c r="D16" s="268">
        <f>IF('Assumptions &amp; Results'!$C$172=1,'Consolidated LNG Tolling'!D14,IF('Assumptions &amp; Results'!$C$172=2,'Consolidated LNG Equity'!D14,'Consolidated One Ring Fence'!D14))</f>
        <v>0</v>
      </c>
      <c r="E16" s="268">
        <f>IF('Assumptions &amp; Results'!$C$172=1,'Consolidated LNG Tolling'!E14,IF('Assumptions &amp; Results'!$C$172=2,'Consolidated LNG Equity'!E14,'Consolidated One Ring Fence'!E14))</f>
        <v>0</v>
      </c>
      <c r="F16" s="268">
        <f>IF('Assumptions &amp; Results'!$C$172=1,'Consolidated LNG Tolling'!F14,IF('Assumptions &amp; Results'!$C$172=2,'Consolidated LNG Equity'!F14,'Consolidated One Ring Fence'!F14))</f>
        <v>0</v>
      </c>
      <c r="G16" s="268">
        <f>IF('Assumptions &amp; Results'!$C$172=1,'Consolidated LNG Tolling'!G14,IF('Assumptions &amp; Results'!$C$172=2,'Consolidated LNG Equity'!G14,'Consolidated One Ring Fence'!G14))</f>
        <v>140.33930625000002</v>
      </c>
      <c r="H16" s="268">
        <f>IF('Assumptions &amp; Results'!$C$172=1,'Consolidated LNG Tolling'!H14,IF('Assumptions &amp; Results'!$C$172=2,'Consolidated LNG Equity'!H14,'Consolidated One Ring Fence'!H14))</f>
        <v>280.67861250000004</v>
      </c>
      <c r="I16" s="268">
        <f>IF('Assumptions &amp; Results'!$C$172=1,'Consolidated LNG Tolling'!I14,IF('Assumptions &amp; Results'!$C$172=2,'Consolidated LNG Equity'!I14,'Consolidated One Ring Fence'!I14))</f>
        <v>280.67861250000004</v>
      </c>
      <c r="J16" s="268">
        <f>IF('Assumptions &amp; Results'!$C$172=1,'Consolidated LNG Tolling'!J14,IF('Assumptions &amp; Results'!$C$172=2,'Consolidated LNG Equity'!J14,'Consolidated One Ring Fence'!J14))</f>
        <v>266.73501937499998</v>
      </c>
      <c r="K16" s="268">
        <f>IF('Assumptions &amp; Results'!$C$172=1,'Consolidated LNG Tolling'!K14,IF('Assumptions &amp; Results'!$C$172=2,'Consolidated LNG Equity'!K14,'Consolidated One Ring Fence'!K14))</f>
        <v>280.67861250000004</v>
      </c>
      <c r="L16" s="268">
        <f>IF('Assumptions &amp; Results'!$C$172=1,'Consolidated LNG Tolling'!L14,IF('Assumptions &amp; Results'!$C$172=2,'Consolidated LNG Equity'!L14,'Consolidated One Ring Fence'!L14))</f>
        <v>280.67861250000004</v>
      </c>
      <c r="M16" s="268">
        <f>IF('Assumptions &amp; Results'!$C$172=1,'Consolidated LNG Tolling'!M14,IF('Assumptions &amp; Results'!$C$172=2,'Consolidated LNG Equity'!M14,'Consolidated One Ring Fence'!M14))</f>
        <v>280.67861250000004</v>
      </c>
      <c r="N16" s="268">
        <f>IF('Assumptions &amp; Results'!$C$172=1,'Consolidated LNG Tolling'!N14,IF('Assumptions &amp; Results'!$C$172=2,'Consolidated LNG Equity'!N14,'Consolidated One Ring Fence'!N14))</f>
        <v>280.67861250000004</v>
      </c>
      <c r="O16" s="268">
        <f>IF('Assumptions &amp; Results'!$C$172=1,'Consolidated LNG Tolling'!O14,IF('Assumptions &amp; Results'!$C$172=2,'Consolidated LNG Equity'!O14,'Consolidated One Ring Fence'!O14))</f>
        <v>266.73501937499998</v>
      </c>
      <c r="P16" s="268">
        <f>IF('Assumptions &amp; Results'!$C$172=1,'Consolidated LNG Tolling'!P14,IF('Assumptions &amp; Results'!$C$172=2,'Consolidated LNG Equity'!P14,'Consolidated One Ring Fence'!P14))</f>
        <v>280.67861250000004</v>
      </c>
      <c r="Q16" s="268">
        <f>IF('Assumptions &amp; Results'!$C$172=1,'Consolidated LNG Tolling'!Q14,IF('Assumptions &amp; Results'!$C$172=2,'Consolidated LNG Equity'!Q14,'Consolidated One Ring Fence'!Q14))</f>
        <v>280.67861250000004</v>
      </c>
      <c r="R16" s="268">
        <f>IF('Assumptions &amp; Results'!$C$172=1,'Consolidated LNG Tolling'!R14,IF('Assumptions &amp; Results'!$C$172=2,'Consolidated LNG Equity'!R14,'Consolidated One Ring Fence'!R14))</f>
        <v>280.67861250000004</v>
      </c>
      <c r="S16" s="268">
        <f>IF('Assumptions &amp; Results'!$C$172=1,'Consolidated LNG Tolling'!S14,IF('Assumptions &amp; Results'!$C$172=2,'Consolidated LNG Equity'!S14,'Consolidated One Ring Fence'!S14))</f>
        <v>280.67861250000004</v>
      </c>
      <c r="T16" s="268">
        <f>IF('Assumptions &amp; Results'!$C$172=1,'Consolidated LNG Tolling'!T14,IF('Assumptions &amp; Results'!$C$172=2,'Consolidated LNG Equity'!T14,'Consolidated One Ring Fence'!T14))</f>
        <v>266.73501937499998</v>
      </c>
      <c r="U16" s="268">
        <f>IF('Assumptions &amp; Results'!$C$172=1,'Consolidated LNG Tolling'!U14,IF('Assumptions &amp; Results'!$C$172=2,'Consolidated LNG Equity'!U14,'Consolidated One Ring Fence'!U14))</f>
        <v>280.67861250000004</v>
      </c>
      <c r="V16" s="268">
        <f>IF('Assumptions &amp; Results'!$C$172=1,'Consolidated LNG Tolling'!V14,IF('Assumptions &amp; Results'!$C$172=2,'Consolidated LNG Equity'!V14,'Consolidated One Ring Fence'!V14))</f>
        <v>280.67861250000004</v>
      </c>
      <c r="W16" s="268">
        <f>IF('Assumptions &amp; Results'!$C$172=1,'Consolidated LNG Tolling'!W14,IF('Assumptions &amp; Results'!$C$172=2,'Consolidated LNG Equity'!W14,'Consolidated One Ring Fence'!W14))</f>
        <v>280.67861250000004</v>
      </c>
      <c r="X16" s="268">
        <f>IF('Assumptions &amp; Results'!$C$172=1,'Consolidated LNG Tolling'!X14,IF('Assumptions &amp; Results'!$C$172=2,'Consolidated LNG Equity'!X14,'Consolidated One Ring Fence'!X14))</f>
        <v>280.67861250000004</v>
      </c>
      <c r="Y16" s="268">
        <f>IF('Assumptions &amp; Results'!$C$172=1,'Consolidated LNG Tolling'!Y14,IF('Assumptions &amp; Results'!$C$172=2,'Consolidated LNG Equity'!Y14,'Consolidated One Ring Fence'!Y14))</f>
        <v>266.73501937499998</v>
      </c>
      <c r="Z16" s="268">
        <f>IF('Assumptions &amp; Results'!$C$172=1,'Consolidated LNG Tolling'!Z14,IF('Assumptions &amp; Results'!$C$172=2,'Consolidated LNG Equity'!Z14,'Consolidated One Ring Fence'!Z14))</f>
        <v>280.67861250000004</v>
      </c>
      <c r="AA16" s="268">
        <f>IF('Assumptions &amp; Results'!$C$172=1,'Consolidated LNG Tolling'!AA14,IF('Assumptions &amp; Results'!$C$172=2,'Consolidated LNG Equity'!AA14,'Consolidated One Ring Fence'!AA14))</f>
        <v>280.67861250000004</v>
      </c>
      <c r="AB16" s="268">
        <f>IF('Assumptions &amp; Results'!$C$172=1,'Consolidated LNG Tolling'!AB14,IF('Assumptions &amp; Results'!$C$172=2,'Consolidated LNG Equity'!AB14,'Consolidated One Ring Fence'!AB14))</f>
        <v>280.67861250000004</v>
      </c>
      <c r="AC16" s="268">
        <f>IF('Assumptions &amp; Results'!$C$172=1,'Consolidated LNG Tolling'!AC14,IF('Assumptions &amp; Results'!$C$172=2,'Consolidated LNG Equity'!AC14,'Consolidated One Ring Fence'!AC14))</f>
        <v>280.67861250000004</v>
      </c>
      <c r="AD16" s="268">
        <f>IF('Assumptions &amp; Results'!$C$172=1,'Consolidated LNG Tolling'!AD14,IF('Assumptions &amp; Results'!$C$172=2,'Consolidated LNG Equity'!AD14,'Consolidated One Ring Fence'!AD14))</f>
        <v>266.73501937499998</v>
      </c>
      <c r="AE16" s="268">
        <f>IF('Assumptions &amp; Results'!$C$172=1,'Consolidated LNG Tolling'!AE14,IF('Assumptions &amp; Results'!$C$172=2,'Consolidated LNG Equity'!AE14,'Consolidated One Ring Fence'!AE14))</f>
        <v>280.67861250000004</v>
      </c>
      <c r="AF16" s="268">
        <f>IF('Assumptions &amp; Results'!$C$172=1,'Consolidated LNG Tolling'!AF14,IF('Assumptions &amp; Results'!$C$172=2,'Consolidated LNG Equity'!AF14,'Consolidated One Ring Fence'!AF14))</f>
        <v>280.67861250000004</v>
      </c>
      <c r="AG16" s="268">
        <f>IF('Assumptions &amp; Results'!$C$172=1,'Consolidated LNG Tolling'!AG14,IF('Assumptions &amp; Results'!$C$172=2,'Consolidated LNG Equity'!AG14,'Consolidated One Ring Fence'!AG14))</f>
        <v>280.67861250000004</v>
      </c>
      <c r="AH16" s="268">
        <f>IF('Assumptions &amp; Results'!$C$172=1,'Consolidated LNG Tolling'!AH14,IF('Assumptions &amp; Results'!$C$172=2,'Consolidated LNG Equity'!AH14,'Consolidated One Ring Fence'!AH14))</f>
        <v>280.67861250000004</v>
      </c>
      <c r="AI16" s="268">
        <f>IF('Assumptions &amp; Results'!$C$172=1,'Consolidated LNG Tolling'!AI14,IF('Assumptions &amp; Results'!$C$172=2,'Consolidated LNG Equity'!AI14,'Consolidated One Ring Fence'!AI14))</f>
        <v>280.67861250000004</v>
      </c>
      <c r="AJ16" s="271">
        <f>SUM(C16:AI16)</f>
        <v>7929.6224906249981</v>
      </c>
      <c r="AK16" s="37"/>
      <c r="AL16" s="37"/>
      <c r="AM16" s="37"/>
      <c r="AN16" s="37"/>
    </row>
    <row r="17" spans="1:40" x14ac:dyDescent="0.2">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70"/>
      <c r="AK17" s="37"/>
      <c r="AL17" s="37"/>
      <c r="AM17" s="37"/>
      <c r="AN17" s="37"/>
    </row>
    <row r="18" spans="1:40" x14ac:dyDescent="0.2">
      <c r="A18" t="s">
        <v>450</v>
      </c>
      <c r="B18" t="s">
        <v>99</v>
      </c>
      <c r="C18" s="268">
        <f>IF('Assumptions &amp; Results'!$C$172=1,'Consolidated LNG Tolling'!C16,IF('Assumptions &amp; Results'!$C$172=2,'Consolidated LNG Equity'!C18,'Consolidated One Ring Fence'!C18))</f>
        <v>0</v>
      </c>
      <c r="D18" s="268">
        <f>IF('Assumptions &amp; Results'!$C$172=1,'Consolidated LNG Tolling'!D16,IF('Assumptions &amp; Results'!$C$172=2,'Consolidated LNG Equity'!D18,'Consolidated One Ring Fence'!D18))</f>
        <v>0</v>
      </c>
      <c r="E18" s="268">
        <f>IF('Assumptions &amp; Results'!$C$172=1,'Consolidated LNG Tolling'!E16,IF('Assumptions &amp; Results'!$C$172=2,'Consolidated LNG Equity'!E18,'Consolidated One Ring Fence'!E18))</f>
        <v>0</v>
      </c>
      <c r="F18" s="268">
        <f>IF('Assumptions &amp; Results'!$C$172=1,'Consolidated LNG Tolling'!F16,IF('Assumptions &amp; Results'!$C$172=2,'Consolidated LNG Equity'!F18,'Consolidated One Ring Fence'!F18))</f>
        <v>0</v>
      </c>
      <c r="G18" s="268">
        <f>IF('Assumptions &amp; Results'!$C$172=1,'Consolidated LNG Tolling'!G16,IF('Assumptions &amp; Results'!$C$172=2,'Consolidated LNG Equity'!G18,'Consolidated One Ring Fence'!G18))</f>
        <v>0</v>
      </c>
      <c r="H18" s="268">
        <f>IF('Assumptions &amp; Results'!$C$172=1,'Consolidated LNG Tolling'!H16,IF('Assumptions &amp; Results'!$C$172=2,'Consolidated LNG Equity'!H18,'Consolidated One Ring Fence'!H18))</f>
        <v>0</v>
      </c>
      <c r="I18" s="268">
        <f>IF('Assumptions &amp; Results'!$C$172=1,'Consolidated LNG Tolling'!I16,IF('Assumptions &amp; Results'!$C$172=2,'Consolidated LNG Equity'!I18,'Consolidated One Ring Fence'!I18))</f>
        <v>0</v>
      </c>
      <c r="J18" s="268">
        <f>IF('Assumptions &amp; Results'!$C$172=1,'Consolidated LNG Tolling'!J16,IF('Assumptions &amp; Results'!$C$172=2,'Consolidated LNG Equity'!J18,'Consolidated One Ring Fence'!J18))</f>
        <v>0</v>
      </c>
      <c r="K18" s="268">
        <f>IF('Assumptions &amp; Results'!$C$172=1,'Consolidated LNG Tolling'!K16,IF('Assumptions &amp; Results'!$C$172=2,'Consolidated LNG Equity'!K18,'Consolidated One Ring Fence'!K18))</f>
        <v>495.5767824340021</v>
      </c>
      <c r="L18" s="268">
        <f>IF('Assumptions &amp; Results'!$C$172=1,'Consolidated LNG Tolling'!L16,IF('Assumptions &amp; Results'!$C$172=2,'Consolidated LNG Equity'!L18,'Consolidated One Ring Fence'!L18))</f>
        <v>1502.7367712000009</v>
      </c>
      <c r="M18" s="268">
        <f>IF('Assumptions &amp; Results'!$C$172=1,'Consolidated LNG Tolling'!M16,IF('Assumptions &amp; Results'!$C$172=2,'Consolidated LNG Equity'!M18,'Consolidated One Ring Fence'!M18))</f>
        <v>1737.2167712000009</v>
      </c>
      <c r="N18" s="268">
        <f>IF('Assumptions &amp; Results'!$C$172=1,'Consolidated LNG Tolling'!N16,IF('Assumptions &amp; Results'!$C$172=2,'Consolidated LNG Equity'!N18,'Consolidated One Ring Fence'!N18))</f>
        <v>1991.5290100120003</v>
      </c>
      <c r="O18" s="268">
        <f>IF('Assumptions &amp; Results'!$C$172=1,'Consolidated LNG Tolling'!O16,IF('Assumptions &amp; Results'!$C$172=2,'Consolidated LNG Equity'!O18,'Consolidated One Ring Fence'!O18))</f>
        <v>1671.4529247200001</v>
      </c>
      <c r="P18" s="268">
        <f>IF('Assumptions &amp; Results'!$C$172=1,'Consolidated LNG Tolling'!P16,IF('Assumptions &amp; Results'!$C$172=2,'Consolidated LNG Equity'!P18,'Consolidated One Ring Fence'!P18))</f>
        <v>1851.4937992000005</v>
      </c>
      <c r="Q18" s="268">
        <f>IF('Assumptions &amp; Results'!$C$172=1,'Consolidated LNG Tolling'!Q16,IF('Assumptions &amp; Results'!$C$172=2,'Consolidated LNG Equity'!Q18,'Consolidated One Ring Fence'!Q18))</f>
        <v>1851.4937992000005</v>
      </c>
      <c r="R18" s="268">
        <f>IF('Assumptions &amp; Results'!$C$172=1,'Consolidated LNG Tolling'!R16,IF('Assumptions &amp; Results'!$C$172=2,'Consolidated LNG Equity'!R18,'Consolidated One Ring Fence'!R18))</f>
        <v>1851.4937992000005</v>
      </c>
      <c r="S18" s="268">
        <f>IF('Assumptions &amp; Results'!$C$172=1,'Consolidated LNG Tolling'!S16,IF('Assumptions &amp; Results'!$C$172=2,'Consolidated LNG Equity'!S18,'Consolidated One Ring Fence'!S18))</f>
        <v>1635.8863720000004</v>
      </c>
      <c r="T18" s="268">
        <f>IF('Assumptions &amp; Results'!$C$172=1,'Consolidated LNG Tolling'!T16,IF('Assumptions &amp; Results'!$C$172=2,'Consolidated LNG Equity'!T18,'Consolidated One Ring Fence'!T18))</f>
        <v>1455.7605080000001</v>
      </c>
      <c r="U18" s="268">
        <f>IF('Assumptions &amp; Results'!$C$172=1,'Consolidated LNG Tolling'!U16,IF('Assumptions &amp; Results'!$C$172=2,'Consolidated LNG Equity'!U18,'Consolidated One Ring Fence'!U18))</f>
        <v>1635.8863720000004</v>
      </c>
      <c r="V18" s="268">
        <f>IF('Assumptions &amp; Results'!$C$172=1,'Consolidated LNG Tolling'!V16,IF('Assumptions &amp; Results'!$C$172=2,'Consolidated LNG Equity'!V18,'Consolidated One Ring Fence'!V18))</f>
        <v>1635.8863720000004</v>
      </c>
      <c r="W18" s="268">
        <f>IF('Assumptions &amp; Results'!$C$172=1,'Consolidated LNG Tolling'!W16,IF('Assumptions &amp; Results'!$C$172=2,'Consolidated LNG Equity'!W18,'Consolidated One Ring Fence'!W18))</f>
        <v>1635.8863720000004</v>
      </c>
      <c r="X18" s="268">
        <f>IF('Assumptions &amp; Results'!$C$172=1,'Consolidated LNG Tolling'!X16,IF('Assumptions &amp; Results'!$C$172=2,'Consolidated LNG Equity'!X18,'Consolidated One Ring Fence'!X18))</f>
        <v>1635.8863720000004</v>
      </c>
      <c r="Y18" s="268">
        <f>IF('Assumptions &amp; Results'!$C$172=1,'Consolidated LNG Tolling'!Y16,IF('Assumptions &amp; Results'!$C$172=2,'Consolidated LNG Equity'!Y18,'Consolidated One Ring Fence'!Y18))</f>
        <v>1347.9142996400001</v>
      </c>
      <c r="Z18" s="268">
        <f>IF('Assumptions &amp; Results'!$C$172=1,'Consolidated LNG Tolling'!Z16,IF('Assumptions &amp; Results'!$C$172=2,'Consolidated LNG Equity'!Z18,'Consolidated One Ring Fence'!Z18))</f>
        <v>1528.0826584000004</v>
      </c>
      <c r="AA18" s="268">
        <f>IF('Assumptions &amp; Results'!$C$172=1,'Consolidated LNG Tolling'!AA16,IF('Assumptions &amp; Results'!$C$172=2,'Consolidated LNG Equity'!AA18,'Consolidated One Ring Fence'!AA18))</f>
        <v>1528.0826584000004</v>
      </c>
      <c r="AB18" s="268">
        <f>IF('Assumptions &amp; Results'!$C$172=1,'Consolidated LNG Tolling'!AB16,IF('Assumptions &amp; Results'!$C$172=2,'Consolidated LNG Equity'!AB18,'Consolidated One Ring Fence'!AB18))</f>
        <v>1528.0826584000004</v>
      </c>
      <c r="AC18" s="268">
        <f>IF('Assumptions &amp; Results'!$C$172=1,'Consolidated LNG Tolling'!AC16,IF('Assumptions &amp; Results'!$C$172=2,'Consolidated LNG Equity'!AC18,'Consolidated One Ring Fence'!AC18))</f>
        <v>1528.0826584000004</v>
      </c>
      <c r="AD18" s="268">
        <f>IF('Assumptions &amp; Results'!$C$172=1,'Consolidated LNG Tolling'!AD16,IF('Assumptions &amp; Results'!$C$172=2,'Consolidated LNG Equity'!AD18,'Consolidated One Ring Fence'!AD18))</f>
        <v>1347.9142996400001</v>
      </c>
      <c r="AE18" s="268">
        <f>IF('Assumptions &amp; Results'!$C$172=1,'Consolidated LNG Tolling'!AE16,IF('Assumptions &amp; Results'!$C$172=2,'Consolidated LNG Equity'!AE18,'Consolidated One Ring Fence'!AE18))</f>
        <v>1528.0826584000004</v>
      </c>
      <c r="AF18" s="268">
        <f>IF('Assumptions &amp; Results'!$C$172=1,'Consolidated LNG Tolling'!AF16,IF('Assumptions &amp; Results'!$C$172=2,'Consolidated LNG Equity'!AF18,'Consolidated One Ring Fence'!AF18))</f>
        <v>1528.0826584000004</v>
      </c>
      <c r="AG18" s="268">
        <f>IF('Assumptions &amp; Results'!$C$172=1,'Consolidated LNG Tolling'!AG16,IF('Assumptions &amp; Results'!$C$172=2,'Consolidated LNG Equity'!AG18,'Consolidated One Ring Fence'!AG18))</f>
        <v>1451.2826584000004</v>
      </c>
      <c r="AH18" s="268">
        <f>IF('Assumptions &amp; Results'!$C$172=1,'Consolidated LNG Tolling'!AH16,IF('Assumptions &amp; Results'!$C$172=2,'Consolidated LNG Equity'!AH18,'Consolidated One Ring Fence'!AH18))</f>
        <v>1451.2826584000004</v>
      </c>
      <c r="AI18" s="268">
        <f>IF('Assumptions &amp; Results'!$C$172=1,'Consolidated LNG Tolling'!AI16,IF('Assumptions &amp; Results'!$C$172=2,'Consolidated LNG Equity'!AI18,'Consolidated One Ring Fence'!AI18))</f>
        <v>1374.4826584000002</v>
      </c>
      <c r="AJ18" s="271">
        <f>SUM(C18:AI18)</f>
        <v>38729.558550046015</v>
      </c>
      <c r="AK18" s="37"/>
      <c r="AL18" s="37"/>
      <c r="AM18" s="37"/>
      <c r="AN18" s="37"/>
    </row>
    <row r="19" spans="1:40" x14ac:dyDescent="0.2">
      <c r="C19" s="281"/>
      <c r="D19" s="281"/>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70"/>
      <c r="AK19" s="37"/>
      <c r="AL19" s="37"/>
      <c r="AM19" s="37"/>
      <c r="AN19" s="37"/>
    </row>
    <row r="20" spans="1:40" ht="18" x14ac:dyDescent="0.35">
      <c r="A20" s="37" t="s">
        <v>451</v>
      </c>
      <c r="B20" t="s">
        <v>99</v>
      </c>
      <c r="C20" s="282">
        <f>IF('Assumptions &amp; Results'!$C$172=1,'Consolidated LNG Tolling'!C21,IF('Assumptions &amp; Results'!$C$172=2,'Consolidated LNG Equity'!C23,'Consolidated One Ring Fence'!C23))</f>
        <v>0</v>
      </c>
      <c r="D20" s="282">
        <f>IF('Assumptions &amp; Results'!$C$172=1,'Consolidated LNG Tolling'!D21,IF('Assumptions &amp; Results'!$C$172=2,'Consolidated LNG Equity'!D23,'Consolidated One Ring Fence'!D23))</f>
        <v>0</v>
      </c>
      <c r="E20" s="282">
        <f>IF('Assumptions &amp; Results'!$C$172=1,'Consolidated LNG Tolling'!E21,IF('Assumptions &amp; Results'!$C$172=2,'Consolidated LNG Equity'!E23,'Consolidated One Ring Fence'!E23))</f>
        <v>0</v>
      </c>
      <c r="F20" s="282">
        <f>IF('Assumptions &amp; Results'!$C$172=1,'Consolidated LNG Tolling'!F21,IF('Assumptions &amp; Results'!$C$172=2,'Consolidated LNG Equity'!F23,'Consolidated One Ring Fence'!F23))</f>
        <v>0</v>
      </c>
      <c r="G20" s="282">
        <f>IF('Assumptions &amp; Results'!$C$172=1,'Consolidated LNG Tolling'!G21,IF('Assumptions &amp; Results'!$C$172=2,'Consolidated LNG Equity'!G23,'Consolidated One Ring Fence'!G23))</f>
        <v>220.40693812500007</v>
      </c>
      <c r="H20" s="282">
        <f>IF('Assumptions &amp; Results'!$C$172=1,'Consolidated LNG Tolling'!H21,IF('Assumptions &amp; Results'!$C$172=2,'Consolidated LNG Equity'!H23,'Consolidated One Ring Fence'!H23))</f>
        <v>440.81387625000013</v>
      </c>
      <c r="I20" s="282">
        <f>IF('Assumptions &amp; Results'!$C$172=1,'Consolidated LNG Tolling'!I21,IF('Assumptions &amp; Results'!$C$172=2,'Consolidated LNG Equity'!I23,'Consolidated One Ring Fence'!I23))</f>
        <v>440.81387625000013</v>
      </c>
      <c r="J20" s="282">
        <f>IF('Assumptions &amp; Results'!$C$172=1,'Consolidated LNG Tolling'!J21,IF('Assumptions &amp; Results'!$C$172=2,'Consolidated LNG Equity'!J23,'Consolidated One Ring Fence'!J23))</f>
        <v>426.91676176875001</v>
      </c>
      <c r="K20" s="282">
        <f>IF('Assumptions &amp; Results'!$C$172=1,'Consolidated LNG Tolling'!K21,IF('Assumptions &amp; Results'!$C$172=2,'Consolidated LNG Equity'!K23,'Consolidated One Ring Fence'!K23))</f>
        <v>1096.5259224340023</v>
      </c>
      <c r="L20" s="282">
        <f>IF('Assumptions &amp; Results'!$C$172=1,'Consolidated LNG Tolling'!L21,IF('Assumptions &amp; Results'!$C$172=2,'Consolidated LNG Equity'!L23,'Consolidated One Ring Fence'!L23))</f>
        <v>2103.6859112000011</v>
      </c>
      <c r="M20" s="282">
        <f>IF('Assumptions &amp; Results'!$C$172=1,'Consolidated LNG Tolling'!M21,IF('Assumptions &amp; Results'!$C$172=2,'Consolidated LNG Equity'!M23,'Consolidated One Ring Fence'!M23))</f>
        <v>2338.1659112000011</v>
      </c>
      <c r="N20" s="282">
        <f>IF('Assumptions &amp; Results'!$C$172=1,'Consolidated LNG Tolling'!N21,IF('Assumptions &amp; Results'!$C$172=2,'Consolidated LNG Equity'!N23,'Consolidated One Ring Fence'!N23))</f>
        <v>2727.9209037245009</v>
      </c>
      <c r="O20" s="282">
        <f>IF('Assumptions &amp; Results'!$C$172=1,'Consolidated LNG Tolling'!O21,IF('Assumptions &amp; Results'!$C$172=2,'Consolidated LNG Equity'!O23,'Consolidated One Ring Fence'!O23))</f>
        <v>2949.2461474699999</v>
      </c>
      <c r="P20" s="282">
        <f>IF('Assumptions &amp; Results'!$C$172=1,'Consolidated LNG Tolling'!P21,IF('Assumptions &amp; Results'!$C$172=2,'Consolidated LNG Equity'!P23,'Consolidated One Ring Fence'!P23))</f>
        <v>3142.8322267000012</v>
      </c>
      <c r="Q20" s="282">
        <f>IF('Assumptions &amp; Results'!$C$172=1,'Consolidated LNG Tolling'!Q21,IF('Assumptions &amp; Results'!$C$172=2,'Consolidated LNG Equity'!Q23,'Consolidated One Ring Fence'!Q23))</f>
        <v>3142.8322267000012</v>
      </c>
      <c r="R20" s="282">
        <f>IF('Assumptions &amp; Results'!$C$172=1,'Consolidated LNG Tolling'!R21,IF('Assumptions &amp; Results'!$C$172=2,'Consolidated LNG Equity'!R23,'Consolidated One Ring Fence'!R23))</f>
        <v>3142.8322267000012</v>
      </c>
      <c r="S20" s="282">
        <f>IF('Assumptions &amp; Results'!$C$172=1,'Consolidated LNG Tolling'!S21,IF('Assumptions &amp; Results'!$C$172=2,'Consolidated LNG Equity'!S23,'Consolidated One Ring Fence'!S23))</f>
        <v>3600.998009500001</v>
      </c>
      <c r="T20" s="282">
        <f>IF('Assumptions &amp; Results'!$C$172=1,'Consolidated LNG Tolling'!T21,IF('Assumptions &amp; Results'!$C$172=2,'Consolidated LNG Equity'!T23,'Consolidated One Ring Fence'!T23))</f>
        <v>3407.592533</v>
      </c>
      <c r="U20" s="282">
        <f>IF('Assumptions &amp; Results'!$C$172=1,'Consolidated LNG Tolling'!U21,IF('Assumptions &amp; Results'!$C$172=2,'Consolidated LNG Equity'!U23,'Consolidated One Ring Fence'!U23))</f>
        <v>3600.998009500001</v>
      </c>
      <c r="V20" s="282">
        <f>IF('Assumptions &amp; Results'!$C$172=1,'Consolidated LNG Tolling'!V21,IF('Assumptions &amp; Results'!$C$172=2,'Consolidated LNG Equity'!V23,'Consolidated One Ring Fence'!V23))</f>
        <v>3600.998009500001</v>
      </c>
      <c r="W20" s="282">
        <f>IF('Assumptions &amp; Results'!$C$172=1,'Consolidated LNG Tolling'!W21,IF('Assumptions &amp; Results'!$C$172=2,'Consolidated LNG Equity'!W23,'Consolidated One Ring Fence'!W23))</f>
        <v>3600.998009500001</v>
      </c>
      <c r="X20" s="282">
        <f>IF('Assumptions &amp; Results'!$C$172=1,'Consolidated LNG Tolling'!X21,IF('Assumptions &amp; Results'!$C$172=2,'Consolidated LNG Equity'!X23,'Consolidated One Ring Fence'!X23))</f>
        <v>3600.998009500001</v>
      </c>
      <c r="Y20" s="282">
        <f>IF('Assumptions &amp; Results'!$C$172=1,'Consolidated LNG Tolling'!Y21,IF('Assumptions &amp; Results'!$C$172=2,'Consolidated LNG Equity'!Y23,'Consolidated One Ring Fence'!Y23))</f>
        <v>3636.7657257649998</v>
      </c>
      <c r="Z20" s="282">
        <f>IF('Assumptions &amp; Results'!$C$172=1,'Consolidated LNG Tolling'!Z21,IF('Assumptions &amp; Results'!$C$172=2,'Consolidated LNG Equity'!Z23,'Consolidated One Ring Fence'!Z23))</f>
        <v>3830.0809009000013</v>
      </c>
      <c r="AA20" s="282">
        <f>IF('Assumptions &amp; Results'!$C$172=1,'Consolidated LNG Tolling'!AA21,IF('Assumptions &amp; Results'!$C$172=2,'Consolidated LNG Equity'!AA23,'Consolidated One Ring Fence'!AA23))</f>
        <v>3830.0809009000013</v>
      </c>
      <c r="AB20" s="282">
        <f>IF('Assumptions &amp; Results'!$C$172=1,'Consolidated LNG Tolling'!AB21,IF('Assumptions &amp; Results'!$C$172=2,'Consolidated LNG Equity'!AB23,'Consolidated One Ring Fence'!AB23))</f>
        <v>3830.0809009000013</v>
      </c>
      <c r="AC20" s="282">
        <f>IF('Assumptions &amp; Results'!$C$172=1,'Consolidated LNG Tolling'!AC21,IF('Assumptions &amp; Results'!$C$172=2,'Consolidated LNG Equity'!AC23,'Consolidated One Ring Fence'!AC23))</f>
        <v>3830.0809009000013</v>
      </c>
      <c r="AD20" s="282">
        <f>IF('Assumptions &amp; Results'!$C$172=1,'Consolidated LNG Tolling'!AD21,IF('Assumptions &amp; Results'!$C$172=2,'Consolidated LNG Equity'!AD23,'Consolidated One Ring Fence'!AD23))</f>
        <v>3636.7657257649998</v>
      </c>
      <c r="AE20" s="282">
        <f>IF('Assumptions &amp; Results'!$C$172=1,'Consolidated LNG Tolling'!AE21,IF('Assumptions &amp; Results'!$C$172=2,'Consolidated LNG Equity'!AE23,'Consolidated One Ring Fence'!AE23))</f>
        <v>3830.0809009000013</v>
      </c>
      <c r="AF20" s="282">
        <f>IF('Assumptions &amp; Results'!$C$172=1,'Consolidated LNG Tolling'!AF21,IF('Assumptions &amp; Results'!$C$172=2,'Consolidated LNG Equity'!AF23,'Consolidated One Ring Fence'!AF23))</f>
        <v>3830.0809009000013</v>
      </c>
      <c r="AG20" s="282">
        <f>IF('Assumptions &amp; Results'!$C$172=1,'Consolidated LNG Tolling'!AG21,IF('Assumptions &amp; Results'!$C$172=2,'Consolidated LNG Equity'!AG23,'Consolidated One Ring Fence'!AG23))</f>
        <v>3393.2809009000011</v>
      </c>
      <c r="AH20" s="282">
        <f>IF('Assumptions &amp; Results'!$C$172=1,'Consolidated LNG Tolling'!AH21,IF('Assumptions &amp; Results'!$C$172=2,'Consolidated LNG Equity'!AH23,'Consolidated One Ring Fence'!AH23))</f>
        <v>3393.2809009000011</v>
      </c>
      <c r="AI20" s="282">
        <f>IF('Assumptions &amp; Results'!$C$172=1,'Consolidated LNG Tolling'!AI21,IF('Assumptions &amp; Results'!$C$172=2,'Consolidated LNG Equity'!AI23,'Consolidated One Ring Fence'!AI23))</f>
        <v>2956.480900900001</v>
      </c>
      <c r="AJ20" s="276">
        <f>SUM(C20:AI20)</f>
        <v>83582.635068652293</v>
      </c>
      <c r="AK20" s="37"/>
      <c r="AL20" s="37"/>
      <c r="AM20" s="37"/>
      <c r="AN20" s="37"/>
    </row>
    <row r="21" spans="1:40" x14ac:dyDescent="0.2">
      <c r="A21" s="267"/>
      <c r="B21" s="37"/>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70"/>
      <c r="AK21" s="37"/>
      <c r="AL21" s="37"/>
      <c r="AM21" s="37"/>
      <c r="AN21" s="37"/>
    </row>
    <row r="22" spans="1:40" x14ac:dyDescent="0.2">
      <c r="A22" s="267" t="s">
        <v>452</v>
      </c>
      <c r="B22" s="37"/>
      <c r="C22" s="268">
        <f>C12-C14-C16-C18</f>
        <v>-417</v>
      </c>
      <c r="D22" s="268">
        <f t="shared" ref="D22:AI22" si="0">D12-D14-D16-D18</f>
        <v>-5243</v>
      </c>
      <c r="E22" s="268">
        <f t="shared" si="0"/>
        <v>-8207</v>
      </c>
      <c r="F22" s="268">
        <f t="shared" si="0"/>
        <v>-10831</v>
      </c>
      <c r="G22" s="268">
        <f t="shared" si="0"/>
        <v>18.221336875000901</v>
      </c>
      <c r="H22" s="268">
        <f t="shared" si="0"/>
        <v>6096.4426737500016</v>
      </c>
      <c r="I22" s="268">
        <f t="shared" si="0"/>
        <v>6636.4426737500016</v>
      </c>
      <c r="J22" s="268">
        <f t="shared" si="0"/>
        <v>6074.1668507312497</v>
      </c>
      <c r="K22" s="268">
        <f t="shared" si="0"/>
        <v>5980.7306275660003</v>
      </c>
      <c r="L22" s="268">
        <f t="shared" si="0"/>
        <v>4973.5706388000017</v>
      </c>
      <c r="M22" s="268">
        <f t="shared" si="0"/>
        <v>4739.0906388000012</v>
      </c>
      <c r="N22" s="268">
        <f t="shared" si="0"/>
        <v>4349.3356462755009</v>
      </c>
      <c r="O22" s="268">
        <f t="shared" si="0"/>
        <v>3551.8374650300002</v>
      </c>
      <c r="P22" s="268">
        <f t="shared" si="0"/>
        <v>3934.4243233000007</v>
      </c>
      <c r="Q22" s="268">
        <f t="shared" si="0"/>
        <v>3934.4243233000007</v>
      </c>
      <c r="R22" s="268">
        <f t="shared" si="0"/>
        <v>3934.4243233000007</v>
      </c>
      <c r="S22" s="268">
        <f t="shared" si="0"/>
        <v>3476.2585405000013</v>
      </c>
      <c r="T22" s="268">
        <f t="shared" si="0"/>
        <v>3093.4910794999996</v>
      </c>
      <c r="U22" s="268">
        <f t="shared" si="0"/>
        <v>3476.2585405000013</v>
      </c>
      <c r="V22" s="268">
        <f t="shared" si="0"/>
        <v>3476.2585405000013</v>
      </c>
      <c r="W22" s="268">
        <f t="shared" si="0"/>
        <v>3476.2585405000013</v>
      </c>
      <c r="X22" s="268">
        <f t="shared" si="0"/>
        <v>3476.2585405000013</v>
      </c>
      <c r="Y22" s="268">
        <f t="shared" si="0"/>
        <v>2864.3178867350002</v>
      </c>
      <c r="Z22" s="268">
        <f t="shared" si="0"/>
        <v>3247.1756491000006</v>
      </c>
      <c r="AA22" s="268">
        <f t="shared" si="0"/>
        <v>3247.1756491000006</v>
      </c>
      <c r="AB22" s="268">
        <f t="shared" si="0"/>
        <v>3247.1756491000006</v>
      </c>
      <c r="AC22" s="268">
        <f t="shared" si="0"/>
        <v>3247.1756491000006</v>
      </c>
      <c r="AD22" s="268">
        <f t="shared" si="0"/>
        <v>2864.3178867350002</v>
      </c>
      <c r="AE22" s="268">
        <f t="shared" si="0"/>
        <v>3247.1756491000006</v>
      </c>
      <c r="AF22" s="268">
        <f t="shared" si="0"/>
        <v>3247.1756491000006</v>
      </c>
      <c r="AG22" s="268">
        <f t="shared" si="0"/>
        <v>3083.9756491000007</v>
      </c>
      <c r="AH22" s="268">
        <f t="shared" si="0"/>
        <v>3083.9756491000007</v>
      </c>
      <c r="AI22" s="268">
        <f t="shared" si="0"/>
        <v>2920.7756491000009</v>
      </c>
      <c r="AJ22" s="271">
        <f>SUM(C22:AI22)</f>
        <v>84300.311918847772</v>
      </c>
      <c r="AK22" s="37"/>
      <c r="AL22" s="37"/>
      <c r="AM22" s="37"/>
      <c r="AN22" s="37"/>
    </row>
    <row r="23" spans="1:40" x14ac:dyDescent="0.2">
      <c r="A23" s="267"/>
      <c r="B23" s="37"/>
      <c r="C23" s="269"/>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71"/>
      <c r="AK23" s="37"/>
      <c r="AL23" s="37"/>
      <c r="AM23" s="37"/>
      <c r="AN23" s="37"/>
    </row>
    <row r="24" spans="1:40" s="321" customFormat="1" ht="18.95" x14ac:dyDescent="0.25">
      <c r="A24" s="325" t="s">
        <v>453</v>
      </c>
      <c r="B24" s="326"/>
      <c r="C24" s="327"/>
      <c r="D24" s="328"/>
      <c r="E24" s="328"/>
      <c r="F24" s="328"/>
      <c r="G24" s="328"/>
      <c r="H24" s="328"/>
      <c r="I24" s="328"/>
      <c r="J24" s="328"/>
      <c r="K24" s="328"/>
      <c r="L24" s="328"/>
      <c r="M24" s="328"/>
      <c r="N24" s="328"/>
      <c r="O24" s="328"/>
      <c r="P24" s="328"/>
      <c r="Q24" s="328"/>
      <c r="R24" s="328"/>
      <c r="S24" s="328"/>
      <c r="T24" s="328"/>
      <c r="U24" s="328"/>
      <c r="V24" s="328"/>
      <c r="W24" s="328"/>
      <c r="X24" s="328"/>
      <c r="Y24" s="328"/>
      <c r="Z24" s="328"/>
      <c r="AA24" s="328"/>
      <c r="AB24" s="328"/>
      <c r="AC24" s="328"/>
      <c r="AD24" s="328"/>
      <c r="AE24" s="328"/>
      <c r="AF24" s="328"/>
      <c r="AG24" s="328"/>
      <c r="AH24" s="328"/>
      <c r="AI24" s="328"/>
      <c r="AJ24" s="329"/>
      <c r="AK24" s="326"/>
      <c r="AL24" s="326"/>
      <c r="AM24" s="326"/>
      <c r="AN24" s="326"/>
    </row>
    <row r="25" spans="1:40" x14ac:dyDescent="0.2">
      <c r="A25" s="30" t="s">
        <v>449</v>
      </c>
      <c r="B25" t="s">
        <v>99</v>
      </c>
      <c r="C25" s="283">
        <f>'Assumptions &amp; Results'!$C$166*'NOC &amp; IOC Shares'!C6</f>
        <v>0</v>
      </c>
      <c r="D25" s="283">
        <f>'Assumptions &amp; Results'!$C$166*'NOC &amp; IOC Shares'!D6</f>
        <v>0</v>
      </c>
      <c r="E25" s="283">
        <f>'Assumptions &amp; Results'!$C$166*'NOC &amp; IOC Shares'!E6</f>
        <v>0</v>
      </c>
      <c r="F25" s="283">
        <f>'Assumptions &amp; Results'!$C$166*'NOC &amp; IOC Shares'!F6</f>
        <v>0</v>
      </c>
      <c r="G25" s="283">
        <f>'Assumptions &amp; Results'!$C$166*'NOC &amp; IOC Shares'!G6</f>
        <v>467.79768750000017</v>
      </c>
      <c r="H25" s="283">
        <f>'Assumptions &amp; Results'!$C$166*'NOC &amp; IOC Shares'!H6</f>
        <v>935.59537500000033</v>
      </c>
      <c r="I25" s="283">
        <f>'Assumptions &amp; Results'!$C$166*'NOC &amp; IOC Shares'!I6</f>
        <v>935.59537500000033</v>
      </c>
      <c r="J25" s="283">
        <f>'Assumptions &amp; Results'!$C$166*'NOC &amp; IOC Shares'!J6</f>
        <v>889.11673125000004</v>
      </c>
      <c r="K25" s="283">
        <f>'Assumptions &amp; Results'!$C$166*'NOC &amp; IOC Shares'!K6</f>
        <v>935.59537500000033</v>
      </c>
      <c r="L25" s="283">
        <f>'Assumptions &amp; Results'!$C$166*'NOC &amp; IOC Shares'!L6</f>
        <v>935.59537500000033</v>
      </c>
      <c r="M25" s="283">
        <f>'Assumptions &amp; Results'!$C$166*'NOC &amp; IOC Shares'!M6</f>
        <v>935.59537500000033</v>
      </c>
      <c r="N25" s="283">
        <f>'Assumptions &amp; Results'!$C$166*'NOC &amp; IOC Shares'!N6</f>
        <v>935.59537500000033</v>
      </c>
      <c r="O25" s="283">
        <f>'Assumptions &amp; Results'!$C$166*'NOC &amp; IOC Shares'!O6</f>
        <v>889.11673125000004</v>
      </c>
      <c r="P25" s="283">
        <f>'Assumptions &amp; Results'!$C$166*'NOC &amp; IOC Shares'!P6</f>
        <v>935.59537500000033</v>
      </c>
      <c r="Q25" s="283">
        <f>'Assumptions &amp; Results'!$C$166*'NOC &amp; IOC Shares'!Q6</f>
        <v>935.59537500000033</v>
      </c>
      <c r="R25" s="283">
        <f>'Assumptions &amp; Results'!$C$166*'NOC &amp; IOC Shares'!R6</f>
        <v>935.59537500000033</v>
      </c>
      <c r="S25" s="283">
        <f>'Assumptions &amp; Results'!$C$166*'NOC &amp; IOC Shares'!S6</f>
        <v>935.59537500000033</v>
      </c>
      <c r="T25" s="283">
        <f>'Assumptions &amp; Results'!$C$166*'NOC &amp; IOC Shares'!T6</f>
        <v>889.11673125000004</v>
      </c>
      <c r="U25" s="283">
        <f>'Assumptions &amp; Results'!$C$166*'NOC &amp; IOC Shares'!U6</f>
        <v>935.59537500000033</v>
      </c>
      <c r="V25" s="283">
        <f>'Assumptions &amp; Results'!$C$166*'NOC &amp; IOC Shares'!V6</f>
        <v>935.59537500000033</v>
      </c>
      <c r="W25" s="283">
        <f>'Assumptions &amp; Results'!$C$166*'NOC &amp; IOC Shares'!W6</f>
        <v>935.59537500000033</v>
      </c>
      <c r="X25" s="283">
        <f>'Assumptions &amp; Results'!$C$166*'NOC &amp; IOC Shares'!X6</f>
        <v>935.59537500000033</v>
      </c>
      <c r="Y25" s="283">
        <f>'Assumptions &amp; Results'!$C$166*'NOC &amp; IOC Shares'!Y6</f>
        <v>889.11673125000004</v>
      </c>
      <c r="Z25" s="283">
        <f>'Assumptions &amp; Results'!$C$166*'NOC &amp; IOC Shares'!Z6</f>
        <v>935.59537500000033</v>
      </c>
      <c r="AA25" s="283">
        <f>'Assumptions &amp; Results'!$C$166*'NOC &amp; IOC Shares'!AA6</f>
        <v>935.59537500000033</v>
      </c>
      <c r="AB25" s="283">
        <f>'Assumptions &amp; Results'!$C$166*'NOC &amp; IOC Shares'!AB6</f>
        <v>935.59537500000033</v>
      </c>
      <c r="AC25" s="283">
        <f>'Assumptions &amp; Results'!$C$166*'NOC &amp; IOC Shares'!AC6</f>
        <v>935.59537500000033</v>
      </c>
      <c r="AD25" s="283">
        <f>'Assumptions &amp; Results'!$C$166*'NOC &amp; IOC Shares'!AD6</f>
        <v>889.11673125000004</v>
      </c>
      <c r="AE25" s="283">
        <f>'Assumptions &amp; Results'!$C$166*'NOC &amp; IOC Shares'!AE6</f>
        <v>935.59537500000033</v>
      </c>
      <c r="AF25" s="283">
        <f>'Assumptions &amp; Results'!$C$166*'NOC &amp; IOC Shares'!AF6</f>
        <v>935.59537500000033</v>
      </c>
      <c r="AG25" s="283">
        <f>'Assumptions &amp; Results'!$C$166*'NOC &amp; IOC Shares'!AG6</f>
        <v>935.59537500000033</v>
      </c>
      <c r="AH25" s="283">
        <f>'Assumptions &amp; Results'!$C$166*'NOC &amp; IOC Shares'!AH6</f>
        <v>935.59537500000033</v>
      </c>
      <c r="AI25" s="283">
        <f>'Assumptions &amp; Results'!$C$166*'NOC &amp; IOC Shares'!AI6</f>
        <v>935.59537500000033</v>
      </c>
      <c r="AJ25" s="284">
        <f>SUM(C25:AI25)</f>
        <v>26432.074968750017</v>
      </c>
      <c r="AK25" s="37"/>
      <c r="AL25" s="37"/>
      <c r="AM25" s="37"/>
      <c r="AN25" s="37"/>
    </row>
    <row r="26" spans="1:40" x14ac:dyDescent="0.2">
      <c r="A26" s="267"/>
      <c r="B26" s="37"/>
      <c r="C26" s="283"/>
      <c r="D26" s="283"/>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4"/>
      <c r="AK26" s="37"/>
      <c r="AL26" s="37"/>
      <c r="AM26" s="37"/>
      <c r="AN26" s="37"/>
    </row>
    <row r="27" spans="1:40" x14ac:dyDescent="0.2">
      <c r="A27" t="s">
        <v>478</v>
      </c>
      <c r="B27" t="s">
        <v>99</v>
      </c>
      <c r="C27" s="283">
        <f>'Assumptions &amp; Results'!$C$166*'NOC &amp; IOC Shares'!C8</f>
        <v>0</v>
      </c>
      <c r="D27" s="283">
        <f>'Assumptions &amp; Results'!$C$166*'NOC &amp; IOC Shares'!D8</f>
        <v>0</v>
      </c>
      <c r="E27" s="283">
        <f>'Assumptions &amp; Results'!$C$166*'NOC &amp; IOC Shares'!E8</f>
        <v>0</v>
      </c>
      <c r="F27" s="283">
        <f>'Assumptions &amp; Results'!$C$166*'NOC &amp; IOC Shares'!F8</f>
        <v>0</v>
      </c>
      <c r="G27" s="283">
        <f>'Assumptions &amp; Results'!$C$166*'NOC &amp; IOC Shares'!G8</f>
        <v>-113.93486000000001</v>
      </c>
      <c r="H27" s="283">
        <f>'Assumptions &amp; Results'!$C$166*'NOC &amp; IOC Shares'!H8</f>
        <v>-227.86972000000003</v>
      </c>
      <c r="I27" s="283">
        <f>'Assumptions &amp; Results'!$C$166*'NOC &amp; IOC Shares'!I8</f>
        <v>-227.86972000000003</v>
      </c>
      <c r="J27" s="283">
        <f>'Assumptions &amp; Results'!$C$166*'NOC &amp; IOC Shares'!J8</f>
        <v>-239.00837000000001</v>
      </c>
      <c r="K27" s="283">
        <f>'Assumptions &amp; Results'!$C$166*'NOC &amp; IOC Shares'!K8</f>
        <v>-227.86972000000003</v>
      </c>
      <c r="L27" s="283">
        <f>'Assumptions &amp; Results'!$C$166*'NOC &amp; IOC Shares'!L8</f>
        <v>-227.86972000000003</v>
      </c>
      <c r="M27" s="283">
        <f>'Assumptions &amp; Results'!$C$166*'NOC &amp; IOC Shares'!M8</f>
        <v>-227.86972000000003</v>
      </c>
      <c r="N27" s="283">
        <f>'Assumptions &amp; Results'!$C$166*'NOC &amp; IOC Shares'!N8</f>
        <v>-227.86972000000003</v>
      </c>
      <c r="O27" s="283">
        <f>'Assumptions &amp; Results'!$C$166*'NOC &amp; IOC Shares'!O8</f>
        <v>-239.00837000000001</v>
      </c>
      <c r="P27" s="283">
        <f>'Assumptions &amp; Results'!$C$166*'NOC &amp; IOC Shares'!P8</f>
        <v>-227.86972000000003</v>
      </c>
      <c r="Q27" s="283">
        <f>'Assumptions &amp; Results'!$C$166*'NOC &amp; IOC Shares'!Q8</f>
        <v>-227.86972000000003</v>
      </c>
      <c r="R27" s="283">
        <f>'Assumptions &amp; Results'!$C$166*'NOC &amp; IOC Shares'!R8</f>
        <v>-227.86972000000003</v>
      </c>
      <c r="S27" s="283">
        <f>'Assumptions &amp; Results'!$C$166*'NOC &amp; IOC Shares'!S8</f>
        <v>-227.86972000000003</v>
      </c>
      <c r="T27" s="283">
        <f>'Assumptions &amp; Results'!$C$166*'NOC &amp; IOC Shares'!T8</f>
        <v>-239.00837000000001</v>
      </c>
      <c r="U27" s="283">
        <f>'Assumptions &amp; Results'!$C$166*'NOC &amp; IOC Shares'!U8</f>
        <v>-227.86972000000003</v>
      </c>
      <c r="V27" s="283">
        <f>'Assumptions &amp; Results'!$C$166*'NOC &amp; IOC Shares'!V8</f>
        <v>-227.86972000000003</v>
      </c>
      <c r="W27" s="283">
        <f>'Assumptions &amp; Results'!$C$166*'NOC &amp; IOC Shares'!W8</f>
        <v>-227.86972000000003</v>
      </c>
      <c r="X27" s="283">
        <f>'Assumptions &amp; Results'!$C$166*'NOC &amp; IOC Shares'!X8</f>
        <v>-227.86972000000003</v>
      </c>
      <c r="Y27" s="283">
        <f>'Assumptions &amp; Results'!$C$166*'NOC &amp; IOC Shares'!Y8</f>
        <v>-239.00837000000001</v>
      </c>
      <c r="Z27" s="283">
        <f>'Assumptions &amp; Results'!$C$166*'NOC &amp; IOC Shares'!Z8</f>
        <v>-227.86972000000003</v>
      </c>
      <c r="AA27" s="283">
        <f>'Assumptions &amp; Results'!$C$166*'NOC &amp; IOC Shares'!AA8</f>
        <v>-227.86972000000003</v>
      </c>
      <c r="AB27" s="283">
        <f>'Assumptions &amp; Results'!$C$166*'NOC &amp; IOC Shares'!AB8</f>
        <v>-227.86972000000003</v>
      </c>
      <c r="AC27" s="283">
        <f>'Assumptions &amp; Results'!$C$166*'NOC &amp; IOC Shares'!AC8</f>
        <v>-227.86972000000003</v>
      </c>
      <c r="AD27" s="283">
        <f>'Assumptions &amp; Results'!$C$166*'NOC &amp; IOC Shares'!AD8</f>
        <v>-239.00837000000001</v>
      </c>
      <c r="AE27" s="283">
        <f>'Assumptions &amp; Results'!$C$166*'NOC &amp; IOC Shares'!AE8</f>
        <v>-227.86972000000003</v>
      </c>
      <c r="AF27" s="283">
        <f>'Assumptions &amp; Results'!$C$166*'NOC &amp; IOC Shares'!AF8</f>
        <v>-227.86972000000003</v>
      </c>
      <c r="AG27" s="283">
        <f>'Assumptions &amp; Results'!$C$166*'NOC &amp; IOC Shares'!AG8</f>
        <v>-287.86972000000003</v>
      </c>
      <c r="AH27" s="283">
        <f>'Assumptions &amp; Results'!$C$166*'NOC &amp; IOC Shares'!AH8</f>
        <v>-287.86972000000003</v>
      </c>
      <c r="AI27" s="283">
        <f>'Assumptions &amp; Results'!$C$166*'NOC &amp; IOC Shares'!AI8</f>
        <v>-347.86972000000003</v>
      </c>
      <c r="AJ27" s="284">
        <f>SUM(C27:AI27)</f>
        <v>-6789.9802699999991</v>
      </c>
      <c r="AK27" s="37"/>
      <c r="AL27" s="37"/>
      <c r="AM27" s="37"/>
      <c r="AN27" s="37"/>
    </row>
    <row r="28" spans="1:40" x14ac:dyDescent="0.2">
      <c r="C28" s="283"/>
      <c r="D28" s="283"/>
      <c r="E28" s="283"/>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4"/>
      <c r="AK28" s="37"/>
      <c r="AL28" s="37"/>
      <c r="AM28" s="37"/>
      <c r="AN28" s="37"/>
    </row>
    <row r="29" spans="1:40" x14ac:dyDescent="0.2">
      <c r="A29" s="37" t="s">
        <v>381</v>
      </c>
      <c r="B29" t="s">
        <v>99</v>
      </c>
      <c r="C29" s="283">
        <f>'Assumptions &amp; Results'!$C$166*'NOC &amp; IOC Shares'!C10</f>
        <v>-41.7</v>
      </c>
      <c r="D29" s="283">
        <f>'Assumptions &amp; Results'!$C$166*'NOC &amp; IOC Shares'!D10</f>
        <v>-524.30000000000007</v>
      </c>
      <c r="E29" s="283">
        <f>'Assumptions &amp; Results'!$C$166*'NOC &amp; IOC Shares'!E10</f>
        <v>-820.7</v>
      </c>
      <c r="F29" s="283">
        <f>'Assumptions &amp; Results'!$C$166*'NOC &amp; IOC Shares'!F10</f>
        <v>-1083.1000000000001</v>
      </c>
      <c r="G29" s="283">
        <f>'Assumptions &amp; Results'!$C$166*'NOC &amp; IOC Shares'!G10</f>
        <v>-330</v>
      </c>
      <c r="H29" s="283">
        <f>'Assumptions &amp; Results'!$C$166*'NOC &amp; IOC Shares'!H10</f>
        <v>-54</v>
      </c>
      <c r="I29" s="283">
        <f>'Assumptions &amp; Results'!$C$166*'NOC &amp; IOC Shares'!I10</f>
        <v>0</v>
      </c>
      <c r="J29" s="283">
        <f>'Assumptions &amp; Results'!$C$166*'NOC &amp; IOC Shares'!J10</f>
        <v>0</v>
      </c>
      <c r="K29" s="283">
        <f>'Assumptions &amp; Results'!$C$166*'NOC &amp; IOC Shares'!K10</f>
        <v>0</v>
      </c>
      <c r="L29" s="283">
        <f>'Assumptions &amp; Results'!$C$166*'NOC &amp; IOC Shares'!L10</f>
        <v>0</v>
      </c>
      <c r="M29" s="283">
        <f>'Assumptions &amp; Results'!$C$166*'NOC &amp; IOC Shares'!M10</f>
        <v>0</v>
      </c>
      <c r="N29" s="283">
        <f>'Assumptions &amp; Results'!$C$166*'NOC &amp; IOC Shares'!N10</f>
        <v>0</v>
      </c>
      <c r="O29" s="283">
        <f>'Assumptions &amp; Results'!$C$166*'NOC &amp; IOC Shares'!O10</f>
        <v>0</v>
      </c>
      <c r="P29" s="283">
        <f>'Assumptions &amp; Results'!$C$166*'NOC &amp; IOC Shares'!P10</f>
        <v>0</v>
      </c>
      <c r="Q29" s="283">
        <f>'Assumptions &amp; Results'!$C$166*'NOC &amp; IOC Shares'!Q10</f>
        <v>0</v>
      </c>
      <c r="R29" s="283">
        <f>'Assumptions &amp; Results'!$C$166*'NOC &amp; IOC Shares'!R10</f>
        <v>0</v>
      </c>
      <c r="S29" s="283">
        <f>'Assumptions &amp; Results'!$C$166*'NOC &amp; IOC Shares'!S10</f>
        <v>0</v>
      </c>
      <c r="T29" s="283">
        <f>'Assumptions &amp; Results'!$C$166*'NOC &amp; IOC Shares'!T10</f>
        <v>0</v>
      </c>
      <c r="U29" s="283">
        <f>'Assumptions &amp; Results'!$C$166*'NOC &amp; IOC Shares'!U10</f>
        <v>0</v>
      </c>
      <c r="V29" s="283">
        <f>'Assumptions &amp; Results'!$C$166*'NOC &amp; IOC Shares'!V10</f>
        <v>0</v>
      </c>
      <c r="W29" s="283">
        <f>'Assumptions &amp; Results'!$C$166*'NOC &amp; IOC Shares'!W10</f>
        <v>0</v>
      </c>
      <c r="X29" s="283">
        <f>'Assumptions &amp; Results'!$C$166*'NOC &amp; IOC Shares'!X10</f>
        <v>0</v>
      </c>
      <c r="Y29" s="283">
        <f>'Assumptions &amp; Results'!$C$166*'NOC &amp; IOC Shares'!Y10</f>
        <v>0</v>
      </c>
      <c r="Z29" s="283">
        <f>'Assumptions &amp; Results'!$C$166*'NOC &amp; IOC Shares'!Z10</f>
        <v>0</v>
      </c>
      <c r="AA29" s="283">
        <f>'Assumptions &amp; Results'!$C$166*'NOC &amp; IOC Shares'!AA10</f>
        <v>0</v>
      </c>
      <c r="AB29" s="283">
        <f>'Assumptions &amp; Results'!$C$166*'NOC &amp; IOC Shares'!AB10</f>
        <v>0</v>
      </c>
      <c r="AC29" s="283">
        <f>'Assumptions &amp; Results'!$C$166*'NOC &amp; IOC Shares'!AC10</f>
        <v>0</v>
      </c>
      <c r="AD29" s="283">
        <f>'Assumptions &amp; Results'!$C$166*'NOC &amp; IOC Shares'!AD10</f>
        <v>0</v>
      </c>
      <c r="AE29" s="283">
        <f>'Assumptions &amp; Results'!$C$166*'NOC &amp; IOC Shares'!AE10</f>
        <v>0</v>
      </c>
      <c r="AF29" s="283">
        <f>'Assumptions &amp; Results'!$C$166*'NOC &amp; IOC Shares'!AF10</f>
        <v>0</v>
      </c>
      <c r="AG29" s="283">
        <f>'Assumptions &amp; Results'!$C$166*'NOC &amp; IOC Shares'!AG10</f>
        <v>0</v>
      </c>
      <c r="AH29" s="283">
        <f>'Assumptions &amp; Results'!$C$166*'NOC &amp; IOC Shares'!AH10</f>
        <v>0</v>
      </c>
      <c r="AI29" s="283">
        <f>'Assumptions &amp; Results'!$C$166*'NOC &amp; IOC Shares'!AI10</f>
        <v>0</v>
      </c>
      <c r="AJ29" s="284">
        <f>SUM(C29:AI29)</f>
        <v>-2853.8</v>
      </c>
      <c r="AK29" s="37"/>
      <c r="AL29" s="37"/>
      <c r="AM29" s="37"/>
      <c r="AN29" s="37"/>
    </row>
    <row r="30" spans="1:40" x14ac:dyDescent="0.2">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4"/>
      <c r="AK30" s="37"/>
      <c r="AL30" s="37"/>
      <c r="AM30" s="37"/>
      <c r="AN30" s="37"/>
    </row>
    <row r="31" spans="1:40" x14ac:dyDescent="0.2">
      <c r="A31" t="s">
        <v>382</v>
      </c>
      <c r="B31" t="s">
        <v>99</v>
      </c>
      <c r="C31" s="283">
        <f>'Assumptions &amp; Results'!$C$166*'NOC &amp; IOC Shares'!C12</f>
        <v>-41.7</v>
      </c>
      <c r="D31" s="283">
        <f>'Assumptions &amp; Results'!$C$166*'NOC &amp; IOC Shares'!D12</f>
        <v>-524.30000000000007</v>
      </c>
      <c r="E31" s="283">
        <f>'Assumptions &amp; Results'!$C$166*'NOC &amp; IOC Shares'!E12</f>
        <v>-820.7</v>
      </c>
      <c r="F31" s="283">
        <f>'Assumptions &amp; Results'!$C$166*'NOC &amp; IOC Shares'!F12</f>
        <v>-1083.1000000000001</v>
      </c>
      <c r="G31" s="283">
        <f>'Assumptions &amp; Results'!$C$166*'NOC &amp; IOC Shares'!G12</f>
        <v>23.862827500000094</v>
      </c>
      <c r="H31" s="283">
        <f>'Assumptions &amp; Results'!$C$166*'NOC &amp; IOC Shares'!H12</f>
        <v>653.72565500000019</v>
      </c>
      <c r="I31" s="283">
        <f>'Assumptions &amp; Results'!$C$166*'NOC &amp; IOC Shares'!I12</f>
        <v>707.72565500000019</v>
      </c>
      <c r="J31" s="283">
        <f>'Assumptions &amp; Results'!$C$166*'NOC &amp; IOC Shares'!J12</f>
        <v>650.10836125000003</v>
      </c>
      <c r="K31" s="283">
        <f>'Assumptions &amp; Results'!$C$166*'NOC &amp; IOC Shares'!K12</f>
        <v>707.72565500000019</v>
      </c>
      <c r="L31" s="283">
        <f>'Assumptions &amp; Results'!$C$166*'NOC &amp; IOC Shares'!L12</f>
        <v>707.72565500000019</v>
      </c>
      <c r="M31" s="283">
        <f>'Assumptions &amp; Results'!$C$166*'NOC &amp; IOC Shares'!M12</f>
        <v>707.72565500000019</v>
      </c>
      <c r="N31" s="283">
        <f>'Assumptions &amp; Results'!$C$166*'NOC &amp; IOC Shares'!N12</f>
        <v>707.72565500000019</v>
      </c>
      <c r="O31" s="283">
        <f>'Assumptions &amp; Results'!$C$166*'NOC &amp; IOC Shares'!O12</f>
        <v>650.10836125000003</v>
      </c>
      <c r="P31" s="283">
        <f>'Assumptions &amp; Results'!$C$166*'NOC &amp; IOC Shares'!P12</f>
        <v>707.72565500000019</v>
      </c>
      <c r="Q31" s="283">
        <f>'Assumptions &amp; Results'!$C$166*'NOC &amp; IOC Shares'!Q12</f>
        <v>707.72565500000019</v>
      </c>
      <c r="R31" s="283">
        <f>'Assumptions &amp; Results'!$C$166*'NOC &amp; IOC Shares'!R12</f>
        <v>707.72565500000019</v>
      </c>
      <c r="S31" s="283">
        <f>'Assumptions &amp; Results'!$C$166*'NOC &amp; IOC Shares'!S12</f>
        <v>707.72565500000019</v>
      </c>
      <c r="T31" s="283">
        <f>'Assumptions &amp; Results'!$C$166*'NOC &amp; IOC Shares'!T12</f>
        <v>650.10836125000003</v>
      </c>
      <c r="U31" s="283">
        <f>'Assumptions &amp; Results'!$C$166*'NOC &amp; IOC Shares'!U12</f>
        <v>707.72565500000019</v>
      </c>
      <c r="V31" s="283">
        <f>'Assumptions &amp; Results'!$C$166*'NOC &amp; IOC Shares'!V12</f>
        <v>707.72565500000019</v>
      </c>
      <c r="W31" s="283">
        <f>'Assumptions &amp; Results'!$C$166*'NOC &amp; IOC Shares'!W12</f>
        <v>707.72565500000019</v>
      </c>
      <c r="X31" s="283">
        <f>'Assumptions &amp; Results'!$C$166*'NOC &amp; IOC Shares'!X12</f>
        <v>707.72565500000019</v>
      </c>
      <c r="Y31" s="283">
        <f>'Assumptions &amp; Results'!$C$166*'NOC &amp; IOC Shares'!Y12</f>
        <v>650.10836125000003</v>
      </c>
      <c r="Z31" s="283">
        <f>'Assumptions &amp; Results'!$C$166*'NOC &amp; IOC Shares'!Z12</f>
        <v>707.72565500000019</v>
      </c>
      <c r="AA31" s="283">
        <f>'Assumptions &amp; Results'!$C$166*'NOC &amp; IOC Shares'!AA12</f>
        <v>707.72565500000019</v>
      </c>
      <c r="AB31" s="283">
        <f>'Assumptions &amp; Results'!$C$166*'NOC &amp; IOC Shares'!AB12</f>
        <v>707.72565500000019</v>
      </c>
      <c r="AC31" s="283">
        <f>'Assumptions &amp; Results'!$C$166*'NOC &amp; IOC Shares'!AC12</f>
        <v>707.72565500000019</v>
      </c>
      <c r="AD31" s="283">
        <f>'Assumptions &amp; Results'!$C$166*'NOC &amp; IOC Shares'!AD12</f>
        <v>650.10836125000003</v>
      </c>
      <c r="AE31" s="283">
        <f>'Assumptions &amp; Results'!$C$166*'NOC &amp; IOC Shares'!AE12</f>
        <v>707.72565500000019</v>
      </c>
      <c r="AF31" s="283">
        <f>'Assumptions &amp; Results'!$C$166*'NOC &amp; IOC Shares'!AF12</f>
        <v>707.72565500000019</v>
      </c>
      <c r="AG31" s="283">
        <f>'Assumptions &amp; Results'!$C$166*'NOC &amp; IOC Shares'!AG12</f>
        <v>647.72565500000019</v>
      </c>
      <c r="AH31" s="283">
        <f>'Assumptions &amp; Results'!$C$166*'NOC &amp; IOC Shares'!AH12</f>
        <v>647.72565500000019</v>
      </c>
      <c r="AI31" s="283">
        <f>'Assumptions &amp; Results'!$C$166*'NOC &amp; IOC Shares'!AI12</f>
        <v>587.72565500000019</v>
      </c>
      <c r="AJ31" s="284">
        <f>SUM(C31:AI31)</f>
        <v>16788.294698750004</v>
      </c>
      <c r="AK31" s="37"/>
      <c r="AL31" s="37"/>
      <c r="AM31" s="37"/>
      <c r="AN31" s="37"/>
    </row>
    <row r="32" spans="1:40" x14ac:dyDescent="0.2">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4"/>
      <c r="AK32" s="37"/>
      <c r="AL32" s="37"/>
      <c r="AM32" s="37"/>
      <c r="AN32" s="37"/>
    </row>
    <row r="33" spans="1:40" x14ac:dyDescent="0.2">
      <c r="A33" t="s">
        <v>383</v>
      </c>
      <c r="B33" t="s">
        <v>99</v>
      </c>
      <c r="C33" s="283">
        <f>'Assumptions &amp; Results'!$C$166*'NOC &amp; IOC Shares'!C14</f>
        <v>0</v>
      </c>
      <c r="D33" s="283">
        <f>'Assumptions &amp; Results'!$C$166*'NOC &amp; IOC Shares'!D14</f>
        <v>0</v>
      </c>
      <c r="E33" s="283">
        <f>'Assumptions &amp; Results'!$C$166*'NOC &amp; IOC Shares'!E14</f>
        <v>0</v>
      </c>
      <c r="F33" s="283">
        <f>'Assumptions &amp; Results'!$C$166*'NOC &amp; IOC Shares'!F14</f>
        <v>0</v>
      </c>
      <c r="G33" s="283">
        <f>'Assumptions &amp; Results'!$C$166*'NOC &amp; IOC Shares'!G14</f>
        <v>8.0067631875000043</v>
      </c>
      <c r="H33" s="283">
        <f>'Assumptions &amp; Results'!$C$166*'NOC &amp; IOC Shares'!H14</f>
        <v>16.013526375000009</v>
      </c>
      <c r="I33" s="283">
        <f>'Assumptions &amp; Results'!$C$166*'NOC &amp; IOC Shares'!I14</f>
        <v>16.013526375000009</v>
      </c>
      <c r="J33" s="283">
        <f>'Assumptions &amp; Results'!$C$166*'NOC &amp; IOC Shares'!J14</f>
        <v>16.018174239375</v>
      </c>
      <c r="K33" s="283">
        <f>'Assumptions &amp; Results'!$C$166*'NOC &amp; IOC Shares'!K14</f>
        <v>32.027052750000017</v>
      </c>
      <c r="L33" s="283">
        <f>'Assumptions &amp; Results'!$C$166*'NOC &amp; IOC Shares'!L14</f>
        <v>32.027052750000017</v>
      </c>
      <c r="M33" s="283">
        <f>'Assumptions &amp; Results'!$C$166*'NOC &amp; IOC Shares'!M14</f>
        <v>32.027052750000017</v>
      </c>
      <c r="N33" s="283">
        <f>'Assumptions &amp; Results'!$C$166*'NOC &amp; IOC Shares'!N14</f>
        <v>45.571328121250083</v>
      </c>
      <c r="O33" s="283">
        <f>'Assumptions &amp; Results'!$C$166*'NOC &amp; IOC Shares'!O14</f>
        <v>101.10582033749999</v>
      </c>
      <c r="P33" s="283">
        <f>'Assumptions &amp; Results'!$C$166*'NOC &amp; IOC Shares'!P14</f>
        <v>101.06598150000005</v>
      </c>
      <c r="Q33" s="283">
        <f>'Assumptions &amp; Results'!$C$166*'NOC &amp; IOC Shares'!Q14</f>
        <v>101.06598150000005</v>
      </c>
      <c r="R33" s="283">
        <f>'Assumptions &amp; Results'!$C$166*'NOC &amp; IOC Shares'!R14</f>
        <v>101.06598150000005</v>
      </c>
      <c r="S33" s="283">
        <f>'Assumptions &amp; Results'!$C$166*'NOC &amp; IOC Shares'!S14</f>
        <v>168.44330250000007</v>
      </c>
      <c r="T33" s="283">
        <f>'Assumptions &amp; Results'!$C$166*'NOC &amp; IOC Shares'!T14</f>
        <v>168.5097005625</v>
      </c>
      <c r="U33" s="283">
        <f>'Assumptions &amp; Results'!$C$166*'NOC &amp; IOC Shares'!U14</f>
        <v>168.44330250000007</v>
      </c>
      <c r="V33" s="283">
        <f>'Assumptions &amp; Results'!$C$166*'NOC &amp; IOC Shares'!V14</f>
        <v>168.44330250000007</v>
      </c>
      <c r="W33" s="283">
        <f>'Assumptions &amp; Results'!$C$166*'NOC &amp; IOC Shares'!W14</f>
        <v>168.44330250000007</v>
      </c>
      <c r="X33" s="283">
        <f>'Assumptions &amp; Results'!$C$166*'NOC &amp; IOC Shares'!X14</f>
        <v>168.44330250000007</v>
      </c>
      <c r="Y33" s="283">
        <f>'Assumptions &amp; Results'!$C$166*'NOC &amp; IOC Shares'!Y14</f>
        <v>202.21164067499998</v>
      </c>
      <c r="Z33" s="283">
        <f>'Assumptions &amp; Results'!$C$166*'NOC &amp; IOC Shares'!Z14</f>
        <v>202.1319630000001</v>
      </c>
      <c r="AA33" s="283">
        <f>'Assumptions &amp; Results'!$C$166*'NOC &amp; IOC Shares'!AA14</f>
        <v>202.1319630000001</v>
      </c>
      <c r="AB33" s="283">
        <f>'Assumptions &amp; Results'!$C$166*'NOC &amp; IOC Shares'!AB14</f>
        <v>202.1319630000001</v>
      </c>
      <c r="AC33" s="283">
        <f>'Assumptions &amp; Results'!$C$166*'NOC &amp; IOC Shares'!AC14</f>
        <v>202.1319630000001</v>
      </c>
      <c r="AD33" s="283">
        <f>'Assumptions &amp; Results'!$C$166*'NOC &amp; IOC Shares'!AD14</f>
        <v>202.21164067499998</v>
      </c>
      <c r="AE33" s="283">
        <f>'Assumptions &amp; Results'!$C$166*'NOC &amp; IOC Shares'!AE14</f>
        <v>202.1319630000001</v>
      </c>
      <c r="AF33" s="283">
        <f>'Assumptions &amp; Results'!$C$166*'NOC &amp; IOC Shares'!AF14</f>
        <v>202.1319630000001</v>
      </c>
      <c r="AG33" s="283">
        <f>'Assumptions &amp; Results'!$C$166*'NOC &amp; IOC Shares'!AG14</f>
        <v>166.1319630000001</v>
      </c>
      <c r="AH33" s="283">
        <f>'Assumptions &amp; Results'!$C$166*'NOC &amp; IOC Shares'!AH14</f>
        <v>166.1319630000001</v>
      </c>
      <c r="AI33" s="283">
        <f>'Assumptions &amp; Results'!$C$166*'NOC &amp; IOC Shares'!AI14</f>
        <v>130.1319630000001</v>
      </c>
      <c r="AJ33" s="284">
        <f>SUM(C33:AI33)</f>
        <v>3692.3454027981279</v>
      </c>
      <c r="AK33" s="37"/>
      <c r="AL33" s="37"/>
      <c r="AM33" s="37"/>
      <c r="AN33" s="37"/>
    </row>
    <row r="34" spans="1:40" x14ac:dyDescent="0.2">
      <c r="C34" s="283"/>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4"/>
      <c r="AK34" s="37"/>
      <c r="AL34" s="37"/>
      <c r="AM34" s="37"/>
      <c r="AN34" s="37"/>
    </row>
    <row r="35" spans="1:40" x14ac:dyDescent="0.2">
      <c r="A35" s="37" t="s">
        <v>391</v>
      </c>
      <c r="B35" t="s">
        <v>99</v>
      </c>
      <c r="C35" s="283">
        <f>'Assumptions &amp; Results'!$C$166*'NOC &amp; IOC Shares'!C16</f>
        <v>0</v>
      </c>
      <c r="D35" s="283">
        <f>'Assumptions &amp; Results'!$C$166*'NOC &amp; IOC Shares'!D16</f>
        <v>0</v>
      </c>
      <c r="E35" s="283">
        <f>'Assumptions &amp; Results'!$C$166*'NOC &amp; IOC Shares'!E16</f>
        <v>0</v>
      </c>
      <c r="F35" s="283">
        <f>'Assumptions &amp; Results'!$C$166*'NOC &amp; IOC Shares'!F16</f>
        <v>0</v>
      </c>
      <c r="G35" s="283">
        <f>'Assumptions &amp; Results'!$C$166*'NOC &amp; IOC Shares'!G16</f>
        <v>14.033930625000004</v>
      </c>
      <c r="H35" s="283">
        <f>'Assumptions &amp; Results'!$C$166*'NOC &amp; IOC Shares'!H16</f>
        <v>28.067861250000007</v>
      </c>
      <c r="I35" s="283">
        <f>'Assumptions &amp; Results'!$C$166*'NOC &amp; IOC Shares'!I16</f>
        <v>28.067861250000007</v>
      </c>
      <c r="J35" s="283">
        <f>'Assumptions &amp; Results'!$C$166*'NOC &amp; IOC Shares'!J16</f>
        <v>26.673501937499999</v>
      </c>
      <c r="K35" s="283">
        <f>'Assumptions &amp; Results'!$C$166*'NOC &amp; IOC Shares'!K16</f>
        <v>28.067861250000007</v>
      </c>
      <c r="L35" s="283">
        <f>'Assumptions &amp; Results'!$C$166*'NOC &amp; IOC Shares'!L16</f>
        <v>28.067861250000007</v>
      </c>
      <c r="M35" s="283">
        <f>'Assumptions &amp; Results'!$C$166*'NOC &amp; IOC Shares'!M16</f>
        <v>28.067861250000007</v>
      </c>
      <c r="N35" s="283">
        <f>'Assumptions &amp; Results'!$C$166*'NOC &amp; IOC Shares'!N16</f>
        <v>28.067861250000007</v>
      </c>
      <c r="O35" s="283">
        <f>'Assumptions &amp; Results'!$C$166*'NOC &amp; IOC Shares'!O16</f>
        <v>26.673501937499999</v>
      </c>
      <c r="P35" s="283">
        <f>'Assumptions &amp; Results'!$C$166*'NOC &amp; IOC Shares'!P16</f>
        <v>28.067861250000007</v>
      </c>
      <c r="Q35" s="283">
        <f>'Assumptions &amp; Results'!$C$166*'NOC &amp; IOC Shares'!Q16</f>
        <v>28.067861250000007</v>
      </c>
      <c r="R35" s="283">
        <f>'Assumptions &amp; Results'!$C$166*'NOC &amp; IOC Shares'!R16</f>
        <v>28.067861250000007</v>
      </c>
      <c r="S35" s="283">
        <f>'Assumptions &amp; Results'!$C$166*'NOC &amp; IOC Shares'!S16</f>
        <v>28.067861250000007</v>
      </c>
      <c r="T35" s="283">
        <f>'Assumptions &amp; Results'!$C$166*'NOC &amp; IOC Shares'!T16</f>
        <v>26.673501937499999</v>
      </c>
      <c r="U35" s="283">
        <f>'Assumptions &amp; Results'!$C$166*'NOC &amp; IOC Shares'!U16</f>
        <v>28.067861250000007</v>
      </c>
      <c r="V35" s="283">
        <f>'Assumptions &amp; Results'!$C$166*'NOC &amp; IOC Shares'!V16</f>
        <v>28.067861250000007</v>
      </c>
      <c r="W35" s="283">
        <f>'Assumptions &amp; Results'!$C$166*'NOC &amp; IOC Shares'!W16</f>
        <v>28.067861250000007</v>
      </c>
      <c r="X35" s="283">
        <f>'Assumptions &amp; Results'!$C$166*'NOC &amp; IOC Shares'!X16</f>
        <v>28.067861250000007</v>
      </c>
      <c r="Y35" s="283">
        <f>'Assumptions &amp; Results'!$C$166*'NOC &amp; IOC Shares'!Y16</f>
        <v>26.673501937499999</v>
      </c>
      <c r="Z35" s="283">
        <f>'Assumptions &amp; Results'!$C$166*'NOC &amp; IOC Shares'!Z16</f>
        <v>28.067861250000007</v>
      </c>
      <c r="AA35" s="283">
        <f>'Assumptions &amp; Results'!$C$166*'NOC &amp; IOC Shares'!AA16</f>
        <v>28.067861250000007</v>
      </c>
      <c r="AB35" s="283">
        <f>'Assumptions &amp; Results'!$C$166*'NOC &amp; IOC Shares'!AB16</f>
        <v>28.067861250000007</v>
      </c>
      <c r="AC35" s="283">
        <f>'Assumptions &amp; Results'!$C$166*'NOC &amp; IOC Shares'!AC16</f>
        <v>28.067861250000007</v>
      </c>
      <c r="AD35" s="283">
        <f>'Assumptions &amp; Results'!$C$166*'NOC &amp; IOC Shares'!AD16</f>
        <v>26.673501937499999</v>
      </c>
      <c r="AE35" s="283">
        <f>'Assumptions &amp; Results'!$C$166*'NOC &amp; IOC Shares'!AE16</f>
        <v>28.067861250000007</v>
      </c>
      <c r="AF35" s="283">
        <f>'Assumptions &amp; Results'!$C$166*'NOC &amp; IOC Shares'!AF16</f>
        <v>28.067861250000007</v>
      </c>
      <c r="AG35" s="283">
        <f>'Assumptions &amp; Results'!$C$166*'NOC &amp; IOC Shares'!AG16</f>
        <v>28.067861250000007</v>
      </c>
      <c r="AH35" s="283">
        <f>'Assumptions &amp; Results'!$C$166*'NOC &amp; IOC Shares'!AH16</f>
        <v>28.067861250000007</v>
      </c>
      <c r="AI35" s="283">
        <f>'Assumptions &amp; Results'!$C$166*'NOC &amp; IOC Shares'!AI16</f>
        <v>28.067861250000007</v>
      </c>
      <c r="AJ35" s="284">
        <f>SUM(C35:AI35)</f>
        <v>792.96224906249984</v>
      </c>
      <c r="AK35" s="37"/>
      <c r="AL35" s="37"/>
      <c r="AM35" s="37"/>
      <c r="AN35" s="37"/>
    </row>
    <row r="36" spans="1:40" x14ac:dyDescent="0.2">
      <c r="C36" s="283"/>
      <c r="D36" s="283"/>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4"/>
      <c r="AK36" s="37"/>
      <c r="AL36" s="37"/>
      <c r="AM36" s="37"/>
      <c r="AN36" s="37"/>
    </row>
    <row r="37" spans="1:40" x14ac:dyDescent="0.2">
      <c r="A37" t="s">
        <v>450</v>
      </c>
      <c r="B37" t="s">
        <v>99</v>
      </c>
      <c r="C37" s="283">
        <f>'Assumptions &amp; Results'!$C$166*'NOC &amp; IOC Shares'!C18</f>
        <v>0</v>
      </c>
      <c r="D37" s="283">
        <f>'Assumptions &amp; Results'!$C$166*'NOC &amp; IOC Shares'!D18</f>
        <v>0</v>
      </c>
      <c r="E37" s="283">
        <f>'Assumptions &amp; Results'!$C$166*'NOC &amp; IOC Shares'!E18</f>
        <v>0</v>
      </c>
      <c r="F37" s="283">
        <f>'Assumptions &amp; Results'!$C$166*'NOC &amp; IOC Shares'!F18</f>
        <v>0</v>
      </c>
      <c r="G37" s="283">
        <f>'Assumptions &amp; Results'!$C$166*'NOC &amp; IOC Shares'!G18</f>
        <v>0</v>
      </c>
      <c r="H37" s="283">
        <f>'Assumptions &amp; Results'!$C$166*'NOC &amp; IOC Shares'!H18</f>
        <v>0</v>
      </c>
      <c r="I37" s="283">
        <f>'Assumptions &amp; Results'!$C$166*'NOC &amp; IOC Shares'!I18</f>
        <v>0</v>
      </c>
      <c r="J37" s="283">
        <f>'Assumptions &amp; Results'!$C$166*'NOC &amp; IOC Shares'!J18</f>
        <v>0</v>
      </c>
      <c r="K37" s="283">
        <f>'Assumptions &amp; Results'!$C$166*'NOC &amp; IOC Shares'!K18</f>
        <v>49.557678243400211</v>
      </c>
      <c r="L37" s="283">
        <f>'Assumptions &amp; Results'!$C$166*'NOC &amp; IOC Shares'!L18</f>
        <v>150.27367712000009</v>
      </c>
      <c r="M37" s="283">
        <f>'Assumptions &amp; Results'!$C$166*'NOC &amp; IOC Shares'!M18</f>
        <v>173.72167712000009</v>
      </c>
      <c r="N37" s="283">
        <f>'Assumptions &amp; Results'!$C$166*'NOC &amp; IOC Shares'!N18</f>
        <v>199.15290100120004</v>
      </c>
      <c r="O37" s="283">
        <f>'Assumptions &amp; Results'!$C$166*'NOC &amp; IOC Shares'!O18</f>
        <v>167.14529247200002</v>
      </c>
      <c r="P37" s="283">
        <f>'Assumptions &amp; Results'!$C$166*'NOC &amp; IOC Shares'!P18</f>
        <v>185.14937992000006</v>
      </c>
      <c r="Q37" s="283">
        <f>'Assumptions &amp; Results'!$C$166*'NOC &amp; IOC Shares'!Q18</f>
        <v>185.14937992000006</v>
      </c>
      <c r="R37" s="283">
        <f>'Assumptions &amp; Results'!$C$166*'NOC &amp; IOC Shares'!R18</f>
        <v>185.14937992000006</v>
      </c>
      <c r="S37" s="283">
        <f>'Assumptions &amp; Results'!$C$166*'NOC &amp; IOC Shares'!S18</f>
        <v>163.58863720000005</v>
      </c>
      <c r="T37" s="283">
        <f>'Assumptions &amp; Results'!$C$166*'NOC &amp; IOC Shares'!T18</f>
        <v>145.57605080000002</v>
      </c>
      <c r="U37" s="283">
        <f>'Assumptions &amp; Results'!$C$166*'NOC &amp; IOC Shares'!U18</f>
        <v>163.58863720000005</v>
      </c>
      <c r="V37" s="283">
        <f>'Assumptions &amp; Results'!$C$166*'NOC &amp; IOC Shares'!V18</f>
        <v>163.58863720000005</v>
      </c>
      <c r="W37" s="283">
        <f>'Assumptions &amp; Results'!$C$166*'NOC &amp; IOC Shares'!W18</f>
        <v>163.58863720000005</v>
      </c>
      <c r="X37" s="283">
        <f>'Assumptions &amp; Results'!$C$166*'NOC &amp; IOC Shares'!X18</f>
        <v>163.58863720000005</v>
      </c>
      <c r="Y37" s="283">
        <f>'Assumptions &amp; Results'!$C$166*'NOC &amp; IOC Shares'!Y18</f>
        <v>134.791429964</v>
      </c>
      <c r="Z37" s="283">
        <f>'Assumptions &amp; Results'!$C$166*'NOC &amp; IOC Shares'!Z18</f>
        <v>152.80826584000005</v>
      </c>
      <c r="AA37" s="283">
        <f>'Assumptions &amp; Results'!$C$166*'NOC &amp; IOC Shares'!AA18</f>
        <v>152.80826584000005</v>
      </c>
      <c r="AB37" s="283">
        <f>'Assumptions &amp; Results'!$C$166*'NOC &amp; IOC Shares'!AB18</f>
        <v>152.80826584000005</v>
      </c>
      <c r="AC37" s="283">
        <f>'Assumptions &amp; Results'!$C$166*'NOC &amp; IOC Shares'!AC18</f>
        <v>152.80826584000005</v>
      </c>
      <c r="AD37" s="283">
        <f>'Assumptions &amp; Results'!$C$166*'NOC &amp; IOC Shares'!AD18</f>
        <v>134.791429964</v>
      </c>
      <c r="AE37" s="283">
        <f>'Assumptions &amp; Results'!$C$166*'NOC &amp; IOC Shares'!AE18</f>
        <v>152.80826584000005</v>
      </c>
      <c r="AF37" s="283">
        <f>'Assumptions &amp; Results'!$C$166*'NOC &amp; IOC Shares'!AF18</f>
        <v>152.80826584000005</v>
      </c>
      <c r="AG37" s="283">
        <f>'Assumptions &amp; Results'!$C$166*'NOC &amp; IOC Shares'!AG18</f>
        <v>145.12826584000004</v>
      </c>
      <c r="AH37" s="283">
        <f>'Assumptions &amp; Results'!$C$166*'NOC &amp; IOC Shares'!AH18</f>
        <v>145.12826584000004</v>
      </c>
      <c r="AI37" s="283">
        <f>'Assumptions &amp; Results'!$C$166*'NOC &amp; IOC Shares'!AI18</f>
        <v>137.44826584000003</v>
      </c>
      <c r="AJ37" s="284">
        <f>SUM(C37:AI37)</f>
        <v>3872.9558550046004</v>
      </c>
      <c r="AK37" s="37"/>
      <c r="AL37" s="37"/>
      <c r="AM37" s="37"/>
      <c r="AN37" s="37"/>
    </row>
    <row r="38" spans="1:40" x14ac:dyDescent="0.2">
      <c r="C38" s="283"/>
      <c r="D38" s="28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4"/>
      <c r="AK38" s="37"/>
      <c r="AL38" s="37"/>
      <c r="AM38" s="37"/>
      <c r="AN38" s="37"/>
    </row>
    <row r="39" spans="1:40" x14ac:dyDescent="0.2">
      <c r="A39" s="37" t="s">
        <v>451</v>
      </c>
      <c r="B39" t="s">
        <v>99</v>
      </c>
      <c r="C39" s="285">
        <f>'Assumptions &amp; Results'!$C$166*'NOC &amp; IOC Shares'!C20</f>
        <v>0</v>
      </c>
      <c r="D39" s="285">
        <f>'Assumptions &amp; Results'!$C$166*'NOC &amp; IOC Shares'!D20</f>
        <v>0</v>
      </c>
      <c r="E39" s="285">
        <f>'Assumptions &amp; Results'!$C$166*'NOC &amp; IOC Shares'!E20</f>
        <v>0</v>
      </c>
      <c r="F39" s="285">
        <f>'Assumptions &amp; Results'!$C$166*'NOC &amp; IOC Shares'!F20</f>
        <v>0</v>
      </c>
      <c r="G39" s="285">
        <f>'Assumptions &amp; Results'!$C$166*'NOC &amp; IOC Shares'!G20</f>
        <v>22.04069381250001</v>
      </c>
      <c r="H39" s="285">
        <f>'Assumptions &amp; Results'!$C$166*'NOC &amp; IOC Shares'!H20</f>
        <v>44.081387625000019</v>
      </c>
      <c r="I39" s="285">
        <f>'Assumptions &amp; Results'!$C$166*'NOC &amp; IOC Shares'!I20</f>
        <v>44.081387625000019</v>
      </c>
      <c r="J39" s="285">
        <f>'Assumptions &amp; Results'!$C$166*'NOC &amp; IOC Shares'!J20</f>
        <v>42.691676176875006</v>
      </c>
      <c r="K39" s="285">
        <f>'Assumptions &amp; Results'!$C$166*'NOC &amp; IOC Shares'!K20</f>
        <v>109.65259224340024</v>
      </c>
      <c r="L39" s="285">
        <f>'Assumptions &amp; Results'!$C$166*'NOC &amp; IOC Shares'!L20</f>
        <v>210.36859112000013</v>
      </c>
      <c r="M39" s="285">
        <f>'Assumptions &amp; Results'!$C$166*'NOC &amp; IOC Shares'!M20</f>
        <v>233.81659112000011</v>
      </c>
      <c r="N39" s="285">
        <f>'Assumptions &amp; Results'!$C$166*'NOC &amp; IOC Shares'!N20</f>
        <v>272.7920903724501</v>
      </c>
      <c r="O39" s="285">
        <f>'Assumptions &amp; Results'!$C$166*'NOC &amp; IOC Shares'!O20</f>
        <v>294.92461474700002</v>
      </c>
      <c r="P39" s="285">
        <f>'Assumptions &amp; Results'!$C$166*'NOC &amp; IOC Shares'!P20</f>
        <v>314.28322267000016</v>
      </c>
      <c r="Q39" s="285">
        <f>'Assumptions &amp; Results'!$C$166*'NOC &amp; IOC Shares'!Q20</f>
        <v>314.28322267000016</v>
      </c>
      <c r="R39" s="285">
        <f>'Assumptions &amp; Results'!$C$166*'NOC &amp; IOC Shares'!R20</f>
        <v>314.28322267000016</v>
      </c>
      <c r="S39" s="285">
        <f>'Assumptions &amp; Results'!$C$166*'NOC &amp; IOC Shares'!S20</f>
        <v>360.09980095000014</v>
      </c>
      <c r="T39" s="285">
        <f>'Assumptions &amp; Results'!$C$166*'NOC &amp; IOC Shares'!T20</f>
        <v>340.75925330000001</v>
      </c>
      <c r="U39" s="285">
        <f>'Assumptions &amp; Results'!$C$166*'NOC &amp; IOC Shares'!U20</f>
        <v>360.09980095000014</v>
      </c>
      <c r="V39" s="285">
        <f>'Assumptions &amp; Results'!$C$166*'NOC &amp; IOC Shares'!V20</f>
        <v>360.09980095000014</v>
      </c>
      <c r="W39" s="285">
        <f>'Assumptions &amp; Results'!$C$166*'NOC &amp; IOC Shares'!W20</f>
        <v>360.09980095000014</v>
      </c>
      <c r="X39" s="285">
        <f>'Assumptions &amp; Results'!$C$166*'NOC &amp; IOC Shares'!X20</f>
        <v>360.09980095000014</v>
      </c>
      <c r="Y39" s="285">
        <f>'Assumptions &amp; Results'!$C$166*'NOC &amp; IOC Shares'!Y20</f>
        <v>363.67657257650001</v>
      </c>
      <c r="Z39" s="285">
        <f>'Assumptions &amp; Results'!$C$166*'NOC &amp; IOC Shares'!Z20</f>
        <v>383.00809009000017</v>
      </c>
      <c r="AA39" s="285">
        <f>'Assumptions &amp; Results'!$C$166*'NOC &amp; IOC Shares'!AA20</f>
        <v>383.00809009000017</v>
      </c>
      <c r="AB39" s="285">
        <f>'Assumptions &amp; Results'!$C$166*'NOC &amp; IOC Shares'!AB20</f>
        <v>383.00809009000017</v>
      </c>
      <c r="AC39" s="285">
        <f>'Assumptions &amp; Results'!$C$166*'NOC &amp; IOC Shares'!AC20</f>
        <v>383.00809009000017</v>
      </c>
      <c r="AD39" s="285">
        <f>'Assumptions &amp; Results'!$C$166*'NOC &amp; IOC Shares'!AD20</f>
        <v>363.67657257650001</v>
      </c>
      <c r="AE39" s="285">
        <f>'Assumptions &amp; Results'!$C$166*'NOC &amp; IOC Shares'!AE20</f>
        <v>383.00809009000017</v>
      </c>
      <c r="AF39" s="285">
        <f>'Assumptions &amp; Results'!$C$166*'NOC &amp; IOC Shares'!AF20</f>
        <v>383.00809009000017</v>
      </c>
      <c r="AG39" s="285">
        <f>'Assumptions &amp; Results'!$C$166*'NOC &amp; IOC Shares'!AG20</f>
        <v>339.32809009000016</v>
      </c>
      <c r="AH39" s="285">
        <f>'Assumptions &amp; Results'!$C$166*'NOC &amp; IOC Shares'!AH20</f>
        <v>339.32809009000016</v>
      </c>
      <c r="AI39" s="285">
        <f>'Assumptions &amp; Results'!$C$166*'NOC &amp; IOC Shares'!AI20</f>
        <v>295.6480900900001</v>
      </c>
      <c r="AJ39" s="286">
        <f>SUM(C39:AI39)</f>
        <v>8358.2635068652271</v>
      </c>
      <c r="AK39" s="37"/>
      <c r="AL39" s="37"/>
      <c r="AM39" s="37"/>
      <c r="AN39" s="37"/>
    </row>
    <row r="40" spans="1:40" x14ac:dyDescent="0.2">
      <c r="A40" s="267"/>
      <c r="B40" s="37"/>
      <c r="C40" s="283"/>
      <c r="D40" s="28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3"/>
      <c r="AJ40" s="284"/>
      <c r="AK40" s="37"/>
      <c r="AL40" s="37"/>
      <c r="AM40" s="37"/>
      <c r="AN40" s="37"/>
    </row>
    <row r="41" spans="1:40" x14ac:dyDescent="0.2">
      <c r="A41" s="267" t="s">
        <v>452</v>
      </c>
      <c r="B41" t="s">
        <v>99</v>
      </c>
      <c r="C41" s="287">
        <f>C31-C33-C35-C37</f>
        <v>-41.7</v>
      </c>
      <c r="D41" s="287">
        <f t="shared" ref="D41:AI41" si="1">D31-D33-D35-D37</f>
        <v>-524.30000000000007</v>
      </c>
      <c r="E41" s="287">
        <f t="shared" si="1"/>
        <v>-820.7</v>
      </c>
      <c r="F41" s="287">
        <f t="shared" si="1"/>
        <v>-1083.1000000000001</v>
      </c>
      <c r="G41" s="287">
        <f t="shared" si="1"/>
        <v>1.8221336875000862</v>
      </c>
      <c r="H41" s="287">
        <f t="shared" si="1"/>
        <v>609.64426737500025</v>
      </c>
      <c r="I41" s="287">
        <f t="shared" si="1"/>
        <v>663.64426737500025</v>
      </c>
      <c r="J41" s="287">
        <f t="shared" si="1"/>
        <v>607.41668507312511</v>
      </c>
      <c r="K41" s="287">
        <f t="shared" si="1"/>
        <v>598.07306275659994</v>
      </c>
      <c r="L41" s="287">
        <f t="shared" si="1"/>
        <v>497.35706388000006</v>
      </c>
      <c r="M41" s="287">
        <f t="shared" si="1"/>
        <v>473.90906388000008</v>
      </c>
      <c r="N41" s="287">
        <f t="shared" si="1"/>
        <v>434.93356462755014</v>
      </c>
      <c r="O41" s="287">
        <f t="shared" si="1"/>
        <v>355.18374650300007</v>
      </c>
      <c r="P41" s="287">
        <f t="shared" si="1"/>
        <v>393.44243233000014</v>
      </c>
      <c r="Q41" s="287">
        <f t="shared" si="1"/>
        <v>393.44243233000014</v>
      </c>
      <c r="R41" s="287">
        <f t="shared" si="1"/>
        <v>393.44243233000014</v>
      </c>
      <c r="S41" s="287">
        <f t="shared" si="1"/>
        <v>347.62585405000004</v>
      </c>
      <c r="T41" s="287">
        <f t="shared" si="1"/>
        <v>309.34910794999996</v>
      </c>
      <c r="U41" s="287">
        <f t="shared" si="1"/>
        <v>347.62585405000004</v>
      </c>
      <c r="V41" s="287">
        <f t="shared" si="1"/>
        <v>347.62585405000004</v>
      </c>
      <c r="W41" s="287">
        <f t="shared" si="1"/>
        <v>347.62585405000004</v>
      </c>
      <c r="X41" s="287">
        <f t="shared" si="1"/>
        <v>347.62585405000004</v>
      </c>
      <c r="Y41" s="287">
        <f t="shared" si="1"/>
        <v>286.43178867350002</v>
      </c>
      <c r="Z41" s="287">
        <f t="shared" si="1"/>
        <v>324.71756491000002</v>
      </c>
      <c r="AA41" s="287">
        <f t="shared" si="1"/>
        <v>324.71756491000002</v>
      </c>
      <c r="AB41" s="287">
        <f t="shared" si="1"/>
        <v>324.71756491000002</v>
      </c>
      <c r="AC41" s="287">
        <f t="shared" si="1"/>
        <v>324.71756491000002</v>
      </c>
      <c r="AD41" s="287">
        <f t="shared" si="1"/>
        <v>286.43178867350002</v>
      </c>
      <c r="AE41" s="287">
        <f t="shared" si="1"/>
        <v>324.71756491000002</v>
      </c>
      <c r="AF41" s="287">
        <f t="shared" si="1"/>
        <v>324.71756491000002</v>
      </c>
      <c r="AG41" s="287">
        <f t="shared" si="1"/>
        <v>308.39756491000003</v>
      </c>
      <c r="AH41" s="287">
        <f t="shared" si="1"/>
        <v>308.39756491000003</v>
      </c>
      <c r="AI41" s="287">
        <f t="shared" si="1"/>
        <v>292.07756491000004</v>
      </c>
      <c r="AJ41" s="284">
        <f>SUM(C41:AI41)</f>
        <v>8430.0311918847765</v>
      </c>
      <c r="AK41" s="37"/>
      <c r="AL41" s="37"/>
      <c r="AM41" s="37"/>
      <c r="AN41" s="37"/>
    </row>
    <row r="42" spans="1:40" x14ac:dyDescent="0.2">
      <c r="A42" s="267"/>
      <c r="B42" s="37"/>
      <c r="C42" s="283"/>
      <c r="D42" s="287"/>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4"/>
      <c r="AK42" s="37"/>
      <c r="AL42" s="37"/>
      <c r="AM42" s="37"/>
      <c r="AN42" s="37"/>
    </row>
    <row r="43" spans="1:40" x14ac:dyDescent="0.2">
      <c r="A43" s="267" t="s">
        <v>456</v>
      </c>
      <c r="B43" t="s">
        <v>99</v>
      </c>
      <c r="C43" s="283">
        <f>IF('Assumptions &amp; Results'!$C$167=1,'Assumptions &amp; Results'!$C$166*('Assumptions &amp; Results'!D40+'Assumptions &amp; Results'!D49+'Assumptions &amp; Results'!D58),0)</f>
        <v>40</v>
      </c>
      <c r="D43" s="283">
        <f>IF('Assumptions &amp; Results'!$C$167=1,'Assumptions &amp; Results'!$C$166*('Assumptions &amp; Results'!E40+'Assumptions &amp; Results'!E49+'Assumptions &amp; Results'!E58),0)</f>
        <v>84</v>
      </c>
      <c r="E43" s="283">
        <f>IF('Assumptions &amp; Results'!$C$167=1,'Assumptions &amp; Results'!$C$166*('Assumptions &amp; Results'!F40+'Assumptions &amp; Results'!F49+'Assumptions &amp; Results'!F58),0)</f>
        <v>170</v>
      </c>
      <c r="F43" s="283">
        <f>IF('Assumptions &amp; Results'!$C$167=1,'Assumptions &amp; Results'!$C$166*('Assumptions &amp; Results'!G40+'Assumptions &amp; Results'!G49+'Assumptions &amp; Results'!G58),0)</f>
        <v>380</v>
      </c>
      <c r="G43" s="283">
        <f>IF('Assumptions &amp; Results'!$C$167=1,'Assumptions &amp; Results'!$C$166*('Assumptions &amp; Results'!H40+'Assumptions &amp; Results'!H49+'Assumptions &amp; Results'!H58),0)</f>
        <v>330</v>
      </c>
      <c r="H43" s="283">
        <f>IF('Assumptions &amp; Results'!$C$167=1,'Assumptions &amp; Results'!$C$166*('Assumptions &amp; Results'!I40+'Assumptions &amp; Results'!I49+'Assumptions &amp; Results'!I58),0)</f>
        <v>54</v>
      </c>
      <c r="I43" s="283">
        <f>IF('Assumptions &amp; Results'!$C$167=1,'Assumptions &amp; Results'!$C$166*('Assumptions &amp; Results'!J40+'Assumptions &amp; Results'!J49+'Assumptions &amp; Results'!J58),0)</f>
        <v>0</v>
      </c>
      <c r="J43" s="283">
        <f>IF('Assumptions &amp; Results'!$C$167=1,'Assumptions &amp; Results'!$C$166*('Assumptions &amp; Results'!K40+'Assumptions &amp; Results'!K49+'Assumptions &amp; Results'!K58),0)</f>
        <v>0</v>
      </c>
      <c r="K43" s="283">
        <f>IF('Assumptions &amp; Results'!$C$167=1,'Assumptions &amp; Results'!$C$166*('Assumptions &amp; Results'!L40+'Assumptions &amp; Results'!L49+'Assumptions &amp; Results'!L58),0)</f>
        <v>0</v>
      </c>
      <c r="L43" s="283">
        <f>IF('Assumptions &amp; Results'!$C$167=1,'Assumptions &amp; Results'!$C$166*('Assumptions &amp; Results'!M40+'Assumptions &amp; Results'!M49+'Assumptions &amp; Results'!M58),0)</f>
        <v>0</v>
      </c>
      <c r="M43" s="283">
        <f>IF('Assumptions &amp; Results'!$C$167=1,'Assumptions &amp; Results'!$C$166*('Assumptions &amp; Results'!N40+'Assumptions &amp; Results'!N49+'Assumptions &amp; Results'!N58),0)</f>
        <v>0</v>
      </c>
      <c r="N43" s="283">
        <f>IF('Assumptions &amp; Results'!$C$167=1,'Assumptions &amp; Results'!$C$166*('Assumptions &amp; Results'!O40+'Assumptions &amp; Results'!O49+'Assumptions &amp; Results'!O58),0)</f>
        <v>0</v>
      </c>
      <c r="O43" s="283">
        <f>IF('Assumptions &amp; Results'!$C$167=1,'Assumptions &amp; Results'!$C$166*('Assumptions &amp; Results'!P40+'Assumptions &amp; Results'!P49+'Assumptions &amp; Results'!P58),0)</f>
        <v>0</v>
      </c>
      <c r="P43" s="283">
        <f>IF('Assumptions &amp; Results'!$C$167=1,'Assumptions &amp; Results'!$C$166*('Assumptions &amp; Results'!Q40+'Assumptions &amp; Results'!Q49+'Assumptions &amp; Results'!Q58),0)</f>
        <v>0</v>
      </c>
      <c r="Q43" s="283">
        <f>IF('Assumptions &amp; Results'!$C$167=1,'Assumptions &amp; Results'!$C$166*('Assumptions &amp; Results'!R40+'Assumptions &amp; Results'!R49+'Assumptions &amp; Results'!R58),0)</f>
        <v>0</v>
      </c>
      <c r="R43" s="283">
        <f>IF('Assumptions &amp; Results'!$C$167=1,'Assumptions &amp; Results'!$C$166*('Assumptions &amp; Results'!S40+'Assumptions &amp; Results'!S49+'Assumptions &amp; Results'!S58),0)</f>
        <v>0</v>
      </c>
      <c r="S43" s="283">
        <f>IF('Assumptions &amp; Results'!$C$167=1,'Assumptions &amp; Results'!$C$166*('Assumptions &amp; Results'!T40+'Assumptions &amp; Results'!T49+'Assumptions &amp; Results'!T58),0)</f>
        <v>0</v>
      </c>
      <c r="T43" s="283">
        <f>IF('Assumptions &amp; Results'!$C$167=1,'Assumptions &amp; Results'!$C$166*('Assumptions &amp; Results'!U40+'Assumptions &amp; Results'!U49+'Assumptions &amp; Results'!U58),0)</f>
        <v>0</v>
      </c>
      <c r="U43" s="283">
        <f>IF('Assumptions &amp; Results'!$C$167=1,'Assumptions &amp; Results'!$C$166*('Assumptions &amp; Results'!V40+'Assumptions &amp; Results'!V49+'Assumptions &amp; Results'!V58),0)</f>
        <v>0</v>
      </c>
      <c r="V43" s="283">
        <f>IF('Assumptions &amp; Results'!$C$167=1,'Assumptions &amp; Results'!$C$166*('Assumptions &amp; Results'!W40+'Assumptions &amp; Results'!W49+'Assumptions &amp; Results'!W58),0)</f>
        <v>0</v>
      </c>
      <c r="W43" s="283">
        <f>IF('Assumptions &amp; Results'!$C$167=1,'Assumptions &amp; Results'!$C$166*('Assumptions &amp; Results'!X40+'Assumptions &amp; Results'!X49+'Assumptions &amp; Results'!X58),0)</f>
        <v>0</v>
      </c>
      <c r="X43" s="283">
        <f>IF('Assumptions &amp; Results'!$C$167=1,'Assumptions &amp; Results'!$C$166*('Assumptions &amp; Results'!Y40+'Assumptions &amp; Results'!Y49+'Assumptions &amp; Results'!Y58),0)</f>
        <v>0</v>
      </c>
      <c r="Y43" s="283">
        <f>IF('Assumptions &amp; Results'!$C$167=1,'Assumptions &amp; Results'!$C$166*('Assumptions &amp; Results'!Z40+'Assumptions &amp; Results'!Z49+'Assumptions &amp; Results'!Z58),0)</f>
        <v>0</v>
      </c>
      <c r="Z43" s="283">
        <f>IF('Assumptions &amp; Results'!$C$167=1,'Assumptions &amp; Results'!$C$166*('Assumptions &amp; Results'!AA40+'Assumptions &amp; Results'!AA49+'Assumptions &amp; Results'!AA58),0)</f>
        <v>0</v>
      </c>
      <c r="AA43" s="283">
        <f>IF('Assumptions &amp; Results'!$C$167=1,'Assumptions &amp; Results'!$C$166*('Assumptions &amp; Results'!AB40+'Assumptions &amp; Results'!AB49+'Assumptions &amp; Results'!AB58),0)</f>
        <v>0</v>
      </c>
      <c r="AB43" s="283">
        <f>IF('Assumptions &amp; Results'!$C$167=1,'Assumptions &amp; Results'!$C$166*('Assumptions &amp; Results'!AC40+'Assumptions &amp; Results'!AC49+'Assumptions &amp; Results'!AC58),0)</f>
        <v>0</v>
      </c>
      <c r="AC43" s="283">
        <f>IF('Assumptions &amp; Results'!$C$167=1,'Assumptions &amp; Results'!$C$166*('Assumptions &amp; Results'!AD40+'Assumptions &amp; Results'!AD49+'Assumptions &amp; Results'!AD58),0)</f>
        <v>0</v>
      </c>
      <c r="AD43" s="283">
        <f>IF('Assumptions &amp; Results'!$C$167=1,'Assumptions &amp; Results'!$C$166*('Assumptions &amp; Results'!AE40+'Assumptions &amp; Results'!AE49+'Assumptions &amp; Results'!AE58),0)</f>
        <v>0</v>
      </c>
      <c r="AE43" s="283">
        <f>IF('Assumptions &amp; Results'!$C$167=1,'Assumptions &amp; Results'!$C$166*('Assumptions &amp; Results'!AF40+'Assumptions &amp; Results'!AF49+'Assumptions &amp; Results'!AF58),0)</f>
        <v>0</v>
      </c>
      <c r="AF43" s="283">
        <f>IF('Assumptions &amp; Results'!$C$167=1,'Assumptions &amp; Results'!$C$166*('Assumptions &amp; Results'!AG40+'Assumptions &amp; Results'!AG49+'Assumptions &amp; Results'!AG58),0)</f>
        <v>0</v>
      </c>
      <c r="AG43" s="283">
        <f>IF('Assumptions &amp; Results'!$C$167=1,'Assumptions &amp; Results'!$C$166*('Assumptions &amp; Results'!AH40+'Assumptions &amp; Results'!AH49+'Assumptions &amp; Results'!AH58),0)</f>
        <v>0</v>
      </c>
      <c r="AH43" s="283">
        <f>IF('Assumptions &amp; Results'!$C$167=1,'Assumptions &amp; Results'!$C$166*('Assumptions &amp; Results'!AI40+'Assumptions &amp; Results'!AI49+'Assumptions &amp; Results'!AI58),0)</f>
        <v>0</v>
      </c>
      <c r="AI43" s="283">
        <f>IF('Assumptions &amp; Results'!$C$167=1,'Assumptions &amp; Results'!$C$166*('Assumptions &amp; Results'!AJ40+'Assumptions &amp; Results'!AJ49+'Assumptions &amp; Results'!AJ58),0)</f>
        <v>0</v>
      </c>
      <c r="AJ43" s="284">
        <f>SUM(C43:AI43)</f>
        <v>1058</v>
      </c>
      <c r="AK43" s="37"/>
      <c r="AL43" s="37"/>
      <c r="AM43" s="37"/>
      <c r="AN43" s="37"/>
    </row>
    <row r="44" spans="1:40" x14ac:dyDescent="0.2">
      <c r="A44" s="267"/>
      <c r="B44" s="37"/>
      <c r="C44" s="283"/>
      <c r="D44" s="287"/>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84"/>
      <c r="AK44" s="37"/>
      <c r="AL44" s="37"/>
      <c r="AM44" s="37"/>
      <c r="AN44" s="37"/>
    </row>
    <row r="45" spans="1:40" x14ac:dyDescent="0.2">
      <c r="A45" s="267" t="s">
        <v>457</v>
      </c>
      <c r="B45" t="s">
        <v>99</v>
      </c>
      <c r="C45" s="285">
        <f>-C134</f>
        <v>0</v>
      </c>
      <c r="D45" s="285">
        <f t="shared" ref="D45:AI45" si="2">-D134</f>
        <v>0</v>
      </c>
      <c r="E45" s="285">
        <f t="shared" si="2"/>
        <v>0</v>
      </c>
      <c r="F45" s="285">
        <f t="shared" si="2"/>
        <v>0</v>
      </c>
      <c r="G45" s="285">
        <f t="shared" si="2"/>
        <v>-148.69703062500005</v>
      </c>
      <c r="H45" s="285">
        <f t="shared" si="2"/>
        <v>-297.39406125000011</v>
      </c>
      <c r="I45" s="285">
        <f t="shared" si="2"/>
        <v>-297.39406125000011</v>
      </c>
      <c r="J45" s="285">
        <f t="shared" si="2"/>
        <v>-297.48037873125003</v>
      </c>
      <c r="K45" s="285">
        <f t="shared" si="2"/>
        <v>-297.39406125000011</v>
      </c>
      <c r="L45" s="285">
        <f t="shared" si="2"/>
        <v>-22.261733621312342</v>
      </c>
      <c r="M45" s="285">
        <f t="shared" si="2"/>
        <v>0</v>
      </c>
      <c r="N45" s="285">
        <f t="shared" si="2"/>
        <v>0</v>
      </c>
      <c r="O45" s="285">
        <f t="shared" si="2"/>
        <v>0</v>
      </c>
      <c r="P45" s="285">
        <f t="shared" si="2"/>
        <v>0</v>
      </c>
      <c r="Q45" s="285">
        <f t="shared" si="2"/>
        <v>0</v>
      </c>
      <c r="R45" s="285">
        <f t="shared" si="2"/>
        <v>0</v>
      </c>
      <c r="S45" s="285">
        <f t="shared" si="2"/>
        <v>0</v>
      </c>
      <c r="T45" s="285">
        <f t="shared" si="2"/>
        <v>0</v>
      </c>
      <c r="U45" s="285">
        <f t="shared" si="2"/>
        <v>0</v>
      </c>
      <c r="V45" s="285">
        <f t="shared" si="2"/>
        <v>0</v>
      </c>
      <c r="W45" s="285">
        <f t="shared" si="2"/>
        <v>0</v>
      </c>
      <c r="X45" s="285">
        <f t="shared" si="2"/>
        <v>0</v>
      </c>
      <c r="Y45" s="285">
        <f t="shared" si="2"/>
        <v>0</v>
      </c>
      <c r="Z45" s="285">
        <f t="shared" si="2"/>
        <v>0</v>
      </c>
      <c r="AA45" s="285">
        <f t="shared" si="2"/>
        <v>0</v>
      </c>
      <c r="AB45" s="285">
        <f t="shared" si="2"/>
        <v>0</v>
      </c>
      <c r="AC45" s="285">
        <f t="shared" si="2"/>
        <v>0</v>
      </c>
      <c r="AD45" s="285">
        <f t="shared" si="2"/>
        <v>0</v>
      </c>
      <c r="AE45" s="285">
        <f t="shared" si="2"/>
        <v>0</v>
      </c>
      <c r="AF45" s="285">
        <f t="shared" si="2"/>
        <v>0</v>
      </c>
      <c r="AG45" s="285">
        <f t="shared" si="2"/>
        <v>0</v>
      </c>
      <c r="AH45" s="285">
        <f t="shared" si="2"/>
        <v>0</v>
      </c>
      <c r="AI45" s="285">
        <f t="shared" si="2"/>
        <v>0</v>
      </c>
      <c r="AJ45" s="286">
        <f>SUM(C45:AI45)</f>
        <v>-1360.6213267275627</v>
      </c>
      <c r="AK45" s="37"/>
      <c r="AL45" s="37"/>
      <c r="AM45" s="37"/>
      <c r="AN45" s="37"/>
    </row>
    <row r="46" spans="1:40" x14ac:dyDescent="0.2">
      <c r="A46" s="267"/>
      <c r="B46" s="37"/>
      <c r="C46" s="285"/>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5"/>
      <c r="AE46" s="285"/>
      <c r="AF46" s="285"/>
      <c r="AG46" s="285"/>
      <c r="AH46" s="285"/>
      <c r="AI46" s="285"/>
      <c r="AJ46" s="288"/>
      <c r="AK46" s="37"/>
      <c r="AL46" s="37"/>
      <c r="AM46" s="37"/>
      <c r="AN46" s="37"/>
    </row>
    <row r="47" spans="1:40" x14ac:dyDescent="0.2">
      <c r="A47" s="267" t="s">
        <v>460</v>
      </c>
      <c r="B47" t="s">
        <v>99</v>
      </c>
      <c r="C47" s="287">
        <f>C41+C43+C45</f>
        <v>-1.7000000000000028</v>
      </c>
      <c r="D47" s="287">
        <f t="shared" ref="D47:AI47" si="3">D41+D43+D45</f>
        <v>-440.30000000000007</v>
      </c>
      <c r="E47" s="287">
        <f t="shared" si="3"/>
        <v>-650.70000000000005</v>
      </c>
      <c r="F47" s="287">
        <f t="shared" si="3"/>
        <v>-703.10000000000014</v>
      </c>
      <c r="G47" s="287">
        <f t="shared" si="3"/>
        <v>183.12510306250002</v>
      </c>
      <c r="H47" s="287">
        <f t="shared" si="3"/>
        <v>366.25020612500015</v>
      </c>
      <c r="I47" s="287">
        <f t="shared" si="3"/>
        <v>366.25020612500015</v>
      </c>
      <c r="J47" s="287">
        <f t="shared" si="3"/>
        <v>309.93630634187508</v>
      </c>
      <c r="K47" s="287">
        <f t="shared" si="3"/>
        <v>300.67900150659983</v>
      </c>
      <c r="L47" s="287">
        <f t="shared" si="3"/>
        <v>475.09533025868774</v>
      </c>
      <c r="M47" s="287">
        <f t="shared" si="3"/>
        <v>473.90906388000008</v>
      </c>
      <c r="N47" s="287">
        <f t="shared" si="3"/>
        <v>434.93356462755014</v>
      </c>
      <c r="O47" s="287">
        <f t="shared" si="3"/>
        <v>355.18374650300007</v>
      </c>
      <c r="P47" s="287">
        <f t="shared" si="3"/>
        <v>393.44243233000014</v>
      </c>
      <c r="Q47" s="287">
        <f t="shared" si="3"/>
        <v>393.44243233000014</v>
      </c>
      <c r="R47" s="287">
        <f t="shared" si="3"/>
        <v>393.44243233000014</v>
      </c>
      <c r="S47" s="287">
        <f t="shared" si="3"/>
        <v>347.62585405000004</v>
      </c>
      <c r="T47" s="287">
        <f t="shared" si="3"/>
        <v>309.34910794999996</v>
      </c>
      <c r="U47" s="287">
        <f t="shared" si="3"/>
        <v>347.62585405000004</v>
      </c>
      <c r="V47" s="287">
        <f t="shared" si="3"/>
        <v>347.62585405000004</v>
      </c>
      <c r="W47" s="287">
        <f t="shared" si="3"/>
        <v>347.62585405000004</v>
      </c>
      <c r="X47" s="287">
        <f t="shared" si="3"/>
        <v>347.62585405000004</v>
      </c>
      <c r="Y47" s="287">
        <f t="shared" si="3"/>
        <v>286.43178867350002</v>
      </c>
      <c r="Z47" s="287">
        <f t="shared" si="3"/>
        <v>324.71756491000002</v>
      </c>
      <c r="AA47" s="287">
        <f t="shared" si="3"/>
        <v>324.71756491000002</v>
      </c>
      <c r="AB47" s="287">
        <f t="shared" si="3"/>
        <v>324.71756491000002</v>
      </c>
      <c r="AC47" s="287">
        <f t="shared" si="3"/>
        <v>324.71756491000002</v>
      </c>
      <c r="AD47" s="287">
        <f t="shared" si="3"/>
        <v>286.43178867350002</v>
      </c>
      <c r="AE47" s="287">
        <f t="shared" si="3"/>
        <v>324.71756491000002</v>
      </c>
      <c r="AF47" s="287">
        <f t="shared" si="3"/>
        <v>324.71756491000002</v>
      </c>
      <c r="AG47" s="287">
        <f t="shared" si="3"/>
        <v>308.39756491000003</v>
      </c>
      <c r="AH47" s="287">
        <f t="shared" si="3"/>
        <v>308.39756491000003</v>
      </c>
      <c r="AI47" s="287">
        <f t="shared" si="3"/>
        <v>292.07756491000004</v>
      </c>
      <c r="AJ47" s="284">
        <f>SUM(C47:AI47)</f>
        <v>8127.409865157214</v>
      </c>
      <c r="AK47" s="37"/>
      <c r="AL47" s="37"/>
      <c r="AM47" s="37"/>
      <c r="AN47" s="37"/>
    </row>
    <row r="48" spans="1:40" ht="15.95" thickBot="1" x14ac:dyDescent="0.25">
      <c r="A48" s="267"/>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4"/>
      <c r="AK48" s="37"/>
      <c r="AL48" s="37"/>
      <c r="AM48" s="37"/>
      <c r="AN48" s="37"/>
    </row>
    <row r="49" spans="1:40" ht="15.95" thickBot="1" x14ac:dyDescent="0.25">
      <c r="A49" t="s">
        <v>505</v>
      </c>
      <c r="B49" s="15">
        <f>'Assumptions &amp; Results'!C154</f>
        <v>0.1</v>
      </c>
      <c r="C49" s="379">
        <f>NPV(B49,C41:AI41)</f>
        <v>849.70532708316341</v>
      </c>
      <c r="D49" s="287"/>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287"/>
      <c r="AC49" s="287"/>
      <c r="AD49" s="287"/>
      <c r="AE49" s="287"/>
      <c r="AF49" s="287"/>
      <c r="AG49" s="287"/>
      <c r="AH49" s="287"/>
      <c r="AI49" s="287"/>
      <c r="AJ49" s="284"/>
      <c r="AK49" s="37"/>
      <c r="AL49" s="37"/>
      <c r="AM49" s="37"/>
      <c r="AN49" s="37"/>
    </row>
    <row r="50" spans="1:40" ht="15.95" thickBot="1" x14ac:dyDescent="0.25">
      <c r="A50" t="s">
        <v>502</v>
      </c>
      <c r="C50" s="380">
        <f>IRR(C41:AI41)</f>
        <v>0.15128612693863785</v>
      </c>
      <c r="D50" s="287"/>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287"/>
      <c r="AH50" s="287"/>
      <c r="AI50" s="287"/>
      <c r="AJ50" s="284"/>
      <c r="AK50" s="37"/>
      <c r="AL50" s="37"/>
      <c r="AM50" s="37"/>
      <c r="AN50" s="37"/>
    </row>
    <row r="51" spans="1:40" ht="15.95" thickBot="1" x14ac:dyDescent="0.25">
      <c r="C51" s="7"/>
      <c r="D51" s="287"/>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7"/>
      <c r="AD51" s="287"/>
      <c r="AE51" s="287"/>
      <c r="AF51" s="287"/>
      <c r="AG51" s="287"/>
      <c r="AH51" s="287"/>
      <c r="AI51" s="287"/>
      <c r="AJ51" s="284"/>
      <c r="AK51" s="37"/>
      <c r="AL51" s="37"/>
      <c r="AM51" s="37"/>
      <c r="AN51" s="37"/>
    </row>
    <row r="52" spans="1:40" ht="15.95" thickBot="1" x14ac:dyDescent="0.25">
      <c r="A52" t="s">
        <v>506</v>
      </c>
      <c r="B52" s="15">
        <f>'Assumptions &amp; Results'!C154</f>
        <v>0.1</v>
      </c>
      <c r="C52" s="379">
        <f>NPV(B52,C47:AI47)</f>
        <v>891.85041346267883</v>
      </c>
      <c r="D52" s="287"/>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7"/>
      <c r="AH52" s="287"/>
      <c r="AI52" s="287"/>
      <c r="AJ52" s="284"/>
      <c r="AK52" s="37"/>
      <c r="AL52" s="37"/>
      <c r="AM52" s="37"/>
      <c r="AN52" s="37"/>
    </row>
    <row r="53" spans="1:40" ht="15.95" thickBot="1" x14ac:dyDescent="0.25">
      <c r="A53" t="s">
        <v>504</v>
      </c>
      <c r="C53" s="368">
        <f>IRR(C47:AI47)</f>
        <v>0.16459849152314598</v>
      </c>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c r="AH53" s="287"/>
      <c r="AI53" s="287"/>
      <c r="AJ53" s="284"/>
      <c r="AK53" s="37"/>
      <c r="AL53" s="37"/>
      <c r="AM53" s="37"/>
      <c r="AN53" s="37"/>
    </row>
    <row r="54" spans="1:40" x14ac:dyDescent="0.2">
      <c r="C54" s="317"/>
      <c r="D54" s="287"/>
      <c r="E54" s="287"/>
      <c r="F54" s="287"/>
      <c r="G54" s="287"/>
      <c r="H54" s="287"/>
      <c r="I54" s="287"/>
      <c r="J54" s="287"/>
      <c r="K54" s="287"/>
      <c r="L54" s="287"/>
      <c r="M54" s="287"/>
      <c r="N54" s="287"/>
      <c r="O54" s="287"/>
      <c r="P54" s="287"/>
      <c r="Q54" s="287"/>
      <c r="R54" s="287"/>
      <c r="S54" s="287"/>
      <c r="T54" s="287"/>
      <c r="U54" s="287"/>
      <c r="V54" s="287"/>
      <c r="W54" s="287"/>
      <c r="X54" s="287"/>
      <c r="Y54" s="287"/>
      <c r="Z54" s="287"/>
      <c r="AA54" s="287"/>
      <c r="AB54" s="287"/>
      <c r="AC54" s="287"/>
      <c r="AD54" s="287"/>
      <c r="AE54" s="287"/>
      <c r="AF54" s="287"/>
      <c r="AG54" s="287"/>
      <c r="AH54" s="287"/>
      <c r="AI54" s="287"/>
      <c r="AJ54" s="284"/>
      <c r="AK54" s="37"/>
      <c r="AL54" s="37"/>
      <c r="AM54" s="37"/>
      <c r="AN54" s="37"/>
    </row>
    <row r="55" spans="1:40" s="321" customFormat="1" ht="18.95" x14ac:dyDescent="0.25">
      <c r="A55" s="325" t="s">
        <v>479</v>
      </c>
      <c r="B55" s="326"/>
      <c r="C55" s="327"/>
      <c r="D55" s="328"/>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328"/>
      <c r="AI55" s="328"/>
      <c r="AJ55" s="329"/>
      <c r="AK55" s="326"/>
      <c r="AL55" s="326"/>
      <c r="AM55" s="326"/>
      <c r="AN55" s="326"/>
    </row>
    <row r="56" spans="1:40" x14ac:dyDescent="0.2">
      <c r="A56" s="30" t="s">
        <v>449</v>
      </c>
      <c r="B56" t="s">
        <v>99</v>
      </c>
      <c r="C56" s="283">
        <f t="shared" ref="C56:AI56" si="4">C6-C25</f>
        <v>0</v>
      </c>
      <c r="D56" s="283">
        <f t="shared" si="4"/>
        <v>0</v>
      </c>
      <c r="E56" s="283">
        <f t="shared" si="4"/>
        <v>0</v>
      </c>
      <c r="F56" s="283">
        <f t="shared" si="4"/>
        <v>0</v>
      </c>
      <c r="G56" s="283">
        <f t="shared" si="4"/>
        <v>4210.1791875000008</v>
      </c>
      <c r="H56" s="283">
        <f t="shared" si="4"/>
        <v>8420.3583750000016</v>
      </c>
      <c r="I56" s="283">
        <f t="shared" si="4"/>
        <v>8420.3583750000016</v>
      </c>
      <c r="J56" s="283">
        <f t="shared" si="4"/>
        <v>8002.0505812499996</v>
      </c>
      <c r="K56" s="283">
        <f t="shared" si="4"/>
        <v>8420.3583750000016</v>
      </c>
      <c r="L56" s="283">
        <f t="shared" si="4"/>
        <v>8420.3583750000016</v>
      </c>
      <c r="M56" s="283">
        <f t="shared" si="4"/>
        <v>8420.3583750000016</v>
      </c>
      <c r="N56" s="283">
        <f t="shared" si="4"/>
        <v>8420.3583750000016</v>
      </c>
      <c r="O56" s="283">
        <f t="shared" si="4"/>
        <v>8002.0505812499996</v>
      </c>
      <c r="P56" s="283">
        <f t="shared" si="4"/>
        <v>8420.3583750000016</v>
      </c>
      <c r="Q56" s="283">
        <f t="shared" si="4"/>
        <v>8420.3583750000016</v>
      </c>
      <c r="R56" s="283">
        <f t="shared" si="4"/>
        <v>8420.3583750000016</v>
      </c>
      <c r="S56" s="283">
        <f t="shared" si="4"/>
        <v>8420.3583750000016</v>
      </c>
      <c r="T56" s="283">
        <f t="shared" si="4"/>
        <v>8002.0505812499996</v>
      </c>
      <c r="U56" s="283">
        <f t="shared" si="4"/>
        <v>8420.3583750000016</v>
      </c>
      <c r="V56" s="283">
        <f t="shared" si="4"/>
        <v>8420.3583750000016</v>
      </c>
      <c r="W56" s="283">
        <f t="shared" si="4"/>
        <v>8420.3583750000016</v>
      </c>
      <c r="X56" s="283">
        <f t="shared" si="4"/>
        <v>8420.3583750000016</v>
      </c>
      <c r="Y56" s="283">
        <f t="shared" si="4"/>
        <v>8002.0505812499996</v>
      </c>
      <c r="Z56" s="283">
        <f t="shared" si="4"/>
        <v>8420.3583750000016</v>
      </c>
      <c r="AA56" s="283">
        <f t="shared" si="4"/>
        <v>8420.3583750000016</v>
      </c>
      <c r="AB56" s="283">
        <f t="shared" si="4"/>
        <v>8420.3583750000016</v>
      </c>
      <c r="AC56" s="283">
        <f t="shared" si="4"/>
        <v>8420.3583750000016</v>
      </c>
      <c r="AD56" s="283">
        <f t="shared" si="4"/>
        <v>8002.0505812499996</v>
      </c>
      <c r="AE56" s="283">
        <f t="shared" si="4"/>
        <v>8420.3583750000016</v>
      </c>
      <c r="AF56" s="283">
        <f t="shared" si="4"/>
        <v>8420.3583750000016</v>
      </c>
      <c r="AG56" s="283">
        <f t="shared" si="4"/>
        <v>8420.3583750000016</v>
      </c>
      <c r="AH56" s="283">
        <f t="shared" si="4"/>
        <v>8420.3583750000016</v>
      </c>
      <c r="AI56" s="283">
        <f t="shared" si="4"/>
        <v>8420.3583750000016</v>
      </c>
      <c r="AJ56" s="284">
        <f>SUM(C56:AI56)</f>
        <v>237888.67471875009</v>
      </c>
      <c r="AK56" s="37"/>
      <c r="AL56" s="37"/>
      <c r="AM56" s="37"/>
      <c r="AN56" s="37"/>
    </row>
    <row r="57" spans="1:40" x14ac:dyDescent="0.2">
      <c r="A57" s="267"/>
      <c r="B57" s="37"/>
      <c r="C57" s="283"/>
      <c r="D57" s="283"/>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4"/>
      <c r="AK57" s="37"/>
      <c r="AL57" s="37"/>
      <c r="AM57" s="37"/>
      <c r="AN57" s="37"/>
    </row>
    <row r="58" spans="1:40" x14ac:dyDescent="0.2">
      <c r="A58" t="s">
        <v>478</v>
      </c>
      <c r="B58" t="s">
        <v>99</v>
      </c>
      <c r="C58" s="283">
        <f t="shared" ref="C58:AI58" si="5">C8-C27</f>
        <v>0</v>
      </c>
      <c r="D58" s="283">
        <f t="shared" si="5"/>
        <v>0</v>
      </c>
      <c r="E58" s="283">
        <f t="shared" si="5"/>
        <v>0</v>
      </c>
      <c r="F58" s="283">
        <f t="shared" si="5"/>
        <v>0</v>
      </c>
      <c r="G58" s="283">
        <f t="shared" si="5"/>
        <v>-1025.41374</v>
      </c>
      <c r="H58" s="283">
        <f t="shared" si="5"/>
        <v>-2050.8274799999999</v>
      </c>
      <c r="I58" s="283">
        <f t="shared" si="5"/>
        <v>-2050.8274799999999</v>
      </c>
      <c r="J58" s="283">
        <f t="shared" si="5"/>
        <v>-2151.0753300000001</v>
      </c>
      <c r="K58" s="283">
        <f t="shared" si="5"/>
        <v>-2050.8274799999999</v>
      </c>
      <c r="L58" s="283">
        <f t="shared" si="5"/>
        <v>-2050.8274799999999</v>
      </c>
      <c r="M58" s="283">
        <f t="shared" si="5"/>
        <v>-2050.8274799999999</v>
      </c>
      <c r="N58" s="283">
        <f t="shared" si="5"/>
        <v>-2050.8274799999999</v>
      </c>
      <c r="O58" s="283">
        <f t="shared" si="5"/>
        <v>-2151.0753300000001</v>
      </c>
      <c r="P58" s="283">
        <f t="shared" si="5"/>
        <v>-2050.8274799999999</v>
      </c>
      <c r="Q58" s="283">
        <f t="shared" si="5"/>
        <v>-2050.8274799999999</v>
      </c>
      <c r="R58" s="283">
        <f t="shared" si="5"/>
        <v>-2050.8274799999999</v>
      </c>
      <c r="S58" s="283">
        <f t="shared" si="5"/>
        <v>-2050.8274799999999</v>
      </c>
      <c r="T58" s="283">
        <f t="shared" si="5"/>
        <v>-2151.0753300000001</v>
      </c>
      <c r="U58" s="283">
        <f t="shared" si="5"/>
        <v>-2050.8274799999999</v>
      </c>
      <c r="V58" s="283">
        <f t="shared" si="5"/>
        <v>-2050.8274799999999</v>
      </c>
      <c r="W58" s="283">
        <f t="shared" si="5"/>
        <v>-2050.8274799999999</v>
      </c>
      <c r="X58" s="283">
        <f t="shared" si="5"/>
        <v>-2050.8274799999999</v>
      </c>
      <c r="Y58" s="283">
        <f t="shared" si="5"/>
        <v>-2151.0753300000001</v>
      </c>
      <c r="Z58" s="283">
        <f t="shared" si="5"/>
        <v>-2050.8274799999999</v>
      </c>
      <c r="AA58" s="283">
        <f t="shared" si="5"/>
        <v>-2050.8274799999999</v>
      </c>
      <c r="AB58" s="283">
        <f t="shared" si="5"/>
        <v>-2050.8274799999999</v>
      </c>
      <c r="AC58" s="283">
        <f t="shared" si="5"/>
        <v>-2050.8274799999999</v>
      </c>
      <c r="AD58" s="283">
        <f t="shared" si="5"/>
        <v>-2151.0753300000001</v>
      </c>
      <c r="AE58" s="283">
        <f t="shared" si="5"/>
        <v>-2050.8274799999999</v>
      </c>
      <c r="AF58" s="283">
        <f t="shared" si="5"/>
        <v>-2050.8274799999999</v>
      </c>
      <c r="AG58" s="283">
        <f t="shared" si="5"/>
        <v>-2590.8274799999999</v>
      </c>
      <c r="AH58" s="283">
        <f t="shared" si="5"/>
        <v>-2590.8274799999999</v>
      </c>
      <c r="AI58" s="283">
        <f t="shared" si="5"/>
        <v>-3130.8274799999999</v>
      </c>
      <c r="AJ58" s="284">
        <f>SUM(C58:AI58)</f>
        <v>-61109.82243</v>
      </c>
      <c r="AK58" s="37"/>
      <c r="AL58" s="37"/>
      <c r="AM58" s="37"/>
      <c r="AN58" s="37"/>
    </row>
    <row r="59" spans="1:40" x14ac:dyDescent="0.2">
      <c r="C59" s="283"/>
      <c r="D59" s="283"/>
      <c r="E59" s="283"/>
      <c r="F59" s="283"/>
      <c r="G59" s="283"/>
      <c r="H59" s="283"/>
      <c r="I59" s="283"/>
      <c r="J59" s="283"/>
      <c r="K59" s="283"/>
      <c r="L59" s="283"/>
      <c r="M59" s="283"/>
      <c r="N59" s="283"/>
      <c r="O59" s="283"/>
      <c r="P59" s="283"/>
      <c r="Q59" s="283"/>
      <c r="R59" s="283"/>
      <c r="S59" s="283"/>
      <c r="T59" s="283"/>
      <c r="U59" s="283"/>
      <c r="V59" s="283"/>
      <c r="W59" s="283"/>
      <c r="X59" s="283"/>
      <c r="Y59" s="283"/>
      <c r="Z59" s="283"/>
      <c r="AA59" s="283"/>
      <c r="AB59" s="283"/>
      <c r="AC59" s="283"/>
      <c r="AD59" s="283"/>
      <c r="AE59" s="283"/>
      <c r="AF59" s="283"/>
      <c r="AG59" s="283"/>
      <c r="AH59" s="283"/>
      <c r="AI59" s="283"/>
      <c r="AJ59" s="284"/>
      <c r="AK59" s="37"/>
      <c r="AL59" s="37"/>
      <c r="AM59" s="37"/>
      <c r="AN59" s="37"/>
    </row>
    <row r="60" spans="1:40" x14ac:dyDescent="0.2">
      <c r="A60" s="37" t="s">
        <v>381</v>
      </c>
      <c r="B60" t="s">
        <v>99</v>
      </c>
      <c r="C60" s="285">
        <f t="shared" ref="C60:AI60" si="6">C10-C29</f>
        <v>-375.3</v>
      </c>
      <c r="D60" s="285">
        <f t="shared" si="6"/>
        <v>-4718.7</v>
      </c>
      <c r="E60" s="285">
        <f t="shared" si="6"/>
        <v>-7386.3</v>
      </c>
      <c r="F60" s="285">
        <f t="shared" si="6"/>
        <v>-9747.9</v>
      </c>
      <c r="G60" s="285">
        <f t="shared" si="6"/>
        <v>-2970</v>
      </c>
      <c r="H60" s="285">
        <f t="shared" si="6"/>
        <v>-486</v>
      </c>
      <c r="I60" s="285">
        <f t="shared" si="6"/>
        <v>0</v>
      </c>
      <c r="J60" s="285">
        <f t="shared" si="6"/>
        <v>0</v>
      </c>
      <c r="K60" s="285">
        <f t="shared" si="6"/>
        <v>0</v>
      </c>
      <c r="L60" s="285">
        <f t="shared" si="6"/>
        <v>0</v>
      </c>
      <c r="M60" s="285">
        <f t="shared" si="6"/>
        <v>0</v>
      </c>
      <c r="N60" s="285">
        <f t="shared" si="6"/>
        <v>0</v>
      </c>
      <c r="O60" s="285">
        <f t="shared" si="6"/>
        <v>0</v>
      </c>
      <c r="P60" s="285">
        <f t="shared" si="6"/>
        <v>0</v>
      </c>
      <c r="Q60" s="285">
        <f t="shared" si="6"/>
        <v>0</v>
      </c>
      <c r="R60" s="285">
        <f t="shared" si="6"/>
        <v>0</v>
      </c>
      <c r="S60" s="285">
        <f t="shared" si="6"/>
        <v>0</v>
      </c>
      <c r="T60" s="285">
        <f t="shared" si="6"/>
        <v>0</v>
      </c>
      <c r="U60" s="285">
        <f t="shared" si="6"/>
        <v>0</v>
      </c>
      <c r="V60" s="285">
        <f t="shared" si="6"/>
        <v>0</v>
      </c>
      <c r="W60" s="285">
        <f t="shared" si="6"/>
        <v>0</v>
      </c>
      <c r="X60" s="285">
        <f t="shared" si="6"/>
        <v>0</v>
      </c>
      <c r="Y60" s="285">
        <f t="shared" si="6"/>
        <v>0</v>
      </c>
      <c r="Z60" s="285">
        <f t="shared" si="6"/>
        <v>0</v>
      </c>
      <c r="AA60" s="285">
        <f t="shared" si="6"/>
        <v>0</v>
      </c>
      <c r="AB60" s="285">
        <f t="shared" si="6"/>
        <v>0</v>
      </c>
      <c r="AC60" s="285">
        <f t="shared" si="6"/>
        <v>0</v>
      </c>
      <c r="AD60" s="285">
        <f t="shared" si="6"/>
        <v>0</v>
      </c>
      <c r="AE60" s="285">
        <f t="shared" si="6"/>
        <v>0</v>
      </c>
      <c r="AF60" s="285">
        <f t="shared" si="6"/>
        <v>0</v>
      </c>
      <c r="AG60" s="285">
        <f t="shared" si="6"/>
        <v>0</v>
      </c>
      <c r="AH60" s="285">
        <f t="shared" si="6"/>
        <v>0</v>
      </c>
      <c r="AI60" s="285">
        <f t="shared" si="6"/>
        <v>0</v>
      </c>
      <c r="AJ60" s="286">
        <f>SUM(C60:AI60)</f>
        <v>-25684.199999999997</v>
      </c>
      <c r="AK60" s="37"/>
      <c r="AL60" s="37"/>
      <c r="AM60" s="37"/>
      <c r="AN60" s="37"/>
    </row>
    <row r="61" spans="1:40" x14ac:dyDescent="0.2">
      <c r="C61" s="283"/>
      <c r="D61" s="283"/>
      <c r="E61" s="283"/>
      <c r="F61" s="283"/>
      <c r="G61" s="283"/>
      <c r="H61" s="283"/>
      <c r="I61" s="283"/>
      <c r="J61" s="283"/>
      <c r="K61" s="283"/>
      <c r="L61" s="283"/>
      <c r="M61" s="283"/>
      <c r="N61" s="283"/>
      <c r="O61" s="283"/>
      <c r="P61" s="283"/>
      <c r="Q61" s="283"/>
      <c r="R61" s="283"/>
      <c r="S61" s="283"/>
      <c r="T61" s="283"/>
      <c r="U61" s="283"/>
      <c r="V61" s="283"/>
      <c r="W61" s="283"/>
      <c r="X61" s="283"/>
      <c r="Y61" s="283"/>
      <c r="Z61" s="283"/>
      <c r="AA61" s="283"/>
      <c r="AB61" s="283"/>
      <c r="AC61" s="283"/>
      <c r="AD61" s="283"/>
      <c r="AE61" s="283"/>
      <c r="AF61" s="283"/>
      <c r="AG61" s="283"/>
      <c r="AH61" s="283"/>
      <c r="AI61" s="283"/>
      <c r="AJ61" s="284"/>
      <c r="AK61" s="37"/>
      <c r="AL61" s="37"/>
      <c r="AM61" s="37"/>
      <c r="AN61" s="37"/>
    </row>
    <row r="62" spans="1:40" x14ac:dyDescent="0.2">
      <c r="A62" t="s">
        <v>382</v>
      </c>
      <c r="B62" t="s">
        <v>99</v>
      </c>
      <c r="C62" s="283">
        <f t="shared" ref="C62:AI62" si="7">C12-C31</f>
        <v>-375.3</v>
      </c>
      <c r="D62" s="283">
        <f t="shared" si="7"/>
        <v>-4718.7</v>
      </c>
      <c r="E62" s="283">
        <f t="shared" si="7"/>
        <v>-7386.3</v>
      </c>
      <c r="F62" s="283">
        <f t="shared" si="7"/>
        <v>-9747.9</v>
      </c>
      <c r="G62" s="283">
        <f t="shared" si="7"/>
        <v>214.76544750000085</v>
      </c>
      <c r="H62" s="283">
        <f t="shared" si="7"/>
        <v>5883.5308950000017</v>
      </c>
      <c r="I62" s="283">
        <f t="shared" si="7"/>
        <v>6369.5308950000017</v>
      </c>
      <c r="J62" s="283">
        <f t="shared" si="7"/>
        <v>5850.9752512499999</v>
      </c>
      <c r="K62" s="283">
        <f t="shared" si="7"/>
        <v>6369.5308950000017</v>
      </c>
      <c r="L62" s="283">
        <f t="shared" si="7"/>
        <v>6369.5308950000017</v>
      </c>
      <c r="M62" s="283">
        <f t="shared" si="7"/>
        <v>6369.5308950000017</v>
      </c>
      <c r="N62" s="283">
        <f t="shared" si="7"/>
        <v>6369.5308950000017</v>
      </c>
      <c r="O62" s="283">
        <f t="shared" si="7"/>
        <v>5850.9752512499999</v>
      </c>
      <c r="P62" s="283">
        <f t="shared" si="7"/>
        <v>6369.5308950000017</v>
      </c>
      <c r="Q62" s="283">
        <f t="shared" si="7"/>
        <v>6369.5308950000017</v>
      </c>
      <c r="R62" s="283">
        <f t="shared" si="7"/>
        <v>6369.5308950000017</v>
      </c>
      <c r="S62" s="283">
        <f t="shared" si="7"/>
        <v>6369.5308950000017</v>
      </c>
      <c r="T62" s="283">
        <f t="shared" si="7"/>
        <v>5850.9752512499999</v>
      </c>
      <c r="U62" s="283">
        <f t="shared" si="7"/>
        <v>6369.5308950000017</v>
      </c>
      <c r="V62" s="283">
        <f t="shared" si="7"/>
        <v>6369.5308950000017</v>
      </c>
      <c r="W62" s="283">
        <f t="shared" si="7"/>
        <v>6369.5308950000017</v>
      </c>
      <c r="X62" s="283">
        <f t="shared" si="7"/>
        <v>6369.5308950000017</v>
      </c>
      <c r="Y62" s="283">
        <f t="shared" si="7"/>
        <v>5850.9752512499999</v>
      </c>
      <c r="Z62" s="283">
        <f t="shared" si="7"/>
        <v>6369.5308950000017</v>
      </c>
      <c r="AA62" s="283">
        <f t="shared" si="7"/>
        <v>6369.5308950000017</v>
      </c>
      <c r="AB62" s="283">
        <f t="shared" si="7"/>
        <v>6369.5308950000017</v>
      </c>
      <c r="AC62" s="283">
        <f t="shared" si="7"/>
        <v>6369.5308950000017</v>
      </c>
      <c r="AD62" s="283">
        <f t="shared" si="7"/>
        <v>5850.9752512499999</v>
      </c>
      <c r="AE62" s="283">
        <f t="shared" si="7"/>
        <v>6369.5308950000017</v>
      </c>
      <c r="AF62" s="283">
        <f t="shared" si="7"/>
        <v>6369.5308950000017</v>
      </c>
      <c r="AG62" s="283">
        <f t="shared" si="7"/>
        <v>5829.5308950000017</v>
      </c>
      <c r="AH62" s="283">
        <f t="shared" si="7"/>
        <v>5829.5308950000017</v>
      </c>
      <c r="AI62" s="283">
        <f t="shared" si="7"/>
        <v>5289.5308950000017</v>
      </c>
      <c r="AJ62" s="284">
        <f>SUM(C62:AI62)</f>
        <v>151094.65228875005</v>
      </c>
      <c r="AK62" s="37"/>
      <c r="AL62" s="37"/>
      <c r="AM62" s="37"/>
      <c r="AN62" s="37"/>
    </row>
    <row r="63" spans="1:40" x14ac:dyDescent="0.2">
      <c r="C63" s="283"/>
      <c r="D63" s="283"/>
      <c r="E63" s="283"/>
      <c r="F63" s="283"/>
      <c r="G63" s="283"/>
      <c r="H63" s="283"/>
      <c r="I63" s="283"/>
      <c r="J63" s="283"/>
      <c r="K63" s="283"/>
      <c r="L63" s="283"/>
      <c r="M63" s="283"/>
      <c r="N63" s="283"/>
      <c r="O63" s="283"/>
      <c r="P63" s="283"/>
      <c r="Q63" s="283"/>
      <c r="R63" s="283"/>
      <c r="S63" s="283"/>
      <c r="T63" s="283"/>
      <c r="U63" s="283"/>
      <c r="V63" s="283"/>
      <c r="W63" s="283"/>
      <c r="X63" s="283"/>
      <c r="Y63" s="283"/>
      <c r="Z63" s="283"/>
      <c r="AA63" s="283"/>
      <c r="AB63" s="283"/>
      <c r="AC63" s="283"/>
      <c r="AD63" s="283"/>
      <c r="AE63" s="283"/>
      <c r="AF63" s="283"/>
      <c r="AG63" s="283"/>
      <c r="AH63" s="283"/>
      <c r="AI63" s="283"/>
      <c r="AJ63" s="284"/>
      <c r="AK63" s="37"/>
      <c r="AL63" s="37"/>
      <c r="AM63" s="37"/>
      <c r="AN63" s="37"/>
    </row>
    <row r="64" spans="1:40" x14ac:dyDescent="0.2">
      <c r="A64" t="s">
        <v>383</v>
      </c>
      <c r="B64" t="s">
        <v>99</v>
      </c>
      <c r="C64" s="283">
        <f t="shared" ref="C64:AI64" si="8">C14-C33</f>
        <v>0</v>
      </c>
      <c r="D64" s="283">
        <f t="shared" si="8"/>
        <v>0</v>
      </c>
      <c r="E64" s="283">
        <f t="shared" si="8"/>
        <v>0</v>
      </c>
      <c r="F64" s="283">
        <f t="shared" si="8"/>
        <v>0</v>
      </c>
      <c r="G64" s="283">
        <f t="shared" si="8"/>
        <v>72.060868687500033</v>
      </c>
      <c r="H64" s="283">
        <f t="shared" si="8"/>
        <v>144.12173737500007</v>
      </c>
      <c r="I64" s="283">
        <f t="shared" si="8"/>
        <v>144.12173737500007</v>
      </c>
      <c r="J64" s="283">
        <f t="shared" si="8"/>
        <v>144.16356815437501</v>
      </c>
      <c r="K64" s="283">
        <f t="shared" si="8"/>
        <v>288.24347475000013</v>
      </c>
      <c r="L64" s="283">
        <f t="shared" si="8"/>
        <v>288.24347475000013</v>
      </c>
      <c r="M64" s="283">
        <f t="shared" si="8"/>
        <v>288.24347475000013</v>
      </c>
      <c r="N64" s="283">
        <f t="shared" si="8"/>
        <v>410.14195309125074</v>
      </c>
      <c r="O64" s="283">
        <f t="shared" si="8"/>
        <v>909.95238303749989</v>
      </c>
      <c r="P64" s="283">
        <f t="shared" si="8"/>
        <v>909.59383350000041</v>
      </c>
      <c r="Q64" s="283">
        <f t="shared" si="8"/>
        <v>909.59383350000041</v>
      </c>
      <c r="R64" s="283">
        <f t="shared" si="8"/>
        <v>909.59383350000041</v>
      </c>
      <c r="S64" s="283">
        <f t="shared" si="8"/>
        <v>1515.9897225000007</v>
      </c>
      <c r="T64" s="283">
        <f t="shared" si="8"/>
        <v>1516.5873050624998</v>
      </c>
      <c r="U64" s="283">
        <f t="shared" si="8"/>
        <v>1515.9897225000007</v>
      </c>
      <c r="V64" s="283">
        <f t="shared" si="8"/>
        <v>1515.9897225000007</v>
      </c>
      <c r="W64" s="283">
        <f t="shared" si="8"/>
        <v>1515.9897225000007</v>
      </c>
      <c r="X64" s="283">
        <f t="shared" si="8"/>
        <v>1515.9897225000007</v>
      </c>
      <c r="Y64" s="283">
        <f t="shared" si="8"/>
        <v>1819.9047660749998</v>
      </c>
      <c r="Z64" s="283">
        <f t="shared" si="8"/>
        <v>1819.1876670000008</v>
      </c>
      <c r="AA64" s="283">
        <f t="shared" si="8"/>
        <v>1819.1876670000008</v>
      </c>
      <c r="AB64" s="283">
        <f t="shared" si="8"/>
        <v>1819.1876670000008</v>
      </c>
      <c r="AC64" s="283">
        <f t="shared" si="8"/>
        <v>1819.1876670000008</v>
      </c>
      <c r="AD64" s="283">
        <f t="shared" si="8"/>
        <v>1819.9047660749998</v>
      </c>
      <c r="AE64" s="283">
        <f t="shared" si="8"/>
        <v>1819.1876670000008</v>
      </c>
      <c r="AF64" s="283">
        <f t="shared" si="8"/>
        <v>1819.1876670000008</v>
      </c>
      <c r="AG64" s="283">
        <f t="shared" si="8"/>
        <v>1495.1876670000008</v>
      </c>
      <c r="AH64" s="283">
        <f t="shared" si="8"/>
        <v>1495.1876670000008</v>
      </c>
      <c r="AI64" s="283">
        <f t="shared" si="8"/>
        <v>1171.1876670000008</v>
      </c>
      <c r="AJ64" s="284">
        <f>SUM(C64:AI64)</f>
        <v>33231.108625183144</v>
      </c>
      <c r="AK64" s="37"/>
      <c r="AL64" s="37"/>
      <c r="AM64" s="37"/>
      <c r="AN64" s="37"/>
    </row>
    <row r="65" spans="1:40" x14ac:dyDescent="0.2">
      <c r="C65" s="283"/>
      <c r="D65" s="283"/>
      <c r="E65" s="283"/>
      <c r="F65" s="283"/>
      <c r="G65" s="283"/>
      <c r="H65" s="283"/>
      <c r="I65" s="283"/>
      <c r="J65" s="283"/>
      <c r="K65" s="283"/>
      <c r="L65" s="283"/>
      <c r="M65" s="283"/>
      <c r="N65" s="283"/>
      <c r="O65" s="283"/>
      <c r="P65" s="283"/>
      <c r="Q65" s="283"/>
      <c r="R65" s="283"/>
      <c r="S65" s="283"/>
      <c r="T65" s="283"/>
      <c r="U65" s="283"/>
      <c r="V65" s="283"/>
      <c r="W65" s="283"/>
      <c r="X65" s="283"/>
      <c r="Y65" s="283"/>
      <c r="Z65" s="283"/>
      <c r="AA65" s="283"/>
      <c r="AB65" s="283"/>
      <c r="AC65" s="283"/>
      <c r="AD65" s="283"/>
      <c r="AE65" s="283"/>
      <c r="AF65" s="283"/>
      <c r="AG65" s="283"/>
      <c r="AH65" s="283"/>
      <c r="AI65" s="283"/>
      <c r="AJ65" s="284"/>
      <c r="AK65" s="37"/>
      <c r="AL65" s="37"/>
      <c r="AM65" s="37"/>
      <c r="AN65" s="37"/>
    </row>
    <row r="66" spans="1:40" x14ac:dyDescent="0.2">
      <c r="A66" s="37" t="s">
        <v>391</v>
      </c>
      <c r="B66" t="s">
        <v>99</v>
      </c>
      <c r="C66" s="283">
        <f t="shared" ref="C66:AI66" si="9">C16-C35</f>
        <v>0</v>
      </c>
      <c r="D66" s="283">
        <f t="shared" si="9"/>
        <v>0</v>
      </c>
      <c r="E66" s="283">
        <f t="shared" si="9"/>
        <v>0</v>
      </c>
      <c r="F66" s="283">
        <f t="shared" si="9"/>
        <v>0</v>
      </c>
      <c r="G66" s="283">
        <f t="shared" si="9"/>
        <v>126.30537562500001</v>
      </c>
      <c r="H66" s="283">
        <f t="shared" si="9"/>
        <v>252.61075125000002</v>
      </c>
      <c r="I66" s="283">
        <f t="shared" si="9"/>
        <v>252.61075125000002</v>
      </c>
      <c r="J66" s="283">
        <f t="shared" si="9"/>
        <v>240.06151743749999</v>
      </c>
      <c r="K66" s="283">
        <f t="shared" si="9"/>
        <v>252.61075125000002</v>
      </c>
      <c r="L66" s="283">
        <f t="shared" si="9"/>
        <v>252.61075125000002</v>
      </c>
      <c r="M66" s="283">
        <f t="shared" si="9"/>
        <v>252.61075125000002</v>
      </c>
      <c r="N66" s="283">
        <f t="shared" si="9"/>
        <v>252.61075125000002</v>
      </c>
      <c r="O66" s="283">
        <f t="shared" si="9"/>
        <v>240.06151743749999</v>
      </c>
      <c r="P66" s="283">
        <f t="shared" si="9"/>
        <v>252.61075125000002</v>
      </c>
      <c r="Q66" s="283">
        <f t="shared" si="9"/>
        <v>252.61075125000002</v>
      </c>
      <c r="R66" s="283">
        <f t="shared" si="9"/>
        <v>252.61075125000002</v>
      </c>
      <c r="S66" s="283">
        <f t="shared" si="9"/>
        <v>252.61075125000002</v>
      </c>
      <c r="T66" s="283">
        <f t="shared" si="9"/>
        <v>240.06151743749999</v>
      </c>
      <c r="U66" s="283">
        <f t="shared" si="9"/>
        <v>252.61075125000002</v>
      </c>
      <c r="V66" s="283">
        <f t="shared" si="9"/>
        <v>252.61075125000002</v>
      </c>
      <c r="W66" s="283">
        <f t="shared" si="9"/>
        <v>252.61075125000002</v>
      </c>
      <c r="X66" s="283">
        <f t="shared" si="9"/>
        <v>252.61075125000002</v>
      </c>
      <c r="Y66" s="283">
        <f t="shared" si="9"/>
        <v>240.06151743749999</v>
      </c>
      <c r="Z66" s="283">
        <f t="shared" si="9"/>
        <v>252.61075125000002</v>
      </c>
      <c r="AA66" s="283">
        <f t="shared" si="9"/>
        <v>252.61075125000002</v>
      </c>
      <c r="AB66" s="283">
        <f t="shared" si="9"/>
        <v>252.61075125000002</v>
      </c>
      <c r="AC66" s="283">
        <f t="shared" si="9"/>
        <v>252.61075125000002</v>
      </c>
      <c r="AD66" s="283">
        <f t="shared" si="9"/>
        <v>240.06151743749999</v>
      </c>
      <c r="AE66" s="283">
        <f t="shared" si="9"/>
        <v>252.61075125000002</v>
      </c>
      <c r="AF66" s="283">
        <f t="shared" si="9"/>
        <v>252.61075125000002</v>
      </c>
      <c r="AG66" s="283">
        <f t="shared" si="9"/>
        <v>252.61075125000002</v>
      </c>
      <c r="AH66" s="283">
        <f t="shared" si="9"/>
        <v>252.61075125000002</v>
      </c>
      <c r="AI66" s="283">
        <f t="shared" si="9"/>
        <v>252.61075125000002</v>
      </c>
      <c r="AJ66" s="284">
        <f>SUM(C66:AI66)</f>
        <v>7136.6602415625039</v>
      </c>
      <c r="AK66" s="37"/>
      <c r="AL66" s="37"/>
      <c r="AM66" s="37"/>
      <c r="AN66" s="37"/>
    </row>
    <row r="67" spans="1:40" x14ac:dyDescent="0.2">
      <c r="C67" s="283"/>
      <c r="D67" s="283"/>
      <c r="E67" s="283"/>
      <c r="F67" s="283"/>
      <c r="G67" s="283"/>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3"/>
      <c r="AH67" s="283"/>
      <c r="AI67" s="283"/>
      <c r="AJ67" s="284"/>
      <c r="AK67" s="37"/>
      <c r="AL67" s="37"/>
      <c r="AM67" s="37"/>
      <c r="AN67" s="37"/>
    </row>
    <row r="68" spans="1:40" x14ac:dyDescent="0.2">
      <c r="A68" t="s">
        <v>450</v>
      </c>
      <c r="B68" t="s">
        <v>99</v>
      </c>
      <c r="C68" s="283">
        <f t="shared" ref="C68:AI68" si="10">C18-C37</f>
        <v>0</v>
      </c>
      <c r="D68" s="283">
        <f t="shared" si="10"/>
        <v>0</v>
      </c>
      <c r="E68" s="283">
        <f t="shared" si="10"/>
        <v>0</v>
      </c>
      <c r="F68" s="283">
        <f t="shared" si="10"/>
        <v>0</v>
      </c>
      <c r="G68" s="283">
        <f t="shared" si="10"/>
        <v>0</v>
      </c>
      <c r="H68" s="283">
        <f t="shared" si="10"/>
        <v>0</v>
      </c>
      <c r="I68" s="283">
        <f t="shared" si="10"/>
        <v>0</v>
      </c>
      <c r="J68" s="283">
        <f t="shared" si="10"/>
        <v>0</v>
      </c>
      <c r="K68" s="283">
        <f t="shared" si="10"/>
        <v>446.01910419060187</v>
      </c>
      <c r="L68" s="283">
        <f t="shared" si="10"/>
        <v>1352.4630940800009</v>
      </c>
      <c r="M68" s="283">
        <f t="shared" si="10"/>
        <v>1563.4950940800009</v>
      </c>
      <c r="N68" s="283">
        <f t="shared" si="10"/>
        <v>1792.3761090108003</v>
      </c>
      <c r="O68" s="283">
        <f t="shared" si="10"/>
        <v>1504.3076322480001</v>
      </c>
      <c r="P68" s="283">
        <f t="shared" si="10"/>
        <v>1666.3444192800005</v>
      </c>
      <c r="Q68" s="283">
        <f t="shared" si="10"/>
        <v>1666.3444192800005</v>
      </c>
      <c r="R68" s="283">
        <f t="shared" si="10"/>
        <v>1666.3444192800005</v>
      </c>
      <c r="S68" s="283">
        <f t="shared" si="10"/>
        <v>1472.2977348000004</v>
      </c>
      <c r="T68" s="283">
        <f t="shared" si="10"/>
        <v>1310.1844572</v>
      </c>
      <c r="U68" s="283">
        <f t="shared" si="10"/>
        <v>1472.2977348000004</v>
      </c>
      <c r="V68" s="283">
        <f t="shared" si="10"/>
        <v>1472.2977348000004</v>
      </c>
      <c r="W68" s="283">
        <f t="shared" si="10"/>
        <v>1472.2977348000004</v>
      </c>
      <c r="X68" s="283">
        <f t="shared" si="10"/>
        <v>1472.2977348000004</v>
      </c>
      <c r="Y68" s="283">
        <f t="shared" si="10"/>
        <v>1213.1228696760002</v>
      </c>
      <c r="Z68" s="283">
        <f t="shared" si="10"/>
        <v>1375.2743925600003</v>
      </c>
      <c r="AA68" s="283">
        <f t="shared" si="10"/>
        <v>1375.2743925600003</v>
      </c>
      <c r="AB68" s="283">
        <f t="shared" si="10"/>
        <v>1375.2743925600003</v>
      </c>
      <c r="AC68" s="283">
        <f t="shared" si="10"/>
        <v>1375.2743925600003</v>
      </c>
      <c r="AD68" s="283">
        <f t="shared" si="10"/>
        <v>1213.1228696760002</v>
      </c>
      <c r="AE68" s="283">
        <f t="shared" si="10"/>
        <v>1375.2743925600003</v>
      </c>
      <c r="AF68" s="283">
        <f t="shared" si="10"/>
        <v>1375.2743925600003</v>
      </c>
      <c r="AG68" s="283">
        <f t="shared" si="10"/>
        <v>1306.1543925600004</v>
      </c>
      <c r="AH68" s="283">
        <f t="shared" si="10"/>
        <v>1306.1543925600004</v>
      </c>
      <c r="AI68" s="283">
        <f t="shared" si="10"/>
        <v>1237.0343925600002</v>
      </c>
      <c r="AJ68" s="284">
        <f>SUM(C68:AI68)</f>
        <v>34856.602695041416</v>
      </c>
      <c r="AK68" s="37"/>
      <c r="AL68" s="37"/>
      <c r="AM68" s="37"/>
      <c r="AN68" s="37"/>
    </row>
    <row r="69" spans="1:40" x14ac:dyDescent="0.2">
      <c r="C69" s="283"/>
      <c r="D69" s="283"/>
      <c r="E69" s="283"/>
      <c r="F69" s="283"/>
      <c r="G69" s="283"/>
      <c r="H69" s="283"/>
      <c r="I69" s="283"/>
      <c r="J69" s="283"/>
      <c r="K69" s="283"/>
      <c r="L69" s="283"/>
      <c r="M69" s="283"/>
      <c r="N69" s="283"/>
      <c r="O69" s="283"/>
      <c r="P69" s="283"/>
      <c r="Q69" s="283"/>
      <c r="R69" s="283"/>
      <c r="S69" s="283"/>
      <c r="T69" s="283"/>
      <c r="U69" s="283"/>
      <c r="V69" s="283"/>
      <c r="W69" s="283"/>
      <c r="X69" s="283"/>
      <c r="Y69" s="283"/>
      <c r="Z69" s="283"/>
      <c r="AA69" s="283"/>
      <c r="AB69" s="283"/>
      <c r="AC69" s="283"/>
      <c r="AD69" s="283"/>
      <c r="AE69" s="283"/>
      <c r="AF69" s="283"/>
      <c r="AG69" s="283"/>
      <c r="AH69" s="283"/>
      <c r="AI69" s="283"/>
      <c r="AJ69" s="284"/>
      <c r="AK69" s="37"/>
      <c r="AL69" s="37"/>
      <c r="AM69" s="37"/>
      <c r="AN69" s="37"/>
    </row>
    <row r="70" spans="1:40" x14ac:dyDescent="0.2">
      <c r="A70" s="37" t="s">
        <v>451</v>
      </c>
      <c r="B70" t="s">
        <v>99</v>
      </c>
      <c r="C70" s="285">
        <f t="shared" ref="C70:AI70" si="11">C20-C39</f>
        <v>0</v>
      </c>
      <c r="D70" s="285">
        <f t="shared" si="11"/>
        <v>0</v>
      </c>
      <c r="E70" s="285">
        <f t="shared" si="11"/>
        <v>0</v>
      </c>
      <c r="F70" s="285">
        <f t="shared" si="11"/>
        <v>0</v>
      </c>
      <c r="G70" s="285">
        <f t="shared" si="11"/>
        <v>198.36624431250004</v>
      </c>
      <c r="H70" s="285">
        <f t="shared" si="11"/>
        <v>396.73248862500009</v>
      </c>
      <c r="I70" s="285">
        <f t="shared" si="11"/>
        <v>396.73248862500009</v>
      </c>
      <c r="J70" s="285">
        <f t="shared" si="11"/>
        <v>384.22508559187497</v>
      </c>
      <c r="K70" s="285">
        <f t="shared" si="11"/>
        <v>986.87333019060202</v>
      </c>
      <c r="L70" s="285">
        <f t="shared" si="11"/>
        <v>1893.3173200800011</v>
      </c>
      <c r="M70" s="285">
        <f t="shared" si="11"/>
        <v>2104.3493200800012</v>
      </c>
      <c r="N70" s="285">
        <f t="shared" si="11"/>
        <v>2455.1288133520507</v>
      </c>
      <c r="O70" s="285">
        <f t="shared" si="11"/>
        <v>2654.321532723</v>
      </c>
      <c r="P70" s="285">
        <f t="shared" si="11"/>
        <v>2828.549004030001</v>
      </c>
      <c r="Q70" s="285">
        <f t="shared" si="11"/>
        <v>2828.549004030001</v>
      </c>
      <c r="R70" s="285">
        <f t="shared" si="11"/>
        <v>2828.549004030001</v>
      </c>
      <c r="S70" s="285">
        <f t="shared" si="11"/>
        <v>3240.8982085500011</v>
      </c>
      <c r="T70" s="285">
        <f t="shared" si="11"/>
        <v>3066.8332796999998</v>
      </c>
      <c r="U70" s="285">
        <f t="shared" si="11"/>
        <v>3240.8982085500011</v>
      </c>
      <c r="V70" s="285">
        <f t="shared" si="11"/>
        <v>3240.8982085500011</v>
      </c>
      <c r="W70" s="285">
        <f t="shared" si="11"/>
        <v>3240.8982085500011</v>
      </c>
      <c r="X70" s="285">
        <f t="shared" si="11"/>
        <v>3240.8982085500011</v>
      </c>
      <c r="Y70" s="285">
        <f t="shared" si="11"/>
        <v>3273.0891531884999</v>
      </c>
      <c r="Z70" s="285">
        <f t="shared" si="11"/>
        <v>3447.0728108100011</v>
      </c>
      <c r="AA70" s="285">
        <f t="shared" si="11"/>
        <v>3447.0728108100011</v>
      </c>
      <c r="AB70" s="285">
        <f t="shared" si="11"/>
        <v>3447.0728108100011</v>
      </c>
      <c r="AC70" s="285">
        <f t="shared" si="11"/>
        <v>3447.0728108100011</v>
      </c>
      <c r="AD70" s="285">
        <f t="shared" si="11"/>
        <v>3273.0891531884999</v>
      </c>
      <c r="AE70" s="285">
        <f t="shared" si="11"/>
        <v>3447.0728108100011</v>
      </c>
      <c r="AF70" s="285">
        <f t="shared" si="11"/>
        <v>3447.0728108100011</v>
      </c>
      <c r="AG70" s="285">
        <f t="shared" si="11"/>
        <v>3053.9528108100012</v>
      </c>
      <c r="AH70" s="285">
        <f t="shared" si="11"/>
        <v>3053.9528108100012</v>
      </c>
      <c r="AI70" s="285">
        <f t="shared" si="11"/>
        <v>2660.8328108100009</v>
      </c>
      <c r="AJ70" s="286">
        <f>SUM(C70:AI70)</f>
        <v>75224.371561787048</v>
      </c>
      <c r="AK70" s="37"/>
      <c r="AL70" s="37"/>
      <c r="AM70" s="37"/>
      <c r="AN70" s="37"/>
    </row>
    <row r="71" spans="1:40" x14ac:dyDescent="0.2">
      <c r="A71" s="267"/>
      <c r="B71" s="37"/>
      <c r="C71" s="283"/>
      <c r="D71" s="283"/>
      <c r="E71" s="283"/>
      <c r="F71" s="283"/>
      <c r="G71" s="283"/>
      <c r="H71" s="283"/>
      <c r="I71" s="283"/>
      <c r="J71" s="283"/>
      <c r="K71" s="283"/>
      <c r="L71" s="283"/>
      <c r="M71" s="283"/>
      <c r="N71" s="283"/>
      <c r="O71" s="283"/>
      <c r="P71" s="283"/>
      <c r="Q71" s="283"/>
      <c r="R71" s="283"/>
      <c r="S71" s="283"/>
      <c r="T71" s="283"/>
      <c r="U71" s="283"/>
      <c r="V71" s="283"/>
      <c r="W71" s="283"/>
      <c r="X71" s="283"/>
      <c r="Y71" s="283"/>
      <c r="Z71" s="283"/>
      <c r="AA71" s="283"/>
      <c r="AB71" s="283"/>
      <c r="AC71" s="283"/>
      <c r="AD71" s="283"/>
      <c r="AE71" s="283"/>
      <c r="AF71" s="283"/>
      <c r="AG71" s="283"/>
      <c r="AH71" s="283"/>
      <c r="AI71" s="283"/>
      <c r="AJ71" s="284"/>
      <c r="AK71" s="37"/>
      <c r="AL71" s="37"/>
      <c r="AM71" s="37"/>
      <c r="AN71" s="37"/>
    </row>
    <row r="72" spans="1:40" x14ac:dyDescent="0.2">
      <c r="A72" s="267" t="s">
        <v>477</v>
      </c>
      <c r="B72" t="s">
        <v>99</v>
      </c>
      <c r="C72" s="287">
        <f>C62-C64-C66-C68</f>
        <v>-375.3</v>
      </c>
      <c r="D72" s="287">
        <f t="shared" ref="D72:AI72" si="12">D62-D64-D66-D68</f>
        <v>-4718.7</v>
      </c>
      <c r="E72" s="287">
        <f t="shared" si="12"/>
        <v>-7386.3</v>
      </c>
      <c r="F72" s="287">
        <f t="shared" si="12"/>
        <v>-9747.9</v>
      </c>
      <c r="G72" s="287">
        <f t="shared" si="12"/>
        <v>16.399203187500802</v>
      </c>
      <c r="H72" s="287">
        <f t="shared" si="12"/>
        <v>5486.7984063750009</v>
      </c>
      <c r="I72" s="287">
        <f t="shared" si="12"/>
        <v>5972.7984063750009</v>
      </c>
      <c r="J72" s="287">
        <f t="shared" si="12"/>
        <v>5466.7501656581253</v>
      </c>
      <c r="K72" s="287">
        <f t="shared" si="12"/>
        <v>5382.6575648093994</v>
      </c>
      <c r="L72" s="287">
        <f t="shared" si="12"/>
        <v>4476.2135749200006</v>
      </c>
      <c r="M72" s="287">
        <f t="shared" si="12"/>
        <v>4265.1815749200005</v>
      </c>
      <c r="N72" s="287">
        <f t="shared" si="12"/>
        <v>3914.4020816479506</v>
      </c>
      <c r="O72" s="287">
        <f t="shared" si="12"/>
        <v>3196.6537185269999</v>
      </c>
      <c r="P72" s="287">
        <f t="shared" si="12"/>
        <v>3540.9818909700007</v>
      </c>
      <c r="Q72" s="287">
        <f t="shared" si="12"/>
        <v>3540.9818909700007</v>
      </c>
      <c r="R72" s="287">
        <f t="shared" si="12"/>
        <v>3540.9818909700007</v>
      </c>
      <c r="S72" s="287">
        <f t="shared" si="12"/>
        <v>3128.6326864500006</v>
      </c>
      <c r="T72" s="287">
        <f t="shared" si="12"/>
        <v>2784.1419715500006</v>
      </c>
      <c r="U72" s="287">
        <f t="shared" si="12"/>
        <v>3128.6326864500006</v>
      </c>
      <c r="V72" s="287">
        <f t="shared" si="12"/>
        <v>3128.6326864500006</v>
      </c>
      <c r="W72" s="287">
        <f t="shared" si="12"/>
        <v>3128.6326864500006</v>
      </c>
      <c r="X72" s="287">
        <f t="shared" si="12"/>
        <v>3128.6326864500006</v>
      </c>
      <c r="Y72" s="287">
        <f t="shared" si="12"/>
        <v>2577.8860980615</v>
      </c>
      <c r="Z72" s="287">
        <f t="shared" si="12"/>
        <v>2922.4580841900001</v>
      </c>
      <c r="AA72" s="287">
        <f t="shared" si="12"/>
        <v>2922.4580841900001</v>
      </c>
      <c r="AB72" s="287">
        <f t="shared" si="12"/>
        <v>2922.4580841900001</v>
      </c>
      <c r="AC72" s="287">
        <f t="shared" si="12"/>
        <v>2922.4580841900001</v>
      </c>
      <c r="AD72" s="287">
        <f t="shared" si="12"/>
        <v>2577.8860980615</v>
      </c>
      <c r="AE72" s="287">
        <f t="shared" si="12"/>
        <v>2922.4580841900001</v>
      </c>
      <c r="AF72" s="287">
        <f t="shared" si="12"/>
        <v>2922.4580841900001</v>
      </c>
      <c r="AG72" s="287">
        <f t="shared" si="12"/>
        <v>2775.57808419</v>
      </c>
      <c r="AH72" s="287">
        <f t="shared" si="12"/>
        <v>2775.57808419</v>
      </c>
      <c r="AI72" s="287">
        <f t="shared" si="12"/>
        <v>2628.6980841900004</v>
      </c>
      <c r="AJ72" s="284">
        <f>SUM(C72:AI72)</f>
        <v>75870.280726962985</v>
      </c>
      <c r="AK72" s="37"/>
      <c r="AL72" s="37"/>
      <c r="AM72" s="37"/>
      <c r="AN72" s="37"/>
    </row>
    <row r="73" spans="1:40" x14ac:dyDescent="0.2">
      <c r="A73" s="267"/>
      <c r="B73" s="37"/>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3"/>
      <c r="AE73" s="283"/>
      <c r="AF73" s="283"/>
      <c r="AG73" s="283"/>
      <c r="AH73" s="283"/>
      <c r="AI73" s="283"/>
      <c r="AJ73" s="284"/>
      <c r="AK73" s="37"/>
      <c r="AL73" s="37"/>
      <c r="AM73" s="37"/>
      <c r="AN73" s="37"/>
    </row>
    <row r="74" spans="1:40" x14ac:dyDescent="0.2">
      <c r="A74" s="30" t="s">
        <v>456</v>
      </c>
      <c r="B74" t="s">
        <v>99</v>
      </c>
      <c r="C74" s="283">
        <f>IF('Assumptions &amp; Results'!$C$172=3,-C130,-'Field 1 Investor'!C64-'Field 2 Investor'!C64-'Field 3 Investor'!C64)</f>
        <v>-40</v>
      </c>
      <c r="D74" s="283">
        <f>IF('Assumptions &amp; Results'!$C$172=3,-D130,-'Field 1 Investor'!D64-'Field 2 Investor'!D64-'Field 3 Investor'!D64)</f>
        <v>-84</v>
      </c>
      <c r="E74" s="283">
        <f>IF('Assumptions &amp; Results'!$C$172=3,-E130,-'Field 1 Investor'!E64-'Field 2 Investor'!E64-'Field 3 Investor'!E64)</f>
        <v>-170</v>
      </c>
      <c r="F74" s="283">
        <f>IF('Assumptions &amp; Results'!$C$172=3,-F130,-'Field 1 Investor'!F64-'Field 2 Investor'!F64-'Field 3 Investor'!F64)</f>
        <v>-380</v>
      </c>
      <c r="G74" s="283">
        <f>IF('Assumptions &amp; Results'!$C$172=3,-G130,-'Field 1 Investor'!G64-'Field 2 Investor'!G64-'Field 3 Investor'!G64)</f>
        <v>-330</v>
      </c>
      <c r="H74" s="283">
        <f>IF('Assumptions &amp; Results'!$C$172=3,-H130,-'Field 1 Investor'!H64-'Field 2 Investor'!H64-'Field 3 Investor'!H64)</f>
        <v>-54</v>
      </c>
      <c r="I74" s="283">
        <f>IF('Assumptions &amp; Results'!$C$172=3,-I130,-'Field 1 Investor'!I64-'Field 2 Investor'!I64-'Field 3 Investor'!I64)</f>
        <v>0</v>
      </c>
      <c r="J74" s="283">
        <f>IF('Assumptions &amp; Results'!$C$172=3,-J130,-'Field 1 Investor'!J64-'Field 2 Investor'!J64-'Field 3 Investor'!J64)</f>
        <v>0</v>
      </c>
      <c r="K74" s="283">
        <f>IF('Assumptions &amp; Results'!$C$172=3,-K130,-'Field 1 Investor'!K64-'Field 2 Investor'!K64-'Field 3 Investor'!K64)</f>
        <v>0</v>
      </c>
      <c r="L74" s="283">
        <f>IF('Assumptions &amp; Results'!$C$172=3,-L130,-'Field 1 Investor'!L64-'Field 2 Investor'!L64-'Field 3 Investor'!L64)</f>
        <v>0</v>
      </c>
      <c r="M74" s="283">
        <f>IF('Assumptions &amp; Results'!$C$172=3,-M130,-'Field 1 Investor'!M64-'Field 2 Investor'!M64-'Field 3 Investor'!M64)</f>
        <v>0</v>
      </c>
      <c r="N74" s="283">
        <f>IF('Assumptions &amp; Results'!$C$172=3,-N130,-'Field 1 Investor'!N64-'Field 2 Investor'!N64-'Field 3 Investor'!N64)</f>
        <v>0</v>
      </c>
      <c r="O74" s="283">
        <f>IF('Assumptions &amp; Results'!$C$172=3,-O130,-'Field 1 Investor'!O64-'Field 2 Investor'!O64-'Field 3 Investor'!O64)</f>
        <v>0</v>
      </c>
      <c r="P74" s="283">
        <f>IF('Assumptions &amp; Results'!$C$172=3,-P130,-'Field 1 Investor'!P64-'Field 2 Investor'!P64-'Field 3 Investor'!P64)</f>
        <v>0</v>
      </c>
      <c r="Q74" s="283">
        <f>IF('Assumptions &amp; Results'!$C$172=3,-Q130,-'Field 1 Investor'!Q64-'Field 2 Investor'!Q64-'Field 3 Investor'!Q64)</f>
        <v>0</v>
      </c>
      <c r="R74" s="283">
        <f>IF('Assumptions &amp; Results'!$C$172=3,-R130,-'Field 1 Investor'!R64-'Field 2 Investor'!R64-'Field 3 Investor'!R64)</f>
        <v>0</v>
      </c>
      <c r="S74" s="283">
        <f>IF('Assumptions &amp; Results'!$C$172=3,-S130,-'Field 1 Investor'!S64-'Field 2 Investor'!S64-'Field 3 Investor'!S64)</f>
        <v>0</v>
      </c>
      <c r="T74" s="283">
        <f>IF('Assumptions &amp; Results'!$C$172=3,-T130,-'Field 1 Investor'!T64-'Field 2 Investor'!T64-'Field 3 Investor'!T64)</f>
        <v>0</v>
      </c>
      <c r="U74" s="283">
        <f>IF('Assumptions &amp; Results'!$C$172=3,-U130,-'Field 1 Investor'!U64-'Field 2 Investor'!U64-'Field 3 Investor'!U64)</f>
        <v>0</v>
      </c>
      <c r="V74" s="283">
        <f>IF('Assumptions &amp; Results'!$C$172=3,-V130,-'Field 1 Investor'!V64-'Field 2 Investor'!V64-'Field 3 Investor'!V64)</f>
        <v>0</v>
      </c>
      <c r="W74" s="283">
        <f>IF('Assumptions &amp; Results'!$C$172=3,-W130,-'Field 1 Investor'!W64-'Field 2 Investor'!W64-'Field 3 Investor'!W64)</f>
        <v>0</v>
      </c>
      <c r="X74" s="283">
        <f>IF('Assumptions &amp; Results'!$C$172=3,-X130,-'Field 1 Investor'!X64-'Field 2 Investor'!X64-'Field 3 Investor'!X64)</f>
        <v>0</v>
      </c>
      <c r="Y74" s="283">
        <f>IF('Assumptions &amp; Results'!$C$172=3,-Y130,-'Field 1 Investor'!Y64-'Field 2 Investor'!Y64-'Field 3 Investor'!Y64)</f>
        <v>0</v>
      </c>
      <c r="Z74" s="283">
        <f>IF('Assumptions &amp; Results'!$C$172=3,-Z130,-'Field 1 Investor'!Z64-'Field 2 Investor'!Z64-'Field 3 Investor'!Z64)</f>
        <v>0</v>
      </c>
      <c r="AA74" s="283">
        <f>IF('Assumptions &amp; Results'!$C$172=3,-AA130,-'Field 1 Investor'!AA64-'Field 2 Investor'!AA64-'Field 3 Investor'!AA64)</f>
        <v>0</v>
      </c>
      <c r="AB74" s="283">
        <f>IF('Assumptions &amp; Results'!$C$172=3,-AB130,-'Field 1 Investor'!AB64-'Field 2 Investor'!AB64-'Field 3 Investor'!AB64)</f>
        <v>0</v>
      </c>
      <c r="AC74" s="283">
        <f>IF('Assumptions &amp; Results'!$C$172=3,-AC130,-'Field 1 Investor'!AC64-'Field 2 Investor'!AC64-'Field 3 Investor'!AC64)</f>
        <v>0</v>
      </c>
      <c r="AD74" s="283">
        <f>IF('Assumptions &amp; Results'!$C$172=3,-AD130,-'Field 1 Investor'!AD64-'Field 2 Investor'!AD64-'Field 3 Investor'!AD64)</f>
        <v>0</v>
      </c>
      <c r="AE74" s="283">
        <f>IF('Assumptions &amp; Results'!$C$172=3,-AE130,-'Field 1 Investor'!AE64-'Field 2 Investor'!AE64-'Field 3 Investor'!AE64)</f>
        <v>0</v>
      </c>
      <c r="AF74" s="283">
        <f>IF('Assumptions &amp; Results'!$C$172=3,-AF130,-'Field 1 Investor'!AF64-'Field 2 Investor'!AF64-'Field 3 Investor'!AF64)</f>
        <v>0</v>
      </c>
      <c r="AG74" s="283">
        <f>IF('Assumptions &amp; Results'!$C$172=3,-AG130,-'Field 1 Investor'!AG64-'Field 2 Investor'!AG64-'Field 3 Investor'!AG64)</f>
        <v>0</v>
      </c>
      <c r="AH74" s="283">
        <f>IF('Assumptions &amp; Results'!$C$172=3,-AH130,-'Field 1 Investor'!AH64-'Field 2 Investor'!AH64-'Field 3 Investor'!AH64)</f>
        <v>0</v>
      </c>
      <c r="AI74" s="283">
        <f>IF('Assumptions &amp; Results'!$C$172=3,-AI130,-'Field 1 Investor'!AI64-'Field 2 Investor'!AI64-'Field 3 Investor'!AI64)</f>
        <v>0</v>
      </c>
      <c r="AJ74" s="284">
        <f>SUM(C74:AI74)</f>
        <v>-1058</v>
      </c>
      <c r="AK74" s="37"/>
      <c r="AL74" s="37"/>
      <c r="AM74" s="37"/>
      <c r="AN74" s="37"/>
    </row>
    <row r="75" spans="1:40" x14ac:dyDescent="0.2">
      <c r="A75" s="30"/>
      <c r="B75" s="37"/>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3"/>
      <c r="AE75" s="283"/>
      <c r="AF75" s="283"/>
      <c r="AG75" s="283"/>
      <c r="AH75" s="283"/>
      <c r="AI75" s="283"/>
      <c r="AJ75" s="284"/>
      <c r="AK75" s="37"/>
      <c r="AL75" s="37"/>
      <c r="AM75" s="37"/>
      <c r="AN75" s="37"/>
    </row>
    <row r="76" spans="1:40" x14ac:dyDescent="0.2">
      <c r="A76" s="30" t="s">
        <v>457</v>
      </c>
      <c r="B76" t="s">
        <v>99</v>
      </c>
      <c r="C76" s="285">
        <f>IF('Assumptions &amp; Results'!$C$172=3,-C134,+'Field 1 Investor'!C68+'Field 2 Investor'!C68+'Field 3 Investor'!C68)</f>
        <v>0</v>
      </c>
      <c r="D76" s="285">
        <f>IF('Assumptions &amp; Results'!$C$172=3,-D134,+'Field 1 Investor'!D68+'Field 2 Investor'!D68+'Field 3 Investor'!D68)</f>
        <v>0</v>
      </c>
      <c r="E76" s="285">
        <f>IF('Assumptions &amp; Results'!$C$172=3,-E134,+'Field 1 Investor'!E68+'Field 2 Investor'!E68+'Field 3 Investor'!E68)</f>
        <v>0</v>
      </c>
      <c r="F76" s="285">
        <f>IF('Assumptions &amp; Results'!$C$172=3,-F134,+'Field 1 Investor'!F68+'Field 2 Investor'!F68+'Field 3 Investor'!F68)</f>
        <v>0</v>
      </c>
      <c r="G76" s="285">
        <f>IF('Assumptions &amp; Results'!$C$172=3,-G134,+'Field 1 Investor'!G68+'Field 2 Investor'!G68+'Field 3 Investor'!G68)</f>
        <v>148.69703062500005</v>
      </c>
      <c r="H76" s="285">
        <f>IF('Assumptions &amp; Results'!$C$172=3,-H134,+'Field 1 Investor'!H68+'Field 2 Investor'!H68+'Field 3 Investor'!H68)</f>
        <v>297.39406125000011</v>
      </c>
      <c r="I76" s="285">
        <f>IF('Assumptions &amp; Results'!$C$172=3,-I134,+'Field 1 Investor'!I68+'Field 2 Investor'!I68+'Field 3 Investor'!I68)</f>
        <v>297.39406125000011</v>
      </c>
      <c r="J76" s="285">
        <f>IF('Assumptions &amp; Results'!$C$172=3,-J134,+'Field 1 Investor'!J68+'Field 2 Investor'!J68+'Field 3 Investor'!J68)</f>
        <v>297.48037873125003</v>
      </c>
      <c r="K76" s="285">
        <f>IF('Assumptions &amp; Results'!$C$172=3,-K134,+'Field 1 Investor'!K68+'Field 2 Investor'!K68+'Field 3 Investor'!K68)</f>
        <v>297.39406125000011</v>
      </c>
      <c r="L76" s="285">
        <f>IF('Assumptions &amp; Results'!$C$172=3,-L134,+'Field 1 Investor'!L68+'Field 2 Investor'!L68+'Field 3 Investor'!L68)</f>
        <v>22.261733621312342</v>
      </c>
      <c r="M76" s="285">
        <f>IF('Assumptions &amp; Results'!$C$172=3,-M134,+'Field 1 Investor'!M68+'Field 2 Investor'!M68+'Field 3 Investor'!M68)</f>
        <v>0</v>
      </c>
      <c r="N76" s="285">
        <f>IF('Assumptions &amp; Results'!$C$172=3,-N134,+'Field 1 Investor'!N68+'Field 2 Investor'!N68+'Field 3 Investor'!N68)</f>
        <v>0</v>
      </c>
      <c r="O76" s="285">
        <f>IF('Assumptions &amp; Results'!$C$172=3,-O134,+'Field 1 Investor'!O68+'Field 2 Investor'!O68+'Field 3 Investor'!O68)</f>
        <v>0</v>
      </c>
      <c r="P76" s="285">
        <f>IF('Assumptions &amp; Results'!$C$172=3,-P134,+'Field 1 Investor'!P68+'Field 2 Investor'!P68+'Field 3 Investor'!P68)</f>
        <v>0</v>
      </c>
      <c r="Q76" s="285">
        <f>IF('Assumptions &amp; Results'!$C$172=3,-Q134,+'Field 1 Investor'!Q68+'Field 2 Investor'!Q68+'Field 3 Investor'!Q68)</f>
        <v>0</v>
      </c>
      <c r="R76" s="285">
        <f>IF('Assumptions &amp; Results'!$C$172=3,-R134,+'Field 1 Investor'!R68+'Field 2 Investor'!R68+'Field 3 Investor'!R68)</f>
        <v>0</v>
      </c>
      <c r="S76" s="285">
        <f>IF('Assumptions &amp; Results'!$C$172=3,-S134,+'Field 1 Investor'!S68+'Field 2 Investor'!S68+'Field 3 Investor'!S68)</f>
        <v>0</v>
      </c>
      <c r="T76" s="285">
        <f>IF('Assumptions &amp; Results'!$C$172=3,-T134,+'Field 1 Investor'!T68+'Field 2 Investor'!T68+'Field 3 Investor'!T68)</f>
        <v>0</v>
      </c>
      <c r="U76" s="285">
        <f>IF('Assumptions &amp; Results'!$C$172=3,-U134,+'Field 1 Investor'!U68+'Field 2 Investor'!U68+'Field 3 Investor'!U68)</f>
        <v>0</v>
      </c>
      <c r="V76" s="285">
        <f>IF('Assumptions &amp; Results'!$C$172=3,-V134,+'Field 1 Investor'!V68+'Field 2 Investor'!V68+'Field 3 Investor'!V68)</f>
        <v>0</v>
      </c>
      <c r="W76" s="285">
        <f>IF('Assumptions &amp; Results'!$C$172=3,-W134,+'Field 1 Investor'!W68+'Field 2 Investor'!W68+'Field 3 Investor'!W68)</f>
        <v>0</v>
      </c>
      <c r="X76" s="285">
        <f>IF('Assumptions &amp; Results'!$C$172=3,-X134,+'Field 1 Investor'!X68+'Field 2 Investor'!X68+'Field 3 Investor'!X68)</f>
        <v>0</v>
      </c>
      <c r="Y76" s="285">
        <f>IF('Assumptions &amp; Results'!$C$172=3,-Y134,+'Field 1 Investor'!Y68+'Field 2 Investor'!Y68+'Field 3 Investor'!Y68)</f>
        <v>0</v>
      </c>
      <c r="Z76" s="285">
        <f>IF('Assumptions &amp; Results'!$C$172=3,-Z134,+'Field 1 Investor'!Z68+'Field 2 Investor'!Z68+'Field 3 Investor'!Z68)</f>
        <v>0</v>
      </c>
      <c r="AA76" s="285">
        <f>IF('Assumptions &amp; Results'!$C$172=3,-AA134,+'Field 1 Investor'!AA68+'Field 2 Investor'!AA68+'Field 3 Investor'!AA68)</f>
        <v>0</v>
      </c>
      <c r="AB76" s="285">
        <f>IF('Assumptions &amp; Results'!$C$172=3,-AB134,+'Field 1 Investor'!AB68+'Field 2 Investor'!AB68+'Field 3 Investor'!AB68)</f>
        <v>0</v>
      </c>
      <c r="AC76" s="285">
        <f>IF('Assumptions &amp; Results'!$C$172=3,-AC134,+'Field 1 Investor'!AC68+'Field 2 Investor'!AC68+'Field 3 Investor'!AC68)</f>
        <v>0</v>
      </c>
      <c r="AD76" s="285">
        <f>IF('Assumptions &amp; Results'!$C$172=3,-AD134,+'Field 1 Investor'!AD68+'Field 2 Investor'!AD68+'Field 3 Investor'!AD68)</f>
        <v>0</v>
      </c>
      <c r="AE76" s="285">
        <f>IF('Assumptions &amp; Results'!$C$172=3,-AE134,+'Field 1 Investor'!AE68+'Field 2 Investor'!AE68+'Field 3 Investor'!AE68)</f>
        <v>0</v>
      </c>
      <c r="AF76" s="285">
        <f>IF('Assumptions &amp; Results'!$C$172=3,-AF134,+'Field 1 Investor'!AF68+'Field 2 Investor'!AF68+'Field 3 Investor'!AF68)</f>
        <v>0</v>
      </c>
      <c r="AG76" s="285">
        <f>IF('Assumptions &amp; Results'!$C$172=3,-AG134,+'Field 1 Investor'!AG68+'Field 2 Investor'!AG68+'Field 3 Investor'!AG68)</f>
        <v>0</v>
      </c>
      <c r="AH76" s="285">
        <f>IF('Assumptions &amp; Results'!$C$172=3,-AH134,+'Field 1 Investor'!AH68+'Field 2 Investor'!AH68+'Field 3 Investor'!AH68)</f>
        <v>0</v>
      </c>
      <c r="AI76" s="285">
        <f>IF('Assumptions &amp; Results'!$C$172=3,-AI134,+'Field 1 Investor'!AI68+'Field 2 Investor'!AI68+'Field 3 Investor'!AI68)</f>
        <v>0</v>
      </c>
      <c r="AJ76" s="286">
        <f>SUM(C76:AI76)</f>
        <v>1360.6213267275627</v>
      </c>
      <c r="AK76" s="37"/>
      <c r="AL76" s="37"/>
      <c r="AM76" s="37"/>
      <c r="AN76" s="37"/>
    </row>
    <row r="77" spans="1:40" x14ac:dyDescent="0.2">
      <c r="A77" s="267"/>
      <c r="B77" s="37"/>
      <c r="C77" s="285"/>
      <c r="D77" s="285"/>
      <c r="E77" s="285"/>
      <c r="F77" s="285"/>
      <c r="G77" s="285"/>
      <c r="H77" s="285"/>
      <c r="I77" s="285"/>
      <c r="J77" s="285"/>
      <c r="K77" s="285"/>
      <c r="L77" s="285"/>
      <c r="M77" s="285"/>
      <c r="N77" s="285"/>
      <c r="O77" s="285"/>
      <c r="P77" s="285"/>
      <c r="Q77" s="285"/>
      <c r="R77" s="285"/>
      <c r="S77" s="285"/>
      <c r="T77" s="285"/>
      <c r="U77" s="285"/>
      <c r="V77" s="285"/>
      <c r="W77" s="285"/>
      <c r="X77" s="285"/>
      <c r="Y77" s="285"/>
      <c r="Z77" s="285"/>
      <c r="AA77" s="285"/>
      <c r="AB77" s="285"/>
      <c r="AC77" s="285"/>
      <c r="AD77" s="285"/>
      <c r="AE77" s="285"/>
      <c r="AF77" s="285"/>
      <c r="AG77" s="285"/>
      <c r="AH77" s="285"/>
      <c r="AI77" s="285"/>
      <c r="AJ77" s="288"/>
      <c r="AK77" s="37"/>
      <c r="AL77" s="37"/>
      <c r="AM77" s="37"/>
      <c r="AN77" s="37"/>
    </row>
    <row r="78" spans="1:40" x14ac:dyDescent="0.2">
      <c r="A78" s="30" t="s">
        <v>480</v>
      </c>
      <c r="B78" t="s">
        <v>99</v>
      </c>
      <c r="C78" s="287">
        <f>C72+C74+C76</f>
        <v>-415.3</v>
      </c>
      <c r="D78" s="287">
        <f t="shared" ref="D78:AI78" si="13">D72+D74+D76</f>
        <v>-4802.7</v>
      </c>
      <c r="E78" s="287">
        <f t="shared" si="13"/>
        <v>-7556.3</v>
      </c>
      <c r="F78" s="287">
        <f t="shared" si="13"/>
        <v>-10127.9</v>
      </c>
      <c r="G78" s="287">
        <f t="shared" si="13"/>
        <v>-164.90376618749914</v>
      </c>
      <c r="H78" s="287">
        <f t="shared" si="13"/>
        <v>5730.192467625001</v>
      </c>
      <c r="I78" s="287">
        <f t="shared" si="13"/>
        <v>6270.192467625001</v>
      </c>
      <c r="J78" s="287">
        <f t="shared" si="13"/>
        <v>5764.2305443893756</v>
      </c>
      <c r="K78" s="287">
        <f t="shared" si="13"/>
        <v>5680.0516260593995</v>
      </c>
      <c r="L78" s="287">
        <f t="shared" si="13"/>
        <v>4498.4753085413131</v>
      </c>
      <c r="M78" s="287">
        <f t="shared" si="13"/>
        <v>4265.1815749200005</v>
      </c>
      <c r="N78" s="287">
        <f t="shared" si="13"/>
        <v>3914.4020816479506</v>
      </c>
      <c r="O78" s="287">
        <f t="shared" si="13"/>
        <v>3196.6537185269999</v>
      </c>
      <c r="P78" s="287">
        <f t="shared" si="13"/>
        <v>3540.9818909700007</v>
      </c>
      <c r="Q78" s="287">
        <f t="shared" si="13"/>
        <v>3540.9818909700007</v>
      </c>
      <c r="R78" s="287">
        <f t="shared" si="13"/>
        <v>3540.9818909700007</v>
      </c>
      <c r="S78" s="287">
        <f t="shared" si="13"/>
        <v>3128.6326864500006</v>
      </c>
      <c r="T78" s="287">
        <f t="shared" si="13"/>
        <v>2784.1419715500006</v>
      </c>
      <c r="U78" s="287">
        <f t="shared" si="13"/>
        <v>3128.6326864500006</v>
      </c>
      <c r="V78" s="287">
        <f t="shared" si="13"/>
        <v>3128.6326864500006</v>
      </c>
      <c r="W78" s="287">
        <f t="shared" si="13"/>
        <v>3128.6326864500006</v>
      </c>
      <c r="X78" s="287">
        <f t="shared" si="13"/>
        <v>3128.6326864500006</v>
      </c>
      <c r="Y78" s="287">
        <f t="shared" si="13"/>
        <v>2577.8860980615</v>
      </c>
      <c r="Z78" s="287">
        <f t="shared" si="13"/>
        <v>2922.4580841900001</v>
      </c>
      <c r="AA78" s="287">
        <f t="shared" si="13"/>
        <v>2922.4580841900001</v>
      </c>
      <c r="AB78" s="287">
        <f t="shared" si="13"/>
        <v>2922.4580841900001</v>
      </c>
      <c r="AC78" s="287">
        <f t="shared" si="13"/>
        <v>2922.4580841900001</v>
      </c>
      <c r="AD78" s="287">
        <f t="shared" si="13"/>
        <v>2577.8860980615</v>
      </c>
      <c r="AE78" s="287">
        <f t="shared" si="13"/>
        <v>2922.4580841900001</v>
      </c>
      <c r="AF78" s="287">
        <f t="shared" si="13"/>
        <v>2922.4580841900001</v>
      </c>
      <c r="AG78" s="287">
        <f t="shared" si="13"/>
        <v>2775.57808419</v>
      </c>
      <c r="AH78" s="287">
        <f t="shared" si="13"/>
        <v>2775.57808419</v>
      </c>
      <c r="AI78" s="287">
        <f t="shared" si="13"/>
        <v>2628.6980841900004</v>
      </c>
      <c r="AJ78" s="284">
        <f>SUM(C78:AI78)</f>
        <v>76172.902053690545</v>
      </c>
      <c r="AK78" s="37"/>
      <c r="AL78" s="37"/>
      <c r="AM78" s="37"/>
      <c r="AN78" s="37"/>
    </row>
    <row r="79" spans="1:40" x14ac:dyDescent="0.2">
      <c r="A79" s="267"/>
      <c r="C79" s="287"/>
      <c r="D79" s="287"/>
      <c r="E79" s="287"/>
      <c r="F79" s="287"/>
      <c r="G79" s="287"/>
      <c r="H79" s="287"/>
      <c r="I79" s="287"/>
      <c r="J79" s="287"/>
      <c r="K79" s="287"/>
      <c r="L79" s="287"/>
      <c r="M79" s="287"/>
      <c r="N79" s="287"/>
      <c r="O79" s="287"/>
      <c r="P79" s="287"/>
      <c r="Q79" s="287"/>
      <c r="R79" s="287"/>
      <c r="S79" s="287"/>
      <c r="T79" s="287"/>
      <c r="U79" s="287"/>
      <c r="V79" s="287"/>
      <c r="W79" s="287"/>
      <c r="X79" s="287"/>
      <c r="Y79" s="287"/>
      <c r="Z79" s="287"/>
      <c r="AA79" s="287"/>
      <c r="AB79" s="287"/>
      <c r="AC79" s="287"/>
      <c r="AD79" s="287"/>
      <c r="AE79" s="287"/>
      <c r="AF79" s="287"/>
      <c r="AG79" s="287"/>
      <c r="AH79" s="287"/>
      <c r="AI79" s="287"/>
      <c r="AJ79" s="284"/>
      <c r="AK79" s="37"/>
      <c r="AL79" s="37"/>
      <c r="AM79" s="37"/>
      <c r="AN79" s="37"/>
    </row>
    <row r="80" spans="1:40" x14ac:dyDescent="0.2">
      <c r="A80" s="30" t="s">
        <v>501</v>
      </c>
      <c r="B80" s="201">
        <f>'Assumptions &amp; Results'!$C$154</f>
        <v>0.1</v>
      </c>
      <c r="C80" s="381">
        <f>NPV(B80,C72:AI72)</f>
        <v>7647.3479437484748</v>
      </c>
      <c r="D80" s="287"/>
      <c r="E80" s="287"/>
      <c r="F80" s="287"/>
      <c r="G80" s="287"/>
      <c r="H80" s="287"/>
      <c r="I80" s="287"/>
      <c r="J80" s="287"/>
      <c r="K80" s="287"/>
      <c r="L80" s="287"/>
      <c r="M80" s="287"/>
      <c r="N80" s="287"/>
      <c r="O80" s="287"/>
      <c r="P80" s="287"/>
      <c r="Q80" s="287"/>
      <c r="R80" s="287"/>
      <c r="S80" s="287"/>
      <c r="T80" s="287"/>
      <c r="U80" s="287"/>
      <c r="V80" s="287"/>
      <c r="W80" s="287"/>
      <c r="X80" s="287"/>
      <c r="Y80" s="287"/>
      <c r="Z80" s="287"/>
      <c r="AA80" s="287"/>
      <c r="AB80" s="287"/>
      <c r="AC80" s="287"/>
      <c r="AD80" s="287"/>
      <c r="AE80" s="287"/>
      <c r="AF80" s="287"/>
      <c r="AG80" s="287"/>
      <c r="AH80" s="287"/>
      <c r="AI80" s="287"/>
      <c r="AJ80" s="284"/>
      <c r="AK80" s="37"/>
      <c r="AL80" s="37"/>
      <c r="AM80" s="37"/>
      <c r="AN80" s="37"/>
    </row>
    <row r="81" spans="1:40" x14ac:dyDescent="0.2">
      <c r="A81" s="30" t="s">
        <v>502</v>
      </c>
      <c r="C81" s="382">
        <f>IRR(C72:AI72)</f>
        <v>0.1512861269408301</v>
      </c>
      <c r="D81" s="287"/>
      <c r="E81" s="287"/>
      <c r="F81" s="287"/>
      <c r="G81" s="287"/>
      <c r="H81" s="287"/>
      <c r="I81" s="287"/>
      <c r="J81" s="287"/>
      <c r="K81" s="287"/>
      <c r="L81" s="287"/>
      <c r="M81" s="287"/>
      <c r="N81" s="287"/>
      <c r="O81" s="287"/>
      <c r="P81" s="287"/>
      <c r="Q81" s="287"/>
      <c r="R81" s="287"/>
      <c r="S81" s="287"/>
      <c r="T81" s="287"/>
      <c r="U81" s="287"/>
      <c r="V81" s="287"/>
      <c r="W81" s="287"/>
      <c r="X81" s="287"/>
      <c r="Y81" s="287"/>
      <c r="Z81" s="287"/>
      <c r="AA81" s="287"/>
      <c r="AB81" s="287"/>
      <c r="AC81" s="287"/>
      <c r="AD81" s="287"/>
      <c r="AE81" s="287"/>
      <c r="AF81" s="287"/>
      <c r="AG81" s="287"/>
      <c r="AH81" s="287"/>
      <c r="AI81" s="287"/>
      <c r="AJ81" s="284"/>
      <c r="AK81" s="37"/>
      <c r="AL81" s="37"/>
      <c r="AM81" s="37"/>
      <c r="AN81" s="37"/>
    </row>
    <row r="82" spans="1:40" x14ac:dyDescent="0.2">
      <c r="A82" s="30"/>
      <c r="C82" s="324"/>
      <c r="D82" s="287"/>
      <c r="E82" s="287"/>
      <c r="F82" s="287"/>
      <c r="G82" s="287"/>
      <c r="H82" s="287"/>
      <c r="I82" s="287"/>
      <c r="J82" s="287"/>
      <c r="K82" s="287"/>
      <c r="L82" s="287"/>
      <c r="M82" s="287"/>
      <c r="N82" s="287"/>
      <c r="O82" s="287"/>
      <c r="P82" s="287"/>
      <c r="Q82" s="287"/>
      <c r="R82" s="287"/>
      <c r="S82" s="287"/>
      <c r="T82" s="287"/>
      <c r="U82" s="287"/>
      <c r="V82" s="287"/>
      <c r="W82" s="287"/>
      <c r="X82" s="287"/>
      <c r="Y82" s="287"/>
      <c r="Z82" s="287"/>
      <c r="AA82" s="287"/>
      <c r="AB82" s="287"/>
      <c r="AC82" s="287"/>
      <c r="AD82" s="287"/>
      <c r="AE82" s="287"/>
      <c r="AF82" s="287"/>
      <c r="AG82" s="287"/>
      <c r="AH82" s="287"/>
      <c r="AI82" s="287"/>
      <c r="AJ82" s="284"/>
      <c r="AK82" s="37"/>
      <c r="AL82" s="37"/>
      <c r="AM82" s="37"/>
      <c r="AN82" s="37"/>
    </row>
    <row r="83" spans="1:40" x14ac:dyDescent="0.2">
      <c r="A83" s="30" t="s">
        <v>503</v>
      </c>
      <c r="B83" s="201">
        <f>'Assumptions &amp; Results'!$C$154</f>
        <v>0.1</v>
      </c>
      <c r="C83" s="381">
        <f>NPV(B83,C78:AI78)</f>
        <v>7605.2028573689568</v>
      </c>
      <c r="D83" s="287"/>
      <c r="E83" s="287"/>
      <c r="F83" s="287"/>
      <c r="G83" s="287"/>
      <c r="H83" s="287"/>
      <c r="I83" s="287"/>
      <c r="J83" s="287"/>
      <c r="K83" s="287"/>
      <c r="L83" s="287"/>
      <c r="M83" s="287"/>
      <c r="N83" s="287"/>
      <c r="O83" s="287"/>
      <c r="P83" s="287"/>
      <c r="Q83" s="287"/>
      <c r="R83" s="287"/>
      <c r="S83" s="287"/>
      <c r="T83" s="287"/>
      <c r="U83" s="287"/>
      <c r="V83" s="287"/>
      <c r="W83" s="287"/>
      <c r="X83" s="287"/>
      <c r="Y83" s="287"/>
      <c r="Z83" s="287"/>
      <c r="AA83" s="287"/>
      <c r="AB83" s="287"/>
      <c r="AC83" s="287"/>
      <c r="AD83" s="287"/>
      <c r="AE83" s="287"/>
      <c r="AF83" s="287"/>
      <c r="AG83" s="287"/>
      <c r="AH83" s="287"/>
      <c r="AI83" s="287"/>
      <c r="AJ83" s="284"/>
      <c r="AK83" s="37"/>
      <c r="AL83" s="37"/>
      <c r="AM83" s="37"/>
      <c r="AN83" s="37"/>
    </row>
    <row r="84" spans="1:40" x14ac:dyDescent="0.2">
      <c r="A84" s="30" t="s">
        <v>504</v>
      </c>
      <c r="C84" s="382">
        <f>IRR(C78:AI78)</f>
        <v>0.15010771563561898</v>
      </c>
      <c r="D84" s="287"/>
      <c r="E84" s="287"/>
      <c r="F84" s="287"/>
      <c r="G84" s="287"/>
      <c r="H84" s="287"/>
      <c r="I84" s="287"/>
      <c r="J84" s="287"/>
      <c r="K84" s="287"/>
      <c r="L84" s="287"/>
      <c r="M84" s="287"/>
      <c r="N84" s="287"/>
      <c r="O84" s="287"/>
      <c r="P84" s="287"/>
      <c r="Q84" s="287"/>
      <c r="R84" s="287"/>
      <c r="S84" s="287"/>
      <c r="T84" s="287"/>
      <c r="U84" s="287"/>
      <c r="V84" s="287"/>
      <c r="W84" s="287"/>
      <c r="X84" s="287"/>
      <c r="Y84" s="287"/>
      <c r="Z84" s="287"/>
      <c r="AA84" s="287"/>
      <c r="AB84" s="287"/>
      <c r="AC84" s="287"/>
      <c r="AD84" s="287"/>
      <c r="AE84" s="287"/>
      <c r="AF84" s="287"/>
      <c r="AG84" s="287"/>
      <c r="AH84" s="287"/>
      <c r="AI84" s="287"/>
      <c r="AJ84" s="284"/>
      <c r="AK84" s="37"/>
      <c r="AL84" s="37"/>
      <c r="AM84" s="37"/>
      <c r="AN84" s="37"/>
    </row>
    <row r="85" spans="1:40" x14ac:dyDescent="0.2">
      <c r="A85" s="267"/>
      <c r="C85" s="287"/>
      <c r="D85" s="287"/>
      <c r="E85" s="287"/>
      <c r="F85" s="287"/>
      <c r="G85" s="287"/>
      <c r="H85" s="287"/>
      <c r="I85" s="287"/>
      <c r="J85" s="287"/>
      <c r="K85" s="287"/>
      <c r="L85" s="287"/>
      <c r="M85" s="287"/>
      <c r="N85" s="287"/>
      <c r="O85" s="287"/>
      <c r="P85" s="287"/>
      <c r="Q85" s="287"/>
      <c r="R85" s="287"/>
      <c r="S85" s="287"/>
      <c r="T85" s="287"/>
      <c r="U85" s="287"/>
      <c r="V85" s="287"/>
      <c r="W85" s="287"/>
      <c r="X85" s="287"/>
      <c r="Y85" s="287"/>
      <c r="Z85" s="287"/>
      <c r="AA85" s="287"/>
      <c r="AB85" s="287"/>
      <c r="AC85" s="287"/>
      <c r="AD85" s="287"/>
      <c r="AE85" s="287"/>
      <c r="AF85" s="287"/>
      <c r="AG85" s="287"/>
      <c r="AH85" s="287"/>
      <c r="AI85" s="287"/>
      <c r="AJ85" s="284"/>
      <c r="AK85" s="37"/>
      <c r="AL85" s="37"/>
      <c r="AM85" s="37"/>
      <c r="AN85" s="37"/>
    </row>
    <row r="86" spans="1:40" x14ac:dyDescent="0.2">
      <c r="A86" s="267"/>
      <c r="C86" s="287"/>
      <c r="D86" s="287"/>
      <c r="E86" s="287"/>
      <c r="F86" s="287"/>
      <c r="G86" s="287"/>
      <c r="H86" s="287"/>
      <c r="I86" s="287"/>
      <c r="J86" s="287"/>
      <c r="K86" s="287"/>
      <c r="L86" s="287"/>
      <c r="M86" s="287"/>
      <c r="N86" s="287"/>
      <c r="O86" s="287"/>
      <c r="P86" s="287"/>
      <c r="Q86" s="287"/>
      <c r="R86" s="287"/>
      <c r="S86" s="287"/>
      <c r="T86" s="287"/>
      <c r="U86" s="287"/>
      <c r="V86" s="287"/>
      <c r="W86" s="287"/>
      <c r="X86" s="287"/>
      <c r="Y86" s="287"/>
      <c r="Z86" s="287"/>
      <c r="AA86" s="287"/>
      <c r="AB86" s="287"/>
      <c r="AC86" s="287"/>
      <c r="AD86" s="287"/>
      <c r="AE86" s="287"/>
      <c r="AF86" s="287"/>
      <c r="AG86" s="287"/>
      <c r="AH86" s="287"/>
      <c r="AI86" s="287"/>
      <c r="AJ86" s="284"/>
      <c r="AK86" s="37"/>
      <c r="AL86" s="37"/>
      <c r="AM86" s="37"/>
      <c r="AN86" s="37"/>
    </row>
    <row r="87" spans="1:40" x14ac:dyDescent="0.2">
      <c r="A87" s="267"/>
      <c r="C87" s="287"/>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287"/>
      <c r="AB87" s="287"/>
      <c r="AC87" s="287"/>
      <c r="AD87" s="287"/>
      <c r="AE87" s="287"/>
      <c r="AF87" s="287"/>
      <c r="AG87" s="287"/>
      <c r="AH87" s="287"/>
      <c r="AI87" s="287"/>
      <c r="AJ87" s="284"/>
      <c r="AK87" s="37"/>
      <c r="AL87" s="37"/>
      <c r="AM87" s="37"/>
      <c r="AN87" s="37"/>
    </row>
    <row r="88" spans="1:40" s="321" customFormat="1" ht="21" x14ac:dyDescent="0.25">
      <c r="A88" s="330" t="s">
        <v>531</v>
      </c>
      <c r="B88" s="326"/>
      <c r="C88" s="331"/>
      <c r="D88" s="331"/>
      <c r="E88" s="331"/>
      <c r="F88" s="331"/>
      <c r="G88" s="331"/>
      <c r="H88" s="331"/>
      <c r="I88" s="331"/>
      <c r="J88" s="331"/>
      <c r="K88" s="331"/>
      <c r="L88" s="331"/>
      <c r="M88" s="331"/>
      <c r="N88" s="331"/>
      <c r="O88" s="331"/>
      <c r="P88" s="331"/>
      <c r="Q88" s="331"/>
      <c r="R88" s="331"/>
      <c r="S88" s="331"/>
      <c r="T88" s="331"/>
      <c r="U88" s="331"/>
      <c r="V88" s="331"/>
      <c r="W88" s="331"/>
      <c r="X88" s="331"/>
      <c r="Y88" s="331"/>
      <c r="Z88" s="331"/>
      <c r="AA88" s="331"/>
      <c r="AB88" s="331"/>
      <c r="AC88" s="331"/>
      <c r="AD88" s="331"/>
      <c r="AE88" s="331"/>
      <c r="AF88" s="331"/>
      <c r="AG88" s="331"/>
      <c r="AH88" s="331"/>
      <c r="AI88" s="331"/>
      <c r="AJ88" s="332"/>
      <c r="AK88" s="326"/>
      <c r="AL88" s="326"/>
      <c r="AM88" s="326"/>
      <c r="AN88" s="326"/>
    </row>
    <row r="89" spans="1:40" x14ac:dyDescent="0.2">
      <c r="A89" s="261"/>
      <c r="B89" s="37"/>
      <c r="C89" s="262"/>
      <c r="D89" s="262"/>
      <c r="E89" s="262"/>
      <c r="F89" s="262"/>
      <c r="G89" s="262"/>
      <c r="H89" s="262"/>
      <c r="I89" s="262"/>
      <c r="J89" s="262"/>
      <c r="K89" s="262"/>
      <c r="L89" s="262"/>
      <c r="M89" s="262"/>
      <c r="N89" s="262"/>
      <c r="O89" s="262"/>
      <c r="P89" s="262"/>
      <c r="Q89" s="262"/>
      <c r="R89" s="262"/>
      <c r="S89" s="262"/>
      <c r="T89" s="262"/>
      <c r="U89" s="262"/>
      <c r="V89" s="262"/>
      <c r="W89" s="262"/>
      <c r="X89" s="262"/>
      <c r="Y89" s="262"/>
      <c r="Z89" s="262"/>
      <c r="AA89" s="262"/>
      <c r="AB89" s="262"/>
      <c r="AC89" s="262"/>
      <c r="AD89" s="262"/>
      <c r="AE89" s="262"/>
      <c r="AF89" s="262"/>
      <c r="AG89" s="1"/>
      <c r="AH89" s="1"/>
      <c r="AI89" s="1"/>
      <c r="AJ89" s="130"/>
    </row>
    <row r="90" spans="1:40" ht="15.95" x14ac:dyDescent="0.2">
      <c r="A90" s="278" t="s">
        <v>469</v>
      </c>
      <c r="B90" s="37"/>
      <c r="C90" s="262"/>
      <c r="D90" s="323" t="s">
        <v>468</v>
      </c>
      <c r="E90" s="262"/>
      <c r="F90" s="262"/>
      <c r="G90" s="262"/>
      <c r="H90" s="262"/>
      <c r="I90" s="262"/>
      <c r="J90" s="262"/>
      <c r="K90" s="262"/>
      <c r="L90" s="262"/>
      <c r="M90" s="262"/>
      <c r="N90" s="262"/>
      <c r="O90" s="262"/>
      <c r="P90" s="262"/>
      <c r="Q90" s="262"/>
      <c r="R90" s="262"/>
      <c r="S90" s="262"/>
      <c r="T90" s="262"/>
      <c r="U90" s="262"/>
      <c r="V90" s="262"/>
      <c r="W90" s="262"/>
      <c r="X90" s="262"/>
      <c r="Y90" s="262"/>
      <c r="Z90" s="262"/>
      <c r="AA90" s="262"/>
      <c r="AB90" s="262"/>
      <c r="AC90" s="262"/>
      <c r="AD90" s="262"/>
      <c r="AE90" s="262"/>
      <c r="AF90" s="262"/>
      <c r="AG90" s="1"/>
      <c r="AH90" s="1"/>
      <c r="AI90" s="1"/>
      <c r="AJ90" s="130"/>
    </row>
    <row r="91" spans="1:40" x14ac:dyDescent="0.2">
      <c r="A91" s="74" t="s">
        <v>270</v>
      </c>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131"/>
    </row>
    <row r="92" spans="1:40" x14ac:dyDescent="0.2">
      <c r="A92" t="s">
        <v>271</v>
      </c>
      <c r="B92" t="s">
        <v>272</v>
      </c>
      <c r="C92" s="8">
        <f>'Assumptions &amp; Results'!D21+'Assumptions &amp; Results'!D22+'Assumptions &amp; Results'!D23</f>
        <v>0</v>
      </c>
      <c r="D92" s="8">
        <f>'Assumptions &amp; Results'!E21+'Assumptions &amp; Results'!E22+'Assumptions &amp; Results'!E23</f>
        <v>0</v>
      </c>
      <c r="E92" s="8">
        <f>'Assumptions &amp; Results'!F21+'Assumptions &amp; Results'!F22+'Assumptions &amp; Results'!F23</f>
        <v>0</v>
      </c>
      <c r="F92" s="8">
        <f>'Assumptions &amp; Results'!G21+'Assumptions &amp; Results'!G22+'Assumptions &amp; Results'!G23</f>
        <v>0</v>
      </c>
      <c r="G92" s="8">
        <f>'Assumptions &amp; Results'!H21+'Assumptions &amp; Results'!H22+'Assumptions &amp; Results'!H23</f>
        <v>1650</v>
      </c>
      <c r="H92" s="8">
        <f>'Assumptions &amp; Results'!I21+'Assumptions &amp; Results'!I22+'Assumptions &amp; Results'!I23</f>
        <v>3300</v>
      </c>
      <c r="I92" s="8">
        <f>'Assumptions &amp; Results'!J21+'Assumptions &amp; Results'!J22+'Assumptions &amp; Results'!J23</f>
        <v>3300</v>
      </c>
      <c r="J92" s="8">
        <f>'Assumptions &amp; Results'!K21+'Assumptions &amp; Results'!K22+'Assumptions &amp; Results'!K23</f>
        <v>3300</v>
      </c>
      <c r="K92" s="8">
        <f>'Assumptions &amp; Results'!L21+'Assumptions &amp; Results'!L22+'Assumptions &amp; Results'!L23</f>
        <v>3300</v>
      </c>
      <c r="L92" s="8">
        <f>'Assumptions &amp; Results'!M21+'Assumptions &amp; Results'!M22+'Assumptions &amp; Results'!M23</f>
        <v>3300</v>
      </c>
      <c r="M92" s="8">
        <f>'Assumptions &amp; Results'!N21+'Assumptions &amp; Results'!N22+'Assumptions &amp; Results'!N23</f>
        <v>3300</v>
      </c>
      <c r="N92" s="8">
        <f>'Assumptions &amp; Results'!O21+'Assumptions &amp; Results'!O22+'Assumptions &amp; Results'!O23</f>
        <v>3300</v>
      </c>
      <c r="O92" s="8">
        <f>'Assumptions &amp; Results'!P21+'Assumptions &amp; Results'!P22+'Assumptions &amp; Results'!P23</f>
        <v>3300</v>
      </c>
      <c r="P92" s="8">
        <f>'Assumptions &amp; Results'!Q21+'Assumptions &amp; Results'!Q22+'Assumptions &amp; Results'!Q23</f>
        <v>3300</v>
      </c>
      <c r="Q92" s="8">
        <f>'Assumptions &amp; Results'!R21+'Assumptions &amp; Results'!R22+'Assumptions &amp; Results'!R23</f>
        <v>3300</v>
      </c>
      <c r="R92" s="8">
        <f>'Assumptions &amp; Results'!S21+'Assumptions &amp; Results'!S22+'Assumptions &amp; Results'!S23</f>
        <v>3300</v>
      </c>
      <c r="S92" s="8">
        <f>'Assumptions &amp; Results'!T21+'Assumptions &amp; Results'!T22+'Assumptions &amp; Results'!T23</f>
        <v>3300</v>
      </c>
      <c r="T92" s="8">
        <f>'Assumptions &amp; Results'!U21+'Assumptions &amp; Results'!U22+'Assumptions &amp; Results'!U23</f>
        <v>3300</v>
      </c>
      <c r="U92" s="8">
        <f>'Assumptions &amp; Results'!V21+'Assumptions &amp; Results'!V22+'Assumptions &amp; Results'!V23</f>
        <v>3300</v>
      </c>
      <c r="V92" s="8">
        <f>'Assumptions &amp; Results'!W21+'Assumptions &amp; Results'!W22+'Assumptions &amp; Results'!W23</f>
        <v>3300</v>
      </c>
      <c r="W92" s="8">
        <f>'Assumptions &amp; Results'!X21+'Assumptions &amp; Results'!X22+'Assumptions &amp; Results'!X23</f>
        <v>3300</v>
      </c>
      <c r="X92" s="8">
        <f>'Assumptions &amp; Results'!Y21+'Assumptions &amp; Results'!Y22+'Assumptions &amp; Results'!Y23</f>
        <v>3300</v>
      </c>
      <c r="Y92" s="8">
        <f>'Assumptions &amp; Results'!Z21+'Assumptions &amp; Results'!Z22+'Assumptions &amp; Results'!Z23</f>
        <v>3300</v>
      </c>
      <c r="Z92" s="8">
        <f>'Assumptions &amp; Results'!AA21+'Assumptions &amp; Results'!AA22+'Assumptions &amp; Results'!AA23</f>
        <v>3300</v>
      </c>
      <c r="AA92" s="8">
        <f>'Assumptions &amp; Results'!AB21+'Assumptions &amp; Results'!AB22+'Assumptions &amp; Results'!AB23</f>
        <v>3300</v>
      </c>
      <c r="AB92" s="8">
        <f>'Assumptions &amp; Results'!AC21+'Assumptions &amp; Results'!AC22+'Assumptions &amp; Results'!AC23</f>
        <v>3300</v>
      </c>
      <c r="AC92" s="8">
        <f>'Assumptions &amp; Results'!AD21+'Assumptions &amp; Results'!AD22+'Assumptions &amp; Results'!AD23</f>
        <v>3300</v>
      </c>
      <c r="AD92" s="8">
        <f>'Assumptions &amp; Results'!AE21+'Assumptions &amp; Results'!AE22+'Assumptions &amp; Results'!AE23</f>
        <v>3300</v>
      </c>
      <c r="AE92" s="8">
        <f>'Assumptions &amp; Results'!AF21+'Assumptions &amp; Results'!AF22+'Assumptions &amp; Results'!AF23</f>
        <v>3300</v>
      </c>
      <c r="AF92" s="8">
        <f>'Assumptions &amp; Results'!AG21+'Assumptions &amp; Results'!AG22+'Assumptions &amp; Results'!AG23</f>
        <v>3300</v>
      </c>
      <c r="AG92" s="8">
        <f>'Assumptions &amp; Results'!AH21+'Assumptions &amp; Results'!AH22+'Assumptions &amp; Results'!AH23</f>
        <v>3300</v>
      </c>
      <c r="AH92" s="8">
        <f>'Assumptions &amp; Results'!AI21+'Assumptions &amp; Results'!AI22+'Assumptions &amp; Results'!AI23</f>
        <v>3300</v>
      </c>
      <c r="AI92" s="8">
        <f>'Assumptions &amp; Results'!AJ21+'Assumptions &amp; Results'!AJ22+'Assumptions &amp; Results'!AJ23</f>
        <v>3300</v>
      </c>
      <c r="AJ92" s="125"/>
    </row>
    <row r="93" spans="1:40" x14ac:dyDescent="0.2">
      <c r="A93" t="s">
        <v>273</v>
      </c>
      <c r="B93" t="s">
        <v>274</v>
      </c>
      <c r="C93" s="8">
        <f>C92*365/1000</f>
        <v>0</v>
      </c>
      <c r="D93" s="8">
        <f t="shared" ref="D93:AI93" si="14">D92*365/1000</f>
        <v>0</v>
      </c>
      <c r="E93" s="8">
        <f t="shared" si="14"/>
        <v>0</v>
      </c>
      <c r="F93" s="8">
        <f t="shared" si="14"/>
        <v>0</v>
      </c>
      <c r="G93" s="8">
        <f t="shared" si="14"/>
        <v>602.25</v>
      </c>
      <c r="H93" s="8">
        <f t="shared" si="14"/>
        <v>1204.5</v>
      </c>
      <c r="I93" s="8">
        <f t="shared" si="14"/>
        <v>1204.5</v>
      </c>
      <c r="J93" s="8">
        <f t="shared" si="14"/>
        <v>1204.5</v>
      </c>
      <c r="K93" s="8">
        <f t="shared" si="14"/>
        <v>1204.5</v>
      </c>
      <c r="L93" s="8">
        <f t="shared" si="14"/>
        <v>1204.5</v>
      </c>
      <c r="M93" s="8">
        <f t="shared" si="14"/>
        <v>1204.5</v>
      </c>
      <c r="N93" s="8">
        <f t="shared" si="14"/>
        <v>1204.5</v>
      </c>
      <c r="O93" s="8">
        <f t="shared" si="14"/>
        <v>1204.5</v>
      </c>
      <c r="P93" s="8">
        <f t="shared" si="14"/>
        <v>1204.5</v>
      </c>
      <c r="Q93" s="8">
        <f t="shared" si="14"/>
        <v>1204.5</v>
      </c>
      <c r="R93" s="8">
        <f t="shared" si="14"/>
        <v>1204.5</v>
      </c>
      <c r="S93" s="8">
        <f t="shared" si="14"/>
        <v>1204.5</v>
      </c>
      <c r="T93" s="8">
        <f t="shared" si="14"/>
        <v>1204.5</v>
      </c>
      <c r="U93" s="8">
        <f t="shared" si="14"/>
        <v>1204.5</v>
      </c>
      <c r="V93" s="8">
        <f t="shared" si="14"/>
        <v>1204.5</v>
      </c>
      <c r="W93" s="8">
        <f t="shared" si="14"/>
        <v>1204.5</v>
      </c>
      <c r="X93" s="8">
        <f t="shared" si="14"/>
        <v>1204.5</v>
      </c>
      <c r="Y93" s="8">
        <f t="shared" si="14"/>
        <v>1204.5</v>
      </c>
      <c r="Z93" s="8">
        <f t="shared" si="14"/>
        <v>1204.5</v>
      </c>
      <c r="AA93" s="8">
        <f t="shared" si="14"/>
        <v>1204.5</v>
      </c>
      <c r="AB93" s="8">
        <f t="shared" si="14"/>
        <v>1204.5</v>
      </c>
      <c r="AC93" s="8">
        <f t="shared" si="14"/>
        <v>1204.5</v>
      </c>
      <c r="AD93" s="8">
        <f t="shared" si="14"/>
        <v>1204.5</v>
      </c>
      <c r="AE93" s="8">
        <f t="shared" si="14"/>
        <v>1204.5</v>
      </c>
      <c r="AF93" s="8">
        <f t="shared" si="14"/>
        <v>1204.5</v>
      </c>
      <c r="AG93" s="8">
        <f t="shared" si="14"/>
        <v>1204.5</v>
      </c>
      <c r="AH93" s="8">
        <f t="shared" si="14"/>
        <v>1204.5</v>
      </c>
      <c r="AI93" s="8">
        <f t="shared" si="14"/>
        <v>1204.5</v>
      </c>
      <c r="AJ93" s="125">
        <f t="shared" ref="AJ93:AJ98" si="15">SUM(C93:AI93)</f>
        <v>34328.25</v>
      </c>
    </row>
    <row r="94" spans="1:40" x14ac:dyDescent="0.2">
      <c r="A94" t="s">
        <v>275</v>
      </c>
      <c r="B94" t="s">
        <v>274</v>
      </c>
      <c r="C94" s="12">
        <f>'Assumptions &amp; Results'!D26*C93</f>
        <v>0</v>
      </c>
      <c r="D94" s="12">
        <f>'Assumptions &amp; Results'!E26*D93</f>
        <v>0</v>
      </c>
      <c r="E94" s="12">
        <f>'Assumptions &amp; Results'!F26*E93</f>
        <v>0</v>
      </c>
      <c r="F94" s="12">
        <f>'Assumptions &amp; Results'!G26*F93</f>
        <v>0</v>
      </c>
      <c r="G94" s="12">
        <f>'Assumptions &amp; Results'!H26*G93</f>
        <v>12.045</v>
      </c>
      <c r="H94" s="12">
        <f>'Assumptions &amp; Results'!I26*H93</f>
        <v>24.09</v>
      </c>
      <c r="I94" s="12">
        <f>'Assumptions &amp; Results'!J26*I93</f>
        <v>24.09</v>
      </c>
      <c r="J94" s="12">
        <f>'Assumptions &amp; Results'!K26*J93</f>
        <v>24.09</v>
      </c>
      <c r="K94" s="12">
        <f>'Assumptions &amp; Results'!L26*K93</f>
        <v>24.09</v>
      </c>
      <c r="L94" s="12">
        <f>'Assumptions &amp; Results'!M26*L93</f>
        <v>24.09</v>
      </c>
      <c r="M94" s="12">
        <f>'Assumptions &amp; Results'!N26*M93</f>
        <v>24.09</v>
      </c>
      <c r="N94" s="12">
        <f>'Assumptions &amp; Results'!O26*N93</f>
        <v>24.09</v>
      </c>
      <c r="O94" s="12">
        <f>'Assumptions &amp; Results'!P26*O93</f>
        <v>24.09</v>
      </c>
      <c r="P94" s="12">
        <f>'Assumptions &amp; Results'!Q26*P93</f>
        <v>24.09</v>
      </c>
      <c r="Q94" s="12">
        <f>'Assumptions &amp; Results'!R26*Q93</f>
        <v>24.09</v>
      </c>
      <c r="R94" s="12">
        <f>'Assumptions &amp; Results'!S26*R93</f>
        <v>24.09</v>
      </c>
      <c r="S94" s="12">
        <f>'Assumptions &amp; Results'!T26*S93</f>
        <v>24.09</v>
      </c>
      <c r="T94" s="12">
        <f>'Assumptions &amp; Results'!U26*T93</f>
        <v>24.09</v>
      </c>
      <c r="U94" s="12">
        <f>'Assumptions &amp; Results'!V26*U93</f>
        <v>24.09</v>
      </c>
      <c r="V94" s="12">
        <f>'Assumptions &amp; Results'!W26*V93</f>
        <v>24.09</v>
      </c>
      <c r="W94" s="12">
        <f>'Assumptions &amp; Results'!X26*W93</f>
        <v>24.09</v>
      </c>
      <c r="X94" s="12">
        <f>'Assumptions &amp; Results'!Y26*X93</f>
        <v>24.09</v>
      </c>
      <c r="Y94" s="12">
        <f>'Assumptions &amp; Results'!Z26*Y93</f>
        <v>24.09</v>
      </c>
      <c r="Z94" s="12">
        <f>'Assumptions &amp; Results'!AA26*Z93</f>
        <v>24.09</v>
      </c>
      <c r="AA94" s="12">
        <f>'Assumptions &amp; Results'!AB26*AA93</f>
        <v>24.09</v>
      </c>
      <c r="AB94" s="12">
        <f>'Assumptions &amp; Results'!AC26*AB93</f>
        <v>24.09</v>
      </c>
      <c r="AC94" s="12">
        <f>'Assumptions &amp; Results'!AD26*AC93</f>
        <v>24.09</v>
      </c>
      <c r="AD94" s="12">
        <f>'Assumptions &amp; Results'!AE26*AD93</f>
        <v>24.09</v>
      </c>
      <c r="AE94" s="12">
        <f>'Assumptions &amp; Results'!AF26*AE93</f>
        <v>24.09</v>
      </c>
      <c r="AF94" s="12">
        <f>'Assumptions &amp; Results'!AG26*AF93</f>
        <v>24.09</v>
      </c>
      <c r="AG94" s="12">
        <f>'Assumptions &amp; Results'!AH26*AG93</f>
        <v>24.09</v>
      </c>
      <c r="AH94" s="12">
        <f>'Assumptions &amp; Results'!AI26*AH93</f>
        <v>24.09</v>
      </c>
      <c r="AI94" s="12">
        <f>'Assumptions &amp; Results'!AJ26*AI93</f>
        <v>24.09</v>
      </c>
      <c r="AJ94" s="125">
        <f t="shared" si="15"/>
        <v>686.56500000000005</v>
      </c>
    </row>
    <row r="95" spans="1:40" x14ac:dyDescent="0.2">
      <c r="A95" t="s">
        <v>437</v>
      </c>
      <c r="B95" t="s">
        <v>274</v>
      </c>
      <c r="C95" s="12">
        <f>'Assumptions &amp; Results'!D27*C93</f>
        <v>0</v>
      </c>
      <c r="D95" s="12">
        <f>'Assumptions &amp; Results'!E27*D93</f>
        <v>0</v>
      </c>
      <c r="E95" s="12">
        <f>'Assumptions &amp; Results'!F27*E93</f>
        <v>0</v>
      </c>
      <c r="F95" s="12">
        <f>'Assumptions &amp; Results'!G27*F93</f>
        <v>0</v>
      </c>
      <c r="G95" s="12">
        <f>'Assumptions &amp; Results'!H27*G93</f>
        <v>48.18</v>
      </c>
      <c r="H95" s="12">
        <f>'Assumptions &amp; Results'!I27*H93</f>
        <v>96.36</v>
      </c>
      <c r="I95" s="12">
        <f>'Assumptions &amp; Results'!J27*I93</f>
        <v>96.36</v>
      </c>
      <c r="J95" s="12">
        <f>'Assumptions &amp; Results'!K27*J93</f>
        <v>96.36</v>
      </c>
      <c r="K95" s="12">
        <f>'Assumptions &amp; Results'!L27*K93</f>
        <v>96.36</v>
      </c>
      <c r="L95" s="12">
        <f>'Assumptions &amp; Results'!M27*L93</f>
        <v>96.36</v>
      </c>
      <c r="M95" s="12">
        <f>'Assumptions &amp; Results'!N27*M93</f>
        <v>96.36</v>
      </c>
      <c r="N95" s="12">
        <f>'Assumptions &amp; Results'!O27*N93</f>
        <v>96.36</v>
      </c>
      <c r="O95" s="12">
        <f>'Assumptions &amp; Results'!P27*O93</f>
        <v>96.36</v>
      </c>
      <c r="P95" s="12">
        <f>'Assumptions &amp; Results'!Q27*P93</f>
        <v>96.36</v>
      </c>
      <c r="Q95" s="12">
        <f>'Assumptions &amp; Results'!R27*Q93</f>
        <v>96.36</v>
      </c>
      <c r="R95" s="12">
        <f>'Assumptions &amp; Results'!S27*R93</f>
        <v>96.36</v>
      </c>
      <c r="S95" s="12">
        <f>'Assumptions &amp; Results'!T27*S93</f>
        <v>96.36</v>
      </c>
      <c r="T95" s="12">
        <f>'Assumptions &amp; Results'!U27*T93</f>
        <v>96.36</v>
      </c>
      <c r="U95" s="12">
        <f>'Assumptions &amp; Results'!V27*U93</f>
        <v>96.36</v>
      </c>
      <c r="V95" s="12">
        <f>'Assumptions &amp; Results'!W27*V93</f>
        <v>96.36</v>
      </c>
      <c r="W95" s="12">
        <f>'Assumptions &amp; Results'!X27*W93</f>
        <v>96.36</v>
      </c>
      <c r="X95" s="12">
        <f>'Assumptions &amp; Results'!Y27*X93</f>
        <v>96.36</v>
      </c>
      <c r="Y95" s="12">
        <f>'Assumptions &amp; Results'!Z27*Y93</f>
        <v>96.36</v>
      </c>
      <c r="Z95" s="12">
        <f>'Assumptions &amp; Results'!AA27*Z93</f>
        <v>96.36</v>
      </c>
      <c r="AA95" s="12">
        <f>'Assumptions &amp; Results'!AB27*AA93</f>
        <v>96.36</v>
      </c>
      <c r="AB95" s="12">
        <f>'Assumptions &amp; Results'!AC27*AB93</f>
        <v>96.36</v>
      </c>
      <c r="AC95" s="12">
        <f>'Assumptions &amp; Results'!AD27*AC93</f>
        <v>96.36</v>
      </c>
      <c r="AD95" s="12">
        <f>'Assumptions &amp; Results'!AE27*AD93</f>
        <v>96.36</v>
      </c>
      <c r="AE95" s="12">
        <f>'Assumptions &amp; Results'!AF27*AE93</f>
        <v>96.36</v>
      </c>
      <c r="AF95" s="12">
        <f>'Assumptions &amp; Results'!AG27*AF93</f>
        <v>96.36</v>
      </c>
      <c r="AG95" s="12">
        <f>'Assumptions &amp; Results'!AH27*AG93</f>
        <v>96.36</v>
      </c>
      <c r="AH95" s="12">
        <f>'Assumptions &amp; Results'!AI27*AH93</f>
        <v>96.36</v>
      </c>
      <c r="AI95" s="12">
        <f>'Assumptions &amp; Results'!AJ27*AI93</f>
        <v>96.36</v>
      </c>
      <c r="AJ95" s="125">
        <f t="shared" si="15"/>
        <v>2746.26</v>
      </c>
    </row>
    <row r="96" spans="1:40" x14ac:dyDescent="0.2">
      <c r="A96" t="s">
        <v>438</v>
      </c>
      <c r="B96" t="s">
        <v>278</v>
      </c>
      <c r="C96" s="263">
        <f>'Assumptions &amp; Results'!D28*C95</f>
        <v>0</v>
      </c>
      <c r="D96" s="263">
        <f>'Assumptions &amp; Results'!E28*D95</f>
        <v>0</v>
      </c>
      <c r="E96" s="263">
        <f>'Assumptions &amp; Results'!F28*E95</f>
        <v>0</v>
      </c>
      <c r="F96" s="263">
        <f>'Assumptions &amp; Results'!G28*F95</f>
        <v>0</v>
      </c>
      <c r="G96" s="263">
        <f>'Assumptions &amp; Results'!H28*G95</f>
        <v>12.045</v>
      </c>
      <c r="H96" s="263">
        <f>'Assumptions &amp; Results'!I28*H95</f>
        <v>24.09</v>
      </c>
      <c r="I96" s="263">
        <f>'Assumptions &amp; Results'!J28*I95</f>
        <v>24.09</v>
      </c>
      <c r="J96" s="263">
        <f>'Assumptions &amp; Results'!K28*J95</f>
        <v>24.09</v>
      </c>
      <c r="K96" s="263">
        <f>'Assumptions &amp; Results'!L28*K95</f>
        <v>24.09</v>
      </c>
      <c r="L96" s="263">
        <f>'Assumptions &amp; Results'!M28*L95</f>
        <v>24.09</v>
      </c>
      <c r="M96" s="263">
        <f>'Assumptions &amp; Results'!N28*M95</f>
        <v>24.09</v>
      </c>
      <c r="N96" s="263">
        <f>'Assumptions &amp; Results'!O28*N95</f>
        <v>24.09</v>
      </c>
      <c r="O96" s="263">
        <f>'Assumptions &amp; Results'!P28*O95</f>
        <v>24.09</v>
      </c>
      <c r="P96" s="263">
        <f>'Assumptions &amp; Results'!Q28*P95</f>
        <v>24.09</v>
      </c>
      <c r="Q96" s="263">
        <f>'Assumptions &amp; Results'!R28*Q95</f>
        <v>24.09</v>
      </c>
      <c r="R96" s="263">
        <f>'Assumptions &amp; Results'!S28*R95</f>
        <v>24.09</v>
      </c>
      <c r="S96" s="263">
        <f>'Assumptions &amp; Results'!T28*S95</f>
        <v>24.09</v>
      </c>
      <c r="T96" s="263">
        <f>'Assumptions &amp; Results'!U28*T95</f>
        <v>24.09</v>
      </c>
      <c r="U96" s="263">
        <f>'Assumptions &amp; Results'!V28*U95</f>
        <v>24.09</v>
      </c>
      <c r="V96" s="263">
        <f>'Assumptions &amp; Results'!W28*V95</f>
        <v>24.09</v>
      </c>
      <c r="W96" s="263">
        <f>'Assumptions &amp; Results'!X28*W95</f>
        <v>24.09</v>
      </c>
      <c r="X96" s="263">
        <f>'Assumptions &amp; Results'!Y28*X95</f>
        <v>24.09</v>
      </c>
      <c r="Y96" s="263">
        <f>'Assumptions &amp; Results'!Z28*Y95</f>
        <v>24.09</v>
      </c>
      <c r="Z96" s="263">
        <f>'Assumptions &amp; Results'!AA28*Z95</f>
        <v>24.09</v>
      </c>
      <c r="AA96" s="263">
        <f>'Assumptions &amp; Results'!AB28*AA95</f>
        <v>24.09</v>
      </c>
      <c r="AB96" s="263">
        <f>'Assumptions &amp; Results'!AC28*AB95</f>
        <v>24.09</v>
      </c>
      <c r="AC96" s="263">
        <f>'Assumptions &amp; Results'!AD28*AC95</f>
        <v>24.09</v>
      </c>
      <c r="AD96" s="263">
        <f>'Assumptions &amp; Results'!AE28*AD95</f>
        <v>24.09</v>
      </c>
      <c r="AE96" s="263">
        <f>'Assumptions &amp; Results'!AF28*AE95</f>
        <v>24.09</v>
      </c>
      <c r="AF96" s="263">
        <f>'Assumptions &amp; Results'!AG28*AF95</f>
        <v>24.09</v>
      </c>
      <c r="AG96" s="263">
        <f>'Assumptions &amp; Results'!AH28*AG95</f>
        <v>24.09</v>
      </c>
      <c r="AH96" s="263">
        <f>'Assumptions &amp; Results'!AI28*AH95</f>
        <v>24.09</v>
      </c>
      <c r="AI96" s="263">
        <f>'Assumptions &amp; Results'!AJ28*AI95</f>
        <v>24.09</v>
      </c>
      <c r="AJ96" s="125">
        <f t="shared" si="15"/>
        <v>686.56500000000005</v>
      </c>
    </row>
    <row r="97" spans="1:36" x14ac:dyDescent="0.2">
      <c r="A97" t="s">
        <v>279</v>
      </c>
      <c r="B97" t="s">
        <v>274</v>
      </c>
      <c r="C97" s="12">
        <f>(C93-C94-C95)*'Assumptions &amp; Results'!D25</f>
        <v>0</v>
      </c>
      <c r="D97" s="12">
        <f>(D93-D94-D95)*'Assumptions &amp; Results'!E25</f>
        <v>0</v>
      </c>
      <c r="E97" s="12">
        <f>(E93-E94-E95)*'Assumptions &amp; Results'!F25</f>
        <v>0</v>
      </c>
      <c r="F97" s="12">
        <f>(F93-F94-F95)*'Assumptions &amp; Results'!G25</f>
        <v>0</v>
      </c>
      <c r="G97" s="12">
        <f>(G93-G94-G95)*'Assumptions &amp; Results'!H25</f>
        <v>542.02500000000009</v>
      </c>
      <c r="H97" s="12">
        <f>(H93-H94-H95)*'Assumptions &amp; Results'!I25</f>
        <v>1084.0500000000002</v>
      </c>
      <c r="I97" s="12">
        <f>(I93-I94-I95)*'Assumptions &amp; Results'!J25</f>
        <v>1084.0500000000002</v>
      </c>
      <c r="J97" s="12">
        <f>(J93-J94-J95)*'Assumptions &amp; Results'!K25</f>
        <v>1029.8475000000001</v>
      </c>
      <c r="K97" s="12">
        <f>(K93-K94-K95)*'Assumptions &amp; Results'!L25</f>
        <v>1084.0500000000002</v>
      </c>
      <c r="L97" s="12">
        <f>(L93-L94-L95)*'Assumptions &amp; Results'!M25</f>
        <v>1084.0500000000002</v>
      </c>
      <c r="M97" s="12">
        <f>(M93-M94-M95)*'Assumptions &amp; Results'!N25</f>
        <v>1084.0500000000002</v>
      </c>
      <c r="N97" s="12">
        <f>(N93-N94-N95)*'Assumptions &amp; Results'!O25</f>
        <v>1084.0500000000002</v>
      </c>
      <c r="O97" s="12">
        <f>(O93-O94-O95)*'Assumptions &amp; Results'!P25</f>
        <v>1029.8475000000001</v>
      </c>
      <c r="P97" s="12">
        <f>(P93-P94-P95)*'Assumptions &amp; Results'!Q25</f>
        <v>1084.0500000000002</v>
      </c>
      <c r="Q97" s="12">
        <f>(Q93-Q94-Q95)*'Assumptions &amp; Results'!R25</f>
        <v>1084.0500000000002</v>
      </c>
      <c r="R97" s="12">
        <f>(R93-R94-R95)*'Assumptions &amp; Results'!S25</f>
        <v>1084.0500000000002</v>
      </c>
      <c r="S97" s="12">
        <f>(S93-S94-S95)*'Assumptions &amp; Results'!T25</f>
        <v>1084.0500000000002</v>
      </c>
      <c r="T97" s="12">
        <f>(T93-T94-T95)*'Assumptions &amp; Results'!U25</f>
        <v>1029.8475000000001</v>
      </c>
      <c r="U97" s="12">
        <f>(U93-U94-U95)*'Assumptions &amp; Results'!V25</f>
        <v>1084.0500000000002</v>
      </c>
      <c r="V97" s="12">
        <f>(V93-V94-V95)*'Assumptions &amp; Results'!W25</f>
        <v>1084.0500000000002</v>
      </c>
      <c r="W97" s="12">
        <f>(W93-W94-W95)*'Assumptions &amp; Results'!X25</f>
        <v>1084.0500000000002</v>
      </c>
      <c r="X97" s="12">
        <f>(X93-X94-X95)*'Assumptions &amp; Results'!Y25</f>
        <v>1084.0500000000002</v>
      </c>
      <c r="Y97" s="12">
        <f>(Y93-Y94-Y95)*'Assumptions &amp; Results'!Z25</f>
        <v>1029.8475000000001</v>
      </c>
      <c r="Z97" s="12">
        <f>(Z93-Z94-Z95)*'Assumptions &amp; Results'!AA25</f>
        <v>1084.0500000000002</v>
      </c>
      <c r="AA97" s="12">
        <f>(AA93-AA94-AA95)*'Assumptions &amp; Results'!AB25</f>
        <v>1084.0500000000002</v>
      </c>
      <c r="AB97" s="12">
        <f>(AB93-AB94-AB95)*'Assumptions &amp; Results'!AC25</f>
        <v>1084.0500000000002</v>
      </c>
      <c r="AC97" s="12">
        <f>(AC93-AC94-AC95)*'Assumptions &amp; Results'!AD25</f>
        <v>1084.0500000000002</v>
      </c>
      <c r="AD97" s="12">
        <f>(AD93-AD94-AD95)*'Assumptions &amp; Results'!AE25</f>
        <v>1029.8475000000001</v>
      </c>
      <c r="AE97" s="12">
        <f>(AE93-AE94-AE95)*'Assumptions &amp; Results'!AF25</f>
        <v>1084.0500000000002</v>
      </c>
      <c r="AF97" s="12">
        <f>(AF93-AF94-AF95)*'Assumptions &amp; Results'!AG25</f>
        <v>1084.0500000000002</v>
      </c>
      <c r="AG97" s="12">
        <f>(AG93-AG94-AG95)*'Assumptions &amp; Results'!AH25</f>
        <v>1084.0500000000002</v>
      </c>
      <c r="AH97" s="12">
        <f>(AH93-AH94-AH95)*'Assumptions &amp; Results'!AI25</f>
        <v>1084.0500000000002</v>
      </c>
      <c r="AI97" s="12">
        <f>(AI93-AI94-AI95)*'Assumptions &amp; Results'!AJ25</f>
        <v>1084.0500000000002</v>
      </c>
      <c r="AJ97" s="125">
        <f t="shared" si="15"/>
        <v>30624.412499999991</v>
      </c>
    </row>
    <row r="98" spans="1:36" x14ac:dyDescent="0.2">
      <c r="A98" s="208" t="s">
        <v>436</v>
      </c>
      <c r="B98" t="s">
        <v>274</v>
      </c>
      <c r="C98" s="12">
        <f>C97*(1-'Assumptions &amp; Results'!D24)</f>
        <v>0</v>
      </c>
      <c r="D98" s="12">
        <f>D97*(1-'Assumptions &amp; Results'!E24)</f>
        <v>0</v>
      </c>
      <c r="E98" s="12">
        <f>E97*(1-'Assumptions &amp; Results'!F24)</f>
        <v>0</v>
      </c>
      <c r="F98" s="12">
        <f>F97*(1-'Assumptions &amp; Results'!G24)</f>
        <v>0</v>
      </c>
      <c r="G98" s="12">
        <f>G97*(1-'Assumptions &amp; Results'!H24)</f>
        <v>487.8225000000001</v>
      </c>
      <c r="H98" s="12">
        <f>H97*(1-'Assumptions &amp; Results'!I24)</f>
        <v>975.64500000000021</v>
      </c>
      <c r="I98" s="12">
        <f>I97*(1-'Assumptions &amp; Results'!J24)</f>
        <v>975.64500000000021</v>
      </c>
      <c r="J98" s="12">
        <f>J97*(1-'Assumptions &amp; Results'!K24)</f>
        <v>926.86275000000012</v>
      </c>
      <c r="K98" s="12">
        <f>K97*(1-'Assumptions &amp; Results'!L24)</f>
        <v>975.64500000000021</v>
      </c>
      <c r="L98" s="12">
        <f>L97*(1-'Assumptions &amp; Results'!M24)</f>
        <v>975.64500000000021</v>
      </c>
      <c r="M98" s="12">
        <f>M97*(1-'Assumptions &amp; Results'!N24)</f>
        <v>975.64500000000021</v>
      </c>
      <c r="N98" s="12">
        <f>N97*(1-'Assumptions &amp; Results'!O24)</f>
        <v>975.64500000000021</v>
      </c>
      <c r="O98" s="12">
        <f>O97*(1-'Assumptions &amp; Results'!P24)</f>
        <v>926.86275000000012</v>
      </c>
      <c r="P98" s="12">
        <f>P97*(1-'Assumptions &amp; Results'!Q24)</f>
        <v>975.64500000000021</v>
      </c>
      <c r="Q98" s="12">
        <f>Q97*(1-'Assumptions &amp; Results'!R24)</f>
        <v>975.64500000000021</v>
      </c>
      <c r="R98" s="12">
        <f>R97*(1-'Assumptions &amp; Results'!S24)</f>
        <v>975.64500000000021</v>
      </c>
      <c r="S98" s="12">
        <f>S97*(1-'Assumptions &amp; Results'!T24)</f>
        <v>975.64500000000021</v>
      </c>
      <c r="T98" s="12">
        <f>T97*(1-'Assumptions &amp; Results'!U24)</f>
        <v>926.86275000000012</v>
      </c>
      <c r="U98" s="12">
        <f>U97*(1-'Assumptions &amp; Results'!V24)</f>
        <v>975.64500000000021</v>
      </c>
      <c r="V98" s="12">
        <f>V97*(1-'Assumptions &amp; Results'!W24)</f>
        <v>975.64500000000021</v>
      </c>
      <c r="W98" s="12">
        <f>W97*(1-'Assumptions &amp; Results'!X24)</f>
        <v>975.64500000000021</v>
      </c>
      <c r="X98" s="12">
        <f>X97*(1-'Assumptions &amp; Results'!Y24)</f>
        <v>975.64500000000021</v>
      </c>
      <c r="Y98" s="12">
        <f>Y97*(1-'Assumptions &amp; Results'!Z24)</f>
        <v>926.86275000000012</v>
      </c>
      <c r="Z98" s="12">
        <f>Z97*(1-'Assumptions &amp; Results'!AA24)</f>
        <v>975.64500000000021</v>
      </c>
      <c r="AA98" s="12">
        <f>AA97*(1-'Assumptions &amp; Results'!AB24)</f>
        <v>975.64500000000021</v>
      </c>
      <c r="AB98" s="12">
        <f>AB97*(1-'Assumptions &amp; Results'!AC24)</f>
        <v>975.64500000000021</v>
      </c>
      <c r="AC98" s="12">
        <f>AC97*(1-'Assumptions &amp; Results'!AD24)</f>
        <v>975.64500000000021</v>
      </c>
      <c r="AD98" s="12">
        <f>AD97*(1-'Assumptions &amp; Results'!AE24)</f>
        <v>926.86275000000012</v>
      </c>
      <c r="AE98" s="12">
        <f>AE97*(1-'Assumptions &amp; Results'!AF24)</f>
        <v>975.64500000000021</v>
      </c>
      <c r="AF98" s="12">
        <f>AF97*(1-'Assumptions &amp; Results'!AG24)</f>
        <v>975.64500000000021</v>
      </c>
      <c r="AG98" s="12">
        <f>AG97*(1-'Assumptions &amp; Results'!AH24)</f>
        <v>975.64500000000021</v>
      </c>
      <c r="AH98" s="12">
        <f>AH97*(1-'Assumptions &amp; Results'!AI24)</f>
        <v>975.64500000000021</v>
      </c>
      <c r="AI98" s="12">
        <f>AI97*(1-'Assumptions &amp; Results'!AJ24)</f>
        <v>975.64500000000021</v>
      </c>
      <c r="AJ98" s="125">
        <f t="shared" si="15"/>
        <v>27561.97125000001</v>
      </c>
    </row>
    <row r="99" spans="1:36" x14ac:dyDescent="0.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5"/>
    </row>
    <row r="100" spans="1:36" x14ac:dyDescent="0.2">
      <c r="A100" s="208" t="s">
        <v>439</v>
      </c>
      <c r="B100" t="s">
        <v>67</v>
      </c>
      <c r="C100" s="11">
        <f>'Assumptions &amp; Results'!D7</f>
        <v>8.75</v>
      </c>
      <c r="D100" s="11">
        <f>'Assumptions &amp; Results'!E7</f>
        <v>8.75</v>
      </c>
      <c r="E100" s="11">
        <f>'Assumptions &amp; Results'!F7</f>
        <v>8.75</v>
      </c>
      <c r="F100" s="11">
        <f>'Assumptions &amp; Results'!G7</f>
        <v>8.75</v>
      </c>
      <c r="G100" s="11">
        <f>'Assumptions &amp; Results'!H7</f>
        <v>8.75</v>
      </c>
      <c r="H100" s="11">
        <f>'Assumptions &amp; Results'!I7</f>
        <v>8.75</v>
      </c>
      <c r="I100" s="11">
        <f>'Assumptions &amp; Results'!J7</f>
        <v>8.75</v>
      </c>
      <c r="J100" s="11">
        <f>'Assumptions &amp; Results'!K7</f>
        <v>8.75</v>
      </c>
      <c r="K100" s="11">
        <f>'Assumptions &amp; Results'!L7</f>
        <v>8.75</v>
      </c>
      <c r="L100" s="11">
        <f>'Assumptions &amp; Results'!M7</f>
        <v>8.75</v>
      </c>
      <c r="M100" s="11">
        <f>'Assumptions &amp; Results'!N7</f>
        <v>8.75</v>
      </c>
      <c r="N100" s="11">
        <f>'Assumptions &amp; Results'!O7</f>
        <v>8.75</v>
      </c>
      <c r="O100" s="11">
        <f>'Assumptions &amp; Results'!P7</f>
        <v>8.75</v>
      </c>
      <c r="P100" s="11">
        <f>'Assumptions &amp; Results'!Q7</f>
        <v>8.75</v>
      </c>
      <c r="Q100" s="11">
        <f>'Assumptions &amp; Results'!R7</f>
        <v>8.75</v>
      </c>
      <c r="R100" s="11">
        <f>'Assumptions &amp; Results'!S7</f>
        <v>8.75</v>
      </c>
      <c r="S100" s="11">
        <f>'Assumptions &amp; Results'!T7</f>
        <v>8.75</v>
      </c>
      <c r="T100" s="11">
        <f>'Assumptions &amp; Results'!U7</f>
        <v>8.75</v>
      </c>
      <c r="U100" s="11">
        <f>'Assumptions &amp; Results'!V7</f>
        <v>8.75</v>
      </c>
      <c r="V100" s="11">
        <f>'Assumptions &amp; Results'!W7</f>
        <v>8.75</v>
      </c>
      <c r="W100" s="11">
        <f>'Assumptions &amp; Results'!X7</f>
        <v>8.75</v>
      </c>
      <c r="X100" s="11">
        <f>'Assumptions &amp; Results'!Y7</f>
        <v>8.75</v>
      </c>
      <c r="Y100" s="11">
        <f>'Assumptions &amp; Results'!Z7</f>
        <v>8.75</v>
      </c>
      <c r="Z100" s="11">
        <f>'Assumptions &amp; Results'!AA7</f>
        <v>8.75</v>
      </c>
      <c r="AA100" s="11">
        <f>'Assumptions &amp; Results'!AB7</f>
        <v>8.75</v>
      </c>
      <c r="AB100" s="11">
        <f>'Assumptions &amp; Results'!AC7</f>
        <v>8.75</v>
      </c>
      <c r="AC100" s="11">
        <f>'Assumptions &amp; Results'!AD7</f>
        <v>8.75</v>
      </c>
      <c r="AD100" s="11">
        <f>'Assumptions &amp; Results'!AE7</f>
        <v>8.75</v>
      </c>
      <c r="AE100" s="11">
        <f>'Assumptions &amp; Results'!AF7</f>
        <v>8.75</v>
      </c>
      <c r="AF100" s="11">
        <f>'Assumptions &amp; Results'!AG7</f>
        <v>8.75</v>
      </c>
      <c r="AG100" s="11">
        <f>'Assumptions &amp; Results'!AH7</f>
        <v>8.75</v>
      </c>
      <c r="AH100" s="11">
        <f>'Assumptions &amp; Results'!AI7</f>
        <v>8.75</v>
      </c>
      <c r="AI100" s="11">
        <f>'Assumptions &amp; Results'!AJ7</f>
        <v>8.75</v>
      </c>
      <c r="AJ100" s="125"/>
    </row>
    <row r="101" spans="1:36" x14ac:dyDescent="0.2">
      <c r="A101" t="s">
        <v>282</v>
      </c>
      <c r="B101" t="s">
        <v>99</v>
      </c>
      <c r="C101" s="8">
        <f>C94*'Assumptions &amp; Results'!D10</f>
        <v>0</v>
      </c>
      <c r="D101" s="8">
        <f>D94*'Assumptions &amp; Results'!E10</f>
        <v>0</v>
      </c>
      <c r="E101" s="8">
        <f>E94*'Assumptions &amp; Results'!F10</f>
        <v>0</v>
      </c>
      <c r="F101" s="8">
        <f>F94*'Assumptions &amp; Results'!G10</f>
        <v>0</v>
      </c>
      <c r="G101" s="8">
        <f>G94*'Assumptions &amp; Results'!H10</f>
        <v>30.112500000000001</v>
      </c>
      <c r="H101" s="8">
        <f>H94*'Assumptions &amp; Results'!I10</f>
        <v>60.225000000000001</v>
      </c>
      <c r="I101" s="8">
        <f>I94*'Assumptions &amp; Results'!J10</f>
        <v>60.225000000000001</v>
      </c>
      <c r="J101" s="8">
        <f>J94*'Assumptions &amp; Results'!K10</f>
        <v>60.225000000000001</v>
      </c>
      <c r="K101" s="8">
        <f>K94*'Assumptions &amp; Results'!L10</f>
        <v>60.225000000000001</v>
      </c>
      <c r="L101" s="8">
        <f>L94*'Assumptions &amp; Results'!M10</f>
        <v>60.225000000000001</v>
      </c>
      <c r="M101" s="8">
        <f>M94*'Assumptions &amp; Results'!N10</f>
        <v>60.225000000000001</v>
      </c>
      <c r="N101" s="8">
        <f>N94*'Assumptions &amp; Results'!O10</f>
        <v>60.225000000000001</v>
      </c>
      <c r="O101" s="8">
        <f>O94*'Assumptions &amp; Results'!P10</f>
        <v>60.225000000000001</v>
      </c>
      <c r="P101" s="8">
        <f>P94*'Assumptions &amp; Results'!Q10</f>
        <v>60.225000000000001</v>
      </c>
      <c r="Q101" s="8">
        <f>Q94*'Assumptions &amp; Results'!R10</f>
        <v>60.225000000000001</v>
      </c>
      <c r="R101" s="8">
        <f>R94*'Assumptions &amp; Results'!S10</f>
        <v>60.225000000000001</v>
      </c>
      <c r="S101" s="8">
        <f>S94*'Assumptions &amp; Results'!T10</f>
        <v>60.225000000000001</v>
      </c>
      <c r="T101" s="8">
        <f>T94*'Assumptions &amp; Results'!U10</f>
        <v>60.225000000000001</v>
      </c>
      <c r="U101" s="8">
        <f>U94*'Assumptions &amp; Results'!V10</f>
        <v>60.225000000000001</v>
      </c>
      <c r="V101" s="8">
        <f>V94*'Assumptions &amp; Results'!W10</f>
        <v>60.225000000000001</v>
      </c>
      <c r="W101" s="8">
        <f>W94*'Assumptions &amp; Results'!X10</f>
        <v>60.225000000000001</v>
      </c>
      <c r="X101" s="8">
        <f>X94*'Assumptions &amp; Results'!Y10</f>
        <v>60.225000000000001</v>
      </c>
      <c r="Y101" s="8">
        <f>Y94*'Assumptions &amp; Results'!Z10</f>
        <v>60.225000000000001</v>
      </c>
      <c r="Z101" s="8">
        <f>Z94*'Assumptions &amp; Results'!AA10</f>
        <v>60.225000000000001</v>
      </c>
      <c r="AA101" s="8">
        <f>AA94*'Assumptions &amp; Results'!AB10</f>
        <v>60.225000000000001</v>
      </c>
      <c r="AB101" s="8">
        <f>AB94*'Assumptions &amp; Results'!AC10</f>
        <v>60.225000000000001</v>
      </c>
      <c r="AC101" s="8">
        <f>AC94*'Assumptions &amp; Results'!AD10</f>
        <v>60.225000000000001</v>
      </c>
      <c r="AD101" s="8">
        <f>AD94*'Assumptions &amp; Results'!AE10</f>
        <v>60.225000000000001</v>
      </c>
      <c r="AE101" s="8">
        <f>AE94*'Assumptions &amp; Results'!AF10</f>
        <v>60.225000000000001</v>
      </c>
      <c r="AF101" s="8">
        <f>AF94*'Assumptions &amp; Results'!AG10</f>
        <v>60.225000000000001</v>
      </c>
      <c r="AG101" s="8">
        <f>AG94*'Assumptions &amp; Results'!AH10</f>
        <v>60.225000000000001</v>
      </c>
      <c r="AH101" s="8">
        <f>AH94*'Assumptions &amp; Results'!AI10</f>
        <v>60.225000000000001</v>
      </c>
      <c r="AI101" s="8">
        <f>AI94*'Assumptions &amp; Results'!AJ10</f>
        <v>60.225000000000001</v>
      </c>
      <c r="AJ101" s="125">
        <f>SUM(C101:AI101)</f>
        <v>1716.4124999999992</v>
      </c>
    </row>
    <row r="102" spans="1:36" x14ac:dyDescent="0.2">
      <c r="A102" t="s">
        <v>283</v>
      </c>
      <c r="B102" t="s">
        <v>99</v>
      </c>
      <c r="C102" s="8">
        <f>C96*'Assumptions &amp; Results'!D11</f>
        <v>0</v>
      </c>
      <c r="D102" s="8">
        <f>D96*'Assumptions &amp; Results'!E11</f>
        <v>0</v>
      </c>
      <c r="E102" s="8">
        <f>E96*'Assumptions &amp; Results'!F11</f>
        <v>0</v>
      </c>
      <c r="F102" s="8">
        <f>F96*'Assumptions &amp; Results'!G11</f>
        <v>0</v>
      </c>
      <c r="G102" s="8">
        <f>G96*'Assumptions &amp; Results'!H11</f>
        <v>903.375</v>
      </c>
      <c r="H102" s="8">
        <f>H96*'Assumptions &amp; Results'!I11</f>
        <v>1806.75</v>
      </c>
      <c r="I102" s="8">
        <f>I96*'Assumptions &amp; Results'!J11</f>
        <v>1806.75</v>
      </c>
      <c r="J102" s="8">
        <f>J96*'Assumptions &amp; Results'!K11</f>
        <v>1806.75</v>
      </c>
      <c r="K102" s="8">
        <f>K96*'Assumptions &amp; Results'!L11</f>
        <v>1806.75</v>
      </c>
      <c r="L102" s="8">
        <f>L96*'Assumptions &amp; Results'!M11</f>
        <v>1806.75</v>
      </c>
      <c r="M102" s="8">
        <f>M96*'Assumptions &amp; Results'!N11</f>
        <v>1806.75</v>
      </c>
      <c r="N102" s="8">
        <f>N96*'Assumptions &amp; Results'!O11</f>
        <v>1806.75</v>
      </c>
      <c r="O102" s="8">
        <f>O96*'Assumptions &amp; Results'!P11</f>
        <v>1806.75</v>
      </c>
      <c r="P102" s="8">
        <f>P96*'Assumptions &amp; Results'!Q11</f>
        <v>1806.75</v>
      </c>
      <c r="Q102" s="8">
        <f>Q96*'Assumptions &amp; Results'!R11</f>
        <v>1806.75</v>
      </c>
      <c r="R102" s="8">
        <f>R96*'Assumptions &amp; Results'!S11</f>
        <v>1806.75</v>
      </c>
      <c r="S102" s="8">
        <f>S96*'Assumptions &amp; Results'!T11</f>
        <v>1806.75</v>
      </c>
      <c r="T102" s="8">
        <f>T96*'Assumptions &amp; Results'!U11</f>
        <v>1806.75</v>
      </c>
      <c r="U102" s="8">
        <f>U96*'Assumptions &amp; Results'!V11</f>
        <v>1806.75</v>
      </c>
      <c r="V102" s="8">
        <f>V96*'Assumptions &amp; Results'!W11</f>
        <v>1806.75</v>
      </c>
      <c r="W102" s="8">
        <f>W96*'Assumptions &amp; Results'!X11</f>
        <v>1806.75</v>
      </c>
      <c r="X102" s="8">
        <f>X96*'Assumptions &amp; Results'!Y11</f>
        <v>1806.75</v>
      </c>
      <c r="Y102" s="8">
        <f>Y96*'Assumptions &amp; Results'!Z11</f>
        <v>1806.75</v>
      </c>
      <c r="Z102" s="8">
        <f>Z96*'Assumptions &amp; Results'!AA11</f>
        <v>1806.75</v>
      </c>
      <c r="AA102" s="8">
        <f>AA96*'Assumptions &amp; Results'!AB11</f>
        <v>1806.75</v>
      </c>
      <c r="AB102" s="8">
        <f>AB96*'Assumptions &amp; Results'!AC11</f>
        <v>1806.75</v>
      </c>
      <c r="AC102" s="8">
        <f>AC96*'Assumptions &amp; Results'!AD11</f>
        <v>1806.75</v>
      </c>
      <c r="AD102" s="8">
        <f>AD96*'Assumptions &amp; Results'!AE11</f>
        <v>1806.75</v>
      </c>
      <c r="AE102" s="8">
        <f>AE96*'Assumptions &amp; Results'!AF11</f>
        <v>1806.75</v>
      </c>
      <c r="AF102" s="8">
        <f>AF96*'Assumptions &amp; Results'!AG11</f>
        <v>1806.75</v>
      </c>
      <c r="AG102" s="8">
        <f>AG96*'Assumptions &amp; Results'!AH11</f>
        <v>1806.75</v>
      </c>
      <c r="AH102" s="8">
        <f>AH96*'Assumptions &amp; Results'!AI11</f>
        <v>1806.75</v>
      </c>
      <c r="AI102" s="8">
        <f>AI96*'Assumptions &amp; Results'!AJ11</f>
        <v>1806.75</v>
      </c>
      <c r="AJ102" s="125">
        <f>SUM(C102:AI102)</f>
        <v>51492.375</v>
      </c>
    </row>
    <row r="103" spans="1:36" x14ac:dyDescent="0.2">
      <c r="A103" t="s">
        <v>440</v>
      </c>
      <c r="B103" t="s">
        <v>99</v>
      </c>
      <c r="C103" s="8">
        <f>C100*C97</f>
        <v>0</v>
      </c>
      <c r="D103" s="8">
        <f t="shared" ref="D103:AI103" si="16">D100*D97</f>
        <v>0</v>
      </c>
      <c r="E103" s="8">
        <f t="shared" si="16"/>
        <v>0</v>
      </c>
      <c r="F103" s="8">
        <f t="shared" si="16"/>
        <v>0</v>
      </c>
      <c r="G103" s="8">
        <f t="shared" si="16"/>
        <v>4742.7187500000009</v>
      </c>
      <c r="H103" s="8">
        <f t="shared" si="16"/>
        <v>9485.4375000000018</v>
      </c>
      <c r="I103" s="8">
        <f t="shared" si="16"/>
        <v>9485.4375000000018</v>
      </c>
      <c r="J103" s="8">
        <f t="shared" si="16"/>
        <v>9011.1656250000015</v>
      </c>
      <c r="K103" s="8">
        <f t="shared" si="16"/>
        <v>9485.4375000000018</v>
      </c>
      <c r="L103" s="8">
        <f t="shared" si="16"/>
        <v>9485.4375000000018</v>
      </c>
      <c r="M103" s="8">
        <f t="shared" si="16"/>
        <v>9485.4375000000018</v>
      </c>
      <c r="N103" s="8">
        <f t="shared" si="16"/>
        <v>9485.4375000000018</v>
      </c>
      <c r="O103" s="8">
        <f t="shared" si="16"/>
        <v>9011.1656250000015</v>
      </c>
      <c r="P103" s="8">
        <f t="shared" si="16"/>
        <v>9485.4375000000018</v>
      </c>
      <c r="Q103" s="8">
        <f t="shared" si="16"/>
        <v>9485.4375000000018</v>
      </c>
      <c r="R103" s="8">
        <f t="shared" si="16"/>
        <v>9485.4375000000018</v>
      </c>
      <c r="S103" s="8">
        <f t="shared" si="16"/>
        <v>9485.4375000000018</v>
      </c>
      <c r="T103" s="8">
        <f t="shared" si="16"/>
        <v>9011.1656250000015</v>
      </c>
      <c r="U103" s="8">
        <f t="shared" si="16"/>
        <v>9485.4375000000018</v>
      </c>
      <c r="V103" s="8">
        <f t="shared" si="16"/>
        <v>9485.4375000000018</v>
      </c>
      <c r="W103" s="8">
        <f t="shared" si="16"/>
        <v>9485.4375000000018</v>
      </c>
      <c r="X103" s="8">
        <f t="shared" si="16"/>
        <v>9485.4375000000018</v>
      </c>
      <c r="Y103" s="8">
        <f t="shared" si="16"/>
        <v>9011.1656250000015</v>
      </c>
      <c r="Z103" s="8">
        <f t="shared" si="16"/>
        <v>9485.4375000000018</v>
      </c>
      <c r="AA103" s="8">
        <f t="shared" si="16"/>
        <v>9485.4375000000018</v>
      </c>
      <c r="AB103" s="8">
        <f t="shared" si="16"/>
        <v>9485.4375000000018</v>
      </c>
      <c r="AC103" s="8">
        <f t="shared" si="16"/>
        <v>9485.4375000000018</v>
      </c>
      <c r="AD103" s="8">
        <f t="shared" si="16"/>
        <v>9011.1656250000015</v>
      </c>
      <c r="AE103" s="8">
        <f t="shared" si="16"/>
        <v>9485.4375000000018</v>
      </c>
      <c r="AF103" s="8">
        <f t="shared" si="16"/>
        <v>9485.4375000000018</v>
      </c>
      <c r="AG103" s="8">
        <f t="shared" si="16"/>
        <v>9485.4375000000018</v>
      </c>
      <c r="AH103" s="8">
        <f t="shared" si="16"/>
        <v>9485.4375000000018</v>
      </c>
      <c r="AI103" s="8">
        <f t="shared" si="16"/>
        <v>9485.4375000000018</v>
      </c>
      <c r="AJ103" s="125">
        <f>SUM(C103:AI103)</f>
        <v>267963.609375</v>
      </c>
    </row>
    <row r="104" spans="1:36" ht="18" x14ac:dyDescent="0.35">
      <c r="A104" t="s">
        <v>285</v>
      </c>
      <c r="B104" t="s">
        <v>99</v>
      </c>
      <c r="C104" s="27">
        <f>C98*C100</f>
        <v>0</v>
      </c>
      <c r="D104" s="27">
        <f t="shared" ref="D104:AI104" si="17">D98*D100</f>
        <v>0</v>
      </c>
      <c r="E104" s="27">
        <f t="shared" si="17"/>
        <v>0</v>
      </c>
      <c r="F104" s="27">
        <f t="shared" si="17"/>
        <v>0</v>
      </c>
      <c r="G104" s="27">
        <f t="shared" si="17"/>
        <v>4268.4468750000005</v>
      </c>
      <c r="H104" s="27">
        <f t="shared" si="17"/>
        <v>8536.8937500000011</v>
      </c>
      <c r="I104" s="27">
        <f t="shared" si="17"/>
        <v>8536.8937500000011</v>
      </c>
      <c r="J104" s="27">
        <f t="shared" si="17"/>
        <v>8110.0490625000011</v>
      </c>
      <c r="K104" s="27">
        <f t="shared" si="17"/>
        <v>8536.8937500000011</v>
      </c>
      <c r="L104" s="27">
        <f t="shared" si="17"/>
        <v>8536.8937500000011</v>
      </c>
      <c r="M104" s="27">
        <f t="shared" si="17"/>
        <v>8536.8937500000011</v>
      </c>
      <c r="N104" s="27">
        <f t="shared" si="17"/>
        <v>8536.8937500000011</v>
      </c>
      <c r="O104" s="27">
        <f t="shared" si="17"/>
        <v>8110.0490625000011</v>
      </c>
      <c r="P104" s="27">
        <f t="shared" si="17"/>
        <v>8536.8937500000011</v>
      </c>
      <c r="Q104" s="27">
        <f t="shared" si="17"/>
        <v>8536.8937500000011</v>
      </c>
      <c r="R104" s="27">
        <f t="shared" si="17"/>
        <v>8536.8937500000011</v>
      </c>
      <c r="S104" s="27">
        <f t="shared" si="17"/>
        <v>8536.8937500000011</v>
      </c>
      <c r="T104" s="27">
        <f t="shared" si="17"/>
        <v>8110.0490625000011</v>
      </c>
      <c r="U104" s="27">
        <f t="shared" si="17"/>
        <v>8536.8937500000011</v>
      </c>
      <c r="V104" s="27">
        <f t="shared" si="17"/>
        <v>8536.8937500000011</v>
      </c>
      <c r="W104" s="27">
        <f t="shared" si="17"/>
        <v>8536.8937500000011</v>
      </c>
      <c r="X104" s="27">
        <f t="shared" si="17"/>
        <v>8536.8937500000011</v>
      </c>
      <c r="Y104" s="27">
        <f t="shared" si="17"/>
        <v>8110.0490625000011</v>
      </c>
      <c r="Z104" s="27">
        <f t="shared" si="17"/>
        <v>8536.8937500000011</v>
      </c>
      <c r="AA104" s="27">
        <f t="shared" si="17"/>
        <v>8536.8937500000011</v>
      </c>
      <c r="AB104" s="27">
        <f t="shared" si="17"/>
        <v>8536.8937500000011</v>
      </c>
      <c r="AC104" s="27">
        <f t="shared" si="17"/>
        <v>8536.8937500000011</v>
      </c>
      <c r="AD104" s="27">
        <f t="shared" si="17"/>
        <v>8110.0490625000011</v>
      </c>
      <c r="AE104" s="27">
        <f t="shared" si="17"/>
        <v>8536.8937500000011</v>
      </c>
      <c r="AF104" s="27">
        <f t="shared" si="17"/>
        <v>8536.8937500000011</v>
      </c>
      <c r="AG104" s="27">
        <f t="shared" si="17"/>
        <v>8536.8937500000011</v>
      </c>
      <c r="AH104" s="27">
        <f t="shared" si="17"/>
        <v>8536.8937500000011</v>
      </c>
      <c r="AI104" s="27">
        <f t="shared" si="17"/>
        <v>8536.8937500000011</v>
      </c>
      <c r="AJ104" s="126">
        <f>SUM(C104:AI104)</f>
        <v>241167.24843749992</v>
      </c>
    </row>
    <row r="105" spans="1:36" x14ac:dyDescent="0.2">
      <c r="A105" t="s">
        <v>441</v>
      </c>
      <c r="B105" t="s">
        <v>99</v>
      </c>
      <c r="C105" s="264">
        <f>SUM(C101:C103)</f>
        <v>0</v>
      </c>
      <c r="D105" s="264">
        <f t="shared" ref="D105:AI105" si="18">SUM(D101:D103)</f>
        <v>0</v>
      </c>
      <c r="E105" s="264">
        <f t="shared" si="18"/>
        <v>0</v>
      </c>
      <c r="F105" s="264">
        <f t="shared" si="18"/>
        <v>0</v>
      </c>
      <c r="G105" s="264">
        <f t="shared" si="18"/>
        <v>5676.2062500000011</v>
      </c>
      <c r="H105" s="264">
        <f t="shared" si="18"/>
        <v>11352.412500000002</v>
      </c>
      <c r="I105" s="264">
        <f t="shared" si="18"/>
        <v>11352.412500000002</v>
      </c>
      <c r="J105" s="264">
        <f t="shared" si="18"/>
        <v>10878.140625000002</v>
      </c>
      <c r="K105" s="264">
        <f t="shared" si="18"/>
        <v>11352.412500000002</v>
      </c>
      <c r="L105" s="264">
        <f t="shared" si="18"/>
        <v>11352.412500000002</v>
      </c>
      <c r="M105" s="264">
        <f t="shared" si="18"/>
        <v>11352.412500000002</v>
      </c>
      <c r="N105" s="264">
        <f t="shared" si="18"/>
        <v>11352.412500000002</v>
      </c>
      <c r="O105" s="264">
        <f t="shared" si="18"/>
        <v>10878.140625000002</v>
      </c>
      <c r="P105" s="264">
        <f t="shared" si="18"/>
        <v>11352.412500000002</v>
      </c>
      <c r="Q105" s="264">
        <f t="shared" si="18"/>
        <v>11352.412500000002</v>
      </c>
      <c r="R105" s="264">
        <f t="shared" si="18"/>
        <v>11352.412500000002</v>
      </c>
      <c r="S105" s="264">
        <f t="shared" si="18"/>
        <v>11352.412500000002</v>
      </c>
      <c r="T105" s="264">
        <f t="shared" si="18"/>
        <v>10878.140625000002</v>
      </c>
      <c r="U105" s="264">
        <f t="shared" si="18"/>
        <v>11352.412500000002</v>
      </c>
      <c r="V105" s="264">
        <f t="shared" si="18"/>
        <v>11352.412500000002</v>
      </c>
      <c r="W105" s="264">
        <f t="shared" si="18"/>
        <v>11352.412500000002</v>
      </c>
      <c r="X105" s="264">
        <f t="shared" si="18"/>
        <v>11352.412500000002</v>
      </c>
      <c r="Y105" s="264">
        <f t="shared" si="18"/>
        <v>10878.140625000002</v>
      </c>
      <c r="Z105" s="264">
        <f t="shared" si="18"/>
        <v>11352.412500000002</v>
      </c>
      <c r="AA105" s="264">
        <f t="shared" si="18"/>
        <v>11352.412500000002</v>
      </c>
      <c r="AB105" s="264">
        <f t="shared" si="18"/>
        <v>11352.412500000002</v>
      </c>
      <c r="AC105" s="264">
        <f t="shared" si="18"/>
        <v>11352.412500000002</v>
      </c>
      <c r="AD105" s="264">
        <f t="shared" si="18"/>
        <v>10878.140625000002</v>
      </c>
      <c r="AE105" s="264">
        <f t="shared" si="18"/>
        <v>11352.412500000002</v>
      </c>
      <c r="AF105" s="264">
        <f t="shared" si="18"/>
        <v>11352.412500000002</v>
      </c>
      <c r="AG105" s="264">
        <f t="shared" si="18"/>
        <v>11352.412500000002</v>
      </c>
      <c r="AH105" s="264">
        <f t="shared" si="18"/>
        <v>11352.412500000002</v>
      </c>
      <c r="AI105" s="264">
        <f t="shared" si="18"/>
        <v>11352.412500000002</v>
      </c>
      <c r="AJ105" s="265">
        <f>SUM(C105:AI105)</f>
        <v>321172.39687499998</v>
      </c>
    </row>
    <row r="106" spans="1:36" x14ac:dyDescent="0.2">
      <c r="C106" s="264"/>
      <c r="D106" s="264"/>
      <c r="E106" s="264"/>
      <c r="F106" s="264"/>
      <c r="G106" s="264"/>
      <c r="H106" s="264"/>
      <c r="I106" s="264"/>
      <c r="J106" s="264"/>
      <c r="K106" s="264"/>
      <c r="L106" s="264"/>
      <c r="M106" s="264"/>
      <c r="N106" s="264"/>
      <c r="O106" s="264"/>
      <c r="P106" s="264"/>
      <c r="Q106" s="264"/>
      <c r="R106" s="264"/>
      <c r="S106" s="264"/>
      <c r="T106" s="264"/>
      <c r="U106" s="264"/>
      <c r="V106" s="264"/>
      <c r="W106" s="264"/>
      <c r="X106" s="264"/>
      <c r="Y106" s="264"/>
      <c r="Z106" s="264"/>
      <c r="AA106" s="264"/>
      <c r="AB106" s="264"/>
      <c r="AC106" s="264"/>
      <c r="AD106" s="264"/>
      <c r="AE106" s="264"/>
      <c r="AF106" s="264"/>
      <c r="AG106" s="264"/>
      <c r="AH106" s="264"/>
      <c r="AI106" s="264"/>
      <c r="AJ106" s="265"/>
    </row>
    <row r="107" spans="1:36" x14ac:dyDescent="0.2">
      <c r="A107" t="s">
        <v>442</v>
      </c>
      <c r="C107" s="264"/>
      <c r="D107" s="264"/>
      <c r="E107" s="264"/>
      <c r="F107" s="264"/>
      <c r="G107" s="264"/>
      <c r="H107" s="264"/>
      <c r="I107" s="264"/>
      <c r="J107" s="264"/>
      <c r="K107" s="264"/>
      <c r="L107" s="264"/>
      <c r="M107" s="264"/>
      <c r="N107" s="264"/>
      <c r="O107" s="264"/>
      <c r="P107" s="264"/>
      <c r="Q107" s="264"/>
      <c r="R107" s="264"/>
      <c r="S107" s="264"/>
      <c r="T107" s="264"/>
      <c r="U107" s="264"/>
      <c r="V107" s="264"/>
      <c r="W107" s="264"/>
      <c r="X107" s="264"/>
      <c r="Y107" s="264"/>
      <c r="Z107" s="264"/>
      <c r="AA107" s="264"/>
      <c r="AB107" s="264"/>
      <c r="AC107" s="264"/>
      <c r="AD107" s="264"/>
      <c r="AE107" s="264"/>
      <c r="AF107" s="264"/>
      <c r="AG107" s="264"/>
      <c r="AH107" s="264"/>
      <c r="AI107" s="264"/>
      <c r="AJ107" s="265"/>
    </row>
    <row r="108" spans="1:36" x14ac:dyDescent="0.2">
      <c r="A108" t="s">
        <v>443</v>
      </c>
      <c r="B108" t="s">
        <v>99</v>
      </c>
      <c r="C108" s="264">
        <f>C93*'Assumptions &amp; Results'!D100</f>
        <v>0</v>
      </c>
      <c r="D108" s="264">
        <f>D93*'Assumptions &amp; Results'!E100</f>
        <v>0</v>
      </c>
      <c r="E108" s="264">
        <f>E93*'Assumptions &amp; Results'!F100</f>
        <v>0</v>
      </c>
      <c r="F108" s="264">
        <f>F93*'Assumptions &amp; Results'!G100</f>
        <v>0</v>
      </c>
      <c r="G108" s="264">
        <f>G93*'Assumptions &amp; Results'!H100</f>
        <v>602.25</v>
      </c>
      <c r="H108" s="264">
        <f>H93*'Assumptions &amp; Results'!I100</f>
        <v>1204.5</v>
      </c>
      <c r="I108" s="264">
        <f>I93*'Assumptions &amp; Results'!J100</f>
        <v>1204.5</v>
      </c>
      <c r="J108" s="264">
        <f>J93*'Assumptions &amp; Results'!K100</f>
        <v>1204.5</v>
      </c>
      <c r="K108" s="264">
        <f>K93*'Assumptions &amp; Results'!L100</f>
        <v>1204.5</v>
      </c>
      <c r="L108" s="264">
        <f>L93*'Assumptions &amp; Results'!M100</f>
        <v>1204.5</v>
      </c>
      <c r="M108" s="264">
        <f>M93*'Assumptions &amp; Results'!N100</f>
        <v>1204.5</v>
      </c>
      <c r="N108" s="264">
        <f>N93*'Assumptions &amp; Results'!O100</f>
        <v>1204.5</v>
      </c>
      <c r="O108" s="264">
        <f>O93*'Assumptions &amp; Results'!P100</f>
        <v>1204.5</v>
      </c>
      <c r="P108" s="264">
        <f>P93*'Assumptions &amp; Results'!Q100</f>
        <v>1204.5</v>
      </c>
      <c r="Q108" s="264">
        <f>Q93*'Assumptions &amp; Results'!R100</f>
        <v>1204.5</v>
      </c>
      <c r="R108" s="264">
        <f>R93*'Assumptions &amp; Results'!S100</f>
        <v>1204.5</v>
      </c>
      <c r="S108" s="264">
        <f>S93*'Assumptions &amp; Results'!T100</f>
        <v>1204.5</v>
      </c>
      <c r="T108" s="264">
        <f>T93*'Assumptions &amp; Results'!U100</f>
        <v>1204.5</v>
      </c>
      <c r="U108" s="264">
        <f>U93*'Assumptions &amp; Results'!V100</f>
        <v>1204.5</v>
      </c>
      <c r="V108" s="264">
        <f>V93*'Assumptions &amp; Results'!W100</f>
        <v>1204.5</v>
      </c>
      <c r="W108" s="264">
        <f>W93*'Assumptions &amp; Results'!X100</f>
        <v>1204.5</v>
      </c>
      <c r="X108" s="264">
        <f>X93*'Assumptions &amp; Results'!Y100</f>
        <v>1204.5</v>
      </c>
      <c r="Y108" s="264">
        <f>Y93*'Assumptions &amp; Results'!Z100</f>
        <v>1204.5</v>
      </c>
      <c r="Z108" s="264">
        <f>Z93*'Assumptions &amp; Results'!AA100</f>
        <v>1204.5</v>
      </c>
      <c r="AA108" s="264">
        <f>AA93*'Assumptions &amp; Results'!AB100</f>
        <v>1204.5</v>
      </c>
      <c r="AB108" s="264">
        <f>AB93*'Assumptions &amp; Results'!AC100</f>
        <v>1204.5</v>
      </c>
      <c r="AC108" s="264">
        <f>AC93*'Assumptions &amp; Results'!AD100</f>
        <v>1204.5</v>
      </c>
      <c r="AD108" s="264">
        <f>AD93*'Assumptions &amp; Results'!AE100</f>
        <v>1204.5</v>
      </c>
      <c r="AE108" s="264">
        <f>AE93*'Assumptions &amp; Results'!AF100</f>
        <v>1204.5</v>
      </c>
      <c r="AF108" s="264">
        <f>AF93*'Assumptions &amp; Results'!AG100</f>
        <v>1204.5</v>
      </c>
      <c r="AG108" s="264">
        <f>AG93*'Assumptions &amp; Results'!AH100</f>
        <v>1204.5</v>
      </c>
      <c r="AH108" s="264">
        <f>AH93*'Assumptions &amp; Results'!AI100</f>
        <v>1204.5</v>
      </c>
      <c r="AI108" s="264">
        <f>AI93*'Assumptions &amp; Results'!AJ100</f>
        <v>1204.5</v>
      </c>
      <c r="AJ108" s="125">
        <f>SUM(C108:AI108)</f>
        <v>34328.25</v>
      </c>
    </row>
    <row r="109" spans="1:36" x14ac:dyDescent="0.2">
      <c r="A109" t="s">
        <v>135</v>
      </c>
      <c r="B109" t="s">
        <v>99</v>
      </c>
      <c r="C109" s="264">
        <f>C94*'Assumptions &amp; Results'!D101</f>
        <v>0</v>
      </c>
      <c r="D109" s="264">
        <f>D94*'Assumptions &amp; Results'!E101</f>
        <v>0</v>
      </c>
      <c r="E109" s="264">
        <f>E94*'Assumptions &amp; Results'!F101</f>
        <v>0</v>
      </c>
      <c r="F109" s="264">
        <f>F94*'Assumptions &amp; Results'!G101</f>
        <v>0</v>
      </c>
      <c r="G109" s="264">
        <f>G94*'Assumptions &amp; Results'!H101</f>
        <v>0.96360000000000001</v>
      </c>
      <c r="H109" s="264">
        <f>H94*'Assumptions &amp; Results'!I101</f>
        <v>1.9272</v>
      </c>
      <c r="I109" s="264">
        <f>I94*'Assumptions &amp; Results'!J101</f>
        <v>1.9272</v>
      </c>
      <c r="J109" s="264">
        <f>J94*'Assumptions &amp; Results'!K101</f>
        <v>1.9272</v>
      </c>
      <c r="K109" s="264">
        <f>K94*'Assumptions &amp; Results'!L101</f>
        <v>1.9272</v>
      </c>
      <c r="L109" s="264">
        <f>L94*'Assumptions &amp; Results'!M101</f>
        <v>1.9272</v>
      </c>
      <c r="M109" s="264">
        <f>M94*'Assumptions &amp; Results'!N101</f>
        <v>1.9272</v>
      </c>
      <c r="N109" s="264">
        <f>N94*'Assumptions &amp; Results'!O101</f>
        <v>1.9272</v>
      </c>
      <c r="O109" s="264">
        <f>O94*'Assumptions &amp; Results'!P101</f>
        <v>1.9272</v>
      </c>
      <c r="P109" s="264">
        <f>P94*'Assumptions &amp; Results'!Q101</f>
        <v>1.9272</v>
      </c>
      <c r="Q109" s="264">
        <f>Q94*'Assumptions &amp; Results'!R101</f>
        <v>1.9272</v>
      </c>
      <c r="R109" s="264">
        <f>R94*'Assumptions &amp; Results'!S101</f>
        <v>1.9272</v>
      </c>
      <c r="S109" s="264">
        <f>S94*'Assumptions &amp; Results'!T101</f>
        <v>1.9272</v>
      </c>
      <c r="T109" s="264">
        <f>T94*'Assumptions &amp; Results'!U101</f>
        <v>1.9272</v>
      </c>
      <c r="U109" s="264">
        <f>U94*'Assumptions &amp; Results'!V101</f>
        <v>1.9272</v>
      </c>
      <c r="V109" s="264">
        <f>V94*'Assumptions &amp; Results'!W101</f>
        <v>1.9272</v>
      </c>
      <c r="W109" s="264">
        <f>W94*'Assumptions &amp; Results'!X101</f>
        <v>1.9272</v>
      </c>
      <c r="X109" s="264">
        <f>X94*'Assumptions &amp; Results'!Y101</f>
        <v>1.9272</v>
      </c>
      <c r="Y109" s="264">
        <f>Y94*'Assumptions &amp; Results'!Z101</f>
        <v>1.9272</v>
      </c>
      <c r="Z109" s="264">
        <f>Z94*'Assumptions &amp; Results'!AA101</f>
        <v>1.9272</v>
      </c>
      <c r="AA109" s="264">
        <f>AA94*'Assumptions &amp; Results'!AB101</f>
        <v>1.9272</v>
      </c>
      <c r="AB109" s="264">
        <f>AB94*'Assumptions &amp; Results'!AC101</f>
        <v>1.9272</v>
      </c>
      <c r="AC109" s="264">
        <f>AC94*'Assumptions &amp; Results'!AD101</f>
        <v>1.9272</v>
      </c>
      <c r="AD109" s="264">
        <f>AD94*'Assumptions &amp; Results'!AE101</f>
        <v>1.9272</v>
      </c>
      <c r="AE109" s="264">
        <f>AE94*'Assumptions &amp; Results'!AF101</f>
        <v>1.9272</v>
      </c>
      <c r="AF109" s="264">
        <f>AF94*'Assumptions &amp; Results'!AG101</f>
        <v>1.9272</v>
      </c>
      <c r="AG109" s="264">
        <f>AG94*'Assumptions &amp; Results'!AH101</f>
        <v>1.9272</v>
      </c>
      <c r="AH109" s="264">
        <f>AH94*'Assumptions &amp; Results'!AI101</f>
        <v>1.9272</v>
      </c>
      <c r="AI109" s="264">
        <f>AI94*'Assumptions &amp; Results'!AJ101</f>
        <v>1.9272</v>
      </c>
      <c r="AJ109" s="125">
        <f>SUM(C109:AI109)</f>
        <v>54.925199999999982</v>
      </c>
    </row>
    <row r="110" spans="1:36" x14ac:dyDescent="0.2">
      <c r="A110" t="s">
        <v>444</v>
      </c>
      <c r="B110" t="s">
        <v>99</v>
      </c>
      <c r="C110" s="264">
        <f>C95*'Assumptions &amp; Results'!D102</f>
        <v>0</v>
      </c>
      <c r="D110" s="264">
        <f>D95*'Assumptions &amp; Results'!E102</f>
        <v>0</v>
      </c>
      <c r="E110" s="264">
        <f>E95*'Assumptions &amp; Results'!F102</f>
        <v>0</v>
      </c>
      <c r="F110" s="264">
        <f>F95*'Assumptions &amp; Results'!G102</f>
        <v>0</v>
      </c>
      <c r="G110" s="264">
        <f>G95*'Assumptions &amp; Results'!H102</f>
        <v>96.36</v>
      </c>
      <c r="H110" s="264">
        <f>H95*'Assumptions &amp; Results'!I102</f>
        <v>192.72</v>
      </c>
      <c r="I110" s="264">
        <f>I95*'Assumptions &amp; Results'!J102</f>
        <v>192.72</v>
      </c>
      <c r="J110" s="264">
        <f>J95*'Assumptions &amp; Results'!K102</f>
        <v>192.72</v>
      </c>
      <c r="K110" s="264">
        <f>K95*'Assumptions &amp; Results'!L102</f>
        <v>192.72</v>
      </c>
      <c r="L110" s="264">
        <f>L95*'Assumptions &amp; Results'!M102</f>
        <v>192.72</v>
      </c>
      <c r="M110" s="264">
        <f>M95*'Assumptions &amp; Results'!N102</f>
        <v>192.72</v>
      </c>
      <c r="N110" s="264">
        <f>N95*'Assumptions &amp; Results'!O102</f>
        <v>192.72</v>
      </c>
      <c r="O110" s="264">
        <f>O95*'Assumptions &amp; Results'!P102</f>
        <v>192.72</v>
      </c>
      <c r="P110" s="264">
        <f>P95*'Assumptions &amp; Results'!Q102</f>
        <v>192.72</v>
      </c>
      <c r="Q110" s="264">
        <f>Q95*'Assumptions &amp; Results'!R102</f>
        <v>192.72</v>
      </c>
      <c r="R110" s="264">
        <f>R95*'Assumptions &amp; Results'!S102</f>
        <v>192.72</v>
      </c>
      <c r="S110" s="264">
        <f>S95*'Assumptions &amp; Results'!T102</f>
        <v>192.72</v>
      </c>
      <c r="T110" s="264">
        <f>T95*'Assumptions &amp; Results'!U102</f>
        <v>192.72</v>
      </c>
      <c r="U110" s="264">
        <f>U95*'Assumptions &amp; Results'!V102</f>
        <v>192.72</v>
      </c>
      <c r="V110" s="264">
        <f>V95*'Assumptions &amp; Results'!W102</f>
        <v>192.72</v>
      </c>
      <c r="W110" s="264">
        <f>W95*'Assumptions &amp; Results'!X102</f>
        <v>192.72</v>
      </c>
      <c r="X110" s="264">
        <f>X95*'Assumptions &amp; Results'!Y102</f>
        <v>192.72</v>
      </c>
      <c r="Y110" s="264">
        <f>Y95*'Assumptions &amp; Results'!Z102</f>
        <v>192.72</v>
      </c>
      <c r="Z110" s="264">
        <f>Z95*'Assumptions &amp; Results'!AA102</f>
        <v>192.72</v>
      </c>
      <c r="AA110" s="264">
        <f>AA95*'Assumptions &amp; Results'!AB102</f>
        <v>192.72</v>
      </c>
      <c r="AB110" s="264">
        <f>AB95*'Assumptions &amp; Results'!AC102</f>
        <v>192.72</v>
      </c>
      <c r="AC110" s="264">
        <f>AC95*'Assumptions &amp; Results'!AD102</f>
        <v>192.72</v>
      </c>
      <c r="AD110" s="264">
        <f>AD95*'Assumptions &amp; Results'!AE102</f>
        <v>192.72</v>
      </c>
      <c r="AE110" s="264">
        <f>AE95*'Assumptions &amp; Results'!AF102</f>
        <v>192.72</v>
      </c>
      <c r="AF110" s="264">
        <f>AF95*'Assumptions &amp; Results'!AG102</f>
        <v>192.72</v>
      </c>
      <c r="AG110" s="264">
        <f>AG95*'Assumptions &amp; Results'!AH102</f>
        <v>192.72</v>
      </c>
      <c r="AH110" s="264">
        <f>AH95*'Assumptions &amp; Results'!AI102</f>
        <v>192.72</v>
      </c>
      <c r="AI110" s="264">
        <f>AI95*'Assumptions &amp; Results'!AJ102</f>
        <v>192.72</v>
      </c>
      <c r="AJ110" s="125">
        <f>SUM(C110:AI110)</f>
        <v>5492.52</v>
      </c>
    </row>
    <row r="111" spans="1:36" x14ac:dyDescent="0.2">
      <c r="A111" t="s">
        <v>445</v>
      </c>
      <c r="B111" t="s">
        <v>99</v>
      </c>
      <c r="C111" s="266">
        <f>'Assumptions &amp; Results'!D108+'Assumptions &amp; Results'!D109+'Assumptions &amp; Results'!D110</f>
        <v>0</v>
      </c>
      <c r="D111" s="266">
        <f>'Assumptions &amp; Results'!E108+'Assumptions &amp; Results'!E109+'Assumptions &amp; Results'!E110</f>
        <v>0</v>
      </c>
      <c r="E111" s="266">
        <f>'Assumptions &amp; Results'!F108+'Assumptions &amp; Results'!F109+'Assumptions &amp; Results'!F110</f>
        <v>0</v>
      </c>
      <c r="F111" s="266">
        <f>'Assumptions &amp; Results'!G108+'Assumptions &amp; Results'!G109+'Assumptions &amp; Results'!G110</f>
        <v>0</v>
      </c>
      <c r="G111" s="266">
        <f>'Assumptions &amp; Results'!H108+'Assumptions &amp; Results'!H109+'Assumptions &amp; Results'!H110</f>
        <v>0</v>
      </c>
      <c r="H111" s="266">
        <f>'Assumptions &amp; Results'!I108+'Assumptions &amp; Results'!I109+'Assumptions &amp; Results'!I110</f>
        <v>0</v>
      </c>
      <c r="I111" s="266">
        <f>'Assumptions &amp; Results'!J108+'Assumptions &amp; Results'!J109+'Assumptions &amp; Results'!J110</f>
        <v>0</v>
      </c>
      <c r="J111" s="266">
        <f>'Assumptions &amp; Results'!K108+'Assumptions &amp; Results'!K109+'Assumptions &amp; Results'!K110</f>
        <v>0</v>
      </c>
      <c r="K111" s="266">
        <f>'Assumptions &amp; Results'!L108+'Assumptions &amp; Results'!L109+'Assumptions &amp; Results'!L110</f>
        <v>0</v>
      </c>
      <c r="L111" s="266">
        <f>'Assumptions &amp; Results'!M108+'Assumptions &amp; Results'!M109+'Assumptions &amp; Results'!M110</f>
        <v>0</v>
      </c>
      <c r="M111" s="266">
        <f>'Assumptions &amp; Results'!N108+'Assumptions &amp; Results'!N109+'Assumptions &amp; Results'!N110</f>
        <v>0</v>
      </c>
      <c r="N111" s="266">
        <f>'Assumptions &amp; Results'!O108+'Assumptions &amp; Results'!O109+'Assumptions &amp; Results'!O110</f>
        <v>0</v>
      </c>
      <c r="O111" s="266">
        <f>'Assumptions &amp; Results'!P108+'Assumptions &amp; Results'!P109+'Assumptions &amp; Results'!P110</f>
        <v>0</v>
      </c>
      <c r="P111" s="266">
        <f>'Assumptions &amp; Results'!Q108+'Assumptions &amp; Results'!Q109+'Assumptions &amp; Results'!Q110</f>
        <v>0</v>
      </c>
      <c r="Q111" s="266">
        <f>'Assumptions &amp; Results'!R108+'Assumptions &amp; Results'!R109+'Assumptions &amp; Results'!R110</f>
        <v>0</v>
      </c>
      <c r="R111" s="266">
        <f>'Assumptions &amp; Results'!S108+'Assumptions &amp; Results'!S109+'Assumptions &amp; Results'!S110</f>
        <v>0</v>
      </c>
      <c r="S111" s="266">
        <f>'Assumptions &amp; Results'!T108+'Assumptions &amp; Results'!T109+'Assumptions &amp; Results'!T110</f>
        <v>0</v>
      </c>
      <c r="T111" s="266">
        <f>'Assumptions &amp; Results'!U108+'Assumptions &amp; Results'!U109+'Assumptions &amp; Results'!U110</f>
        <v>0</v>
      </c>
      <c r="U111" s="266">
        <f>'Assumptions &amp; Results'!V108+'Assumptions &amp; Results'!V109+'Assumptions &amp; Results'!V110</f>
        <v>0</v>
      </c>
      <c r="V111" s="266">
        <f>'Assumptions &amp; Results'!W108+'Assumptions &amp; Results'!W109+'Assumptions &amp; Results'!W110</f>
        <v>0</v>
      </c>
      <c r="W111" s="266">
        <f>'Assumptions &amp; Results'!X108+'Assumptions &amp; Results'!X109+'Assumptions &amp; Results'!X110</f>
        <v>0</v>
      </c>
      <c r="X111" s="266">
        <f>'Assumptions &amp; Results'!Y108+'Assumptions &amp; Results'!Y109+'Assumptions &amp; Results'!Y110</f>
        <v>0</v>
      </c>
      <c r="Y111" s="266">
        <f>'Assumptions &amp; Results'!Z108+'Assumptions &amp; Results'!Z109+'Assumptions &amp; Results'!Z110</f>
        <v>0</v>
      </c>
      <c r="Z111" s="266">
        <f>'Assumptions &amp; Results'!AA108+'Assumptions &amp; Results'!AA109+'Assumptions &amp; Results'!AA110</f>
        <v>0</v>
      </c>
      <c r="AA111" s="266">
        <f>'Assumptions &amp; Results'!AB108+'Assumptions &amp; Results'!AB109+'Assumptions &amp; Results'!AB110</f>
        <v>0</v>
      </c>
      <c r="AB111" s="266">
        <f>'Assumptions &amp; Results'!AC108+'Assumptions &amp; Results'!AC109+'Assumptions &amp; Results'!AC110</f>
        <v>0</v>
      </c>
      <c r="AC111" s="266">
        <f>'Assumptions &amp; Results'!AD108+'Assumptions &amp; Results'!AD109+'Assumptions &amp; Results'!AD110</f>
        <v>0</v>
      </c>
      <c r="AD111" s="266">
        <f>'Assumptions &amp; Results'!AE108+'Assumptions &amp; Results'!AE109+'Assumptions &amp; Results'!AE110</f>
        <v>0</v>
      </c>
      <c r="AE111" s="266">
        <f>'Assumptions &amp; Results'!AF108+'Assumptions &amp; Results'!AF109+'Assumptions &amp; Results'!AF110</f>
        <v>0</v>
      </c>
      <c r="AF111" s="266">
        <f>'Assumptions &amp; Results'!AG108+'Assumptions &amp; Results'!AG109+'Assumptions &amp; Results'!AG110</f>
        <v>0</v>
      </c>
      <c r="AG111" s="266">
        <f>'Assumptions &amp; Results'!AH108+'Assumptions &amp; Results'!AH109+'Assumptions &amp; Results'!AH110</f>
        <v>600</v>
      </c>
      <c r="AH111" s="266">
        <f>'Assumptions &amp; Results'!AI108+'Assumptions &amp; Results'!AI109+'Assumptions &amp; Results'!AI110</f>
        <v>600</v>
      </c>
      <c r="AI111" s="266">
        <f>'Assumptions &amp; Results'!AJ108+'Assumptions &amp; Results'!AJ109+'Assumptions &amp; Results'!AJ110</f>
        <v>1200</v>
      </c>
      <c r="AJ111" s="125">
        <f>SUM(C111:AI111)</f>
        <v>2400</v>
      </c>
    </row>
    <row r="112" spans="1:36" x14ac:dyDescent="0.2">
      <c r="A112" s="4" t="s">
        <v>446</v>
      </c>
      <c r="B112" t="s">
        <v>99</v>
      </c>
      <c r="C112" s="264">
        <f>SUM(C108:C111)</f>
        <v>0</v>
      </c>
      <c r="D112" s="264">
        <f t="shared" ref="D112:AI112" si="19">SUM(D108:D111)</f>
        <v>0</v>
      </c>
      <c r="E112" s="264">
        <f t="shared" si="19"/>
        <v>0</v>
      </c>
      <c r="F112" s="264">
        <f t="shared" si="19"/>
        <v>0</v>
      </c>
      <c r="G112" s="264">
        <f t="shared" si="19"/>
        <v>699.57360000000006</v>
      </c>
      <c r="H112" s="264">
        <f t="shared" si="19"/>
        <v>1399.1472000000001</v>
      </c>
      <c r="I112" s="264">
        <f t="shared" si="19"/>
        <v>1399.1472000000001</v>
      </c>
      <c r="J112" s="264">
        <f t="shared" si="19"/>
        <v>1399.1472000000001</v>
      </c>
      <c r="K112" s="264">
        <f t="shared" si="19"/>
        <v>1399.1472000000001</v>
      </c>
      <c r="L112" s="264">
        <f t="shared" si="19"/>
        <v>1399.1472000000001</v>
      </c>
      <c r="M112" s="264">
        <f t="shared" si="19"/>
        <v>1399.1472000000001</v>
      </c>
      <c r="N112" s="264">
        <f t="shared" si="19"/>
        <v>1399.1472000000001</v>
      </c>
      <c r="O112" s="264">
        <f t="shared" si="19"/>
        <v>1399.1472000000001</v>
      </c>
      <c r="P112" s="264">
        <f t="shared" si="19"/>
        <v>1399.1472000000001</v>
      </c>
      <c r="Q112" s="264">
        <f t="shared" si="19"/>
        <v>1399.1472000000001</v>
      </c>
      <c r="R112" s="264">
        <f t="shared" si="19"/>
        <v>1399.1472000000001</v>
      </c>
      <c r="S112" s="264">
        <f t="shared" si="19"/>
        <v>1399.1472000000001</v>
      </c>
      <c r="T112" s="264">
        <f t="shared" si="19"/>
        <v>1399.1472000000001</v>
      </c>
      <c r="U112" s="264">
        <f t="shared" si="19"/>
        <v>1399.1472000000001</v>
      </c>
      <c r="V112" s="264">
        <f t="shared" si="19"/>
        <v>1399.1472000000001</v>
      </c>
      <c r="W112" s="264">
        <f t="shared" si="19"/>
        <v>1399.1472000000001</v>
      </c>
      <c r="X112" s="264">
        <f t="shared" si="19"/>
        <v>1399.1472000000001</v>
      </c>
      <c r="Y112" s="264">
        <f t="shared" si="19"/>
        <v>1399.1472000000001</v>
      </c>
      <c r="Z112" s="264">
        <f t="shared" si="19"/>
        <v>1399.1472000000001</v>
      </c>
      <c r="AA112" s="264">
        <f t="shared" si="19"/>
        <v>1399.1472000000001</v>
      </c>
      <c r="AB112" s="264">
        <f t="shared" si="19"/>
        <v>1399.1472000000001</v>
      </c>
      <c r="AC112" s="264">
        <f t="shared" si="19"/>
        <v>1399.1472000000001</v>
      </c>
      <c r="AD112" s="264">
        <f t="shared" si="19"/>
        <v>1399.1472000000001</v>
      </c>
      <c r="AE112" s="264">
        <f t="shared" si="19"/>
        <v>1399.1472000000001</v>
      </c>
      <c r="AF112" s="264">
        <f t="shared" si="19"/>
        <v>1399.1472000000001</v>
      </c>
      <c r="AG112" s="264">
        <f t="shared" si="19"/>
        <v>1999.1472000000001</v>
      </c>
      <c r="AH112" s="264">
        <f t="shared" si="19"/>
        <v>1999.1472000000001</v>
      </c>
      <c r="AI112" s="264">
        <f t="shared" si="19"/>
        <v>2599.1472000000003</v>
      </c>
      <c r="AJ112" s="125">
        <f>SUM(C112:AI112)</f>
        <v>42275.695199999995</v>
      </c>
    </row>
    <row r="113" spans="1:38" x14ac:dyDescent="0.2">
      <c r="A113" s="261"/>
      <c r="B113" s="37"/>
      <c r="C113" s="262"/>
      <c r="D113" s="262"/>
      <c r="E113" s="262"/>
      <c r="F113" s="262"/>
      <c r="G113" s="262"/>
      <c r="H113" s="262"/>
      <c r="I113" s="262"/>
      <c r="J113" s="262"/>
      <c r="K113" s="262"/>
      <c r="L113" s="262"/>
      <c r="M113" s="262"/>
      <c r="N113" s="262"/>
      <c r="O113" s="262"/>
      <c r="P113" s="262"/>
      <c r="Q113" s="262"/>
      <c r="R113" s="262"/>
      <c r="S113" s="262"/>
      <c r="T113" s="262"/>
      <c r="U113" s="262"/>
      <c r="V113" s="262"/>
      <c r="W113" s="262"/>
      <c r="X113" s="262"/>
      <c r="Y113" s="262"/>
      <c r="Z113" s="262"/>
      <c r="AA113" s="262"/>
      <c r="AB113" s="262"/>
      <c r="AC113" s="262"/>
      <c r="AD113" s="262"/>
      <c r="AE113" s="262"/>
      <c r="AF113" s="262"/>
      <c r="AG113" s="1"/>
      <c r="AH113" s="1"/>
      <c r="AI113" s="1"/>
      <c r="AJ113" s="130"/>
    </row>
    <row r="114" spans="1:38" x14ac:dyDescent="0.2">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125"/>
    </row>
    <row r="115" spans="1:38" x14ac:dyDescent="0.2">
      <c r="A115" s="277" t="s">
        <v>238</v>
      </c>
      <c r="B115" s="69"/>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131"/>
    </row>
    <row r="116" spans="1:38" x14ac:dyDescent="0.2">
      <c r="A116" t="s">
        <v>239</v>
      </c>
      <c r="B116" s="96" t="s">
        <v>99</v>
      </c>
      <c r="C116" s="8">
        <f>'Field 1 Depr'!C48+'Field 2 Depr'!C48+'Field 3 Depr'!C47</f>
        <v>100</v>
      </c>
      <c r="D116" s="8">
        <f>'Field 1 Depr'!D48+'Field 2 Depr'!D48+'Field 3 Depr'!D47</f>
        <v>310</v>
      </c>
      <c r="E116" s="8">
        <f>'Field 1 Depr'!E48+'Field 2 Depr'!E48+'Field 3 Depr'!E47</f>
        <v>735</v>
      </c>
      <c r="F116" s="8">
        <f>'Field 1 Depr'!F48+'Field 2 Depr'!F48+'Field 3 Depr'!F47</f>
        <v>1685</v>
      </c>
      <c r="G116" s="8">
        <f>'Field 1 Depr'!G48+'Field 2 Depr'!G48+'Field 3 Depr'!G47</f>
        <v>2410</v>
      </c>
      <c r="H116" s="8">
        <f>'Field 1 Depr'!H48+'Field 2 Depr'!H48+'Field 3 Depr'!H47</f>
        <v>2335</v>
      </c>
      <c r="I116" s="8">
        <f>'Field 1 Depr'!I48+'Field 2 Depr'!I48+'Field 3 Depr'!I47</f>
        <v>1910</v>
      </c>
      <c r="J116" s="8">
        <f>'Field 1 Depr'!J48+'Field 2 Depr'!J48+'Field 3 Depr'!J47</f>
        <v>960</v>
      </c>
      <c r="K116" s="8">
        <f>'Field 1 Depr'!K48+'Field 2 Depr'!K48+'Field 3 Depr'!K47</f>
        <v>135</v>
      </c>
      <c r="L116" s="8">
        <f>'Field 1 Depr'!L48+'Field 2 Depr'!L48+'Field 3 Depr'!L47</f>
        <v>0</v>
      </c>
      <c r="M116" s="8">
        <f>'Field 1 Depr'!M48+'Field 2 Depr'!M48+'Field 3 Depr'!M47</f>
        <v>0</v>
      </c>
      <c r="N116" s="8">
        <f>'Field 1 Depr'!N48+'Field 2 Depr'!N48+'Field 3 Depr'!N47</f>
        <v>0</v>
      </c>
      <c r="O116" s="8">
        <f>'Field 1 Depr'!O48+'Field 2 Depr'!O48+'Field 3 Depr'!O47</f>
        <v>0</v>
      </c>
      <c r="P116" s="8">
        <f>'Field 1 Depr'!P48+'Field 2 Depr'!P48+'Field 3 Depr'!P47</f>
        <v>0</v>
      </c>
      <c r="Q116" s="8">
        <f>'Field 1 Depr'!Q48+'Field 2 Depr'!Q48+'Field 3 Depr'!Q47</f>
        <v>0</v>
      </c>
      <c r="R116" s="8">
        <f>'Field 1 Depr'!R48+'Field 2 Depr'!R48+'Field 3 Depr'!R47</f>
        <v>0</v>
      </c>
      <c r="S116" s="8">
        <f>'Field 1 Depr'!S48+'Field 2 Depr'!S48+'Field 3 Depr'!S47</f>
        <v>0</v>
      </c>
      <c r="T116" s="8">
        <f>'Field 1 Depr'!T48+'Field 2 Depr'!T48+'Field 3 Depr'!T47</f>
        <v>0</v>
      </c>
      <c r="U116" s="8">
        <f>'Field 1 Depr'!U48+'Field 2 Depr'!U48+'Field 3 Depr'!U47</f>
        <v>0</v>
      </c>
      <c r="V116" s="8">
        <f>'Field 1 Depr'!V48+'Field 2 Depr'!V48+'Field 3 Depr'!V47</f>
        <v>0</v>
      </c>
      <c r="W116" s="8">
        <f>'Field 1 Depr'!W48+'Field 2 Depr'!W48+'Field 3 Depr'!W47</f>
        <v>0</v>
      </c>
      <c r="X116" s="8">
        <f>'Field 1 Depr'!X48+'Field 2 Depr'!X48+'Field 3 Depr'!X47</f>
        <v>0</v>
      </c>
      <c r="Y116" s="8">
        <f>'Field 1 Depr'!Y48+'Field 2 Depr'!Y48+'Field 3 Depr'!Y47</f>
        <v>0</v>
      </c>
      <c r="Z116" s="8">
        <f>'Field 1 Depr'!Z48+'Field 2 Depr'!Z48+'Field 3 Depr'!Z47</f>
        <v>0</v>
      </c>
      <c r="AA116" s="8">
        <f>'Field 1 Depr'!AA48+'Field 2 Depr'!AA48+'Field 3 Depr'!AA47</f>
        <v>0</v>
      </c>
      <c r="AB116" s="8">
        <f>'Field 1 Depr'!AB48+'Field 2 Depr'!AB48+'Field 3 Depr'!AB47</f>
        <v>0</v>
      </c>
      <c r="AC116" s="8">
        <f>'Field 1 Depr'!AC48+'Field 2 Depr'!AC48+'Field 3 Depr'!AC47</f>
        <v>0</v>
      </c>
      <c r="AD116" s="8">
        <f>'Field 1 Depr'!AD48+'Field 2 Depr'!AD48+'Field 3 Depr'!AD47</f>
        <v>0</v>
      </c>
      <c r="AE116" s="8">
        <f>'Field 1 Depr'!AE48+'Field 2 Depr'!AE48+'Field 3 Depr'!AE47</f>
        <v>0</v>
      </c>
      <c r="AF116" s="8">
        <f>'Field 1 Depr'!AF48+'Field 2 Depr'!AF48+'Field 3 Depr'!AF47</f>
        <v>0</v>
      </c>
      <c r="AG116" s="8">
        <f>'Field 1 Depr'!AG48+'Field 2 Depr'!AG48+'Field 3 Depr'!AG47</f>
        <v>0</v>
      </c>
      <c r="AH116" s="8">
        <f>'Field 1 Depr'!AH48+'Field 2 Depr'!AH48+'Field 3 Depr'!AH47</f>
        <v>0</v>
      </c>
      <c r="AI116" s="8">
        <f>'Field 1 Depr'!AI48+'Field 2 Depr'!AI48+'Field 3 Depr'!AI47</f>
        <v>0</v>
      </c>
      <c r="AJ116" s="125">
        <f>SUM(C116:AI116)</f>
        <v>10580</v>
      </c>
    </row>
    <row r="117" spans="1:38" x14ac:dyDescent="0.2">
      <c r="A117" t="s">
        <v>240</v>
      </c>
      <c r="B117" s="96" t="s">
        <v>99</v>
      </c>
      <c r="C117" s="8">
        <f>'Assumptions &amp; Results'!C113+'Assumptions &amp; Results'!C114+'Assumptions &amp; Results'!C115</f>
        <v>2000</v>
      </c>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125"/>
    </row>
    <row r="118" spans="1:38" x14ac:dyDescent="0.2">
      <c r="A118" t="s">
        <v>241</v>
      </c>
      <c r="B118" s="96" t="s">
        <v>99</v>
      </c>
      <c r="C118" s="8">
        <f>C112+C116+C117</f>
        <v>2100</v>
      </c>
      <c r="D118" s="8">
        <f t="shared" ref="D118:AI118" si="20">D112+D116+D117</f>
        <v>310</v>
      </c>
      <c r="E118" s="8">
        <f t="shared" si="20"/>
        <v>735</v>
      </c>
      <c r="F118" s="8">
        <f t="shared" si="20"/>
        <v>1685</v>
      </c>
      <c r="G118" s="8">
        <f t="shared" si="20"/>
        <v>3109.5736000000002</v>
      </c>
      <c r="H118" s="8">
        <f t="shared" si="20"/>
        <v>3734.1472000000003</v>
      </c>
      <c r="I118" s="8">
        <f t="shared" si="20"/>
        <v>3309.1472000000003</v>
      </c>
      <c r="J118" s="8">
        <f t="shared" si="20"/>
        <v>2359.1472000000003</v>
      </c>
      <c r="K118" s="8">
        <f t="shared" si="20"/>
        <v>1534.1472000000001</v>
      </c>
      <c r="L118" s="8">
        <f t="shared" si="20"/>
        <v>1399.1472000000001</v>
      </c>
      <c r="M118" s="8">
        <f t="shared" si="20"/>
        <v>1399.1472000000001</v>
      </c>
      <c r="N118" s="8">
        <f t="shared" si="20"/>
        <v>1399.1472000000001</v>
      </c>
      <c r="O118" s="8">
        <f t="shared" si="20"/>
        <v>1399.1472000000001</v>
      </c>
      <c r="P118" s="8">
        <f t="shared" si="20"/>
        <v>1399.1472000000001</v>
      </c>
      <c r="Q118" s="8">
        <f t="shared" si="20"/>
        <v>1399.1472000000001</v>
      </c>
      <c r="R118" s="8">
        <f t="shared" si="20"/>
        <v>1399.1472000000001</v>
      </c>
      <c r="S118" s="8">
        <f t="shared" si="20"/>
        <v>1399.1472000000001</v>
      </c>
      <c r="T118" s="8">
        <f t="shared" si="20"/>
        <v>1399.1472000000001</v>
      </c>
      <c r="U118" s="8">
        <f t="shared" si="20"/>
        <v>1399.1472000000001</v>
      </c>
      <c r="V118" s="8">
        <f t="shared" si="20"/>
        <v>1399.1472000000001</v>
      </c>
      <c r="W118" s="8">
        <f t="shared" si="20"/>
        <v>1399.1472000000001</v>
      </c>
      <c r="X118" s="8">
        <f t="shared" si="20"/>
        <v>1399.1472000000001</v>
      </c>
      <c r="Y118" s="8">
        <f t="shared" si="20"/>
        <v>1399.1472000000001</v>
      </c>
      <c r="Z118" s="8">
        <f t="shared" si="20"/>
        <v>1399.1472000000001</v>
      </c>
      <c r="AA118" s="8">
        <f t="shared" si="20"/>
        <v>1399.1472000000001</v>
      </c>
      <c r="AB118" s="8">
        <f t="shared" si="20"/>
        <v>1399.1472000000001</v>
      </c>
      <c r="AC118" s="8">
        <f t="shared" si="20"/>
        <v>1399.1472000000001</v>
      </c>
      <c r="AD118" s="8">
        <f t="shared" si="20"/>
        <v>1399.1472000000001</v>
      </c>
      <c r="AE118" s="8">
        <f t="shared" si="20"/>
        <v>1399.1472000000001</v>
      </c>
      <c r="AF118" s="8">
        <f t="shared" si="20"/>
        <v>1399.1472000000001</v>
      </c>
      <c r="AG118" s="8">
        <f t="shared" si="20"/>
        <v>1999.1472000000001</v>
      </c>
      <c r="AH118" s="8">
        <f t="shared" si="20"/>
        <v>1999.1472000000001</v>
      </c>
      <c r="AI118" s="8">
        <f t="shared" si="20"/>
        <v>2599.1472000000003</v>
      </c>
      <c r="AJ118" s="125">
        <f>SUM(C118:AI118)</f>
        <v>54855.695199999987</v>
      </c>
    </row>
    <row r="119" spans="1:38" x14ac:dyDescent="0.2">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125"/>
    </row>
    <row r="120" spans="1:38" x14ac:dyDescent="0.2">
      <c r="A120" t="s">
        <v>242</v>
      </c>
      <c r="B120" s="96" t="s">
        <v>99</v>
      </c>
      <c r="C120" s="8">
        <f>'Assumptions &amp; Results'!$C$118*C105</f>
        <v>0</v>
      </c>
      <c r="D120" s="8">
        <f>'Assumptions &amp; Results'!$C$118*D105</f>
        <v>0</v>
      </c>
      <c r="E120" s="8">
        <f>'Assumptions &amp; Results'!$C$118*E105</f>
        <v>0</v>
      </c>
      <c r="F120" s="8">
        <f>'Assumptions &amp; Results'!$C$118*F105</f>
        <v>0</v>
      </c>
      <c r="G120" s="8">
        <f>'Assumptions &amp; Results'!$C$118*G105</f>
        <v>3689.5340625000008</v>
      </c>
      <c r="H120" s="8">
        <f>'Assumptions &amp; Results'!$C$118*H105</f>
        <v>7379.0681250000016</v>
      </c>
      <c r="I120" s="8">
        <f>'Assumptions &amp; Results'!$C$118*I105</f>
        <v>7379.0681250000016</v>
      </c>
      <c r="J120" s="8">
        <f>'Assumptions &amp; Results'!$C$118*J105</f>
        <v>7070.7914062500013</v>
      </c>
      <c r="K120" s="8">
        <f>'Assumptions &amp; Results'!$C$118*K105</f>
        <v>7379.0681250000016</v>
      </c>
      <c r="L120" s="8">
        <f>'Assumptions &amp; Results'!$C$118*L105</f>
        <v>7379.0681250000016</v>
      </c>
      <c r="M120" s="8">
        <f>'Assumptions &amp; Results'!$C$118*M105</f>
        <v>7379.0681250000016</v>
      </c>
      <c r="N120" s="8">
        <f>'Assumptions &amp; Results'!$C$118*N105</f>
        <v>7379.0681250000016</v>
      </c>
      <c r="O120" s="8">
        <f>'Assumptions &amp; Results'!$C$118*O105</f>
        <v>7070.7914062500013</v>
      </c>
      <c r="P120" s="8">
        <f>'Assumptions &amp; Results'!$C$118*P105</f>
        <v>7379.0681250000016</v>
      </c>
      <c r="Q120" s="8">
        <f>'Assumptions &amp; Results'!$C$118*Q105</f>
        <v>7379.0681250000016</v>
      </c>
      <c r="R120" s="8">
        <f>'Assumptions &amp; Results'!$C$118*R105</f>
        <v>7379.0681250000016</v>
      </c>
      <c r="S120" s="8">
        <f>'Assumptions &amp; Results'!$C$118*S105</f>
        <v>7379.0681250000016</v>
      </c>
      <c r="T120" s="8">
        <f>'Assumptions &amp; Results'!$C$118*T105</f>
        <v>7070.7914062500013</v>
      </c>
      <c r="U120" s="8">
        <f>'Assumptions &amp; Results'!$C$118*U105</f>
        <v>7379.0681250000016</v>
      </c>
      <c r="V120" s="8">
        <f>'Assumptions &amp; Results'!$C$118*V105</f>
        <v>7379.0681250000016</v>
      </c>
      <c r="W120" s="8">
        <f>'Assumptions &amp; Results'!$C$118*W105</f>
        <v>7379.0681250000016</v>
      </c>
      <c r="X120" s="8">
        <f>'Assumptions &amp; Results'!$C$118*X105</f>
        <v>7379.0681250000016</v>
      </c>
      <c r="Y120" s="8">
        <f>'Assumptions &amp; Results'!$C$118*Y105</f>
        <v>7070.7914062500013</v>
      </c>
      <c r="Z120" s="8">
        <f>'Assumptions &amp; Results'!$C$118*Z105</f>
        <v>7379.0681250000016</v>
      </c>
      <c r="AA120" s="8">
        <f>'Assumptions &amp; Results'!$C$118*AA105</f>
        <v>7379.0681250000016</v>
      </c>
      <c r="AB120" s="8">
        <f>'Assumptions &amp; Results'!$C$118*AB105</f>
        <v>7379.0681250000016</v>
      </c>
      <c r="AC120" s="8">
        <f>'Assumptions &amp; Results'!$C$118*AC105</f>
        <v>7379.0681250000016</v>
      </c>
      <c r="AD120" s="8">
        <f>'Assumptions &amp; Results'!$C$118*AD105</f>
        <v>7070.7914062500013</v>
      </c>
      <c r="AE120" s="8">
        <f>'Assumptions &amp; Results'!$C$118*AE105</f>
        <v>7379.0681250000016</v>
      </c>
      <c r="AF120" s="8">
        <f>'Assumptions &amp; Results'!$C$118*AF105</f>
        <v>7379.0681250000016</v>
      </c>
      <c r="AG120" s="8">
        <f>'Assumptions &amp; Results'!$C$118*AG105</f>
        <v>7379.0681250000016</v>
      </c>
      <c r="AH120" s="8">
        <f>'Assumptions &amp; Results'!$C$118*AH105</f>
        <v>7379.0681250000016</v>
      </c>
      <c r="AI120" s="8">
        <f>'Assumptions &amp; Results'!$C$118*AI105</f>
        <v>7379.0681250000016</v>
      </c>
      <c r="AJ120" s="125">
        <f t="shared" ref="AJ120:AJ127" si="21">SUM(C120:AI120)</f>
        <v>208762.05796874998</v>
      </c>
    </row>
    <row r="121" spans="1:38" x14ac:dyDescent="0.2">
      <c r="A121" t="s">
        <v>243</v>
      </c>
      <c r="B121" s="96" t="s">
        <v>99</v>
      </c>
      <c r="C121" s="8">
        <f t="shared" ref="C121:AI121" si="22">MAX(C118-C120,0)</f>
        <v>2100</v>
      </c>
      <c r="D121" s="8">
        <f t="shared" si="22"/>
        <v>310</v>
      </c>
      <c r="E121" s="8">
        <f t="shared" si="22"/>
        <v>735</v>
      </c>
      <c r="F121" s="8">
        <f t="shared" si="22"/>
        <v>1685</v>
      </c>
      <c r="G121" s="8">
        <f t="shared" si="22"/>
        <v>0</v>
      </c>
      <c r="H121" s="8">
        <f t="shared" si="22"/>
        <v>0</v>
      </c>
      <c r="I121" s="8">
        <f t="shared" si="22"/>
        <v>0</v>
      </c>
      <c r="J121" s="8">
        <f t="shared" si="22"/>
        <v>0</v>
      </c>
      <c r="K121" s="8">
        <f t="shared" si="22"/>
        <v>0</v>
      </c>
      <c r="L121" s="8">
        <f t="shared" si="22"/>
        <v>0</v>
      </c>
      <c r="M121" s="8">
        <f t="shared" si="22"/>
        <v>0</v>
      </c>
      <c r="N121" s="8">
        <f t="shared" si="22"/>
        <v>0</v>
      </c>
      <c r="O121" s="8">
        <f t="shared" si="22"/>
        <v>0</v>
      </c>
      <c r="P121" s="8">
        <f t="shared" si="22"/>
        <v>0</v>
      </c>
      <c r="Q121" s="8">
        <f t="shared" si="22"/>
        <v>0</v>
      </c>
      <c r="R121" s="8">
        <f t="shared" si="22"/>
        <v>0</v>
      </c>
      <c r="S121" s="8">
        <f t="shared" si="22"/>
        <v>0</v>
      </c>
      <c r="T121" s="8">
        <f t="shared" si="22"/>
        <v>0</v>
      </c>
      <c r="U121" s="8">
        <f t="shared" si="22"/>
        <v>0</v>
      </c>
      <c r="V121" s="8">
        <f t="shared" si="22"/>
        <v>0</v>
      </c>
      <c r="W121" s="8">
        <f t="shared" si="22"/>
        <v>0</v>
      </c>
      <c r="X121" s="8">
        <f t="shared" si="22"/>
        <v>0</v>
      </c>
      <c r="Y121" s="8">
        <f t="shared" si="22"/>
        <v>0</v>
      </c>
      <c r="Z121" s="8">
        <f t="shared" si="22"/>
        <v>0</v>
      </c>
      <c r="AA121" s="8">
        <f t="shared" si="22"/>
        <v>0</v>
      </c>
      <c r="AB121" s="8">
        <f t="shared" si="22"/>
        <v>0</v>
      </c>
      <c r="AC121" s="8">
        <f t="shared" si="22"/>
        <v>0</v>
      </c>
      <c r="AD121" s="8">
        <f t="shared" si="22"/>
        <v>0</v>
      </c>
      <c r="AE121" s="8">
        <f t="shared" si="22"/>
        <v>0</v>
      </c>
      <c r="AF121" s="8">
        <f t="shared" si="22"/>
        <v>0</v>
      </c>
      <c r="AG121" s="8">
        <f t="shared" si="22"/>
        <v>0</v>
      </c>
      <c r="AH121" s="8">
        <f t="shared" si="22"/>
        <v>0</v>
      </c>
      <c r="AI121" s="8">
        <f t="shared" si="22"/>
        <v>0</v>
      </c>
      <c r="AJ121" s="125">
        <f t="shared" si="21"/>
        <v>4830</v>
      </c>
    </row>
    <row r="122" spans="1:38" x14ac:dyDescent="0.2">
      <c r="A122" t="s">
        <v>244</v>
      </c>
      <c r="B122" s="96" t="s">
        <v>99</v>
      </c>
      <c r="C122" s="8">
        <f>MIN(C118,C120)</f>
        <v>0</v>
      </c>
      <c r="D122" s="8">
        <f t="shared" ref="D122:AI122" si="23">MIN(D120,D118+C123)</f>
        <v>0</v>
      </c>
      <c r="E122" s="8">
        <f t="shared" si="23"/>
        <v>0</v>
      </c>
      <c r="F122" s="8">
        <f t="shared" si="23"/>
        <v>0</v>
      </c>
      <c r="G122" s="8">
        <f t="shared" si="23"/>
        <v>3689.5340625000008</v>
      </c>
      <c r="H122" s="8">
        <f t="shared" si="23"/>
        <v>7379.0681250000016</v>
      </c>
      <c r="I122" s="8">
        <f t="shared" si="23"/>
        <v>3914.265812499998</v>
      </c>
      <c r="J122" s="8">
        <f t="shared" si="23"/>
        <v>2359.1472000000003</v>
      </c>
      <c r="K122" s="8">
        <f t="shared" si="23"/>
        <v>1534.1472000000001</v>
      </c>
      <c r="L122" s="8">
        <f t="shared" si="23"/>
        <v>1399.1472000000001</v>
      </c>
      <c r="M122" s="8">
        <f t="shared" si="23"/>
        <v>1399.1472000000001</v>
      </c>
      <c r="N122" s="8">
        <f t="shared" si="23"/>
        <v>1399.1472000000001</v>
      </c>
      <c r="O122" s="8">
        <f t="shared" si="23"/>
        <v>1399.1472000000001</v>
      </c>
      <c r="P122" s="8">
        <f t="shared" si="23"/>
        <v>1399.1472000000001</v>
      </c>
      <c r="Q122" s="8">
        <f t="shared" si="23"/>
        <v>1399.1472000000001</v>
      </c>
      <c r="R122" s="8">
        <f t="shared" si="23"/>
        <v>1399.1472000000001</v>
      </c>
      <c r="S122" s="8">
        <f t="shared" si="23"/>
        <v>1399.1472000000001</v>
      </c>
      <c r="T122" s="8">
        <f t="shared" si="23"/>
        <v>1399.1472000000001</v>
      </c>
      <c r="U122" s="8">
        <f t="shared" si="23"/>
        <v>1399.1472000000001</v>
      </c>
      <c r="V122" s="8">
        <f t="shared" si="23"/>
        <v>1399.1472000000001</v>
      </c>
      <c r="W122" s="8">
        <f t="shared" si="23"/>
        <v>1399.1472000000001</v>
      </c>
      <c r="X122" s="8">
        <f t="shared" si="23"/>
        <v>1399.1472000000001</v>
      </c>
      <c r="Y122" s="8">
        <f t="shared" si="23"/>
        <v>1399.1472000000001</v>
      </c>
      <c r="Z122" s="8">
        <f t="shared" si="23"/>
        <v>1399.1472000000001</v>
      </c>
      <c r="AA122" s="8">
        <f t="shared" si="23"/>
        <v>1399.1472000000001</v>
      </c>
      <c r="AB122" s="8">
        <f t="shared" si="23"/>
        <v>1399.1472000000001</v>
      </c>
      <c r="AC122" s="8">
        <f t="shared" si="23"/>
        <v>1399.1472000000001</v>
      </c>
      <c r="AD122" s="8">
        <f t="shared" si="23"/>
        <v>1399.1472000000001</v>
      </c>
      <c r="AE122" s="8">
        <f t="shared" si="23"/>
        <v>1399.1472000000001</v>
      </c>
      <c r="AF122" s="8">
        <f t="shared" si="23"/>
        <v>1399.1472000000001</v>
      </c>
      <c r="AG122" s="8">
        <f t="shared" si="23"/>
        <v>1999.1472000000001</v>
      </c>
      <c r="AH122" s="8">
        <f t="shared" si="23"/>
        <v>1999.1472000000001</v>
      </c>
      <c r="AI122" s="8">
        <f t="shared" si="23"/>
        <v>2599.1472000000003</v>
      </c>
      <c r="AJ122" s="125">
        <f t="shared" si="21"/>
        <v>54855.695199999987</v>
      </c>
    </row>
    <row r="123" spans="1:38" x14ac:dyDescent="0.2">
      <c r="A123" t="s">
        <v>245</v>
      </c>
      <c r="B123" s="96" t="s">
        <v>99</v>
      </c>
      <c r="C123" s="8">
        <f>C118-C122</f>
        <v>2100</v>
      </c>
      <c r="D123" s="8">
        <f t="shared" ref="D123:AI123" si="24">D118-D122+C123</f>
        <v>2410</v>
      </c>
      <c r="E123" s="8">
        <f t="shared" si="24"/>
        <v>3145</v>
      </c>
      <c r="F123" s="8">
        <f t="shared" si="24"/>
        <v>4830</v>
      </c>
      <c r="G123" s="8">
        <f t="shared" si="24"/>
        <v>4250.0395374999989</v>
      </c>
      <c r="H123" s="8">
        <f t="shared" si="24"/>
        <v>605.11861249999765</v>
      </c>
      <c r="I123" s="8">
        <f t="shared" si="24"/>
        <v>0</v>
      </c>
      <c r="J123" s="8">
        <f t="shared" si="24"/>
        <v>0</v>
      </c>
      <c r="K123" s="8">
        <f t="shared" si="24"/>
        <v>0</v>
      </c>
      <c r="L123" s="8">
        <f t="shared" si="24"/>
        <v>0</v>
      </c>
      <c r="M123" s="8">
        <f t="shared" si="24"/>
        <v>0</v>
      </c>
      <c r="N123" s="8">
        <f t="shared" si="24"/>
        <v>0</v>
      </c>
      <c r="O123" s="8">
        <f t="shared" si="24"/>
        <v>0</v>
      </c>
      <c r="P123" s="8">
        <f t="shared" si="24"/>
        <v>0</v>
      </c>
      <c r="Q123" s="8">
        <f t="shared" si="24"/>
        <v>0</v>
      </c>
      <c r="R123" s="8">
        <f t="shared" si="24"/>
        <v>0</v>
      </c>
      <c r="S123" s="8">
        <f t="shared" si="24"/>
        <v>0</v>
      </c>
      <c r="T123" s="8">
        <f t="shared" si="24"/>
        <v>0</v>
      </c>
      <c r="U123" s="8">
        <f t="shared" si="24"/>
        <v>0</v>
      </c>
      <c r="V123" s="8">
        <f t="shared" si="24"/>
        <v>0</v>
      </c>
      <c r="W123" s="8">
        <f t="shared" si="24"/>
        <v>0</v>
      </c>
      <c r="X123" s="8">
        <f t="shared" si="24"/>
        <v>0</v>
      </c>
      <c r="Y123" s="8">
        <f t="shared" si="24"/>
        <v>0</v>
      </c>
      <c r="Z123" s="8">
        <f t="shared" si="24"/>
        <v>0</v>
      </c>
      <c r="AA123" s="8">
        <f t="shared" si="24"/>
        <v>0</v>
      </c>
      <c r="AB123" s="8">
        <f t="shared" si="24"/>
        <v>0</v>
      </c>
      <c r="AC123" s="8">
        <f t="shared" si="24"/>
        <v>0</v>
      </c>
      <c r="AD123" s="8">
        <f t="shared" si="24"/>
        <v>0</v>
      </c>
      <c r="AE123" s="8">
        <f t="shared" si="24"/>
        <v>0</v>
      </c>
      <c r="AF123" s="8">
        <f t="shared" si="24"/>
        <v>0</v>
      </c>
      <c r="AG123" s="8">
        <f t="shared" si="24"/>
        <v>0</v>
      </c>
      <c r="AH123" s="8">
        <f t="shared" si="24"/>
        <v>0</v>
      </c>
      <c r="AI123" s="8">
        <f t="shared" si="24"/>
        <v>0</v>
      </c>
    </row>
    <row r="124" spans="1:38" x14ac:dyDescent="0.2">
      <c r="A124" t="s">
        <v>462</v>
      </c>
      <c r="B124" s="96" t="s">
        <v>99</v>
      </c>
      <c r="C124" s="12">
        <f>C122*'Assumptions &amp; Results'!$C$166</f>
        <v>0</v>
      </c>
      <c r="D124" s="12">
        <f>D122*'Assumptions &amp; Results'!$C$166</f>
        <v>0</v>
      </c>
      <c r="E124" s="12">
        <f>E122*'Assumptions &amp; Results'!$C$166</f>
        <v>0</v>
      </c>
      <c r="F124" s="12">
        <f>F122*'Assumptions &amp; Results'!$C$166</f>
        <v>0</v>
      </c>
      <c r="G124" s="12">
        <f>G122*'Assumptions &amp; Results'!$C$166</f>
        <v>368.95340625000011</v>
      </c>
      <c r="H124" s="12">
        <f>H122*'Assumptions &amp; Results'!$C$166</f>
        <v>737.90681250000023</v>
      </c>
      <c r="I124" s="12">
        <f>I122*'Assumptions &amp; Results'!$C$166</f>
        <v>391.4265812499998</v>
      </c>
      <c r="J124" s="12">
        <f>J122*'Assumptions &amp; Results'!$C$166</f>
        <v>235.91472000000005</v>
      </c>
      <c r="K124" s="12">
        <f>K122*'Assumptions &amp; Results'!$C$166</f>
        <v>153.41472000000002</v>
      </c>
      <c r="L124" s="12">
        <f>L122*'Assumptions &amp; Results'!$C$166</f>
        <v>139.91472000000002</v>
      </c>
      <c r="M124" s="12">
        <f>M122*'Assumptions &amp; Results'!$C$166</f>
        <v>139.91472000000002</v>
      </c>
      <c r="N124" s="12">
        <f>N122*'Assumptions &amp; Results'!$C$166</f>
        <v>139.91472000000002</v>
      </c>
      <c r="O124" s="12">
        <f>O122*'Assumptions &amp; Results'!$C$166</f>
        <v>139.91472000000002</v>
      </c>
      <c r="P124" s="12">
        <f>P122*'Assumptions &amp; Results'!$C$166</f>
        <v>139.91472000000002</v>
      </c>
      <c r="Q124" s="12">
        <f>Q122*'Assumptions &amp; Results'!$C$166</f>
        <v>139.91472000000002</v>
      </c>
      <c r="R124" s="12">
        <f>R122*'Assumptions &amp; Results'!$C$166</f>
        <v>139.91472000000002</v>
      </c>
      <c r="S124" s="12">
        <f>S122*'Assumptions &amp; Results'!$C$166</f>
        <v>139.91472000000002</v>
      </c>
      <c r="T124" s="12">
        <f>T122*'Assumptions &amp; Results'!$C$166</f>
        <v>139.91472000000002</v>
      </c>
      <c r="U124" s="12">
        <f>U122*'Assumptions &amp; Results'!$C$166</f>
        <v>139.91472000000002</v>
      </c>
      <c r="V124" s="12">
        <f>V122*'Assumptions &amp; Results'!$C$166</f>
        <v>139.91472000000002</v>
      </c>
      <c r="W124" s="12">
        <f>W122*'Assumptions &amp; Results'!$C$166</f>
        <v>139.91472000000002</v>
      </c>
      <c r="X124" s="12">
        <f>X122*'Assumptions &amp; Results'!$C$166</f>
        <v>139.91472000000002</v>
      </c>
      <c r="Y124" s="12">
        <f>Y122*'Assumptions &amp; Results'!$C$166</f>
        <v>139.91472000000002</v>
      </c>
      <c r="Z124" s="12">
        <f>Z122*'Assumptions &amp; Results'!$C$166</f>
        <v>139.91472000000002</v>
      </c>
      <c r="AA124" s="12">
        <f>AA122*'Assumptions &amp; Results'!$C$166</f>
        <v>139.91472000000002</v>
      </c>
      <c r="AB124" s="12">
        <f>AB122*'Assumptions &amp; Results'!$C$166</f>
        <v>139.91472000000002</v>
      </c>
      <c r="AC124" s="12">
        <f>AC122*'Assumptions &amp; Results'!$C$166</f>
        <v>139.91472000000002</v>
      </c>
      <c r="AD124" s="12">
        <f>AD122*'Assumptions &amp; Results'!$C$166</f>
        <v>139.91472000000002</v>
      </c>
      <c r="AE124" s="12">
        <f>AE122*'Assumptions &amp; Results'!$C$166</f>
        <v>139.91472000000002</v>
      </c>
      <c r="AF124" s="12">
        <f>AF122*'Assumptions &amp; Results'!$C$166</f>
        <v>139.91472000000002</v>
      </c>
      <c r="AG124" s="12">
        <f>AG122*'Assumptions &amp; Results'!$C$166</f>
        <v>199.91472000000002</v>
      </c>
      <c r="AH124" s="12">
        <f>AH122*'Assumptions &amp; Results'!$C$166</f>
        <v>199.91472000000002</v>
      </c>
      <c r="AI124" s="12">
        <f>AI122*'Assumptions &amp; Results'!$C$166</f>
        <v>259.91472000000005</v>
      </c>
      <c r="AJ124" s="125">
        <f t="shared" si="21"/>
        <v>5485.5695200000009</v>
      </c>
    </row>
    <row r="126" spans="1:38" ht="15.95" x14ac:dyDescent="0.2">
      <c r="A126" s="279" t="s">
        <v>470</v>
      </c>
      <c r="B126" s="96" t="s">
        <v>99</v>
      </c>
      <c r="C126" s="8">
        <f>'Field 1 Fiscal'!C22+'Field 2 Fiscal'!C22+'Field 3 Fiscal'!C22</f>
        <v>0</v>
      </c>
      <c r="D126" s="8">
        <f>'Field 1 Fiscal'!D22+'Field 2 Fiscal'!D22+'Field 3 Fiscal'!D22</f>
        <v>0</v>
      </c>
      <c r="E126" s="8">
        <f>'Field 1 Fiscal'!E22+'Field 2 Fiscal'!E22+'Field 3 Fiscal'!E22</f>
        <v>0</v>
      </c>
      <c r="F126" s="8">
        <f>'Field 1 Fiscal'!F22+'Field 2 Fiscal'!F22+'Field 3 Fiscal'!F22</f>
        <v>0</v>
      </c>
      <c r="G126" s="8">
        <f>'Field 1 Fiscal'!G22+'Field 2 Fiscal'!G22+'Field 3 Fiscal'!G22</f>
        <v>1486.9703062500005</v>
      </c>
      <c r="H126" s="8">
        <f>'Field 1 Fiscal'!H22+'Field 2 Fiscal'!H22+'Field 3 Fiscal'!H22</f>
        <v>2973.940612500001</v>
      </c>
      <c r="I126" s="8">
        <f>'Field 1 Fiscal'!I22+'Field 2 Fiscal'!I22+'Field 3 Fiscal'!I22</f>
        <v>2973.940612500001</v>
      </c>
      <c r="J126" s="8">
        <f>'Field 1 Fiscal'!J22+'Field 2 Fiscal'!J22+'Field 3 Fiscal'!J22</f>
        <v>2974.8037873124999</v>
      </c>
      <c r="K126" s="8">
        <f>'Field 1 Fiscal'!K22+'Field 2 Fiscal'!K22+'Field 3 Fiscal'!K22</f>
        <v>2973.940612500001</v>
      </c>
      <c r="L126" s="8">
        <f>'Field 1 Fiscal'!L22+'Field 2 Fiscal'!L22+'Field 3 Fiscal'!L22</f>
        <v>2973.940612500001</v>
      </c>
      <c r="M126" s="8">
        <f>'Field 1 Fiscal'!M22+'Field 2 Fiscal'!M22+'Field 3 Fiscal'!M22</f>
        <v>2973.940612500001</v>
      </c>
      <c r="N126" s="8">
        <f>'Field 1 Fiscal'!N22+'Field 2 Fiscal'!N22+'Field 3 Fiscal'!N22</f>
        <v>2296.7268439374975</v>
      </c>
      <c r="O126" s="8">
        <f>'Field 1 Fiscal'!O22+'Field 2 Fiscal'!O22+'Field 3 Fiscal'!O22</f>
        <v>1206.4272000000001</v>
      </c>
      <c r="P126" s="8">
        <f>'Field 1 Fiscal'!P22+'Field 2 Fiscal'!P22+'Field 3 Fiscal'!P22</f>
        <v>1206.4272000000001</v>
      </c>
      <c r="Q126" s="8">
        <f>'Field 1 Fiscal'!Q22+'Field 2 Fiscal'!Q22+'Field 3 Fiscal'!Q22</f>
        <v>1206.4272000000001</v>
      </c>
      <c r="R126" s="8">
        <f>'Field 1 Fiscal'!R22+'Field 2 Fiscal'!R22+'Field 3 Fiscal'!R22</f>
        <v>1206.4272000000001</v>
      </c>
      <c r="S126" s="8">
        <f>'Field 1 Fiscal'!S22+'Field 2 Fiscal'!S22+'Field 3 Fiscal'!S22</f>
        <v>1206.4272000000001</v>
      </c>
      <c r="T126" s="8">
        <f>'Field 1 Fiscal'!T22+'Field 2 Fiscal'!T22+'Field 3 Fiscal'!T22</f>
        <v>1206.4272000000001</v>
      </c>
      <c r="U126" s="8">
        <f>'Field 1 Fiscal'!U22+'Field 2 Fiscal'!U22+'Field 3 Fiscal'!U22</f>
        <v>1206.4272000000001</v>
      </c>
      <c r="V126" s="8">
        <f>'Field 1 Fiscal'!V22+'Field 2 Fiscal'!V22+'Field 3 Fiscal'!V22</f>
        <v>1206.4272000000001</v>
      </c>
      <c r="W126" s="8">
        <f>'Field 1 Fiscal'!W22+'Field 2 Fiscal'!W22+'Field 3 Fiscal'!W22</f>
        <v>1206.4272000000001</v>
      </c>
      <c r="X126" s="8">
        <f>'Field 1 Fiscal'!X22+'Field 2 Fiscal'!X22+'Field 3 Fiscal'!X22</f>
        <v>1206.4272000000001</v>
      </c>
      <c r="Y126" s="8">
        <f>'Field 1 Fiscal'!Y22+'Field 2 Fiscal'!Y22+'Field 3 Fiscal'!Y22</f>
        <v>1206.4272000000001</v>
      </c>
      <c r="Z126" s="8">
        <f>'Field 1 Fiscal'!Z22+'Field 2 Fiscal'!Z22+'Field 3 Fiscal'!Z22</f>
        <v>1206.4272000000001</v>
      </c>
      <c r="AA126" s="8">
        <f>'Field 1 Fiscal'!AA22+'Field 2 Fiscal'!AA22+'Field 3 Fiscal'!AA22</f>
        <v>1206.4272000000001</v>
      </c>
      <c r="AB126" s="8">
        <f>'Field 1 Fiscal'!AB22+'Field 2 Fiscal'!AB22+'Field 3 Fiscal'!AB22</f>
        <v>1206.4272000000001</v>
      </c>
      <c r="AC126" s="8">
        <f>'Field 1 Fiscal'!AC22+'Field 2 Fiscal'!AC22+'Field 3 Fiscal'!AC22</f>
        <v>1206.4272000000001</v>
      </c>
      <c r="AD126" s="8">
        <f>'Field 1 Fiscal'!AD22+'Field 2 Fiscal'!AD22+'Field 3 Fiscal'!AD22</f>
        <v>1206.4272000000001</v>
      </c>
      <c r="AE126" s="8">
        <f>'Field 1 Fiscal'!AE22+'Field 2 Fiscal'!AE22+'Field 3 Fiscal'!AE22</f>
        <v>1206.4272000000001</v>
      </c>
      <c r="AF126" s="8">
        <f>'Field 1 Fiscal'!AF22+'Field 2 Fiscal'!AF22+'Field 3 Fiscal'!AF22</f>
        <v>1206.4272000000001</v>
      </c>
      <c r="AG126" s="8">
        <f>'Field 1 Fiscal'!AG22+'Field 2 Fiscal'!AG22+'Field 3 Fiscal'!AG22</f>
        <v>1806.4272000000001</v>
      </c>
      <c r="AH126" s="8">
        <f>'Field 1 Fiscal'!AH22+'Field 2 Fiscal'!AH22+'Field 3 Fiscal'!AH22</f>
        <v>1806.4272000000001</v>
      </c>
      <c r="AI126" s="8">
        <f>'Field 1 Fiscal'!AI22+'Field 2 Fiscal'!AI22+'Field 3 Fiscal'!AI22</f>
        <v>2406.4272000000001</v>
      </c>
      <c r="AJ126" s="125">
        <f t="shared" si="21"/>
        <v>49363.175199999969</v>
      </c>
      <c r="AK126" s="22"/>
      <c r="AL126" s="22"/>
    </row>
    <row r="127" spans="1:38" x14ac:dyDescent="0.25">
      <c r="A127" t="s">
        <v>447</v>
      </c>
      <c r="B127" s="96" t="s">
        <v>99</v>
      </c>
      <c r="C127" s="8">
        <f>C126*'Assumptions &amp; Results'!$C$166</f>
        <v>0</v>
      </c>
      <c r="D127" s="8">
        <f>D126*'Assumptions &amp; Results'!$C$166</f>
        <v>0</v>
      </c>
      <c r="E127" s="8">
        <f>E126*'Assumptions &amp; Results'!$C$166</f>
        <v>0</v>
      </c>
      <c r="F127" s="8">
        <f>F126*'Assumptions &amp; Results'!$C$166</f>
        <v>0</v>
      </c>
      <c r="G127" s="8">
        <f>G126*'Assumptions &amp; Results'!$C$166</f>
        <v>148.69703062500005</v>
      </c>
      <c r="H127" s="8">
        <f>H126*'Assumptions &amp; Results'!$C$166</f>
        <v>297.39406125000011</v>
      </c>
      <c r="I127" s="8">
        <f>I126*'Assumptions &amp; Results'!$C$166</f>
        <v>297.39406125000011</v>
      </c>
      <c r="J127" s="8">
        <f>J126*'Assumptions &amp; Results'!$C$166</f>
        <v>297.48037873125003</v>
      </c>
      <c r="K127" s="8">
        <f>K126*'Assumptions &amp; Results'!$C$166</f>
        <v>297.39406125000011</v>
      </c>
      <c r="L127" s="8">
        <f>L126*'Assumptions &amp; Results'!$C$166</f>
        <v>297.39406125000011</v>
      </c>
      <c r="M127" s="8">
        <f>M126*'Assumptions &amp; Results'!$C$166</f>
        <v>297.39406125000011</v>
      </c>
      <c r="N127" s="8">
        <f>N126*'Assumptions &amp; Results'!$C$166</f>
        <v>229.67268439374976</v>
      </c>
      <c r="O127" s="8">
        <f>O126*'Assumptions &amp; Results'!$C$166</f>
        <v>120.64272000000001</v>
      </c>
      <c r="P127" s="8">
        <f>P126*'Assumptions &amp; Results'!$C$166</f>
        <v>120.64272000000001</v>
      </c>
      <c r="Q127" s="8">
        <f>Q126*'Assumptions &amp; Results'!$C$166</f>
        <v>120.64272000000001</v>
      </c>
      <c r="R127" s="8">
        <f>R126*'Assumptions &amp; Results'!$C$166</f>
        <v>120.64272000000001</v>
      </c>
      <c r="S127" s="8">
        <f>S126*'Assumptions &amp; Results'!$C$166</f>
        <v>120.64272000000001</v>
      </c>
      <c r="T127" s="8">
        <f>T126*'Assumptions &amp; Results'!$C$166</f>
        <v>120.64272000000001</v>
      </c>
      <c r="U127" s="8">
        <f>U126*'Assumptions &amp; Results'!$C$166</f>
        <v>120.64272000000001</v>
      </c>
      <c r="V127" s="8">
        <f>V126*'Assumptions &amp; Results'!$C$166</f>
        <v>120.64272000000001</v>
      </c>
      <c r="W127" s="8">
        <f>W126*'Assumptions &amp; Results'!$C$166</f>
        <v>120.64272000000001</v>
      </c>
      <c r="X127" s="8">
        <f>X126*'Assumptions &amp; Results'!$C$166</f>
        <v>120.64272000000001</v>
      </c>
      <c r="Y127" s="8">
        <f>Y126*'Assumptions &amp; Results'!$C$166</f>
        <v>120.64272000000001</v>
      </c>
      <c r="Z127" s="8">
        <f>Z126*'Assumptions &amp; Results'!$C$166</f>
        <v>120.64272000000001</v>
      </c>
      <c r="AA127" s="8">
        <f>AA126*'Assumptions &amp; Results'!$C$166</f>
        <v>120.64272000000001</v>
      </c>
      <c r="AB127" s="8">
        <f>AB126*'Assumptions &amp; Results'!$C$166</f>
        <v>120.64272000000001</v>
      </c>
      <c r="AC127" s="8">
        <f>AC126*'Assumptions &amp; Results'!$C$166</f>
        <v>120.64272000000001</v>
      </c>
      <c r="AD127" s="8">
        <f>AD126*'Assumptions &amp; Results'!$C$166</f>
        <v>120.64272000000001</v>
      </c>
      <c r="AE127" s="8">
        <f>AE126*'Assumptions &amp; Results'!$C$166</f>
        <v>120.64272000000001</v>
      </c>
      <c r="AF127" s="8">
        <f>AF126*'Assumptions &amp; Results'!$C$166</f>
        <v>120.64272000000001</v>
      </c>
      <c r="AG127" s="8">
        <f>AG126*'Assumptions &amp; Results'!$C$166</f>
        <v>180.64272000000003</v>
      </c>
      <c r="AH127" s="8">
        <f>AH126*'Assumptions &amp; Results'!$C$166</f>
        <v>180.64272000000003</v>
      </c>
      <c r="AI127" s="8">
        <f>AI126*'Assumptions &amp; Results'!$C$166</f>
        <v>240.64272000000003</v>
      </c>
      <c r="AJ127" s="125">
        <f t="shared" si="21"/>
        <v>4936.3175199999969</v>
      </c>
      <c r="AK127" s="22"/>
      <c r="AL127" s="22"/>
    </row>
    <row r="128" spans="1:38" x14ac:dyDescent="0.25">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row>
    <row r="129" spans="1:38" ht="15.75" x14ac:dyDescent="0.25">
      <c r="A129" s="279" t="s">
        <v>471</v>
      </c>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row>
    <row r="130" spans="1:38" x14ac:dyDescent="0.25">
      <c r="A130" t="s">
        <v>463</v>
      </c>
      <c r="B130" s="96" t="s">
        <v>99</v>
      </c>
      <c r="C130" s="22">
        <f t="shared" ref="C130:AI130" si="25">C43</f>
        <v>40</v>
      </c>
      <c r="D130" s="22">
        <f t="shared" si="25"/>
        <v>84</v>
      </c>
      <c r="E130" s="22">
        <f t="shared" si="25"/>
        <v>170</v>
      </c>
      <c r="F130" s="22">
        <f t="shared" si="25"/>
        <v>380</v>
      </c>
      <c r="G130" s="22">
        <f t="shared" si="25"/>
        <v>330</v>
      </c>
      <c r="H130" s="22">
        <f t="shared" si="25"/>
        <v>54</v>
      </c>
      <c r="I130" s="22">
        <f t="shared" si="25"/>
        <v>0</v>
      </c>
      <c r="J130" s="22">
        <f t="shared" si="25"/>
        <v>0</v>
      </c>
      <c r="K130" s="22">
        <f t="shared" si="25"/>
        <v>0</v>
      </c>
      <c r="L130" s="22">
        <f t="shared" si="25"/>
        <v>0</v>
      </c>
      <c r="M130" s="22">
        <f t="shared" si="25"/>
        <v>0</v>
      </c>
      <c r="N130" s="22">
        <f t="shared" si="25"/>
        <v>0</v>
      </c>
      <c r="O130" s="22">
        <f t="shared" si="25"/>
        <v>0</v>
      </c>
      <c r="P130" s="22">
        <f t="shared" si="25"/>
        <v>0</v>
      </c>
      <c r="Q130" s="22">
        <f t="shared" si="25"/>
        <v>0</v>
      </c>
      <c r="R130" s="22">
        <f t="shared" si="25"/>
        <v>0</v>
      </c>
      <c r="S130" s="22">
        <f t="shared" si="25"/>
        <v>0</v>
      </c>
      <c r="T130" s="22">
        <f t="shared" si="25"/>
        <v>0</v>
      </c>
      <c r="U130" s="22">
        <f t="shared" si="25"/>
        <v>0</v>
      </c>
      <c r="V130" s="22">
        <f t="shared" si="25"/>
        <v>0</v>
      </c>
      <c r="W130" s="22">
        <f t="shared" si="25"/>
        <v>0</v>
      </c>
      <c r="X130" s="22">
        <f t="shared" si="25"/>
        <v>0</v>
      </c>
      <c r="Y130" s="22">
        <f t="shared" si="25"/>
        <v>0</v>
      </c>
      <c r="Z130" s="22">
        <f t="shared" si="25"/>
        <v>0</v>
      </c>
      <c r="AA130" s="22">
        <f t="shared" si="25"/>
        <v>0</v>
      </c>
      <c r="AB130" s="22">
        <f t="shared" si="25"/>
        <v>0</v>
      </c>
      <c r="AC130" s="22">
        <f t="shared" si="25"/>
        <v>0</v>
      </c>
      <c r="AD130" s="22">
        <f t="shared" si="25"/>
        <v>0</v>
      </c>
      <c r="AE130" s="22">
        <f t="shared" si="25"/>
        <v>0</v>
      </c>
      <c r="AF130" s="22">
        <f t="shared" si="25"/>
        <v>0</v>
      </c>
      <c r="AG130" s="22">
        <f t="shared" si="25"/>
        <v>0</v>
      </c>
      <c r="AH130" s="22">
        <f t="shared" si="25"/>
        <v>0</v>
      </c>
      <c r="AI130" s="22">
        <f t="shared" si="25"/>
        <v>0</v>
      </c>
      <c r="AJ130" s="125">
        <f>SUM(C130:AI130)</f>
        <v>1058</v>
      </c>
      <c r="AK130" s="22"/>
      <c r="AL130" s="22"/>
    </row>
    <row r="131" spans="1:38" x14ac:dyDescent="0.25">
      <c r="A131" t="s">
        <v>473</v>
      </c>
      <c r="B131" s="96" t="s">
        <v>99</v>
      </c>
      <c r="C131" s="22">
        <f>'Assumptions &amp; Results'!$C$168</f>
        <v>0</v>
      </c>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row>
    <row r="132" spans="1:38" x14ac:dyDescent="0.25">
      <c r="A132" t="s">
        <v>464</v>
      </c>
      <c r="B132" s="96" t="s">
        <v>99</v>
      </c>
      <c r="C132" s="22">
        <f>IF('Assumptions &amp; Results'!$C$172=3,'NOC &amp; IOC Shares'!C124,'NOC &amp; IOC Shares'!C127)</f>
        <v>0</v>
      </c>
      <c r="D132" s="22">
        <f>IF('Assumptions &amp; Results'!$C$172=3,'NOC &amp; IOC Shares'!D124,'NOC &amp; IOC Shares'!D127)</f>
        <v>0</v>
      </c>
      <c r="E132" s="22">
        <f>IF('Assumptions &amp; Results'!$C$172=3,'NOC &amp; IOC Shares'!E124,'NOC &amp; IOC Shares'!E127)</f>
        <v>0</v>
      </c>
      <c r="F132" s="22">
        <f>IF('Assumptions &amp; Results'!$C$172=3,'NOC &amp; IOC Shares'!F124,'NOC &amp; IOC Shares'!F127)</f>
        <v>0</v>
      </c>
      <c r="G132" s="22">
        <f>IF('Assumptions &amp; Results'!$C$172=3,'NOC &amp; IOC Shares'!G124,'NOC &amp; IOC Shares'!G127)</f>
        <v>148.69703062500005</v>
      </c>
      <c r="H132" s="22">
        <f>IF('Assumptions &amp; Results'!$C$172=3,'NOC &amp; IOC Shares'!H124,'NOC &amp; IOC Shares'!H127)</f>
        <v>297.39406125000011</v>
      </c>
      <c r="I132" s="22">
        <f>IF('Assumptions &amp; Results'!$C$172=3,'NOC &amp; IOC Shares'!I124,'NOC &amp; IOC Shares'!I127)</f>
        <v>297.39406125000011</v>
      </c>
      <c r="J132" s="22">
        <f>IF('Assumptions &amp; Results'!$C$172=3,'NOC &amp; IOC Shares'!J124,'NOC &amp; IOC Shares'!J127)</f>
        <v>297.48037873125003</v>
      </c>
      <c r="K132" s="22">
        <f>IF('Assumptions &amp; Results'!$C$172=3,'NOC &amp; IOC Shares'!K124,'NOC &amp; IOC Shares'!K127)</f>
        <v>297.39406125000011</v>
      </c>
      <c r="L132" s="22">
        <f>IF('Assumptions &amp; Results'!$C$172=3,'NOC &amp; IOC Shares'!L124,'NOC &amp; IOC Shares'!L127)</f>
        <v>297.39406125000011</v>
      </c>
      <c r="M132" s="22">
        <f>IF('Assumptions &amp; Results'!$C$172=3,'NOC &amp; IOC Shares'!M124,'NOC &amp; IOC Shares'!M127)</f>
        <v>297.39406125000011</v>
      </c>
      <c r="N132" s="22">
        <f>IF('Assumptions &amp; Results'!$C$172=3,'NOC &amp; IOC Shares'!N124,'NOC &amp; IOC Shares'!N127)</f>
        <v>229.67268439374976</v>
      </c>
      <c r="O132" s="22">
        <f>IF('Assumptions &amp; Results'!$C$172=3,'NOC &amp; IOC Shares'!O124,'NOC &amp; IOC Shares'!O127)</f>
        <v>120.64272000000001</v>
      </c>
      <c r="P132" s="22">
        <f>IF('Assumptions &amp; Results'!$C$172=3,'NOC &amp; IOC Shares'!P124,'NOC &amp; IOC Shares'!P127)</f>
        <v>120.64272000000001</v>
      </c>
      <c r="Q132" s="22">
        <f>IF('Assumptions &amp; Results'!$C$172=3,'NOC &amp; IOC Shares'!Q124,'NOC &amp; IOC Shares'!Q127)</f>
        <v>120.64272000000001</v>
      </c>
      <c r="R132" s="22">
        <f>IF('Assumptions &amp; Results'!$C$172=3,'NOC &amp; IOC Shares'!R124,'NOC &amp; IOC Shares'!R127)</f>
        <v>120.64272000000001</v>
      </c>
      <c r="S132" s="22">
        <f>IF('Assumptions &amp; Results'!$C$172=3,'NOC &amp; IOC Shares'!S124,'NOC &amp; IOC Shares'!S127)</f>
        <v>120.64272000000001</v>
      </c>
      <c r="T132" s="22">
        <f>IF('Assumptions &amp; Results'!$C$172=3,'NOC &amp; IOC Shares'!T124,'NOC &amp; IOC Shares'!T127)</f>
        <v>120.64272000000001</v>
      </c>
      <c r="U132" s="22">
        <f>IF('Assumptions &amp; Results'!$C$172=3,'NOC &amp; IOC Shares'!U124,'NOC &amp; IOC Shares'!U127)</f>
        <v>120.64272000000001</v>
      </c>
      <c r="V132" s="22">
        <f>IF('Assumptions &amp; Results'!$C$172=3,'NOC &amp; IOC Shares'!V124,'NOC &amp; IOC Shares'!V127)</f>
        <v>120.64272000000001</v>
      </c>
      <c r="W132" s="22">
        <f>IF('Assumptions &amp; Results'!$C$172=3,'NOC &amp; IOC Shares'!W124,'NOC &amp; IOC Shares'!W127)</f>
        <v>120.64272000000001</v>
      </c>
      <c r="X132" s="22">
        <f>IF('Assumptions &amp; Results'!$C$172=3,'NOC &amp; IOC Shares'!X124,'NOC &amp; IOC Shares'!X127)</f>
        <v>120.64272000000001</v>
      </c>
      <c r="Y132" s="22">
        <f>IF('Assumptions &amp; Results'!$C$172=3,'NOC &amp; IOC Shares'!Y124,'NOC &amp; IOC Shares'!Y127)</f>
        <v>120.64272000000001</v>
      </c>
      <c r="Z132" s="22">
        <f>IF('Assumptions &amp; Results'!$C$172=3,'NOC &amp; IOC Shares'!Z124,'NOC &amp; IOC Shares'!Z127)</f>
        <v>120.64272000000001</v>
      </c>
      <c r="AA132" s="22">
        <f>IF('Assumptions &amp; Results'!$C$172=3,'NOC &amp; IOC Shares'!AA124,'NOC &amp; IOC Shares'!AA127)</f>
        <v>120.64272000000001</v>
      </c>
      <c r="AB132" s="22">
        <f>IF('Assumptions &amp; Results'!$C$172=3,'NOC &amp; IOC Shares'!AB124,'NOC &amp; IOC Shares'!AB127)</f>
        <v>120.64272000000001</v>
      </c>
      <c r="AC132" s="22">
        <f>IF('Assumptions &amp; Results'!$C$172=3,'NOC &amp; IOC Shares'!AC124,'NOC &amp; IOC Shares'!AC127)</f>
        <v>120.64272000000001</v>
      </c>
      <c r="AD132" s="22">
        <f>IF('Assumptions &amp; Results'!$C$172=3,'NOC &amp; IOC Shares'!AD124,'NOC &amp; IOC Shares'!AD127)</f>
        <v>120.64272000000001</v>
      </c>
      <c r="AE132" s="22">
        <f>IF('Assumptions &amp; Results'!$C$172=3,'NOC &amp; IOC Shares'!AE124,'NOC &amp; IOC Shares'!AE127)</f>
        <v>120.64272000000001</v>
      </c>
      <c r="AF132" s="22">
        <f>IF('Assumptions &amp; Results'!$C$172=3,'NOC &amp; IOC Shares'!AF124,'NOC &amp; IOC Shares'!AF127)</f>
        <v>120.64272000000001</v>
      </c>
      <c r="AG132" s="22">
        <f>IF('Assumptions &amp; Results'!$C$172=3,'NOC &amp; IOC Shares'!AG124,'NOC &amp; IOC Shares'!AG127)</f>
        <v>180.64272000000003</v>
      </c>
      <c r="AH132" s="22">
        <f>IF('Assumptions &amp; Results'!$C$172=3,'NOC &amp; IOC Shares'!AH124,'NOC &amp; IOC Shares'!AH127)</f>
        <v>180.64272000000003</v>
      </c>
      <c r="AI132" s="22">
        <f>IF('Assumptions &amp; Results'!$C$172=3,'NOC &amp; IOC Shares'!AI124,'NOC &amp; IOC Shares'!AI127)</f>
        <v>240.64272000000003</v>
      </c>
      <c r="AJ132" s="125">
        <f>SUM(C132:AI132)</f>
        <v>4936.3175199999969</v>
      </c>
      <c r="AK132" s="22"/>
      <c r="AL132" s="22"/>
    </row>
    <row r="133" spans="1:38" x14ac:dyDescent="0.25">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row>
    <row r="134" spans="1:38" x14ac:dyDescent="0.25">
      <c r="A134" t="s">
        <v>459</v>
      </c>
      <c r="B134" s="96" t="s">
        <v>99</v>
      </c>
      <c r="C134" s="22">
        <f>MIN(C130,C132)</f>
        <v>0</v>
      </c>
      <c r="D134" s="22">
        <f>MIN(D132,C140)</f>
        <v>0</v>
      </c>
      <c r="E134" s="22">
        <f t="shared" ref="E134:AI134" si="26">MIN(E132,D140)</f>
        <v>0</v>
      </c>
      <c r="F134" s="22">
        <f t="shared" si="26"/>
        <v>0</v>
      </c>
      <c r="G134" s="22">
        <f t="shared" si="26"/>
        <v>148.69703062500005</v>
      </c>
      <c r="H134" s="22">
        <f t="shared" si="26"/>
        <v>297.39406125000011</v>
      </c>
      <c r="I134" s="22">
        <f t="shared" si="26"/>
        <v>297.39406125000011</v>
      </c>
      <c r="J134" s="22">
        <f t="shared" si="26"/>
        <v>297.48037873125003</v>
      </c>
      <c r="K134" s="22">
        <f t="shared" si="26"/>
        <v>297.39406125000011</v>
      </c>
      <c r="L134" s="22">
        <f t="shared" si="26"/>
        <v>22.261733621312342</v>
      </c>
      <c r="M134" s="22">
        <f t="shared" si="26"/>
        <v>0</v>
      </c>
      <c r="N134" s="22">
        <f t="shared" si="26"/>
        <v>0</v>
      </c>
      <c r="O134" s="22">
        <f t="shared" si="26"/>
        <v>0</v>
      </c>
      <c r="P134" s="22">
        <f t="shared" si="26"/>
        <v>0</v>
      </c>
      <c r="Q134" s="22">
        <f t="shared" si="26"/>
        <v>0</v>
      </c>
      <c r="R134" s="22">
        <f t="shared" si="26"/>
        <v>0</v>
      </c>
      <c r="S134" s="22">
        <f t="shared" si="26"/>
        <v>0</v>
      </c>
      <c r="T134" s="22">
        <f t="shared" si="26"/>
        <v>0</v>
      </c>
      <c r="U134" s="22">
        <f t="shared" si="26"/>
        <v>0</v>
      </c>
      <c r="V134" s="22">
        <f t="shared" si="26"/>
        <v>0</v>
      </c>
      <c r="W134" s="22">
        <f t="shared" si="26"/>
        <v>0</v>
      </c>
      <c r="X134" s="22">
        <f t="shared" si="26"/>
        <v>0</v>
      </c>
      <c r="Y134" s="22">
        <f t="shared" si="26"/>
        <v>0</v>
      </c>
      <c r="Z134" s="22">
        <f t="shared" si="26"/>
        <v>0</v>
      </c>
      <c r="AA134" s="22">
        <f t="shared" si="26"/>
        <v>0</v>
      </c>
      <c r="AB134" s="22">
        <f t="shared" si="26"/>
        <v>0</v>
      </c>
      <c r="AC134" s="22">
        <f t="shared" si="26"/>
        <v>0</v>
      </c>
      <c r="AD134" s="22">
        <f t="shared" si="26"/>
        <v>0</v>
      </c>
      <c r="AE134" s="22">
        <f t="shared" si="26"/>
        <v>0</v>
      </c>
      <c r="AF134" s="22">
        <f t="shared" si="26"/>
        <v>0</v>
      </c>
      <c r="AG134" s="22">
        <f t="shared" si="26"/>
        <v>0</v>
      </c>
      <c r="AH134" s="22">
        <f t="shared" si="26"/>
        <v>0</v>
      </c>
      <c r="AI134" s="22">
        <f t="shared" si="26"/>
        <v>0</v>
      </c>
      <c r="AJ134" s="125">
        <f>SUM(C134:AI134)</f>
        <v>1360.6213267275627</v>
      </c>
      <c r="AK134" s="22"/>
      <c r="AL134" s="22"/>
    </row>
    <row r="135" spans="1:38" x14ac:dyDescent="0.25">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row>
    <row r="136" spans="1:38" x14ac:dyDescent="0.25">
      <c r="A136" t="s">
        <v>465</v>
      </c>
      <c r="B136" s="96" t="s">
        <v>99</v>
      </c>
      <c r="C136" s="22">
        <f>C130-C134+C131</f>
        <v>40</v>
      </c>
      <c r="D136" s="22">
        <f>C140+D130-D134</f>
        <v>127.2</v>
      </c>
      <c r="E136" s="22">
        <f t="shared" ref="E136:AI136" si="27">D140+E130-E134</f>
        <v>307.37599999999998</v>
      </c>
      <c r="F136" s="22">
        <f t="shared" si="27"/>
        <v>711.96607999999992</v>
      </c>
      <c r="G136" s="22">
        <f t="shared" si="27"/>
        <v>950.22633577499982</v>
      </c>
      <c r="H136" s="22">
        <f t="shared" si="27"/>
        <v>782.85038138699974</v>
      </c>
      <c r="I136" s="22">
        <f t="shared" si="27"/>
        <v>548.08435064795958</v>
      </c>
      <c r="J136" s="22">
        <f t="shared" si="27"/>
        <v>294.45071996854637</v>
      </c>
      <c r="K136" s="22">
        <f t="shared" si="27"/>
        <v>20.612716316029946</v>
      </c>
      <c r="L136" s="22">
        <f t="shared" si="27"/>
        <v>0</v>
      </c>
      <c r="M136" s="22">
        <f t="shared" si="27"/>
        <v>0</v>
      </c>
      <c r="N136" s="22">
        <f t="shared" si="27"/>
        <v>0</v>
      </c>
      <c r="O136" s="22">
        <f t="shared" si="27"/>
        <v>0</v>
      </c>
      <c r="P136" s="22">
        <f t="shared" si="27"/>
        <v>0</v>
      </c>
      <c r="Q136" s="22">
        <f t="shared" si="27"/>
        <v>0</v>
      </c>
      <c r="R136" s="22">
        <f t="shared" si="27"/>
        <v>0</v>
      </c>
      <c r="S136" s="22">
        <f t="shared" si="27"/>
        <v>0</v>
      </c>
      <c r="T136" s="22">
        <f t="shared" si="27"/>
        <v>0</v>
      </c>
      <c r="U136" s="22">
        <f t="shared" si="27"/>
        <v>0</v>
      </c>
      <c r="V136" s="22">
        <f t="shared" si="27"/>
        <v>0</v>
      </c>
      <c r="W136" s="22">
        <f t="shared" si="27"/>
        <v>0</v>
      </c>
      <c r="X136" s="22">
        <f t="shared" si="27"/>
        <v>0</v>
      </c>
      <c r="Y136" s="22">
        <f t="shared" si="27"/>
        <v>0</v>
      </c>
      <c r="Z136" s="22">
        <f t="shared" si="27"/>
        <v>0</v>
      </c>
      <c r="AA136" s="22">
        <f t="shared" si="27"/>
        <v>0</v>
      </c>
      <c r="AB136" s="22">
        <f t="shared" si="27"/>
        <v>0</v>
      </c>
      <c r="AC136" s="22">
        <f t="shared" si="27"/>
        <v>0</v>
      </c>
      <c r="AD136" s="22">
        <f t="shared" si="27"/>
        <v>0</v>
      </c>
      <c r="AE136" s="22">
        <f t="shared" si="27"/>
        <v>0</v>
      </c>
      <c r="AF136" s="22">
        <f t="shared" si="27"/>
        <v>0</v>
      </c>
      <c r="AG136" s="22">
        <f t="shared" si="27"/>
        <v>0</v>
      </c>
      <c r="AH136" s="22">
        <f t="shared" si="27"/>
        <v>0</v>
      </c>
      <c r="AI136" s="22">
        <f t="shared" si="27"/>
        <v>0</v>
      </c>
      <c r="AJ136" s="125">
        <f>SUM(C136:AI136)</f>
        <v>3782.7665840945356</v>
      </c>
      <c r="AK136" s="22"/>
      <c r="AL136" s="22"/>
    </row>
    <row r="137" spans="1:38" x14ac:dyDescent="0.25">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row>
    <row r="138" spans="1:38" x14ac:dyDescent="0.25">
      <c r="A138" t="s">
        <v>458</v>
      </c>
      <c r="B138" s="96" t="s">
        <v>99</v>
      </c>
      <c r="C138" s="22">
        <f>'Assumptions &amp; Results'!$C$169*'Assumptions &amp; Results'!$C$163*'NOC &amp; IOC Shares'!C136</f>
        <v>3.2</v>
      </c>
      <c r="D138" s="22">
        <f>'Assumptions &amp; Results'!$C$169*'Assumptions &amp; Results'!$C$163*'NOC &amp; IOC Shares'!D136</f>
        <v>10.176</v>
      </c>
      <c r="E138" s="22">
        <f>'Assumptions &amp; Results'!$C$169*'Assumptions &amp; Results'!$C$163*'NOC &amp; IOC Shares'!E136</f>
        <v>24.59008</v>
      </c>
      <c r="F138" s="22">
        <f>'Assumptions &amp; Results'!$C$169*'Assumptions &amp; Results'!$C$163*'NOC &amp; IOC Shares'!F136</f>
        <v>56.957286399999994</v>
      </c>
      <c r="G138" s="22">
        <f>'Assumptions &amp; Results'!$C$169*'Assumptions &amp; Results'!$C$163*'NOC &amp; IOC Shares'!G136</f>
        <v>76.018106861999982</v>
      </c>
      <c r="H138" s="22">
        <f>'Assumptions &amp; Results'!$C$169*'Assumptions &amp; Results'!$C$163*'NOC &amp; IOC Shares'!H136</f>
        <v>62.628030510959981</v>
      </c>
      <c r="I138" s="22">
        <f>'Assumptions &amp; Results'!$C$169*'Assumptions &amp; Results'!$C$163*'NOC &amp; IOC Shares'!I136</f>
        <v>43.846748051836769</v>
      </c>
      <c r="J138" s="22">
        <f>'Assumptions &amp; Results'!$C$169*'Assumptions &amp; Results'!$C$163*'NOC &amp; IOC Shares'!J136</f>
        <v>23.556057597483711</v>
      </c>
      <c r="K138" s="22">
        <f>'Assumptions &amp; Results'!$C$169*'Assumptions &amp; Results'!$C$163*'NOC &amp; IOC Shares'!K136</f>
        <v>1.6490173052823958</v>
      </c>
      <c r="L138" s="22">
        <f>'Assumptions &amp; Results'!$C$169*'Assumptions &amp; Results'!$C$163*'NOC &amp; IOC Shares'!L136</f>
        <v>0</v>
      </c>
      <c r="M138" s="22">
        <f>'Assumptions &amp; Results'!$C$169*'Assumptions &amp; Results'!$C$163*'NOC &amp; IOC Shares'!M136</f>
        <v>0</v>
      </c>
      <c r="N138" s="22">
        <f>'Assumptions &amp; Results'!$C$169*'Assumptions &amp; Results'!$C$163*'NOC &amp; IOC Shares'!N136</f>
        <v>0</v>
      </c>
      <c r="O138" s="22">
        <f>'Assumptions &amp; Results'!$C$169*'Assumptions &amp; Results'!$C$163*'NOC &amp; IOC Shares'!O136</f>
        <v>0</v>
      </c>
      <c r="P138" s="22">
        <f>'Assumptions &amp; Results'!$C$169*'Assumptions &amp; Results'!$C$163*'NOC &amp; IOC Shares'!P136</f>
        <v>0</v>
      </c>
      <c r="Q138" s="22">
        <f>'Assumptions &amp; Results'!$C$169*'Assumptions &amp; Results'!$C$163*'NOC &amp; IOC Shares'!Q136</f>
        <v>0</v>
      </c>
      <c r="R138" s="22">
        <f>'Assumptions &amp; Results'!$C$169*'Assumptions &amp; Results'!$C$163*'NOC &amp; IOC Shares'!R136</f>
        <v>0</v>
      </c>
      <c r="S138" s="22">
        <f>'Assumptions &amp; Results'!$C$169*'Assumptions &amp; Results'!$C$163*'NOC &amp; IOC Shares'!S136</f>
        <v>0</v>
      </c>
      <c r="T138" s="22">
        <f>'Assumptions &amp; Results'!$C$169*'Assumptions &amp; Results'!$C$163*'NOC &amp; IOC Shares'!T136</f>
        <v>0</v>
      </c>
      <c r="U138" s="22">
        <f>'Assumptions &amp; Results'!$C$169*'Assumptions &amp; Results'!$C$163*'NOC &amp; IOC Shares'!U136</f>
        <v>0</v>
      </c>
      <c r="V138" s="22">
        <f>'Assumptions &amp; Results'!$C$169*'Assumptions &amp; Results'!$C$163*'NOC &amp; IOC Shares'!V136</f>
        <v>0</v>
      </c>
      <c r="W138" s="22">
        <f>'Assumptions &amp; Results'!$C$169*'Assumptions &amp; Results'!$C$163*'NOC &amp; IOC Shares'!W136</f>
        <v>0</v>
      </c>
      <c r="X138" s="22">
        <f>'Assumptions &amp; Results'!$C$169*'Assumptions &amp; Results'!$C$163*'NOC &amp; IOC Shares'!X136</f>
        <v>0</v>
      </c>
      <c r="Y138" s="22">
        <f>'Assumptions &amp; Results'!$C$169*'Assumptions &amp; Results'!$C$163*'NOC &amp; IOC Shares'!Y136</f>
        <v>0</v>
      </c>
      <c r="Z138" s="22">
        <f>'Assumptions &amp; Results'!$C$169*'Assumptions &amp; Results'!$C$163*'NOC &amp; IOC Shares'!Z136</f>
        <v>0</v>
      </c>
      <c r="AA138" s="22">
        <f>'Assumptions &amp; Results'!$C$169*'Assumptions &amp; Results'!$C$163*'NOC &amp; IOC Shares'!AA136</f>
        <v>0</v>
      </c>
      <c r="AB138" s="22">
        <f>'Assumptions &amp; Results'!$C$169*'Assumptions &amp; Results'!$C$163*'NOC &amp; IOC Shares'!AB136</f>
        <v>0</v>
      </c>
      <c r="AC138" s="22">
        <f>'Assumptions &amp; Results'!$C$169*'Assumptions &amp; Results'!$C$163*'NOC &amp; IOC Shares'!AC136</f>
        <v>0</v>
      </c>
      <c r="AD138" s="22">
        <f>'Assumptions &amp; Results'!$C$169*'Assumptions &amp; Results'!$C$163*'NOC &amp; IOC Shares'!AD136</f>
        <v>0</v>
      </c>
      <c r="AE138" s="22">
        <f>'Assumptions &amp; Results'!$C$169*'Assumptions &amp; Results'!$C$163*'NOC &amp; IOC Shares'!AE136</f>
        <v>0</v>
      </c>
      <c r="AF138" s="22">
        <f>'Assumptions &amp; Results'!$C$169*'Assumptions &amp; Results'!$C$163*'NOC &amp; IOC Shares'!AF136</f>
        <v>0</v>
      </c>
      <c r="AG138" s="22">
        <f>'Assumptions &amp; Results'!$C$169*'Assumptions &amp; Results'!$C$163*'NOC &amp; IOC Shares'!AG136</f>
        <v>0</v>
      </c>
      <c r="AH138" s="22">
        <f>'Assumptions &amp; Results'!$C$169*'Assumptions &amp; Results'!$C$163*'NOC &amp; IOC Shares'!AH136</f>
        <v>0</v>
      </c>
      <c r="AI138" s="22">
        <f>'Assumptions &amp; Results'!$C$169*'Assumptions &amp; Results'!$C$163*'NOC &amp; IOC Shares'!AI136</f>
        <v>0</v>
      </c>
      <c r="AJ138" s="125">
        <f>SUM(C138:AI138)</f>
        <v>302.6213267275628</v>
      </c>
      <c r="AK138" s="22"/>
      <c r="AL138" s="22"/>
    </row>
    <row r="139" spans="1:38" x14ac:dyDescent="0.25">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row>
    <row r="140" spans="1:38" x14ac:dyDescent="0.25">
      <c r="A140" t="s">
        <v>466</v>
      </c>
      <c r="B140" s="96" t="s">
        <v>99</v>
      </c>
      <c r="C140" s="22">
        <f>C136+C138</f>
        <v>43.2</v>
      </c>
      <c r="D140" s="22">
        <f>D136+D138</f>
        <v>137.376</v>
      </c>
      <c r="E140" s="22">
        <f t="shared" ref="E140:AI140" si="28">E136+E138</f>
        <v>331.96607999999998</v>
      </c>
      <c r="F140" s="22">
        <f t="shared" si="28"/>
        <v>768.92336639999996</v>
      </c>
      <c r="G140" s="22">
        <f t="shared" si="28"/>
        <v>1026.2444426369998</v>
      </c>
      <c r="H140" s="22">
        <f t="shared" si="28"/>
        <v>845.47841189795975</v>
      </c>
      <c r="I140" s="22">
        <f t="shared" si="28"/>
        <v>591.93109869979639</v>
      </c>
      <c r="J140" s="22">
        <f t="shared" si="28"/>
        <v>318.00677756603005</v>
      </c>
      <c r="K140" s="22">
        <f t="shared" si="28"/>
        <v>22.261733621312342</v>
      </c>
      <c r="L140" s="22">
        <f t="shared" si="28"/>
        <v>0</v>
      </c>
      <c r="M140" s="22">
        <f t="shared" si="28"/>
        <v>0</v>
      </c>
      <c r="N140" s="22">
        <f t="shared" si="28"/>
        <v>0</v>
      </c>
      <c r="O140" s="22">
        <f t="shared" si="28"/>
        <v>0</v>
      </c>
      <c r="P140" s="22">
        <f t="shared" si="28"/>
        <v>0</v>
      </c>
      <c r="Q140" s="22">
        <f t="shared" si="28"/>
        <v>0</v>
      </c>
      <c r="R140" s="22">
        <f t="shared" si="28"/>
        <v>0</v>
      </c>
      <c r="S140" s="22">
        <f t="shared" si="28"/>
        <v>0</v>
      </c>
      <c r="T140" s="22">
        <f t="shared" si="28"/>
        <v>0</v>
      </c>
      <c r="U140" s="22">
        <f t="shared" si="28"/>
        <v>0</v>
      </c>
      <c r="V140" s="22">
        <f t="shared" si="28"/>
        <v>0</v>
      </c>
      <c r="W140" s="22">
        <f t="shared" si="28"/>
        <v>0</v>
      </c>
      <c r="X140" s="22">
        <f t="shared" si="28"/>
        <v>0</v>
      </c>
      <c r="Y140" s="22">
        <f t="shared" si="28"/>
        <v>0</v>
      </c>
      <c r="Z140" s="22">
        <f t="shared" si="28"/>
        <v>0</v>
      </c>
      <c r="AA140" s="22">
        <f t="shared" si="28"/>
        <v>0</v>
      </c>
      <c r="AB140" s="22">
        <f t="shared" si="28"/>
        <v>0</v>
      </c>
      <c r="AC140" s="22">
        <f t="shared" si="28"/>
        <v>0</v>
      </c>
      <c r="AD140" s="22">
        <f t="shared" si="28"/>
        <v>0</v>
      </c>
      <c r="AE140" s="22">
        <f t="shared" si="28"/>
        <v>0</v>
      </c>
      <c r="AF140" s="22">
        <f t="shared" si="28"/>
        <v>0</v>
      </c>
      <c r="AG140" s="22">
        <f t="shared" si="28"/>
        <v>0</v>
      </c>
      <c r="AH140" s="22">
        <f t="shared" si="28"/>
        <v>0</v>
      </c>
      <c r="AI140" s="22">
        <f t="shared" si="28"/>
        <v>0</v>
      </c>
      <c r="AJ140" s="125">
        <f>SUM(C140:AI140)</f>
        <v>4085.3879108220981</v>
      </c>
      <c r="AK140" s="22"/>
      <c r="AL140" s="22"/>
    </row>
    <row r="141" spans="1:38" x14ac:dyDescent="0.25">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row>
    <row r="142" spans="1:38" x14ac:dyDescent="0.25">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row>
    <row r="143" spans="1:38" x14ac:dyDescent="0.25">
      <c r="AK143" s="22"/>
      <c r="AL143" s="22"/>
    </row>
    <row r="144" spans="1:38" x14ac:dyDescent="0.25">
      <c r="AK144" s="22"/>
      <c r="AL144" s="22"/>
    </row>
    <row r="145" spans="37:38" x14ac:dyDescent="0.25">
      <c r="AK145" s="22"/>
      <c r="AL145" s="22"/>
    </row>
    <row r="146" spans="37:38" x14ac:dyDescent="0.25">
      <c r="AK146" s="22"/>
      <c r="AL146" s="22"/>
    </row>
  </sheetData>
  <pageMargins left="0.7" right="0.7" top="0.75" bottom="0.75" header="0.3" footer="0.3"/>
  <pageSetup orientation="portrait" horizontalDpi="360" verticalDpi="36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FF0000"/>
  </sheetPr>
  <dimension ref="A1:AK49"/>
  <sheetViews>
    <sheetView workbookViewId="0">
      <pane xSplit="1" topLeftCell="B1" activePane="topRight" state="frozen"/>
      <selection activeCell="AI51" sqref="AI51"/>
      <selection pane="topRight"/>
    </sheetView>
  </sheetViews>
  <sheetFormatPr defaultColWidth="8.85546875" defaultRowHeight="15" x14ac:dyDescent="0.25"/>
  <cols>
    <col min="1" max="1" width="43" customWidth="1"/>
    <col min="2" max="2" width="11.28515625" customWidth="1"/>
    <col min="3" max="3" width="8.85546875" bestFit="1" customWidth="1"/>
    <col min="4" max="4" width="9.85546875" customWidth="1"/>
    <col min="5" max="5" width="10.140625" bestFit="1" customWidth="1"/>
    <col min="6" max="6" width="11.140625" bestFit="1" customWidth="1"/>
    <col min="7" max="34" width="8.85546875" bestFit="1" customWidth="1"/>
    <col min="35" max="35" width="8.85546875" customWidth="1"/>
    <col min="36" max="36" width="10.140625" style="124" bestFit="1" customWidth="1"/>
  </cols>
  <sheetData>
    <row r="1" spans="1:36" s="69" customFormat="1" ht="21" x14ac:dyDescent="0.25">
      <c r="A1" s="197" t="s">
        <v>221</v>
      </c>
      <c r="AJ1" s="122"/>
    </row>
    <row r="2" spans="1:36" ht="15.95" thickBot="1" x14ac:dyDescent="0.25">
      <c r="B2" s="1" t="s">
        <v>222</v>
      </c>
      <c r="C2" s="1">
        <f>'Assumptions &amp; Results'!D2</f>
        <v>2017</v>
      </c>
      <c r="D2" s="1">
        <f>'Assumptions &amp; Results'!E2</f>
        <v>2018</v>
      </c>
      <c r="E2" s="1">
        <f>'Assumptions &amp; Results'!F2</f>
        <v>2019</v>
      </c>
      <c r="F2" s="1">
        <f>'Assumptions &amp; Results'!G2</f>
        <v>2020</v>
      </c>
      <c r="G2" s="1">
        <f>'Assumptions &amp; Results'!H2</f>
        <v>2021</v>
      </c>
      <c r="H2" s="1">
        <f>'Assumptions &amp; Results'!I2</f>
        <v>2022</v>
      </c>
      <c r="I2" s="1">
        <f>'Assumptions &amp; Results'!J2</f>
        <v>2023</v>
      </c>
      <c r="J2" s="1">
        <f>'Assumptions &amp; Results'!K2</f>
        <v>2024</v>
      </c>
      <c r="K2" s="1">
        <f>'Assumptions &amp; Results'!L2</f>
        <v>2025</v>
      </c>
      <c r="L2" s="1">
        <f>'Assumptions &amp; Results'!M2</f>
        <v>2026</v>
      </c>
      <c r="M2" s="1">
        <f>'Assumptions &amp; Results'!N2</f>
        <v>2027</v>
      </c>
      <c r="N2" s="1">
        <f>'Assumptions &amp; Results'!O2</f>
        <v>2028</v>
      </c>
      <c r="O2" s="1">
        <f>'Assumptions &amp; Results'!P2</f>
        <v>2029</v>
      </c>
      <c r="P2" s="1">
        <f>'Assumptions &amp; Results'!Q2</f>
        <v>2030</v>
      </c>
      <c r="Q2" s="1">
        <f>'Assumptions &amp; Results'!R2</f>
        <v>2031</v>
      </c>
      <c r="R2" s="1">
        <f>'Assumptions &amp; Results'!S2</f>
        <v>2032</v>
      </c>
      <c r="S2" s="1">
        <f>'Assumptions &amp; Results'!T2</f>
        <v>2033</v>
      </c>
      <c r="T2" s="1">
        <f>'Assumptions &amp; Results'!U2</f>
        <v>2034</v>
      </c>
      <c r="U2" s="1">
        <f>'Assumptions &amp; Results'!V2</f>
        <v>2035</v>
      </c>
      <c r="V2" s="1">
        <f>'Assumptions &amp; Results'!W2</f>
        <v>2036</v>
      </c>
      <c r="W2" s="1">
        <f>'Assumptions &amp; Results'!X2</f>
        <v>2037</v>
      </c>
      <c r="X2" s="1">
        <f>'Assumptions &amp; Results'!Y2</f>
        <v>2038</v>
      </c>
      <c r="Y2" s="1">
        <f>'Assumptions &amp; Results'!Z2</f>
        <v>2039</v>
      </c>
      <c r="Z2" s="1">
        <f>'Assumptions &amp; Results'!AA2</f>
        <v>2040</v>
      </c>
      <c r="AA2" s="1">
        <f>'Assumptions &amp; Results'!AB2</f>
        <v>2041</v>
      </c>
      <c r="AB2" s="1">
        <f>'Assumptions &amp; Results'!AC2</f>
        <v>2042</v>
      </c>
      <c r="AC2" s="1">
        <f>'Assumptions &amp; Results'!AD2</f>
        <v>2043</v>
      </c>
      <c r="AD2" s="1">
        <f>'Assumptions &amp; Results'!AE2</f>
        <v>2044</v>
      </c>
      <c r="AE2" s="1">
        <f>'Assumptions &amp; Results'!AF2</f>
        <v>2045</v>
      </c>
      <c r="AF2" s="1">
        <f>'Assumptions &amp; Results'!AG2</f>
        <v>2046</v>
      </c>
      <c r="AG2" s="1">
        <f>'Assumptions &amp; Results'!AH2</f>
        <v>2047</v>
      </c>
      <c r="AH2" s="1">
        <f>'Assumptions &amp; Results'!AI2</f>
        <v>2048</v>
      </c>
      <c r="AI2" s="1">
        <f>'Assumptions &amp; Results'!AJ2</f>
        <v>2049</v>
      </c>
      <c r="AJ2" s="123" t="s">
        <v>63</v>
      </c>
    </row>
    <row r="3" spans="1:36" ht="15.95" thickBot="1" x14ac:dyDescent="0.25">
      <c r="A3" t="s">
        <v>223</v>
      </c>
      <c r="B3" t="str">
        <f>'Assumptions &amp; Results'!B119</f>
        <v>Straight Line</v>
      </c>
      <c r="C3" s="34">
        <f>'Assumptions &amp; Results'!$C$119</f>
        <v>4</v>
      </c>
    </row>
    <row r="4" spans="1:36" x14ac:dyDescent="0.2">
      <c r="C4" s="38"/>
    </row>
    <row r="5" spans="1:36" x14ac:dyDescent="0.2">
      <c r="A5" t="s">
        <v>224</v>
      </c>
      <c r="B5" t="str">
        <f>'Assumptions &amp; Results'!B40</f>
        <v>$MM</v>
      </c>
      <c r="C5" s="8">
        <f>'Assumptions &amp; Results'!D40</f>
        <v>200</v>
      </c>
      <c r="D5" s="8">
        <f>'Assumptions &amp; Results'!E40</f>
        <v>420</v>
      </c>
      <c r="E5" s="8">
        <f>'Assumptions &amp; Results'!F40</f>
        <v>850</v>
      </c>
      <c r="F5" s="8">
        <f>'Assumptions &amp; Results'!G40</f>
        <v>1900</v>
      </c>
      <c r="G5" s="8">
        <f>'Assumptions &amp; Results'!H40</f>
        <v>1650</v>
      </c>
      <c r="H5" s="8">
        <f>'Assumptions &amp; Results'!I40</f>
        <v>270</v>
      </c>
      <c r="I5" s="8">
        <f>'Assumptions &amp; Results'!J40</f>
        <v>0</v>
      </c>
      <c r="J5" s="8">
        <f>'Assumptions &amp; Results'!K40</f>
        <v>0</v>
      </c>
      <c r="K5" s="8">
        <f>'Assumptions &amp; Results'!L40</f>
        <v>0</v>
      </c>
      <c r="L5" s="8">
        <f>'Assumptions &amp; Results'!M40</f>
        <v>0</v>
      </c>
      <c r="M5" s="8">
        <f>'Assumptions &amp; Results'!N40</f>
        <v>0</v>
      </c>
      <c r="N5" s="8">
        <f>'Assumptions &amp; Results'!O40</f>
        <v>0</v>
      </c>
      <c r="O5" s="8">
        <f>'Assumptions &amp; Results'!P40</f>
        <v>0</v>
      </c>
      <c r="P5" s="8">
        <f>'Assumptions &amp; Results'!Q40</f>
        <v>0</v>
      </c>
      <c r="Q5" s="8">
        <f>'Assumptions &amp; Results'!R40</f>
        <v>0</v>
      </c>
      <c r="R5" s="8">
        <f>'Assumptions &amp; Results'!S40</f>
        <v>0</v>
      </c>
      <c r="S5" s="8">
        <f>'Assumptions &amp; Results'!T40</f>
        <v>0</v>
      </c>
      <c r="T5" s="8">
        <f>'Assumptions &amp; Results'!U40</f>
        <v>0</v>
      </c>
      <c r="U5" s="8">
        <f>'Assumptions &amp; Results'!V40</f>
        <v>0</v>
      </c>
      <c r="V5" s="8">
        <f>'Assumptions &amp; Results'!W40</f>
        <v>0</v>
      </c>
      <c r="W5" s="8">
        <f>'Assumptions &amp; Results'!X40</f>
        <v>0</v>
      </c>
      <c r="X5" s="8">
        <f>'Assumptions &amp; Results'!Y40</f>
        <v>0</v>
      </c>
      <c r="Y5" s="8">
        <f>'Assumptions &amp; Results'!Z40</f>
        <v>0</v>
      </c>
      <c r="Z5" s="8">
        <f>'Assumptions &amp; Results'!AA40</f>
        <v>0</v>
      </c>
      <c r="AA5" s="8">
        <f>'Assumptions &amp; Results'!AB40</f>
        <v>0</v>
      </c>
      <c r="AB5" s="8">
        <f>'Assumptions &amp; Results'!AC40</f>
        <v>0</v>
      </c>
      <c r="AC5" s="8">
        <f>'Assumptions &amp; Results'!AD40</f>
        <v>0</v>
      </c>
      <c r="AD5" s="8">
        <f>'Assumptions &amp; Results'!AE40</f>
        <v>0</v>
      </c>
      <c r="AE5" s="8">
        <f>'Assumptions &amp; Results'!AF40</f>
        <v>0</v>
      </c>
      <c r="AF5" s="8">
        <f>'Assumptions &amp; Results'!AG40</f>
        <v>0</v>
      </c>
      <c r="AG5" s="8">
        <f>'Assumptions &amp; Results'!AH40</f>
        <v>0</v>
      </c>
      <c r="AH5" s="8">
        <f>'Assumptions &amp; Results'!AI40</f>
        <v>0</v>
      </c>
      <c r="AI5" s="8">
        <f>'Assumptions &amp; Results'!AJ40</f>
        <v>0</v>
      </c>
      <c r="AJ5" s="125">
        <f>'Assumptions &amp; Results'!AK40</f>
        <v>5290</v>
      </c>
    </row>
    <row r="6" spans="1:36" x14ac:dyDescent="0.2">
      <c r="A6" s="4"/>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125"/>
    </row>
    <row r="7" spans="1:36" x14ac:dyDescent="0.2">
      <c r="C7" s="38"/>
    </row>
    <row r="8" spans="1:36" x14ac:dyDescent="0.2">
      <c r="A8" s="1" t="s">
        <v>225</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125"/>
    </row>
    <row r="9" spans="1:36" x14ac:dyDescent="0.2">
      <c r="A9" t="s">
        <v>33</v>
      </c>
      <c r="B9" t="s">
        <v>99</v>
      </c>
      <c r="C9" s="8">
        <f>'Gas PL'!C8*'Assumptions &amp; Results'!$C$68</f>
        <v>0</v>
      </c>
      <c r="D9" s="8">
        <f>'Gas PL'!D8*'Assumptions &amp; Results'!$C$68</f>
        <v>0</v>
      </c>
      <c r="E9" s="8">
        <f>'Gas PL'!E8*'Assumptions &amp; Results'!$C$68</f>
        <v>0</v>
      </c>
      <c r="F9" s="8">
        <f>'Gas PL'!F8*'Assumptions &amp; Results'!$C$68</f>
        <v>0</v>
      </c>
      <c r="G9" s="8">
        <f>'Gas PL'!G8*'Assumptions &amp; Results'!$C$68</f>
        <v>0</v>
      </c>
      <c r="H9" s="8">
        <f>'Gas PL'!H8*'Assumptions &amp; Results'!$C$68</f>
        <v>0</v>
      </c>
      <c r="I9" s="8">
        <f>'Gas PL'!I8*'Assumptions &amp; Results'!$C$68</f>
        <v>0</v>
      </c>
      <c r="J9" s="8">
        <f>'Gas PL'!J8*'Assumptions &amp; Results'!$C$68</f>
        <v>0</v>
      </c>
      <c r="K9" s="8">
        <f>'Gas PL'!K8*'Assumptions &amp; Results'!$C$68</f>
        <v>0</v>
      </c>
      <c r="L9" s="8">
        <f>'Gas PL'!L8*'Assumptions &amp; Results'!$C$68</f>
        <v>0</v>
      </c>
      <c r="M9" s="8">
        <f>'Gas PL'!M8*'Assumptions &amp; Results'!$C$68</f>
        <v>0</v>
      </c>
      <c r="N9" s="8">
        <f>'Gas PL'!N8*'Assumptions &amp; Results'!$C$68</f>
        <v>0</v>
      </c>
      <c r="O9" s="8">
        <f>'Gas PL'!O8*'Assumptions &amp; Results'!$C$68</f>
        <v>0</v>
      </c>
      <c r="P9" s="8">
        <f>'Gas PL'!P8*'Assumptions &amp; Results'!$C$68</f>
        <v>0</v>
      </c>
      <c r="Q9" s="8">
        <f>'Gas PL'!Q8*'Assumptions &amp; Results'!$C$68</f>
        <v>0</v>
      </c>
      <c r="R9" s="8">
        <f>'Gas PL'!R8*'Assumptions &amp; Results'!$C$68</f>
        <v>0</v>
      </c>
      <c r="S9" s="8">
        <f>'Gas PL'!S8*'Assumptions &amp; Results'!$C$68</f>
        <v>0</v>
      </c>
      <c r="T9" s="8">
        <f>'Gas PL'!T8*'Assumptions &amp; Results'!$C$68</f>
        <v>0</v>
      </c>
      <c r="U9" s="8">
        <f>'Gas PL'!U8*'Assumptions &amp; Results'!$C$68</f>
        <v>0</v>
      </c>
      <c r="V9" s="8">
        <f>'Gas PL'!V8*'Assumptions &amp; Results'!$C$68</f>
        <v>0</v>
      </c>
      <c r="W9" s="8">
        <f>'Gas PL'!W8*'Assumptions &amp; Results'!$C$68</f>
        <v>0</v>
      </c>
      <c r="X9" s="8">
        <f>'Gas PL'!X8*'Assumptions &amp; Results'!$C$68</f>
        <v>0</v>
      </c>
      <c r="Y9" s="8">
        <f>'Gas PL'!Y8*'Assumptions &amp; Results'!$C$68</f>
        <v>0</v>
      </c>
      <c r="Z9" s="8">
        <f>'Gas PL'!Z8*'Assumptions &amp; Results'!$C$68</f>
        <v>0</v>
      </c>
      <c r="AA9" s="8">
        <f>'Gas PL'!AA8*'Assumptions &amp; Results'!$C$68</f>
        <v>0</v>
      </c>
      <c r="AB9" s="8">
        <f>'Gas PL'!AB8*'Assumptions &amp; Results'!$C$68</f>
        <v>0</v>
      </c>
      <c r="AC9" s="8">
        <f>'Gas PL'!AC8*'Assumptions &amp; Results'!$C$68</f>
        <v>0</v>
      </c>
      <c r="AD9" s="8">
        <f>'Gas PL'!AD8*'Assumptions &amp; Results'!$C$68</f>
        <v>0</v>
      </c>
      <c r="AE9" s="8">
        <f>'Gas PL'!AE8*'Assumptions &amp; Results'!$C$68</f>
        <v>0</v>
      </c>
      <c r="AF9" s="8">
        <f>'Gas PL'!AF8*'Assumptions &amp; Results'!$C$68</f>
        <v>0</v>
      </c>
      <c r="AG9" s="8">
        <f>'Gas PL'!AG8*'Assumptions &amp; Results'!$C$68</f>
        <v>0</v>
      </c>
      <c r="AH9" s="8">
        <f>'Gas PL'!AH8*'Assumptions &amp; Results'!$C$68</f>
        <v>0</v>
      </c>
      <c r="AI9" s="8">
        <f>'Gas PL'!AI8*'Assumptions &amp; Results'!$C$68</f>
        <v>0</v>
      </c>
      <c r="AJ9" s="125">
        <f>SUM(C9:AI9)</f>
        <v>0</v>
      </c>
    </row>
    <row r="10" spans="1:36" ht="18" x14ac:dyDescent="0.35">
      <c r="A10" t="s">
        <v>226</v>
      </c>
      <c r="B10" t="s">
        <v>99</v>
      </c>
      <c r="C10" s="27">
        <f>'LNG Equity '!C6*'Assumptions &amp; Results'!$C$90</f>
        <v>0</v>
      </c>
      <c r="D10" s="27">
        <f>'LNG Equity '!D6*'Assumptions &amp; Results'!$C$90</f>
        <v>0</v>
      </c>
      <c r="E10" s="27">
        <f>'LNG Equity '!E6*'Assumptions &amp; Results'!$C$90</f>
        <v>0</v>
      </c>
      <c r="F10" s="27">
        <f>'LNG Equity '!F6*'Assumptions &amp; Results'!$C$90</f>
        <v>0</v>
      </c>
      <c r="G10" s="27">
        <f>'LNG Equity '!G6*'Assumptions &amp; Results'!$C$90</f>
        <v>0</v>
      </c>
      <c r="H10" s="27">
        <f>'LNG Equity '!H6*'Assumptions &amp; Results'!$C$90</f>
        <v>0</v>
      </c>
      <c r="I10" s="27">
        <f>'LNG Equity '!I6*'Assumptions &amp; Results'!$C$90</f>
        <v>0</v>
      </c>
      <c r="J10" s="27">
        <f>'LNG Equity '!J6*'Assumptions &amp; Results'!$C$90</f>
        <v>0</v>
      </c>
      <c r="K10" s="27">
        <f>'LNG Equity '!K6*'Assumptions &amp; Results'!$C$90</f>
        <v>0</v>
      </c>
      <c r="L10" s="27">
        <f>'LNG Equity '!L6*'Assumptions &amp; Results'!$C$90</f>
        <v>0</v>
      </c>
      <c r="M10" s="27">
        <f>'LNG Equity '!M6*'Assumptions &amp; Results'!$C$90</f>
        <v>0</v>
      </c>
      <c r="N10" s="27">
        <f>'LNG Equity '!N6*'Assumptions &amp; Results'!$C$90</f>
        <v>0</v>
      </c>
      <c r="O10" s="27">
        <f>'LNG Equity '!O6*'Assumptions &amp; Results'!$C$90</f>
        <v>0</v>
      </c>
      <c r="P10" s="27">
        <f>'LNG Equity '!P6*'Assumptions &amp; Results'!$C$90</f>
        <v>0</v>
      </c>
      <c r="Q10" s="27">
        <f>'LNG Equity '!Q6*'Assumptions &amp; Results'!$C$90</f>
        <v>0</v>
      </c>
      <c r="R10" s="27">
        <f>'LNG Equity '!R6*'Assumptions &amp; Results'!$C$90</f>
        <v>0</v>
      </c>
      <c r="S10" s="27">
        <f>'LNG Equity '!S6*'Assumptions &amp; Results'!$C$90</f>
        <v>0</v>
      </c>
      <c r="T10" s="27">
        <f>'LNG Equity '!T6*'Assumptions &amp; Results'!$C$90</f>
        <v>0</v>
      </c>
      <c r="U10" s="27">
        <f>'LNG Equity '!U6*'Assumptions &amp; Results'!$C$90</f>
        <v>0</v>
      </c>
      <c r="V10" s="27">
        <f>'LNG Equity '!V6*'Assumptions &amp; Results'!$C$90</f>
        <v>0</v>
      </c>
      <c r="W10" s="27">
        <f>'LNG Equity '!W6*'Assumptions &amp; Results'!$C$90</f>
        <v>0</v>
      </c>
      <c r="X10" s="27">
        <f>'LNG Equity '!X6*'Assumptions &amp; Results'!$C$90</f>
        <v>0</v>
      </c>
      <c r="Y10" s="27">
        <f>'LNG Equity '!Y6*'Assumptions &amp; Results'!$C$90</f>
        <v>0</v>
      </c>
      <c r="Z10" s="27">
        <f>'LNG Equity '!Z6*'Assumptions &amp; Results'!$C$90</f>
        <v>0</v>
      </c>
      <c r="AA10" s="27">
        <f>'LNG Equity '!AA6*'Assumptions &amp; Results'!$C$90</f>
        <v>0</v>
      </c>
      <c r="AB10" s="27">
        <f>'LNG Equity '!AB6*'Assumptions &amp; Results'!$C$90</f>
        <v>0</v>
      </c>
      <c r="AC10" s="27">
        <f>'LNG Equity '!AC6*'Assumptions &amp; Results'!$C$90</f>
        <v>0</v>
      </c>
      <c r="AD10" s="27">
        <f>'LNG Equity '!AD6*'Assumptions &amp; Results'!$C$90</f>
        <v>0</v>
      </c>
      <c r="AE10" s="27">
        <f>'LNG Equity '!AE6*'Assumptions &amp; Results'!$C$90</f>
        <v>0</v>
      </c>
      <c r="AF10" s="27">
        <f>'LNG Equity '!AF6*'Assumptions &amp; Results'!$C$90</f>
        <v>0</v>
      </c>
      <c r="AG10" s="27">
        <f>'LNG Equity '!AG6*'Assumptions &amp; Results'!$C$90</f>
        <v>0</v>
      </c>
      <c r="AH10" s="27">
        <f>'LNG Equity '!AH6*'Assumptions &amp; Results'!$C$90</f>
        <v>0</v>
      </c>
      <c r="AI10" s="27">
        <f>'LNG Equity '!AI6*'Assumptions &amp; Results'!$C$90</f>
        <v>0</v>
      </c>
      <c r="AJ10" s="126">
        <f>SUM(C10:AI10)</f>
        <v>0</v>
      </c>
    </row>
    <row r="11" spans="1:36" s="79" customFormat="1" x14ac:dyDescent="0.2">
      <c r="A11" s="79" t="s">
        <v>227</v>
      </c>
      <c r="B11" s="79" t="s">
        <v>99</v>
      </c>
      <c r="C11" s="84">
        <f t="shared" ref="C11:AJ11" si="0">C5+C9+C10</f>
        <v>200</v>
      </c>
      <c r="D11" s="84">
        <f t="shared" si="0"/>
        <v>420</v>
      </c>
      <c r="E11" s="84">
        <f t="shared" si="0"/>
        <v>850</v>
      </c>
      <c r="F11" s="84">
        <f t="shared" si="0"/>
        <v>1900</v>
      </c>
      <c r="G11" s="84">
        <f t="shared" si="0"/>
        <v>1650</v>
      </c>
      <c r="H11" s="84">
        <f t="shared" si="0"/>
        <v>270</v>
      </c>
      <c r="I11" s="84">
        <f t="shared" si="0"/>
        <v>0</v>
      </c>
      <c r="J11" s="84">
        <f t="shared" si="0"/>
        <v>0</v>
      </c>
      <c r="K11" s="84">
        <f t="shared" si="0"/>
        <v>0</v>
      </c>
      <c r="L11" s="84">
        <f t="shared" si="0"/>
        <v>0</v>
      </c>
      <c r="M11" s="84">
        <f t="shared" si="0"/>
        <v>0</v>
      </c>
      <c r="N11" s="84">
        <f t="shared" si="0"/>
        <v>0</v>
      </c>
      <c r="O11" s="84">
        <f t="shared" si="0"/>
        <v>0</v>
      </c>
      <c r="P11" s="84">
        <f t="shared" si="0"/>
        <v>0</v>
      </c>
      <c r="Q11" s="84">
        <f t="shared" si="0"/>
        <v>0</v>
      </c>
      <c r="R11" s="84">
        <f t="shared" si="0"/>
        <v>0</v>
      </c>
      <c r="S11" s="84">
        <f t="shared" si="0"/>
        <v>0</v>
      </c>
      <c r="T11" s="84">
        <f t="shared" si="0"/>
        <v>0</v>
      </c>
      <c r="U11" s="84">
        <f t="shared" si="0"/>
        <v>0</v>
      </c>
      <c r="V11" s="84">
        <f t="shared" si="0"/>
        <v>0</v>
      </c>
      <c r="W11" s="84">
        <f t="shared" si="0"/>
        <v>0</v>
      </c>
      <c r="X11" s="84">
        <f t="shared" si="0"/>
        <v>0</v>
      </c>
      <c r="Y11" s="84">
        <f t="shared" si="0"/>
        <v>0</v>
      </c>
      <c r="Z11" s="84">
        <f t="shared" si="0"/>
        <v>0</v>
      </c>
      <c r="AA11" s="84">
        <f t="shared" si="0"/>
        <v>0</v>
      </c>
      <c r="AB11" s="84">
        <f t="shared" si="0"/>
        <v>0</v>
      </c>
      <c r="AC11" s="84">
        <f t="shared" si="0"/>
        <v>0</v>
      </c>
      <c r="AD11" s="84">
        <f t="shared" si="0"/>
        <v>0</v>
      </c>
      <c r="AE11" s="84">
        <f t="shared" si="0"/>
        <v>0</v>
      </c>
      <c r="AF11" s="84">
        <f t="shared" si="0"/>
        <v>0</v>
      </c>
      <c r="AG11" s="84">
        <f t="shared" si="0"/>
        <v>0</v>
      </c>
      <c r="AH11" s="84">
        <f t="shared" si="0"/>
        <v>0</v>
      </c>
      <c r="AI11" s="84">
        <f t="shared" si="0"/>
        <v>0</v>
      </c>
      <c r="AJ11" s="127">
        <f t="shared" si="0"/>
        <v>5290</v>
      </c>
    </row>
    <row r="12" spans="1:36" x14ac:dyDescent="0.2">
      <c r="A12" t="s">
        <v>228</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125"/>
    </row>
    <row r="13" spans="1:36" x14ac:dyDescent="0.2">
      <c r="A13" s="4"/>
    </row>
    <row r="14" spans="1:36" x14ac:dyDescent="0.2">
      <c r="B14" s="1" t="s">
        <v>229</v>
      </c>
    </row>
    <row r="15" spans="1:36" x14ac:dyDescent="0.2">
      <c r="A15" t="s">
        <v>230</v>
      </c>
      <c r="B15">
        <f>C2</f>
        <v>2017</v>
      </c>
      <c r="C15" s="8">
        <f>IF(C$2-$B15-$C$3&lt;0,SLN($C11,0,$C$3),0)</f>
        <v>50</v>
      </c>
      <c r="D15" s="8">
        <f>IF(D$2-$B15-$C$3&lt;0,SLN($C11,0,$C$3),0)</f>
        <v>50</v>
      </c>
      <c r="E15" s="8">
        <f t="shared" ref="E15:AI15" si="1">IF(E$2-$B15-$C$3&lt;0,SLN($C$11,0,$C$3),0)</f>
        <v>50</v>
      </c>
      <c r="F15" s="8">
        <f t="shared" si="1"/>
        <v>50</v>
      </c>
      <c r="G15" s="8">
        <f t="shared" si="1"/>
        <v>0</v>
      </c>
      <c r="H15" s="8">
        <f t="shared" si="1"/>
        <v>0</v>
      </c>
      <c r="I15" s="8">
        <f t="shared" si="1"/>
        <v>0</v>
      </c>
      <c r="J15" s="8">
        <f t="shared" si="1"/>
        <v>0</v>
      </c>
      <c r="K15" s="8">
        <f t="shared" si="1"/>
        <v>0</v>
      </c>
      <c r="L15" s="8">
        <f t="shared" si="1"/>
        <v>0</v>
      </c>
      <c r="M15" s="8">
        <f t="shared" si="1"/>
        <v>0</v>
      </c>
      <c r="N15" s="8">
        <f t="shared" si="1"/>
        <v>0</v>
      </c>
      <c r="O15" s="8">
        <f t="shared" si="1"/>
        <v>0</v>
      </c>
      <c r="P15" s="8">
        <f t="shared" si="1"/>
        <v>0</v>
      </c>
      <c r="Q15" s="8">
        <f t="shared" si="1"/>
        <v>0</v>
      </c>
      <c r="R15" s="8">
        <f t="shared" si="1"/>
        <v>0</v>
      </c>
      <c r="S15" s="8">
        <f t="shared" si="1"/>
        <v>0</v>
      </c>
      <c r="T15" s="8">
        <f t="shared" si="1"/>
        <v>0</v>
      </c>
      <c r="U15" s="8">
        <f t="shared" si="1"/>
        <v>0</v>
      </c>
      <c r="V15" s="8">
        <f t="shared" si="1"/>
        <v>0</v>
      </c>
      <c r="W15" s="8">
        <f t="shared" si="1"/>
        <v>0</v>
      </c>
      <c r="X15" s="8">
        <f t="shared" si="1"/>
        <v>0</v>
      </c>
      <c r="Y15" s="8">
        <f t="shared" si="1"/>
        <v>0</v>
      </c>
      <c r="Z15" s="8">
        <f t="shared" si="1"/>
        <v>0</v>
      </c>
      <c r="AA15" s="8">
        <f t="shared" si="1"/>
        <v>0</v>
      </c>
      <c r="AB15" s="8">
        <f t="shared" si="1"/>
        <v>0</v>
      </c>
      <c r="AC15" s="8">
        <f t="shared" si="1"/>
        <v>0</v>
      </c>
      <c r="AD15" s="8">
        <f t="shared" si="1"/>
        <v>0</v>
      </c>
      <c r="AE15" s="8">
        <f t="shared" si="1"/>
        <v>0</v>
      </c>
      <c r="AF15" s="8">
        <f t="shared" si="1"/>
        <v>0</v>
      </c>
      <c r="AG15" s="8">
        <f t="shared" si="1"/>
        <v>0</v>
      </c>
      <c r="AH15" s="8">
        <f t="shared" si="1"/>
        <v>0</v>
      </c>
      <c r="AI15" s="8">
        <f t="shared" si="1"/>
        <v>0</v>
      </c>
      <c r="AJ15" s="125">
        <f t="shared" ref="AJ15:AJ47" si="2">SUM(C15:AI15)</f>
        <v>200</v>
      </c>
    </row>
    <row r="16" spans="1:36" x14ac:dyDescent="0.2">
      <c r="B16">
        <f>D2</f>
        <v>2018</v>
      </c>
      <c r="C16" s="8"/>
      <c r="D16" s="8">
        <f t="shared" ref="D16:AI16" si="3">IF(D$2-$B16-$C$3&lt;0,SLN($D$11,0,$C$3),0)</f>
        <v>105</v>
      </c>
      <c r="E16" s="8">
        <f t="shared" si="3"/>
        <v>105</v>
      </c>
      <c r="F16" s="8">
        <f t="shared" si="3"/>
        <v>105</v>
      </c>
      <c r="G16" s="8">
        <f t="shared" si="3"/>
        <v>105</v>
      </c>
      <c r="H16" s="8">
        <f t="shared" si="3"/>
        <v>0</v>
      </c>
      <c r="I16" s="8">
        <f t="shared" si="3"/>
        <v>0</v>
      </c>
      <c r="J16" s="8">
        <f t="shared" si="3"/>
        <v>0</v>
      </c>
      <c r="K16" s="8">
        <f t="shared" si="3"/>
        <v>0</v>
      </c>
      <c r="L16" s="8">
        <f t="shared" si="3"/>
        <v>0</v>
      </c>
      <c r="M16" s="8">
        <f t="shared" si="3"/>
        <v>0</v>
      </c>
      <c r="N16" s="8">
        <f t="shared" si="3"/>
        <v>0</v>
      </c>
      <c r="O16" s="8">
        <f t="shared" si="3"/>
        <v>0</v>
      </c>
      <c r="P16" s="8">
        <f t="shared" si="3"/>
        <v>0</v>
      </c>
      <c r="Q16" s="8">
        <f t="shared" si="3"/>
        <v>0</v>
      </c>
      <c r="R16" s="8">
        <f t="shared" si="3"/>
        <v>0</v>
      </c>
      <c r="S16" s="8">
        <f t="shared" si="3"/>
        <v>0</v>
      </c>
      <c r="T16" s="8">
        <f t="shared" si="3"/>
        <v>0</v>
      </c>
      <c r="U16" s="8">
        <f t="shared" si="3"/>
        <v>0</v>
      </c>
      <c r="V16" s="8">
        <f t="shared" si="3"/>
        <v>0</v>
      </c>
      <c r="W16" s="8">
        <f t="shared" si="3"/>
        <v>0</v>
      </c>
      <c r="X16" s="8">
        <f t="shared" si="3"/>
        <v>0</v>
      </c>
      <c r="Y16" s="8">
        <f t="shared" si="3"/>
        <v>0</v>
      </c>
      <c r="Z16" s="8">
        <f t="shared" si="3"/>
        <v>0</v>
      </c>
      <c r="AA16" s="8">
        <f t="shared" si="3"/>
        <v>0</v>
      </c>
      <c r="AB16" s="8">
        <f t="shared" si="3"/>
        <v>0</v>
      </c>
      <c r="AC16" s="8">
        <f t="shared" si="3"/>
        <v>0</v>
      </c>
      <c r="AD16" s="8">
        <f t="shared" si="3"/>
        <v>0</v>
      </c>
      <c r="AE16" s="8">
        <f t="shared" si="3"/>
        <v>0</v>
      </c>
      <c r="AF16" s="8">
        <f t="shared" si="3"/>
        <v>0</v>
      </c>
      <c r="AG16" s="8">
        <f t="shared" si="3"/>
        <v>0</v>
      </c>
      <c r="AH16" s="8">
        <f t="shared" si="3"/>
        <v>0</v>
      </c>
      <c r="AI16" s="8">
        <f t="shared" si="3"/>
        <v>0</v>
      </c>
      <c r="AJ16" s="125">
        <f t="shared" si="2"/>
        <v>420</v>
      </c>
    </row>
    <row r="17" spans="2:36" x14ac:dyDescent="0.2">
      <c r="B17">
        <f>E2</f>
        <v>2019</v>
      </c>
      <c r="C17" s="8"/>
      <c r="D17" s="8"/>
      <c r="E17" s="8">
        <f t="shared" ref="E17:AI17" si="4">IF(E$2-$B17-$C$3&lt;0,SLN($E$11,0,$C$3),0)</f>
        <v>212.5</v>
      </c>
      <c r="F17" s="8">
        <f t="shared" si="4"/>
        <v>212.5</v>
      </c>
      <c r="G17" s="8">
        <f t="shared" si="4"/>
        <v>212.5</v>
      </c>
      <c r="H17" s="8">
        <f t="shared" si="4"/>
        <v>212.5</v>
      </c>
      <c r="I17" s="8">
        <f t="shared" si="4"/>
        <v>0</v>
      </c>
      <c r="J17" s="8">
        <f t="shared" si="4"/>
        <v>0</v>
      </c>
      <c r="K17" s="8">
        <f t="shared" si="4"/>
        <v>0</v>
      </c>
      <c r="L17" s="8">
        <f t="shared" si="4"/>
        <v>0</v>
      </c>
      <c r="M17" s="8">
        <f t="shared" si="4"/>
        <v>0</v>
      </c>
      <c r="N17" s="8">
        <f t="shared" si="4"/>
        <v>0</v>
      </c>
      <c r="O17" s="8">
        <f t="shared" si="4"/>
        <v>0</v>
      </c>
      <c r="P17" s="8">
        <f t="shared" si="4"/>
        <v>0</v>
      </c>
      <c r="Q17" s="8">
        <f t="shared" si="4"/>
        <v>0</v>
      </c>
      <c r="R17" s="8">
        <f t="shared" si="4"/>
        <v>0</v>
      </c>
      <c r="S17" s="8">
        <f t="shared" si="4"/>
        <v>0</v>
      </c>
      <c r="T17" s="8">
        <f t="shared" si="4"/>
        <v>0</v>
      </c>
      <c r="U17" s="8">
        <f t="shared" si="4"/>
        <v>0</v>
      </c>
      <c r="V17" s="8">
        <f t="shared" si="4"/>
        <v>0</v>
      </c>
      <c r="W17" s="8">
        <f t="shared" si="4"/>
        <v>0</v>
      </c>
      <c r="X17" s="8">
        <f t="shared" si="4"/>
        <v>0</v>
      </c>
      <c r="Y17" s="8">
        <f t="shared" si="4"/>
        <v>0</v>
      </c>
      <c r="Z17" s="8">
        <f t="shared" si="4"/>
        <v>0</v>
      </c>
      <c r="AA17" s="8">
        <f t="shared" si="4"/>
        <v>0</v>
      </c>
      <c r="AB17" s="8">
        <f t="shared" si="4"/>
        <v>0</v>
      </c>
      <c r="AC17" s="8">
        <f t="shared" si="4"/>
        <v>0</v>
      </c>
      <c r="AD17" s="8">
        <f t="shared" si="4"/>
        <v>0</v>
      </c>
      <c r="AE17" s="8">
        <f t="shared" si="4"/>
        <v>0</v>
      </c>
      <c r="AF17" s="8">
        <f t="shared" si="4"/>
        <v>0</v>
      </c>
      <c r="AG17" s="8">
        <f t="shared" si="4"/>
        <v>0</v>
      </c>
      <c r="AH17" s="8">
        <f t="shared" si="4"/>
        <v>0</v>
      </c>
      <c r="AI17" s="8">
        <f t="shared" si="4"/>
        <v>0</v>
      </c>
      <c r="AJ17" s="125">
        <f t="shared" si="2"/>
        <v>850</v>
      </c>
    </row>
    <row r="18" spans="2:36" x14ac:dyDescent="0.2">
      <c r="B18">
        <f>F2</f>
        <v>2020</v>
      </c>
      <c r="C18" s="8"/>
      <c r="D18" s="8"/>
      <c r="E18" s="8"/>
      <c r="F18" s="8">
        <f t="shared" ref="F18:AI18" si="5">IF(F$2-$B18-$C$3&lt;0,SLN($F$11,0,$C$3),0)</f>
        <v>475</v>
      </c>
      <c r="G18" s="8">
        <f t="shared" si="5"/>
        <v>475</v>
      </c>
      <c r="H18" s="8">
        <f t="shared" si="5"/>
        <v>475</v>
      </c>
      <c r="I18" s="8">
        <f t="shared" si="5"/>
        <v>475</v>
      </c>
      <c r="J18" s="8">
        <f t="shared" si="5"/>
        <v>0</v>
      </c>
      <c r="K18" s="8">
        <f t="shared" si="5"/>
        <v>0</v>
      </c>
      <c r="L18" s="8">
        <f t="shared" si="5"/>
        <v>0</v>
      </c>
      <c r="M18" s="8">
        <f t="shared" si="5"/>
        <v>0</v>
      </c>
      <c r="N18" s="8">
        <f t="shared" si="5"/>
        <v>0</v>
      </c>
      <c r="O18" s="8">
        <f t="shared" si="5"/>
        <v>0</v>
      </c>
      <c r="P18" s="8">
        <f t="shared" si="5"/>
        <v>0</v>
      </c>
      <c r="Q18" s="8">
        <f t="shared" si="5"/>
        <v>0</v>
      </c>
      <c r="R18" s="8">
        <f t="shared" si="5"/>
        <v>0</v>
      </c>
      <c r="S18" s="8">
        <f t="shared" si="5"/>
        <v>0</v>
      </c>
      <c r="T18" s="8">
        <f t="shared" si="5"/>
        <v>0</v>
      </c>
      <c r="U18" s="8">
        <f t="shared" si="5"/>
        <v>0</v>
      </c>
      <c r="V18" s="8">
        <f t="shared" si="5"/>
        <v>0</v>
      </c>
      <c r="W18" s="8">
        <f t="shared" si="5"/>
        <v>0</v>
      </c>
      <c r="X18" s="8">
        <f t="shared" si="5"/>
        <v>0</v>
      </c>
      <c r="Y18" s="8">
        <f t="shared" si="5"/>
        <v>0</v>
      </c>
      <c r="Z18" s="8">
        <f t="shared" si="5"/>
        <v>0</v>
      </c>
      <c r="AA18" s="8">
        <f t="shared" si="5"/>
        <v>0</v>
      </c>
      <c r="AB18" s="8">
        <f t="shared" si="5"/>
        <v>0</v>
      </c>
      <c r="AC18" s="8">
        <f t="shared" si="5"/>
        <v>0</v>
      </c>
      <c r="AD18" s="8">
        <f t="shared" si="5"/>
        <v>0</v>
      </c>
      <c r="AE18" s="8">
        <f t="shared" si="5"/>
        <v>0</v>
      </c>
      <c r="AF18" s="8">
        <f t="shared" si="5"/>
        <v>0</v>
      </c>
      <c r="AG18" s="8">
        <f t="shared" si="5"/>
        <v>0</v>
      </c>
      <c r="AH18" s="8">
        <f t="shared" si="5"/>
        <v>0</v>
      </c>
      <c r="AI18" s="8">
        <f t="shared" si="5"/>
        <v>0</v>
      </c>
      <c r="AJ18" s="125">
        <f t="shared" si="2"/>
        <v>1900</v>
      </c>
    </row>
    <row r="19" spans="2:36" x14ac:dyDescent="0.2">
      <c r="B19">
        <f>G2</f>
        <v>2021</v>
      </c>
      <c r="C19" s="8"/>
      <c r="D19" s="8"/>
      <c r="E19" s="8"/>
      <c r="F19" s="8"/>
      <c r="G19" s="8">
        <f t="shared" ref="G19:AI19" si="6">IF(G$2-$B19-$C$3&lt;0,SLN($G$11,0,$C$3),0)</f>
        <v>412.5</v>
      </c>
      <c r="H19" s="8">
        <f t="shared" si="6"/>
        <v>412.5</v>
      </c>
      <c r="I19" s="8">
        <f t="shared" si="6"/>
        <v>412.5</v>
      </c>
      <c r="J19" s="8">
        <f t="shared" si="6"/>
        <v>412.5</v>
      </c>
      <c r="K19" s="8">
        <f t="shared" si="6"/>
        <v>0</v>
      </c>
      <c r="L19" s="8">
        <f t="shared" si="6"/>
        <v>0</v>
      </c>
      <c r="M19" s="8">
        <f t="shared" si="6"/>
        <v>0</v>
      </c>
      <c r="N19" s="8">
        <f t="shared" si="6"/>
        <v>0</v>
      </c>
      <c r="O19" s="8">
        <f t="shared" si="6"/>
        <v>0</v>
      </c>
      <c r="P19" s="8">
        <f t="shared" si="6"/>
        <v>0</v>
      </c>
      <c r="Q19" s="8">
        <f t="shared" si="6"/>
        <v>0</v>
      </c>
      <c r="R19" s="8">
        <f t="shared" si="6"/>
        <v>0</v>
      </c>
      <c r="S19" s="8">
        <f t="shared" si="6"/>
        <v>0</v>
      </c>
      <c r="T19" s="8">
        <f t="shared" si="6"/>
        <v>0</v>
      </c>
      <c r="U19" s="8">
        <f t="shared" si="6"/>
        <v>0</v>
      </c>
      <c r="V19" s="8">
        <f t="shared" si="6"/>
        <v>0</v>
      </c>
      <c r="W19" s="8">
        <f t="shared" si="6"/>
        <v>0</v>
      </c>
      <c r="X19" s="8">
        <f t="shared" si="6"/>
        <v>0</v>
      </c>
      <c r="Y19" s="8">
        <f t="shared" si="6"/>
        <v>0</v>
      </c>
      <c r="Z19" s="8">
        <f t="shared" si="6"/>
        <v>0</v>
      </c>
      <c r="AA19" s="8">
        <f t="shared" si="6"/>
        <v>0</v>
      </c>
      <c r="AB19" s="8">
        <f t="shared" si="6"/>
        <v>0</v>
      </c>
      <c r="AC19" s="8">
        <f t="shared" si="6"/>
        <v>0</v>
      </c>
      <c r="AD19" s="8">
        <f t="shared" si="6"/>
        <v>0</v>
      </c>
      <c r="AE19" s="8">
        <f t="shared" si="6"/>
        <v>0</v>
      </c>
      <c r="AF19" s="8">
        <f t="shared" si="6"/>
        <v>0</v>
      </c>
      <c r="AG19" s="8">
        <f t="shared" si="6"/>
        <v>0</v>
      </c>
      <c r="AH19" s="8">
        <f t="shared" si="6"/>
        <v>0</v>
      </c>
      <c r="AI19" s="8">
        <f t="shared" si="6"/>
        <v>0</v>
      </c>
      <c r="AJ19" s="125">
        <f t="shared" si="2"/>
        <v>1650</v>
      </c>
    </row>
    <row r="20" spans="2:36" x14ac:dyDescent="0.2">
      <c r="B20">
        <f>H2</f>
        <v>2022</v>
      </c>
      <c r="C20" s="8"/>
      <c r="D20" s="8"/>
      <c r="E20" s="8"/>
      <c r="F20" s="8"/>
      <c r="G20" s="8"/>
      <c r="H20" s="8">
        <f t="shared" ref="H20:AI20" si="7">IF(H$2-$B20-$C$3&lt;0,SLN($H$11,0,$C$3),0)</f>
        <v>67.5</v>
      </c>
      <c r="I20" s="8">
        <f t="shared" si="7"/>
        <v>67.5</v>
      </c>
      <c r="J20" s="8">
        <f t="shared" si="7"/>
        <v>67.5</v>
      </c>
      <c r="K20" s="8">
        <f t="shared" si="7"/>
        <v>67.5</v>
      </c>
      <c r="L20" s="8">
        <f t="shared" si="7"/>
        <v>0</v>
      </c>
      <c r="M20" s="8">
        <f t="shared" si="7"/>
        <v>0</v>
      </c>
      <c r="N20" s="8">
        <f t="shared" si="7"/>
        <v>0</v>
      </c>
      <c r="O20" s="8">
        <f t="shared" si="7"/>
        <v>0</v>
      </c>
      <c r="P20" s="8">
        <f t="shared" si="7"/>
        <v>0</v>
      </c>
      <c r="Q20" s="8">
        <f t="shared" si="7"/>
        <v>0</v>
      </c>
      <c r="R20" s="8">
        <f t="shared" si="7"/>
        <v>0</v>
      </c>
      <c r="S20" s="8">
        <f t="shared" si="7"/>
        <v>0</v>
      </c>
      <c r="T20" s="8">
        <f t="shared" si="7"/>
        <v>0</v>
      </c>
      <c r="U20" s="8">
        <f t="shared" si="7"/>
        <v>0</v>
      </c>
      <c r="V20" s="8">
        <f t="shared" si="7"/>
        <v>0</v>
      </c>
      <c r="W20" s="8">
        <f t="shared" si="7"/>
        <v>0</v>
      </c>
      <c r="X20" s="8">
        <f t="shared" si="7"/>
        <v>0</v>
      </c>
      <c r="Y20" s="8">
        <f t="shared" si="7"/>
        <v>0</v>
      </c>
      <c r="Z20" s="8">
        <f t="shared" si="7"/>
        <v>0</v>
      </c>
      <c r="AA20" s="8">
        <f t="shared" si="7"/>
        <v>0</v>
      </c>
      <c r="AB20" s="8">
        <f t="shared" si="7"/>
        <v>0</v>
      </c>
      <c r="AC20" s="8">
        <f t="shared" si="7"/>
        <v>0</v>
      </c>
      <c r="AD20" s="8">
        <f t="shared" si="7"/>
        <v>0</v>
      </c>
      <c r="AE20" s="8">
        <f t="shared" si="7"/>
        <v>0</v>
      </c>
      <c r="AF20" s="8">
        <f t="shared" si="7"/>
        <v>0</v>
      </c>
      <c r="AG20" s="8">
        <f t="shared" si="7"/>
        <v>0</v>
      </c>
      <c r="AH20" s="8">
        <f t="shared" si="7"/>
        <v>0</v>
      </c>
      <c r="AI20" s="8">
        <f t="shared" si="7"/>
        <v>0</v>
      </c>
      <c r="AJ20" s="125">
        <f t="shared" si="2"/>
        <v>270</v>
      </c>
    </row>
    <row r="21" spans="2:36" x14ac:dyDescent="0.2">
      <c r="B21">
        <f>I2</f>
        <v>2023</v>
      </c>
      <c r="C21" s="8"/>
      <c r="D21" s="8"/>
      <c r="E21" s="8"/>
      <c r="F21" s="8"/>
      <c r="G21" s="8"/>
      <c r="H21" s="8"/>
      <c r="I21" s="8">
        <f t="shared" ref="I21:AI21" si="8">IF(I$2-$B21-$C$3&lt;0,SLN($I$11,0,$C$3),0)</f>
        <v>0</v>
      </c>
      <c r="J21" s="8">
        <f t="shared" si="8"/>
        <v>0</v>
      </c>
      <c r="K21" s="8">
        <f t="shared" si="8"/>
        <v>0</v>
      </c>
      <c r="L21" s="8">
        <f t="shared" si="8"/>
        <v>0</v>
      </c>
      <c r="M21" s="8">
        <f t="shared" si="8"/>
        <v>0</v>
      </c>
      <c r="N21" s="8">
        <f t="shared" si="8"/>
        <v>0</v>
      </c>
      <c r="O21" s="8">
        <f t="shared" si="8"/>
        <v>0</v>
      </c>
      <c r="P21" s="8">
        <f t="shared" si="8"/>
        <v>0</v>
      </c>
      <c r="Q21" s="8">
        <f t="shared" si="8"/>
        <v>0</v>
      </c>
      <c r="R21" s="8">
        <f t="shared" si="8"/>
        <v>0</v>
      </c>
      <c r="S21" s="8">
        <f t="shared" si="8"/>
        <v>0</v>
      </c>
      <c r="T21" s="8">
        <f t="shared" si="8"/>
        <v>0</v>
      </c>
      <c r="U21" s="8">
        <f t="shared" si="8"/>
        <v>0</v>
      </c>
      <c r="V21" s="8">
        <f t="shared" si="8"/>
        <v>0</v>
      </c>
      <c r="W21" s="8">
        <f t="shared" si="8"/>
        <v>0</v>
      </c>
      <c r="X21" s="8">
        <f t="shared" si="8"/>
        <v>0</v>
      </c>
      <c r="Y21" s="8">
        <f t="shared" si="8"/>
        <v>0</v>
      </c>
      <c r="Z21" s="8">
        <f t="shared" si="8"/>
        <v>0</v>
      </c>
      <c r="AA21" s="8">
        <f t="shared" si="8"/>
        <v>0</v>
      </c>
      <c r="AB21" s="8">
        <f t="shared" si="8"/>
        <v>0</v>
      </c>
      <c r="AC21" s="8">
        <f t="shared" si="8"/>
        <v>0</v>
      </c>
      <c r="AD21" s="8">
        <f t="shared" si="8"/>
        <v>0</v>
      </c>
      <c r="AE21" s="8">
        <f t="shared" si="8"/>
        <v>0</v>
      </c>
      <c r="AF21" s="8">
        <f t="shared" si="8"/>
        <v>0</v>
      </c>
      <c r="AG21" s="8">
        <f t="shared" si="8"/>
        <v>0</v>
      </c>
      <c r="AH21" s="8">
        <f t="shared" si="8"/>
        <v>0</v>
      </c>
      <c r="AI21" s="8">
        <f t="shared" si="8"/>
        <v>0</v>
      </c>
      <c r="AJ21" s="125">
        <f t="shared" si="2"/>
        <v>0</v>
      </c>
    </row>
    <row r="22" spans="2:36" x14ac:dyDescent="0.2">
      <c r="B22">
        <f>J2</f>
        <v>2024</v>
      </c>
      <c r="C22" s="8"/>
      <c r="D22" s="8"/>
      <c r="E22" s="8"/>
      <c r="F22" s="8"/>
      <c r="G22" s="8"/>
      <c r="H22" s="8"/>
      <c r="I22" s="8"/>
      <c r="J22" s="8">
        <f t="shared" ref="J22:AI22" si="9">IF(J$2-$B22-$C$3&lt;0,SLN($J$11,0,$C$3),0)</f>
        <v>0</v>
      </c>
      <c r="K22" s="8">
        <f t="shared" si="9"/>
        <v>0</v>
      </c>
      <c r="L22" s="8">
        <f t="shared" si="9"/>
        <v>0</v>
      </c>
      <c r="M22" s="8">
        <f t="shared" si="9"/>
        <v>0</v>
      </c>
      <c r="N22" s="8">
        <f t="shared" si="9"/>
        <v>0</v>
      </c>
      <c r="O22" s="8">
        <f t="shared" si="9"/>
        <v>0</v>
      </c>
      <c r="P22" s="8">
        <f t="shared" si="9"/>
        <v>0</v>
      </c>
      <c r="Q22" s="8">
        <f t="shared" si="9"/>
        <v>0</v>
      </c>
      <c r="R22" s="8">
        <f t="shared" si="9"/>
        <v>0</v>
      </c>
      <c r="S22" s="8">
        <f t="shared" si="9"/>
        <v>0</v>
      </c>
      <c r="T22" s="8">
        <f t="shared" si="9"/>
        <v>0</v>
      </c>
      <c r="U22" s="8">
        <f t="shared" si="9"/>
        <v>0</v>
      </c>
      <c r="V22" s="8">
        <f t="shared" si="9"/>
        <v>0</v>
      </c>
      <c r="W22" s="8">
        <f t="shared" si="9"/>
        <v>0</v>
      </c>
      <c r="X22" s="8">
        <f t="shared" si="9"/>
        <v>0</v>
      </c>
      <c r="Y22" s="8">
        <f t="shared" si="9"/>
        <v>0</v>
      </c>
      <c r="Z22" s="8">
        <f t="shared" si="9"/>
        <v>0</v>
      </c>
      <c r="AA22" s="8">
        <f t="shared" si="9"/>
        <v>0</v>
      </c>
      <c r="AB22" s="8">
        <f t="shared" si="9"/>
        <v>0</v>
      </c>
      <c r="AC22" s="8">
        <f t="shared" si="9"/>
        <v>0</v>
      </c>
      <c r="AD22" s="8">
        <f t="shared" si="9"/>
        <v>0</v>
      </c>
      <c r="AE22" s="8">
        <f t="shared" si="9"/>
        <v>0</v>
      </c>
      <c r="AF22" s="8">
        <f t="shared" si="9"/>
        <v>0</v>
      </c>
      <c r="AG22" s="8">
        <f t="shared" si="9"/>
        <v>0</v>
      </c>
      <c r="AH22" s="8">
        <f t="shared" si="9"/>
        <v>0</v>
      </c>
      <c r="AI22" s="8">
        <f t="shared" si="9"/>
        <v>0</v>
      </c>
      <c r="AJ22" s="125">
        <f t="shared" si="2"/>
        <v>0</v>
      </c>
    </row>
    <row r="23" spans="2:36" x14ac:dyDescent="0.2">
      <c r="B23">
        <f>K2</f>
        <v>2025</v>
      </c>
      <c r="C23" s="8"/>
      <c r="D23" s="8"/>
      <c r="E23" s="8"/>
      <c r="F23" s="8"/>
      <c r="G23" s="8"/>
      <c r="H23" s="8"/>
      <c r="I23" s="8"/>
      <c r="J23" s="8"/>
      <c r="K23" s="8">
        <f t="shared" ref="K23:AI23" si="10">IF(K$2-$B23-$C$3&lt;0,SLN($K$11,0,$C$3),0)</f>
        <v>0</v>
      </c>
      <c r="L23" s="8">
        <f t="shared" si="10"/>
        <v>0</v>
      </c>
      <c r="M23" s="8">
        <f t="shared" si="10"/>
        <v>0</v>
      </c>
      <c r="N23" s="8">
        <f t="shared" si="10"/>
        <v>0</v>
      </c>
      <c r="O23" s="8">
        <f t="shared" si="10"/>
        <v>0</v>
      </c>
      <c r="P23" s="8">
        <f t="shared" si="10"/>
        <v>0</v>
      </c>
      <c r="Q23" s="8">
        <f t="shared" si="10"/>
        <v>0</v>
      </c>
      <c r="R23" s="8">
        <f t="shared" si="10"/>
        <v>0</v>
      </c>
      <c r="S23" s="8">
        <f t="shared" si="10"/>
        <v>0</v>
      </c>
      <c r="T23" s="8">
        <f t="shared" si="10"/>
        <v>0</v>
      </c>
      <c r="U23" s="8">
        <f t="shared" si="10"/>
        <v>0</v>
      </c>
      <c r="V23" s="8">
        <f t="shared" si="10"/>
        <v>0</v>
      </c>
      <c r="W23" s="8">
        <f t="shared" si="10"/>
        <v>0</v>
      </c>
      <c r="X23" s="8">
        <f t="shared" si="10"/>
        <v>0</v>
      </c>
      <c r="Y23" s="8">
        <f t="shared" si="10"/>
        <v>0</v>
      </c>
      <c r="Z23" s="8">
        <f t="shared" si="10"/>
        <v>0</v>
      </c>
      <c r="AA23" s="8">
        <f t="shared" si="10"/>
        <v>0</v>
      </c>
      <c r="AB23" s="8">
        <f t="shared" si="10"/>
        <v>0</v>
      </c>
      <c r="AC23" s="8">
        <f t="shared" si="10"/>
        <v>0</v>
      </c>
      <c r="AD23" s="8">
        <f t="shared" si="10"/>
        <v>0</v>
      </c>
      <c r="AE23" s="8">
        <f t="shared" si="10"/>
        <v>0</v>
      </c>
      <c r="AF23" s="8">
        <f t="shared" si="10"/>
        <v>0</v>
      </c>
      <c r="AG23" s="8">
        <f t="shared" si="10"/>
        <v>0</v>
      </c>
      <c r="AH23" s="8">
        <f t="shared" si="10"/>
        <v>0</v>
      </c>
      <c r="AI23" s="8">
        <f t="shared" si="10"/>
        <v>0</v>
      </c>
      <c r="AJ23" s="125">
        <f t="shared" si="2"/>
        <v>0</v>
      </c>
    </row>
    <row r="24" spans="2:36" x14ac:dyDescent="0.2">
      <c r="B24">
        <f>L2</f>
        <v>2026</v>
      </c>
      <c r="C24" s="8"/>
      <c r="D24" s="8"/>
      <c r="E24" s="8"/>
      <c r="F24" s="8"/>
      <c r="G24" s="8"/>
      <c r="H24" s="8"/>
      <c r="I24" s="8"/>
      <c r="J24" s="8"/>
      <c r="K24" s="8"/>
      <c r="L24" s="8">
        <f t="shared" ref="L24:AI24" si="11">IF(L$2-$B24-$C$3&lt;0,SLN($L$11,0,$C$3),0)</f>
        <v>0</v>
      </c>
      <c r="M24" s="8">
        <f t="shared" si="11"/>
        <v>0</v>
      </c>
      <c r="N24" s="8">
        <f t="shared" si="11"/>
        <v>0</v>
      </c>
      <c r="O24" s="8">
        <f t="shared" si="11"/>
        <v>0</v>
      </c>
      <c r="P24" s="8">
        <f t="shared" si="11"/>
        <v>0</v>
      </c>
      <c r="Q24" s="8">
        <f t="shared" si="11"/>
        <v>0</v>
      </c>
      <c r="R24" s="8">
        <f t="shared" si="11"/>
        <v>0</v>
      </c>
      <c r="S24" s="8">
        <f t="shared" si="11"/>
        <v>0</v>
      </c>
      <c r="T24" s="8">
        <f t="shared" si="11"/>
        <v>0</v>
      </c>
      <c r="U24" s="8">
        <f t="shared" si="11"/>
        <v>0</v>
      </c>
      <c r="V24" s="8">
        <f t="shared" si="11"/>
        <v>0</v>
      </c>
      <c r="W24" s="8">
        <f t="shared" si="11"/>
        <v>0</v>
      </c>
      <c r="X24" s="8">
        <f t="shared" si="11"/>
        <v>0</v>
      </c>
      <c r="Y24" s="8">
        <f t="shared" si="11"/>
        <v>0</v>
      </c>
      <c r="Z24" s="8">
        <f t="shared" si="11"/>
        <v>0</v>
      </c>
      <c r="AA24" s="8">
        <f t="shared" si="11"/>
        <v>0</v>
      </c>
      <c r="AB24" s="8">
        <f t="shared" si="11"/>
        <v>0</v>
      </c>
      <c r="AC24" s="8">
        <f t="shared" si="11"/>
        <v>0</v>
      </c>
      <c r="AD24" s="8">
        <f t="shared" si="11"/>
        <v>0</v>
      </c>
      <c r="AE24" s="8">
        <f t="shared" si="11"/>
        <v>0</v>
      </c>
      <c r="AF24" s="8">
        <f t="shared" si="11"/>
        <v>0</v>
      </c>
      <c r="AG24" s="8">
        <f t="shared" si="11"/>
        <v>0</v>
      </c>
      <c r="AH24" s="8">
        <f t="shared" si="11"/>
        <v>0</v>
      </c>
      <c r="AI24" s="8">
        <f t="shared" si="11"/>
        <v>0</v>
      </c>
      <c r="AJ24" s="125">
        <f t="shared" si="2"/>
        <v>0</v>
      </c>
    </row>
    <row r="25" spans="2:36" x14ac:dyDescent="0.2">
      <c r="B25">
        <f>M2</f>
        <v>2027</v>
      </c>
      <c r="C25" s="8"/>
      <c r="D25" s="8"/>
      <c r="E25" s="8"/>
      <c r="F25" s="8"/>
      <c r="G25" s="8"/>
      <c r="H25" s="8"/>
      <c r="I25" s="8"/>
      <c r="J25" s="8"/>
      <c r="K25" s="8"/>
      <c r="L25" s="8"/>
      <c r="M25" s="8">
        <f t="shared" ref="M25:AI25" si="12">IF(M$2-$B25-$C$3&lt;0,SLN($M$11,0,$C$3),0)</f>
        <v>0</v>
      </c>
      <c r="N25" s="8">
        <f t="shared" si="12"/>
        <v>0</v>
      </c>
      <c r="O25" s="8">
        <f t="shared" si="12"/>
        <v>0</v>
      </c>
      <c r="P25" s="8">
        <f t="shared" si="12"/>
        <v>0</v>
      </c>
      <c r="Q25" s="8">
        <f t="shared" si="12"/>
        <v>0</v>
      </c>
      <c r="R25" s="8">
        <f t="shared" si="12"/>
        <v>0</v>
      </c>
      <c r="S25" s="8">
        <f t="shared" si="12"/>
        <v>0</v>
      </c>
      <c r="T25" s="8">
        <f t="shared" si="12"/>
        <v>0</v>
      </c>
      <c r="U25" s="8">
        <f t="shared" si="12"/>
        <v>0</v>
      </c>
      <c r="V25" s="8">
        <f t="shared" si="12"/>
        <v>0</v>
      </c>
      <c r="W25" s="8">
        <f t="shared" si="12"/>
        <v>0</v>
      </c>
      <c r="X25" s="8">
        <f t="shared" si="12"/>
        <v>0</v>
      </c>
      <c r="Y25" s="8">
        <f t="shared" si="12"/>
        <v>0</v>
      </c>
      <c r="Z25" s="8">
        <f t="shared" si="12"/>
        <v>0</v>
      </c>
      <c r="AA25" s="8">
        <f t="shared" si="12"/>
        <v>0</v>
      </c>
      <c r="AB25" s="8">
        <f t="shared" si="12"/>
        <v>0</v>
      </c>
      <c r="AC25" s="8">
        <f t="shared" si="12"/>
        <v>0</v>
      </c>
      <c r="AD25" s="8">
        <f t="shared" si="12"/>
        <v>0</v>
      </c>
      <c r="AE25" s="8">
        <f t="shared" si="12"/>
        <v>0</v>
      </c>
      <c r="AF25" s="8">
        <f t="shared" si="12"/>
        <v>0</v>
      </c>
      <c r="AG25" s="8">
        <f t="shared" si="12"/>
        <v>0</v>
      </c>
      <c r="AH25" s="8">
        <f t="shared" si="12"/>
        <v>0</v>
      </c>
      <c r="AI25" s="8">
        <f t="shared" si="12"/>
        <v>0</v>
      </c>
      <c r="AJ25" s="125">
        <f t="shared" si="2"/>
        <v>0</v>
      </c>
    </row>
    <row r="26" spans="2:36" x14ac:dyDescent="0.2">
      <c r="B26">
        <f>N2</f>
        <v>2028</v>
      </c>
      <c r="C26" s="8"/>
      <c r="D26" s="8"/>
      <c r="E26" s="8"/>
      <c r="F26" s="8"/>
      <c r="G26" s="8"/>
      <c r="H26" s="8"/>
      <c r="I26" s="8"/>
      <c r="J26" s="8"/>
      <c r="K26" s="8"/>
      <c r="L26" s="8"/>
      <c r="M26" s="8"/>
      <c r="N26" s="8">
        <f t="shared" ref="N26:AI26" si="13">IF(N$2-$B26-$C$3&lt;0,SLN($N$11,0,$C$3),0)</f>
        <v>0</v>
      </c>
      <c r="O26" s="8">
        <f t="shared" si="13"/>
        <v>0</v>
      </c>
      <c r="P26" s="8">
        <f t="shared" si="13"/>
        <v>0</v>
      </c>
      <c r="Q26" s="8">
        <f t="shared" si="13"/>
        <v>0</v>
      </c>
      <c r="R26" s="8">
        <f t="shared" si="13"/>
        <v>0</v>
      </c>
      <c r="S26" s="8">
        <f t="shared" si="13"/>
        <v>0</v>
      </c>
      <c r="T26" s="8">
        <f t="shared" si="13"/>
        <v>0</v>
      </c>
      <c r="U26" s="8">
        <f t="shared" si="13"/>
        <v>0</v>
      </c>
      <c r="V26" s="8">
        <f t="shared" si="13"/>
        <v>0</v>
      </c>
      <c r="W26" s="8">
        <f t="shared" si="13"/>
        <v>0</v>
      </c>
      <c r="X26" s="8">
        <f t="shared" si="13"/>
        <v>0</v>
      </c>
      <c r="Y26" s="8">
        <f t="shared" si="13"/>
        <v>0</v>
      </c>
      <c r="Z26" s="8">
        <f t="shared" si="13"/>
        <v>0</v>
      </c>
      <c r="AA26" s="8">
        <f t="shared" si="13"/>
        <v>0</v>
      </c>
      <c r="AB26" s="8">
        <f t="shared" si="13"/>
        <v>0</v>
      </c>
      <c r="AC26" s="8">
        <f t="shared" si="13"/>
        <v>0</v>
      </c>
      <c r="AD26" s="8">
        <f t="shared" si="13"/>
        <v>0</v>
      </c>
      <c r="AE26" s="8">
        <f t="shared" si="13"/>
        <v>0</v>
      </c>
      <c r="AF26" s="8">
        <f t="shared" si="13"/>
        <v>0</v>
      </c>
      <c r="AG26" s="8">
        <f t="shared" si="13"/>
        <v>0</v>
      </c>
      <c r="AH26" s="8">
        <f t="shared" si="13"/>
        <v>0</v>
      </c>
      <c r="AI26" s="8">
        <f t="shared" si="13"/>
        <v>0</v>
      </c>
      <c r="AJ26" s="125">
        <f t="shared" si="2"/>
        <v>0</v>
      </c>
    </row>
    <row r="27" spans="2:36" x14ac:dyDescent="0.2">
      <c r="B27">
        <f>O2</f>
        <v>2029</v>
      </c>
      <c r="C27" s="8"/>
      <c r="D27" s="8"/>
      <c r="E27" s="8"/>
      <c r="F27" s="8"/>
      <c r="G27" s="8"/>
      <c r="H27" s="8"/>
      <c r="I27" s="8"/>
      <c r="J27" s="8"/>
      <c r="K27" s="8"/>
      <c r="L27" s="8"/>
      <c r="M27" s="8"/>
      <c r="N27" s="8"/>
      <c r="O27" s="8">
        <f t="shared" ref="O27:AI27" si="14">IF(O$2-$B27-$C$3&lt;0,SLN($O$11,0,$C$3),0)</f>
        <v>0</v>
      </c>
      <c r="P27" s="8">
        <f t="shared" si="14"/>
        <v>0</v>
      </c>
      <c r="Q27" s="8">
        <f t="shared" si="14"/>
        <v>0</v>
      </c>
      <c r="R27" s="8">
        <f t="shared" si="14"/>
        <v>0</v>
      </c>
      <c r="S27" s="8">
        <f t="shared" si="14"/>
        <v>0</v>
      </c>
      <c r="T27" s="8">
        <f t="shared" si="14"/>
        <v>0</v>
      </c>
      <c r="U27" s="8">
        <f t="shared" si="14"/>
        <v>0</v>
      </c>
      <c r="V27" s="8">
        <f t="shared" si="14"/>
        <v>0</v>
      </c>
      <c r="W27" s="8">
        <f t="shared" si="14"/>
        <v>0</v>
      </c>
      <c r="X27" s="8">
        <f t="shared" si="14"/>
        <v>0</v>
      </c>
      <c r="Y27" s="8">
        <f t="shared" si="14"/>
        <v>0</v>
      </c>
      <c r="Z27" s="8">
        <f t="shared" si="14"/>
        <v>0</v>
      </c>
      <c r="AA27" s="8">
        <f t="shared" si="14"/>
        <v>0</v>
      </c>
      <c r="AB27" s="8">
        <f t="shared" si="14"/>
        <v>0</v>
      </c>
      <c r="AC27" s="8">
        <f t="shared" si="14"/>
        <v>0</v>
      </c>
      <c r="AD27" s="8">
        <f t="shared" si="14"/>
        <v>0</v>
      </c>
      <c r="AE27" s="8">
        <f t="shared" si="14"/>
        <v>0</v>
      </c>
      <c r="AF27" s="8">
        <f t="shared" si="14"/>
        <v>0</v>
      </c>
      <c r="AG27" s="8">
        <f t="shared" si="14"/>
        <v>0</v>
      </c>
      <c r="AH27" s="8">
        <f t="shared" si="14"/>
        <v>0</v>
      </c>
      <c r="AI27" s="8">
        <f t="shared" si="14"/>
        <v>0</v>
      </c>
      <c r="AJ27" s="125">
        <f t="shared" si="2"/>
        <v>0</v>
      </c>
    </row>
    <row r="28" spans="2:36" x14ac:dyDescent="0.2">
      <c r="B28">
        <f>P2</f>
        <v>2030</v>
      </c>
      <c r="C28" s="8"/>
      <c r="D28" s="8"/>
      <c r="E28" s="8"/>
      <c r="F28" s="8"/>
      <c r="G28" s="8"/>
      <c r="H28" s="8"/>
      <c r="I28" s="8"/>
      <c r="J28" s="8"/>
      <c r="K28" s="8"/>
      <c r="L28" s="8"/>
      <c r="M28" s="8"/>
      <c r="N28" s="8"/>
      <c r="O28" s="8"/>
      <c r="P28" s="8">
        <f t="shared" ref="P28:AI28" si="15">IF(P$2-$B28-$C$3&lt;0,SLN($P$11,0,$C$3),0)</f>
        <v>0</v>
      </c>
      <c r="Q28" s="8">
        <f t="shared" si="15"/>
        <v>0</v>
      </c>
      <c r="R28" s="8">
        <f t="shared" si="15"/>
        <v>0</v>
      </c>
      <c r="S28" s="8">
        <f t="shared" si="15"/>
        <v>0</v>
      </c>
      <c r="T28" s="8">
        <f t="shared" si="15"/>
        <v>0</v>
      </c>
      <c r="U28" s="8">
        <f t="shared" si="15"/>
        <v>0</v>
      </c>
      <c r="V28" s="8">
        <f t="shared" si="15"/>
        <v>0</v>
      </c>
      <c r="W28" s="8">
        <f t="shared" si="15"/>
        <v>0</v>
      </c>
      <c r="X28" s="8">
        <f t="shared" si="15"/>
        <v>0</v>
      </c>
      <c r="Y28" s="8">
        <f t="shared" si="15"/>
        <v>0</v>
      </c>
      <c r="Z28" s="8">
        <f t="shared" si="15"/>
        <v>0</v>
      </c>
      <c r="AA28" s="8">
        <f t="shared" si="15"/>
        <v>0</v>
      </c>
      <c r="AB28" s="8">
        <f t="shared" si="15"/>
        <v>0</v>
      </c>
      <c r="AC28" s="8">
        <f t="shared" si="15"/>
        <v>0</v>
      </c>
      <c r="AD28" s="8">
        <f t="shared" si="15"/>
        <v>0</v>
      </c>
      <c r="AE28" s="8">
        <f t="shared" si="15"/>
        <v>0</v>
      </c>
      <c r="AF28" s="8">
        <f t="shared" si="15"/>
        <v>0</v>
      </c>
      <c r="AG28" s="8">
        <f t="shared" si="15"/>
        <v>0</v>
      </c>
      <c r="AH28" s="8">
        <f t="shared" si="15"/>
        <v>0</v>
      </c>
      <c r="AI28" s="8">
        <f t="shared" si="15"/>
        <v>0</v>
      </c>
      <c r="AJ28" s="125">
        <f t="shared" si="2"/>
        <v>0</v>
      </c>
    </row>
    <row r="29" spans="2:36" x14ac:dyDescent="0.2">
      <c r="B29">
        <f>Q2</f>
        <v>2031</v>
      </c>
      <c r="C29" s="8"/>
      <c r="D29" s="8"/>
      <c r="E29" s="8"/>
      <c r="F29" s="8"/>
      <c r="G29" s="8"/>
      <c r="H29" s="8"/>
      <c r="I29" s="8"/>
      <c r="J29" s="8"/>
      <c r="K29" s="8"/>
      <c r="L29" s="8"/>
      <c r="M29" s="8"/>
      <c r="N29" s="8"/>
      <c r="O29" s="8"/>
      <c r="P29" s="8"/>
      <c r="Q29" s="8">
        <f t="shared" ref="Q29:AI29" si="16">IF(Q$2-$B29-$C$3&lt;0,SLN($Q$11,0,$C$3),0)</f>
        <v>0</v>
      </c>
      <c r="R29" s="8">
        <f t="shared" si="16"/>
        <v>0</v>
      </c>
      <c r="S29" s="8">
        <f t="shared" si="16"/>
        <v>0</v>
      </c>
      <c r="T29" s="8">
        <f t="shared" si="16"/>
        <v>0</v>
      </c>
      <c r="U29" s="8">
        <f t="shared" si="16"/>
        <v>0</v>
      </c>
      <c r="V29" s="8">
        <f t="shared" si="16"/>
        <v>0</v>
      </c>
      <c r="W29" s="8">
        <f t="shared" si="16"/>
        <v>0</v>
      </c>
      <c r="X29" s="8">
        <f t="shared" si="16"/>
        <v>0</v>
      </c>
      <c r="Y29" s="8">
        <f t="shared" si="16"/>
        <v>0</v>
      </c>
      <c r="Z29" s="8">
        <f t="shared" si="16"/>
        <v>0</v>
      </c>
      <c r="AA29" s="8">
        <f t="shared" si="16"/>
        <v>0</v>
      </c>
      <c r="AB29" s="8">
        <f t="shared" si="16"/>
        <v>0</v>
      </c>
      <c r="AC29" s="8">
        <f t="shared" si="16"/>
        <v>0</v>
      </c>
      <c r="AD29" s="8">
        <f t="shared" si="16"/>
        <v>0</v>
      </c>
      <c r="AE29" s="8">
        <f t="shared" si="16"/>
        <v>0</v>
      </c>
      <c r="AF29" s="8">
        <f t="shared" si="16"/>
        <v>0</v>
      </c>
      <c r="AG29" s="8">
        <f t="shared" si="16"/>
        <v>0</v>
      </c>
      <c r="AH29" s="8">
        <f t="shared" si="16"/>
        <v>0</v>
      </c>
      <c r="AI29" s="8">
        <f t="shared" si="16"/>
        <v>0</v>
      </c>
      <c r="AJ29" s="125">
        <f t="shared" si="2"/>
        <v>0</v>
      </c>
    </row>
    <row r="30" spans="2:36" x14ac:dyDescent="0.2">
      <c r="B30">
        <f>R2</f>
        <v>2032</v>
      </c>
      <c r="C30" s="8"/>
      <c r="D30" s="8"/>
      <c r="E30" s="8"/>
      <c r="F30" s="8"/>
      <c r="G30" s="8"/>
      <c r="H30" s="8"/>
      <c r="I30" s="8"/>
      <c r="J30" s="8"/>
      <c r="K30" s="8"/>
      <c r="L30" s="8"/>
      <c r="M30" s="8"/>
      <c r="N30" s="8"/>
      <c r="O30" s="8"/>
      <c r="P30" s="8"/>
      <c r="Q30" s="8"/>
      <c r="R30" s="8">
        <f t="shared" ref="R30:AI30" si="17">IF(R$2-$B30-$C$3&lt;0,SLN($R$11,0,$C$3),0)</f>
        <v>0</v>
      </c>
      <c r="S30" s="8">
        <f t="shared" si="17"/>
        <v>0</v>
      </c>
      <c r="T30" s="8">
        <f t="shared" si="17"/>
        <v>0</v>
      </c>
      <c r="U30" s="8">
        <f t="shared" si="17"/>
        <v>0</v>
      </c>
      <c r="V30" s="8">
        <f t="shared" si="17"/>
        <v>0</v>
      </c>
      <c r="W30" s="8">
        <f t="shared" si="17"/>
        <v>0</v>
      </c>
      <c r="X30" s="8">
        <f t="shared" si="17"/>
        <v>0</v>
      </c>
      <c r="Y30" s="8">
        <f t="shared" si="17"/>
        <v>0</v>
      </c>
      <c r="Z30" s="8">
        <f t="shared" si="17"/>
        <v>0</v>
      </c>
      <c r="AA30" s="8">
        <f t="shared" si="17"/>
        <v>0</v>
      </c>
      <c r="AB30" s="8">
        <f t="shared" si="17"/>
        <v>0</v>
      </c>
      <c r="AC30" s="8">
        <f t="shared" si="17"/>
        <v>0</v>
      </c>
      <c r="AD30" s="8">
        <f t="shared" si="17"/>
        <v>0</v>
      </c>
      <c r="AE30" s="8">
        <f t="shared" si="17"/>
        <v>0</v>
      </c>
      <c r="AF30" s="8">
        <f t="shared" si="17"/>
        <v>0</v>
      </c>
      <c r="AG30" s="8">
        <f t="shared" si="17"/>
        <v>0</v>
      </c>
      <c r="AH30" s="8">
        <f t="shared" si="17"/>
        <v>0</v>
      </c>
      <c r="AI30" s="8">
        <f t="shared" si="17"/>
        <v>0</v>
      </c>
      <c r="AJ30" s="125">
        <f t="shared" si="2"/>
        <v>0</v>
      </c>
    </row>
    <row r="31" spans="2:36" x14ac:dyDescent="0.2">
      <c r="B31">
        <f>S2</f>
        <v>2033</v>
      </c>
      <c r="C31" s="8"/>
      <c r="D31" s="8"/>
      <c r="E31" s="8"/>
      <c r="F31" s="8"/>
      <c r="G31" s="8"/>
      <c r="H31" s="8"/>
      <c r="I31" s="8"/>
      <c r="J31" s="8"/>
      <c r="K31" s="8"/>
      <c r="L31" s="8"/>
      <c r="M31" s="8"/>
      <c r="N31" s="8"/>
      <c r="O31" s="8"/>
      <c r="P31" s="8"/>
      <c r="Q31" s="8"/>
      <c r="R31" s="8"/>
      <c r="S31" s="8">
        <f t="shared" ref="S31:AI31" si="18">IF(S$2-$B31-$C$3&lt;0,SLN($S$11,0,$C$3),0)</f>
        <v>0</v>
      </c>
      <c r="T31" s="8">
        <f t="shared" si="18"/>
        <v>0</v>
      </c>
      <c r="U31" s="8">
        <f t="shared" si="18"/>
        <v>0</v>
      </c>
      <c r="V31" s="8">
        <f t="shared" si="18"/>
        <v>0</v>
      </c>
      <c r="W31" s="8">
        <f t="shared" si="18"/>
        <v>0</v>
      </c>
      <c r="X31" s="8">
        <f t="shared" si="18"/>
        <v>0</v>
      </c>
      <c r="Y31" s="8">
        <f t="shared" si="18"/>
        <v>0</v>
      </c>
      <c r="Z31" s="8">
        <f t="shared" si="18"/>
        <v>0</v>
      </c>
      <c r="AA31" s="8">
        <f t="shared" si="18"/>
        <v>0</v>
      </c>
      <c r="AB31" s="8">
        <f t="shared" si="18"/>
        <v>0</v>
      </c>
      <c r="AC31" s="8">
        <f t="shared" si="18"/>
        <v>0</v>
      </c>
      <c r="AD31" s="8">
        <f t="shared" si="18"/>
        <v>0</v>
      </c>
      <c r="AE31" s="8">
        <f t="shared" si="18"/>
        <v>0</v>
      </c>
      <c r="AF31" s="8">
        <f t="shared" si="18"/>
        <v>0</v>
      </c>
      <c r="AG31" s="8">
        <f t="shared" si="18"/>
        <v>0</v>
      </c>
      <c r="AH31" s="8">
        <f t="shared" si="18"/>
        <v>0</v>
      </c>
      <c r="AI31" s="8">
        <f t="shared" si="18"/>
        <v>0</v>
      </c>
      <c r="AJ31" s="125">
        <f t="shared" si="2"/>
        <v>0</v>
      </c>
    </row>
    <row r="32" spans="2:36" x14ac:dyDescent="0.2">
      <c r="B32">
        <f>T2</f>
        <v>2034</v>
      </c>
      <c r="C32" s="8"/>
      <c r="D32" s="8"/>
      <c r="E32" s="8"/>
      <c r="F32" s="8"/>
      <c r="G32" s="8"/>
      <c r="H32" s="8"/>
      <c r="I32" s="8"/>
      <c r="J32" s="8"/>
      <c r="K32" s="8"/>
      <c r="L32" s="8"/>
      <c r="M32" s="8"/>
      <c r="N32" s="8"/>
      <c r="O32" s="8"/>
      <c r="P32" s="8"/>
      <c r="Q32" s="8"/>
      <c r="R32" s="8"/>
      <c r="S32" s="8"/>
      <c r="T32" s="8">
        <f t="shared" ref="T32:AI32" si="19">IF(T$2-$B32-$C$3&lt;0,SLN($T$11,0,$C$3),0)</f>
        <v>0</v>
      </c>
      <c r="U32" s="8">
        <f t="shared" si="19"/>
        <v>0</v>
      </c>
      <c r="V32" s="8">
        <f t="shared" si="19"/>
        <v>0</v>
      </c>
      <c r="W32" s="8">
        <f t="shared" si="19"/>
        <v>0</v>
      </c>
      <c r="X32" s="8">
        <f t="shared" si="19"/>
        <v>0</v>
      </c>
      <c r="Y32" s="8">
        <f t="shared" si="19"/>
        <v>0</v>
      </c>
      <c r="Z32" s="8">
        <f t="shared" si="19"/>
        <v>0</v>
      </c>
      <c r="AA32" s="8">
        <f t="shared" si="19"/>
        <v>0</v>
      </c>
      <c r="AB32" s="8">
        <f t="shared" si="19"/>
        <v>0</v>
      </c>
      <c r="AC32" s="8">
        <f t="shared" si="19"/>
        <v>0</v>
      </c>
      <c r="AD32" s="8">
        <f t="shared" si="19"/>
        <v>0</v>
      </c>
      <c r="AE32" s="8">
        <f t="shared" si="19"/>
        <v>0</v>
      </c>
      <c r="AF32" s="8">
        <f t="shared" si="19"/>
        <v>0</v>
      </c>
      <c r="AG32" s="8">
        <f t="shared" si="19"/>
        <v>0</v>
      </c>
      <c r="AH32" s="8">
        <f t="shared" si="19"/>
        <v>0</v>
      </c>
      <c r="AI32" s="8">
        <f t="shared" si="19"/>
        <v>0</v>
      </c>
      <c r="AJ32" s="125">
        <f t="shared" si="2"/>
        <v>0</v>
      </c>
    </row>
    <row r="33" spans="1:37" x14ac:dyDescent="0.2">
      <c r="B33">
        <f>U2</f>
        <v>2035</v>
      </c>
      <c r="C33" s="8"/>
      <c r="D33" s="8"/>
      <c r="E33" s="8"/>
      <c r="F33" s="8"/>
      <c r="G33" s="8"/>
      <c r="H33" s="8"/>
      <c r="I33" s="8"/>
      <c r="J33" s="8"/>
      <c r="K33" s="8"/>
      <c r="L33" s="8"/>
      <c r="M33" s="8"/>
      <c r="N33" s="8"/>
      <c r="O33" s="8"/>
      <c r="P33" s="8"/>
      <c r="Q33" s="8"/>
      <c r="R33" s="8"/>
      <c r="S33" s="8"/>
      <c r="T33" s="8"/>
      <c r="U33" s="8">
        <f t="shared" ref="U33:AI33" si="20">IF(U$2-$B33-$C$3&lt;0,SLN($U$11,0,$C$3),0)</f>
        <v>0</v>
      </c>
      <c r="V33" s="8">
        <f t="shared" si="20"/>
        <v>0</v>
      </c>
      <c r="W33" s="8">
        <f t="shared" si="20"/>
        <v>0</v>
      </c>
      <c r="X33" s="8">
        <f t="shared" si="20"/>
        <v>0</v>
      </c>
      <c r="Y33" s="8">
        <f t="shared" si="20"/>
        <v>0</v>
      </c>
      <c r="Z33" s="8">
        <f t="shared" si="20"/>
        <v>0</v>
      </c>
      <c r="AA33" s="8">
        <f t="shared" si="20"/>
        <v>0</v>
      </c>
      <c r="AB33" s="8">
        <f t="shared" si="20"/>
        <v>0</v>
      </c>
      <c r="AC33" s="8">
        <f t="shared" si="20"/>
        <v>0</v>
      </c>
      <c r="AD33" s="8">
        <f t="shared" si="20"/>
        <v>0</v>
      </c>
      <c r="AE33" s="8">
        <f t="shared" si="20"/>
        <v>0</v>
      </c>
      <c r="AF33" s="8">
        <f t="shared" si="20"/>
        <v>0</v>
      </c>
      <c r="AG33" s="8">
        <f t="shared" si="20"/>
        <v>0</v>
      </c>
      <c r="AH33" s="8">
        <f t="shared" si="20"/>
        <v>0</v>
      </c>
      <c r="AI33" s="8">
        <f t="shared" si="20"/>
        <v>0</v>
      </c>
      <c r="AJ33" s="125">
        <f t="shared" si="2"/>
        <v>0</v>
      </c>
    </row>
    <row r="34" spans="1:37" x14ac:dyDescent="0.2">
      <c r="B34">
        <f>V2</f>
        <v>2036</v>
      </c>
      <c r="C34" s="8"/>
      <c r="D34" s="8"/>
      <c r="E34" s="8"/>
      <c r="F34" s="8"/>
      <c r="G34" s="8"/>
      <c r="H34" s="8"/>
      <c r="I34" s="8"/>
      <c r="J34" s="8"/>
      <c r="K34" s="8"/>
      <c r="L34" s="8"/>
      <c r="M34" s="8"/>
      <c r="N34" s="8"/>
      <c r="O34" s="8"/>
      <c r="P34" s="8"/>
      <c r="Q34" s="8"/>
      <c r="R34" s="8"/>
      <c r="S34" s="8"/>
      <c r="T34" s="8"/>
      <c r="U34" s="8"/>
      <c r="V34" s="8">
        <f t="shared" ref="V34:AI34" si="21">IF(V$2-$B34-$C$3&lt;0,SLN($V$11,0,$C$3),0)</f>
        <v>0</v>
      </c>
      <c r="W34" s="8">
        <f t="shared" si="21"/>
        <v>0</v>
      </c>
      <c r="X34" s="8">
        <f t="shared" si="21"/>
        <v>0</v>
      </c>
      <c r="Y34" s="8">
        <f t="shared" si="21"/>
        <v>0</v>
      </c>
      <c r="Z34" s="8">
        <f t="shared" si="21"/>
        <v>0</v>
      </c>
      <c r="AA34" s="8">
        <f t="shared" si="21"/>
        <v>0</v>
      </c>
      <c r="AB34" s="8">
        <f t="shared" si="21"/>
        <v>0</v>
      </c>
      <c r="AC34" s="8">
        <f t="shared" si="21"/>
        <v>0</v>
      </c>
      <c r="AD34" s="8">
        <f t="shared" si="21"/>
        <v>0</v>
      </c>
      <c r="AE34" s="8">
        <f t="shared" si="21"/>
        <v>0</v>
      </c>
      <c r="AF34" s="8">
        <f t="shared" si="21"/>
        <v>0</v>
      </c>
      <c r="AG34" s="8">
        <f t="shared" si="21"/>
        <v>0</v>
      </c>
      <c r="AH34" s="8">
        <f t="shared" si="21"/>
        <v>0</v>
      </c>
      <c r="AI34" s="8">
        <f t="shared" si="21"/>
        <v>0</v>
      </c>
      <c r="AJ34" s="125">
        <f t="shared" si="2"/>
        <v>0</v>
      </c>
    </row>
    <row r="35" spans="1:37" x14ac:dyDescent="0.2">
      <c r="B35">
        <f>W2</f>
        <v>2037</v>
      </c>
      <c r="C35" s="8"/>
      <c r="D35" s="8"/>
      <c r="E35" s="8"/>
      <c r="F35" s="8"/>
      <c r="G35" s="8"/>
      <c r="H35" s="8"/>
      <c r="I35" s="8"/>
      <c r="J35" s="8"/>
      <c r="K35" s="8"/>
      <c r="L35" s="8"/>
      <c r="M35" s="8"/>
      <c r="N35" s="8"/>
      <c r="O35" s="8"/>
      <c r="P35" s="8"/>
      <c r="Q35" s="8"/>
      <c r="R35" s="8"/>
      <c r="S35" s="8"/>
      <c r="T35" s="8"/>
      <c r="U35" s="8"/>
      <c r="V35" s="8"/>
      <c r="W35" s="8">
        <f t="shared" ref="W35:AI35" si="22">IF(W$2-$B35-$C$3&lt;0,SLN($W$11,0,$C$3),0)</f>
        <v>0</v>
      </c>
      <c r="X35" s="8">
        <f t="shared" si="22"/>
        <v>0</v>
      </c>
      <c r="Y35" s="8">
        <f t="shared" si="22"/>
        <v>0</v>
      </c>
      <c r="Z35" s="8">
        <f t="shared" si="22"/>
        <v>0</v>
      </c>
      <c r="AA35" s="8">
        <f t="shared" si="22"/>
        <v>0</v>
      </c>
      <c r="AB35" s="8">
        <f t="shared" si="22"/>
        <v>0</v>
      </c>
      <c r="AC35" s="8">
        <f t="shared" si="22"/>
        <v>0</v>
      </c>
      <c r="AD35" s="8">
        <f t="shared" si="22"/>
        <v>0</v>
      </c>
      <c r="AE35" s="8">
        <f t="shared" si="22"/>
        <v>0</v>
      </c>
      <c r="AF35" s="8">
        <f t="shared" si="22"/>
        <v>0</v>
      </c>
      <c r="AG35" s="8">
        <f t="shared" si="22"/>
        <v>0</v>
      </c>
      <c r="AH35" s="8">
        <f t="shared" si="22"/>
        <v>0</v>
      </c>
      <c r="AI35" s="8">
        <f t="shared" si="22"/>
        <v>0</v>
      </c>
      <c r="AJ35" s="125">
        <f t="shared" si="2"/>
        <v>0</v>
      </c>
    </row>
    <row r="36" spans="1:37" x14ac:dyDescent="0.2">
      <c r="B36">
        <f>X2</f>
        <v>2038</v>
      </c>
      <c r="C36" s="8"/>
      <c r="D36" s="8"/>
      <c r="E36" s="8"/>
      <c r="F36" s="8"/>
      <c r="G36" s="8"/>
      <c r="H36" s="8"/>
      <c r="I36" s="8"/>
      <c r="J36" s="8"/>
      <c r="K36" s="8"/>
      <c r="L36" s="8"/>
      <c r="M36" s="8"/>
      <c r="N36" s="8"/>
      <c r="O36" s="8"/>
      <c r="P36" s="8"/>
      <c r="Q36" s="8"/>
      <c r="R36" s="8"/>
      <c r="S36" s="8"/>
      <c r="T36" s="8"/>
      <c r="U36" s="8"/>
      <c r="V36" s="8"/>
      <c r="W36" s="8"/>
      <c r="X36" s="8">
        <f t="shared" ref="X36:AI36" si="23">IF(X$2-$B36-$C$3&lt;0,SLN($X$11,0,$C$3),0)</f>
        <v>0</v>
      </c>
      <c r="Y36" s="8">
        <f t="shared" si="23"/>
        <v>0</v>
      </c>
      <c r="Z36" s="8">
        <f t="shared" si="23"/>
        <v>0</v>
      </c>
      <c r="AA36" s="8">
        <f t="shared" si="23"/>
        <v>0</v>
      </c>
      <c r="AB36" s="8">
        <f t="shared" si="23"/>
        <v>0</v>
      </c>
      <c r="AC36" s="8">
        <f t="shared" si="23"/>
        <v>0</v>
      </c>
      <c r="AD36" s="8">
        <f t="shared" si="23"/>
        <v>0</v>
      </c>
      <c r="AE36" s="8">
        <f t="shared" si="23"/>
        <v>0</v>
      </c>
      <c r="AF36" s="8">
        <f t="shared" si="23"/>
        <v>0</v>
      </c>
      <c r="AG36" s="8">
        <f t="shared" si="23"/>
        <v>0</v>
      </c>
      <c r="AH36" s="8">
        <f t="shared" si="23"/>
        <v>0</v>
      </c>
      <c r="AI36" s="8">
        <f t="shared" si="23"/>
        <v>0</v>
      </c>
      <c r="AJ36" s="125">
        <f t="shared" si="2"/>
        <v>0</v>
      </c>
    </row>
    <row r="37" spans="1:37" x14ac:dyDescent="0.2">
      <c r="B37">
        <f>Y2</f>
        <v>2039</v>
      </c>
      <c r="C37" s="8"/>
      <c r="D37" s="8"/>
      <c r="E37" s="8"/>
      <c r="F37" s="8"/>
      <c r="G37" s="8"/>
      <c r="H37" s="8"/>
      <c r="I37" s="8"/>
      <c r="J37" s="8"/>
      <c r="K37" s="8"/>
      <c r="L37" s="8"/>
      <c r="M37" s="8"/>
      <c r="N37" s="8"/>
      <c r="O37" s="8"/>
      <c r="P37" s="8"/>
      <c r="Q37" s="8"/>
      <c r="R37" s="8"/>
      <c r="S37" s="8"/>
      <c r="T37" s="8"/>
      <c r="U37" s="8"/>
      <c r="V37" s="8"/>
      <c r="W37" s="8"/>
      <c r="X37" s="8"/>
      <c r="Y37" s="8">
        <f t="shared" ref="Y37:AI37" si="24">IF(Y$2-$B37-$C$3&lt;0,SLN($Y$11,0,$C$3),0)</f>
        <v>0</v>
      </c>
      <c r="Z37" s="8">
        <f t="shared" si="24"/>
        <v>0</v>
      </c>
      <c r="AA37" s="8">
        <f t="shared" si="24"/>
        <v>0</v>
      </c>
      <c r="AB37" s="8">
        <f t="shared" si="24"/>
        <v>0</v>
      </c>
      <c r="AC37" s="8">
        <f t="shared" si="24"/>
        <v>0</v>
      </c>
      <c r="AD37" s="8">
        <f t="shared" si="24"/>
        <v>0</v>
      </c>
      <c r="AE37" s="8">
        <f t="shared" si="24"/>
        <v>0</v>
      </c>
      <c r="AF37" s="8">
        <f t="shared" si="24"/>
        <v>0</v>
      </c>
      <c r="AG37" s="8">
        <f t="shared" si="24"/>
        <v>0</v>
      </c>
      <c r="AH37" s="8">
        <f t="shared" si="24"/>
        <v>0</v>
      </c>
      <c r="AI37" s="8">
        <f t="shared" si="24"/>
        <v>0</v>
      </c>
      <c r="AJ37" s="125">
        <f t="shared" si="2"/>
        <v>0</v>
      </c>
    </row>
    <row r="38" spans="1:37" x14ac:dyDescent="0.2">
      <c r="B38">
        <f>Z2</f>
        <v>2040</v>
      </c>
      <c r="C38" s="8"/>
      <c r="D38" s="8"/>
      <c r="E38" s="8"/>
      <c r="F38" s="8"/>
      <c r="G38" s="8"/>
      <c r="H38" s="8"/>
      <c r="I38" s="8"/>
      <c r="J38" s="8"/>
      <c r="K38" s="8"/>
      <c r="L38" s="8"/>
      <c r="M38" s="8"/>
      <c r="N38" s="8"/>
      <c r="O38" s="8"/>
      <c r="P38" s="8"/>
      <c r="Q38" s="8"/>
      <c r="R38" s="8"/>
      <c r="S38" s="8"/>
      <c r="T38" s="8"/>
      <c r="U38" s="8"/>
      <c r="V38" s="8"/>
      <c r="W38" s="8"/>
      <c r="X38" s="8"/>
      <c r="Y38" s="8"/>
      <c r="Z38" s="8">
        <f t="shared" ref="Z38:AI38" si="25">IF(Z$2-$B38-$C$3&lt;0,SLN($Z$11,0,$C$3),0)</f>
        <v>0</v>
      </c>
      <c r="AA38" s="8">
        <f t="shared" si="25"/>
        <v>0</v>
      </c>
      <c r="AB38" s="8">
        <f t="shared" si="25"/>
        <v>0</v>
      </c>
      <c r="AC38" s="8">
        <f t="shared" si="25"/>
        <v>0</v>
      </c>
      <c r="AD38" s="8">
        <f t="shared" si="25"/>
        <v>0</v>
      </c>
      <c r="AE38" s="8">
        <f t="shared" si="25"/>
        <v>0</v>
      </c>
      <c r="AF38" s="8">
        <f t="shared" si="25"/>
        <v>0</v>
      </c>
      <c r="AG38" s="8">
        <f t="shared" si="25"/>
        <v>0</v>
      </c>
      <c r="AH38" s="8">
        <f t="shared" si="25"/>
        <v>0</v>
      </c>
      <c r="AI38" s="8">
        <f t="shared" si="25"/>
        <v>0</v>
      </c>
      <c r="AJ38" s="125">
        <f t="shared" si="2"/>
        <v>0</v>
      </c>
    </row>
    <row r="39" spans="1:37" x14ac:dyDescent="0.2">
      <c r="B39">
        <f>AA2</f>
        <v>2041</v>
      </c>
      <c r="C39" s="8"/>
      <c r="D39" s="8"/>
      <c r="E39" s="8"/>
      <c r="F39" s="8"/>
      <c r="G39" s="8"/>
      <c r="H39" s="8"/>
      <c r="I39" s="8"/>
      <c r="J39" s="8"/>
      <c r="K39" s="8"/>
      <c r="L39" s="8"/>
      <c r="M39" s="8"/>
      <c r="N39" s="8"/>
      <c r="O39" s="8"/>
      <c r="P39" s="8"/>
      <c r="Q39" s="8"/>
      <c r="R39" s="8"/>
      <c r="S39" s="8"/>
      <c r="T39" s="8"/>
      <c r="U39" s="8"/>
      <c r="V39" s="8"/>
      <c r="W39" s="8"/>
      <c r="X39" s="8"/>
      <c r="Y39" s="8"/>
      <c r="Z39" s="8"/>
      <c r="AA39" s="8">
        <f t="shared" ref="AA39:AI39" si="26">IF(AA$2-$B39-$C$3&lt;0,SLN($AA$11,0,$C$3),0)</f>
        <v>0</v>
      </c>
      <c r="AB39" s="8">
        <f t="shared" si="26"/>
        <v>0</v>
      </c>
      <c r="AC39" s="8">
        <f t="shared" si="26"/>
        <v>0</v>
      </c>
      <c r="AD39" s="8">
        <f t="shared" si="26"/>
        <v>0</v>
      </c>
      <c r="AE39" s="8">
        <f t="shared" si="26"/>
        <v>0</v>
      </c>
      <c r="AF39" s="8">
        <f t="shared" si="26"/>
        <v>0</v>
      </c>
      <c r="AG39" s="8">
        <f t="shared" si="26"/>
        <v>0</v>
      </c>
      <c r="AH39" s="8">
        <f t="shared" si="26"/>
        <v>0</v>
      </c>
      <c r="AI39" s="8">
        <f t="shared" si="26"/>
        <v>0</v>
      </c>
      <c r="AJ39" s="125">
        <f t="shared" si="2"/>
        <v>0</v>
      </c>
    </row>
    <row r="40" spans="1:37" x14ac:dyDescent="0.2">
      <c r="B40">
        <f>AB2</f>
        <v>2042</v>
      </c>
      <c r="C40" s="8"/>
      <c r="D40" s="8"/>
      <c r="E40" s="8"/>
      <c r="F40" s="8"/>
      <c r="G40" s="8"/>
      <c r="H40" s="8"/>
      <c r="I40" s="8"/>
      <c r="J40" s="8"/>
      <c r="K40" s="8"/>
      <c r="L40" s="8"/>
      <c r="M40" s="8"/>
      <c r="N40" s="8"/>
      <c r="O40" s="8"/>
      <c r="P40" s="8"/>
      <c r="Q40" s="8"/>
      <c r="R40" s="8"/>
      <c r="S40" s="8"/>
      <c r="T40" s="8"/>
      <c r="U40" s="8"/>
      <c r="V40" s="8"/>
      <c r="W40" s="8"/>
      <c r="X40" s="8"/>
      <c r="Y40" s="8"/>
      <c r="Z40" s="8"/>
      <c r="AA40" s="8"/>
      <c r="AB40" s="8">
        <f t="shared" ref="AB40:AI40" si="27">IF(AB$2-$B40-$C$3&lt;0,SLN($AB$11,0,$C$3),0)</f>
        <v>0</v>
      </c>
      <c r="AC40" s="8">
        <f t="shared" si="27"/>
        <v>0</v>
      </c>
      <c r="AD40" s="8">
        <f t="shared" si="27"/>
        <v>0</v>
      </c>
      <c r="AE40" s="8">
        <f t="shared" si="27"/>
        <v>0</v>
      </c>
      <c r="AF40" s="8">
        <f t="shared" si="27"/>
        <v>0</v>
      </c>
      <c r="AG40" s="8">
        <f t="shared" si="27"/>
        <v>0</v>
      </c>
      <c r="AH40" s="8">
        <f t="shared" si="27"/>
        <v>0</v>
      </c>
      <c r="AI40" s="8">
        <f t="shared" si="27"/>
        <v>0</v>
      </c>
      <c r="AJ40" s="125">
        <f t="shared" si="2"/>
        <v>0</v>
      </c>
    </row>
    <row r="41" spans="1:37" x14ac:dyDescent="0.2">
      <c r="B41">
        <f>AC2</f>
        <v>2043</v>
      </c>
      <c r="C41" s="8"/>
      <c r="D41" s="8"/>
      <c r="E41" s="8"/>
      <c r="F41" s="8"/>
      <c r="G41" s="8"/>
      <c r="H41" s="8"/>
      <c r="I41" s="8"/>
      <c r="J41" s="8"/>
      <c r="K41" s="8"/>
      <c r="L41" s="8"/>
      <c r="M41" s="8"/>
      <c r="N41" s="8"/>
      <c r="O41" s="8"/>
      <c r="P41" s="8"/>
      <c r="Q41" s="8"/>
      <c r="R41" s="8"/>
      <c r="S41" s="8"/>
      <c r="T41" s="8"/>
      <c r="U41" s="8"/>
      <c r="V41" s="8"/>
      <c r="W41" s="8"/>
      <c r="X41" s="8"/>
      <c r="Y41" s="8"/>
      <c r="Z41" s="8"/>
      <c r="AA41" s="8"/>
      <c r="AB41" s="8"/>
      <c r="AC41" s="8">
        <f t="shared" ref="AC41:AI41" si="28">IF(AC$2-$B41-$C$3&lt;0,SLN($AC$11,0,$C$3),0)</f>
        <v>0</v>
      </c>
      <c r="AD41" s="8">
        <f t="shared" si="28"/>
        <v>0</v>
      </c>
      <c r="AE41" s="8">
        <f t="shared" si="28"/>
        <v>0</v>
      </c>
      <c r="AF41" s="8">
        <f t="shared" si="28"/>
        <v>0</v>
      </c>
      <c r="AG41" s="8">
        <f t="shared" si="28"/>
        <v>0</v>
      </c>
      <c r="AH41" s="8">
        <f t="shared" si="28"/>
        <v>0</v>
      </c>
      <c r="AI41" s="8">
        <f t="shared" si="28"/>
        <v>0</v>
      </c>
      <c r="AJ41" s="125">
        <f t="shared" si="2"/>
        <v>0</v>
      </c>
    </row>
    <row r="42" spans="1:37" x14ac:dyDescent="0.2">
      <c r="B42">
        <f>AD2</f>
        <v>2044</v>
      </c>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f t="shared" ref="AD42:AI42" si="29">IF(AD$2-$B42-$C$3&lt;0,SLN($AD$11,0,$C$3),0)</f>
        <v>0</v>
      </c>
      <c r="AE42" s="8">
        <f t="shared" si="29"/>
        <v>0</v>
      </c>
      <c r="AF42" s="8">
        <f t="shared" si="29"/>
        <v>0</v>
      </c>
      <c r="AG42" s="8">
        <f t="shared" si="29"/>
        <v>0</v>
      </c>
      <c r="AH42" s="8">
        <f t="shared" si="29"/>
        <v>0</v>
      </c>
      <c r="AI42" s="8">
        <f t="shared" si="29"/>
        <v>0</v>
      </c>
      <c r="AJ42" s="125">
        <f t="shared" si="2"/>
        <v>0</v>
      </c>
    </row>
    <row r="43" spans="1:37" x14ac:dyDescent="0.2">
      <c r="B43">
        <f>AE2</f>
        <v>2045</v>
      </c>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f>IF(AE$2-$B43-$C$3&lt;0,SLN($AE$11,0,$C$3),0)</f>
        <v>0</v>
      </c>
      <c r="AF43" s="8">
        <f>IF(AF$2-$B43-$C$3&lt;0,SLN($AE$11,0,$C$3),0)</f>
        <v>0</v>
      </c>
      <c r="AG43" s="8">
        <f>IF(AG$2-$B43-$C$3&lt;0,SLN($AE$11,0,$C$3),0)</f>
        <v>0</v>
      </c>
      <c r="AH43" s="8">
        <f>IF(AH$2-$B43-$C$3&lt;0,SLN($AE$11,0,$C$3),0)</f>
        <v>0</v>
      </c>
      <c r="AI43" s="8">
        <f>IF(AI$2-$B43-$C$3&lt;0,SLN($AE$11,0,$C$3),0)</f>
        <v>0</v>
      </c>
      <c r="AJ43" s="125">
        <f t="shared" si="2"/>
        <v>0</v>
      </c>
    </row>
    <row r="44" spans="1:37" x14ac:dyDescent="0.25">
      <c r="B44">
        <f>AF2</f>
        <v>2046</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f>IF(AF$2-$B44-$C$3&lt;0,SLN($AF$11,0,$C$3),0)</f>
        <v>0</v>
      </c>
      <c r="AG44" s="8">
        <f>IF(AG$2-$B44-$C$3&lt;0,SLN($AF$11,0,$C$3),0)</f>
        <v>0</v>
      </c>
      <c r="AH44" s="8">
        <f>IF(AH$2-$B44-$C$3&lt;0,SLN($AF$11,0,$C$3),0)</f>
        <v>0</v>
      </c>
      <c r="AI44" s="8">
        <f>IF(AI$2-$B44-$C$3&lt;0,SLN($AF$11,0,$C$3),0)</f>
        <v>0</v>
      </c>
      <c r="AJ44" s="125">
        <f t="shared" si="2"/>
        <v>0</v>
      </c>
    </row>
    <row r="45" spans="1:37" x14ac:dyDescent="0.25">
      <c r="B45">
        <f>AG2</f>
        <v>2047</v>
      </c>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f>IF(AG$2-$B45-$C$3&lt;0,SLN($AG$11,0,$C$3),0)</f>
        <v>0</v>
      </c>
      <c r="AH45" s="8">
        <f>IF(AH$2-$B45-$C$3&lt;0,SLN($AG$11,0,$C$3),0)</f>
        <v>0</v>
      </c>
      <c r="AI45" s="8">
        <f>IF(AI$2-$B45-$C$3&lt;0,SLN($AG$11,0,$C$3),0)</f>
        <v>0</v>
      </c>
      <c r="AJ45" s="125">
        <f t="shared" si="2"/>
        <v>0</v>
      </c>
    </row>
    <row r="46" spans="1:37" x14ac:dyDescent="0.25">
      <c r="B46">
        <f>AH2</f>
        <v>2048</v>
      </c>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f>IF(AH$2-$B46-$C$3&lt;0,SLN($AH$11,0,$C$3),0)</f>
        <v>0</v>
      </c>
      <c r="AI46" s="8">
        <f>IF(AI$2-$B46-$C$3&lt;0,SLN($AH$11,0,$C$3),0)</f>
        <v>0</v>
      </c>
      <c r="AJ46" s="125">
        <f t="shared" si="2"/>
        <v>0</v>
      </c>
    </row>
    <row r="47" spans="1:37" ht="15.75" thickBot="1" x14ac:dyDescent="0.3">
      <c r="B47">
        <f>AI2</f>
        <v>2049</v>
      </c>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f>IF(AI$2-$B47-$C$3&lt;0,SLN($AI$11,0,$C$3),0)</f>
        <v>0</v>
      </c>
      <c r="AJ47" s="128">
        <f t="shared" si="2"/>
        <v>0</v>
      </c>
    </row>
    <row r="48" spans="1:37" s="79" customFormat="1" ht="15.75" thickBot="1" x14ac:dyDescent="0.3">
      <c r="A48" s="105" t="s">
        <v>231</v>
      </c>
      <c r="B48" s="79" t="s">
        <v>99</v>
      </c>
      <c r="C48" s="106">
        <f>SUM(C15:C47)</f>
        <v>50</v>
      </c>
      <c r="D48" s="107">
        <f t="shared" ref="D48:AJ48" si="30">SUM(D15:D47)</f>
        <v>155</v>
      </c>
      <c r="E48" s="107">
        <f t="shared" si="30"/>
        <v>367.5</v>
      </c>
      <c r="F48" s="107">
        <f t="shared" si="30"/>
        <v>842.5</v>
      </c>
      <c r="G48" s="107">
        <f t="shared" si="30"/>
        <v>1205</v>
      </c>
      <c r="H48" s="107">
        <f t="shared" si="30"/>
        <v>1167.5</v>
      </c>
      <c r="I48" s="107">
        <f t="shared" si="30"/>
        <v>955</v>
      </c>
      <c r="J48" s="107">
        <f t="shared" si="30"/>
        <v>480</v>
      </c>
      <c r="K48" s="107">
        <f t="shared" si="30"/>
        <v>67.5</v>
      </c>
      <c r="L48" s="107">
        <f t="shared" si="30"/>
        <v>0</v>
      </c>
      <c r="M48" s="107">
        <f t="shared" si="30"/>
        <v>0</v>
      </c>
      <c r="N48" s="107">
        <f t="shared" si="30"/>
        <v>0</v>
      </c>
      <c r="O48" s="107">
        <f t="shared" si="30"/>
        <v>0</v>
      </c>
      <c r="P48" s="107">
        <f t="shared" si="30"/>
        <v>0</v>
      </c>
      <c r="Q48" s="107">
        <f t="shared" si="30"/>
        <v>0</v>
      </c>
      <c r="R48" s="107">
        <f t="shared" si="30"/>
        <v>0</v>
      </c>
      <c r="S48" s="107">
        <f t="shared" si="30"/>
        <v>0</v>
      </c>
      <c r="T48" s="107">
        <f t="shared" si="30"/>
        <v>0</v>
      </c>
      <c r="U48" s="107">
        <f t="shared" si="30"/>
        <v>0</v>
      </c>
      <c r="V48" s="107">
        <f t="shared" si="30"/>
        <v>0</v>
      </c>
      <c r="W48" s="107">
        <f t="shared" si="30"/>
        <v>0</v>
      </c>
      <c r="X48" s="107">
        <f t="shared" si="30"/>
        <v>0</v>
      </c>
      <c r="Y48" s="107">
        <f t="shared" si="30"/>
        <v>0</v>
      </c>
      <c r="Z48" s="107">
        <f t="shared" si="30"/>
        <v>0</v>
      </c>
      <c r="AA48" s="107">
        <f t="shared" si="30"/>
        <v>0</v>
      </c>
      <c r="AB48" s="107">
        <f t="shared" si="30"/>
        <v>0</v>
      </c>
      <c r="AC48" s="107">
        <f t="shared" si="30"/>
        <v>0</v>
      </c>
      <c r="AD48" s="107">
        <f t="shared" si="30"/>
        <v>0</v>
      </c>
      <c r="AE48" s="107">
        <f t="shared" si="30"/>
        <v>0</v>
      </c>
      <c r="AF48" s="107">
        <f t="shared" si="30"/>
        <v>0</v>
      </c>
      <c r="AG48" s="107">
        <f t="shared" si="30"/>
        <v>0</v>
      </c>
      <c r="AH48" s="107">
        <f t="shared" si="30"/>
        <v>0</v>
      </c>
      <c r="AI48" s="107">
        <f t="shared" si="30"/>
        <v>0</v>
      </c>
      <c r="AJ48" s="129">
        <f t="shared" si="30"/>
        <v>5290</v>
      </c>
      <c r="AK48" s="108">
        <f>AJ48-AJ11</f>
        <v>0</v>
      </c>
    </row>
    <row r="49" spans="36:37" x14ac:dyDescent="0.25">
      <c r="AJ49" s="124" t="s">
        <v>232</v>
      </c>
      <c r="AK49" s="95" t="str">
        <f>IF(AK48=0,"VALID","ERROR")</f>
        <v>VALID</v>
      </c>
    </row>
  </sheetData>
  <pageMargins left="0.7" right="0.7" top="0.75" bottom="0.75" header="0.3" footer="0.3"/>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3:AJ16"/>
  <sheetViews>
    <sheetView workbookViewId="0">
      <selection activeCell="A3" sqref="A3:XFD16"/>
    </sheetView>
  </sheetViews>
  <sheetFormatPr defaultColWidth="11.42578125" defaultRowHeight="15" x14ac:dyDescent="0.25"/>
  <sheetData>
    <row r="3" spans="1:36" s="389" customFormat="1" x14ac:dyDescent="0.2">
      <c r="A3" s="388" t="s">
        <v>544</v>
      </c>
    </row>
    <row r="4" spans="1:36" s="389" customFormat="1" x14ac:dyDescent="0.2">
      <c r="A4" s="390" t="s">
        <v>526</v>
      </c>
      <c r="D4" s="391">
        <f>'Assumptions &amp; Results'!D2</f>
        <v>2017</v>
      </c>
      <c r="E4" s="391">
        <f>'Assumptions &amp; Results'!E2</f>
        <v>2018</v>
      </c>
      <c r="F4" s="391">
        <f>'Assumptions &amp; Results'!F2</f>
        <v>2019</v>
      </c>
      <c r="G4" s="391">
        <f>'Assumptions &amp; Results'!G2</f>
        <v>2020</v>
      </c>
      <c r="H4" s="391">
        <f>'Assumptions &amp; Results'!H2</f>
        <v>2021</v>
      </c>
      <c r="I4" s="391">
        <f>'Assumptions &amp; Results'!I2</f>
        <v>2022</v>
      </c>
      <c r="J4" s="391">
        <f>'Assumptions &amp; Results'!J2</f>
        <v>2023</v>
      </c>
      <c r="K4" s="391">
        <f>'Assumptions &amp; Results'!K2</f>
        <v>2024</v>
      </c>
      <c r="L4" s="391">
        <f>'Assumptions &amp; Results'!L2</f>
        <v>2025</v>
      </c>
      <c r="M4" s="391">
        <f>'Assumptions &amp; Results'!M2</f>
        <v>2026</v>
      </c>
      <c r="N4" s="391">
        <f>'Assumptions &amp; Results'!N2</f>
        <v>2027</v>
      </c>
      <c r="O4" s="391">
        <f>'Assumptions &amp; Results'!O2</f>
        <v>2028</v>
      </c>
      <c r="P4" s="391">
        <f>'Assumptions &amp; Results'!P2</f>
        <v>2029</v>
      </c>
      <c r="Q4" s="391">
        <f>'Assumptions &amp; Results'!Q2</f>
        <v>2030</v>
      </c>
      <c r="R4" s="391">
        <f>'Assumptions &amp; Results'!R2</f>
        <v>2031</v>
      </c>
      <c r="S4" s="391">
        <f>'Assumptions &amp; Results'!S2</f>
        <v>2032</v>
      </c>
      <c r="T4" s="391">
        <f>'Assumptions &amp; Results'!T2</f>
        <v>2033</v>
      </c>
      <c r="U4" s="391">
        <f>'Assumptions &amp; Results'!U2</f>
        <v>2034</v>
      </c>
      <c r="V4" s="391">
        <f>'Assumptions &amp; Results'!V2</f>
        <v>2035</v>
      </c>
      <c r="W4" s="391">
        <f>'Assumptions &amp; Results'!W2</f>
        <v>2036</v>
      </c>
      <c r="X4" s="391">
        <f>'Assumptions &amp; Results'!X2</f>
        <v>2037</v>
      </c>
      <c r="Y4" s="391">
        <f>'Assumptions &amp; Results'!Y2</f>
        <v>2038</v>
      </c>
      <c r="Z4" s="391">
        <f>'Assumptions &amp; Results'!Z2</f>
        <v>2039</v>
      </c>
      <c r="AA4" s="391">
        <f>'Assumptions &amp; Results'!AA2</f>
        <v>2040</v>
      </c>
      <c r="AB4" s="391">
        <f>'Assumptions &amp; Results'!AB2</f>
        <v>2041</v>
      </c>
      <c r="AC4" s="391">
        <f>'Assumptions &amp; Results'!AC2</f>
        <v>2042</v>
      </c>
      <c r="AD4" s="391">
        <f>'Assumptions &amp; Results'!AD2</f>
        <v>2043</v>
      </c>
      <c r="AE4" s="391">
        <f>'Assumptions &amp; Results'!AE2</f>
        <v>2044</v>
      </c>
      <c r="AF4" s="391">
        <f>'Assumptions &amp; Results'!AF2</f>
        <v>2045</v>
      </c>
      <c r="AG4" s="391">
        <f>'Assumptions &amp; Results'!AG2</f>
        <v>2046</v>
      </c>
      <c r="AH4" s="391">
        <f>'Assumptions &amp; Results'!AH2</f>
        <v>2047</v>
      </c>
      <c r="AI4" s="391">
        <f>'Assumptions &amp; Results'!AI2</f>
        <v>2048</v>
      </c>
      <c r="AJ4" s="391">
        <f>'Assumptions &amp; Results'!AJ2</f>
        <v>2049</v>
      </c>
    </row>
    <row r="5" spans="1:36" s="389" customFormat="1" x14ac:dyDescent="0.2">
      <c r="A5" s="392" t="s">
        <v>522</v>
      </c>
      <c r="B5" s="389" t="s">
        <v>99</v>
      </c>
      <c r="D5" s="393">
        <f>IF('Assumptions &amp; Results'!$C$172=1,'Consolidated LNG Tolling'!C4, IF('Assumptions &amp; Results'!$C$172=2,'Consolidated LNG Equity'!C4, IF('Assumptions &amp; Results'!$C$172=3,'Consolidated One Ring Fence'!C4)))</f>
        <v>0</v>
      </c>
      <c r="E5" s="393">
        <f>IF('Assumptions &amp; Results'!$C$172=1,'Consolidated LNG Tolling'!D4, IF('Assumptions &amp; Results'!$C$172=2,'Consolidated LNG Equity'!D4, IF('Assumptions &amp; Results'!$C$172=3,'Consolidated One Ring Fence'!D4)))</f>
        <v>0</v>
      </c>
      <c r="F5" s="393">
        <f>IF('Assumptions &amp; Results'!$C$172=1,'Consolidated LNG Tolling'!E4, IF('Assumptions &amp; Results'!$C$172=2,'Consolidated LNG Equity'!E4, IF('Assumptions &amp; Results'!$C$172=3,'Consolidated One Ring Fence'!E4)))</f>
        <v>0</v>
      </c>
      <c r="G5" s="393">
        <f>IF('Assumptions &amp; Results'!$C$172=1,'Consolidated LNG Tolling'!F4, IF('Assumptions &amp; Results'!$C$172=2,'Consolidated LNG Equity'!F4, IF('Assumptions &amp; Results'!$C$172=3,'Consolidated One Ring Fence'!F4)))</f>
        <v>0</v>
      </c>
      <c r="H5" s="393">
        <f>IF('Assumptions &amp; Results'!$C$172=1,'Consolidated LNG Tolling'!G4, IF('Assumptions &amp; Results'!$C$172=2,'Consolidated LNG Equity'!G4, IF('Assumptions &amp; Results'!$C$172=3,'Consolidated One Ring Fence'!G4)))</f>
        <v>4677.9768750000012</v>
      </c>
      <c r="I5" s="393">
        <f>IF('Assumptions &amp; Results'!$C$172=1,'Consolidated LNG Tolling'!H4, IF('Assumptions &amp; Results'!$C$172=2,'Consolidated LNG Equity'!H4, IF('Assumptions &amp; Results'!$C$172=3,'Consolidated One Ring Fence'!H4)))</f>
        <v>9355.9537500000024</v>
      </c>
      <c r="J5" s="393">
        <f>IF('Assumptions &amp; Results'!$C$172=1,'Consolidated LNG Tolling'!I4, IF('Assumptions &amp; Results'!$C$172=2,'Consolidated LNG Equity'!I4, IF('Assumptions &amp; Results'!$C$172=3,'Consolidated One Ring Fence'!I4)))</f>
        <v>9355.9537500000024</v>
      </c>
      <c r="K5" s="393">
        <f>IF('Assumptions &amp; Results'!$C$172=1,'Consolidated LNG Tolling'!J4, IF('Assumptions &amp; Results'!$C$172=2,'Consolidated LNG Equity'!J4, IF('Assumptions &amp; Results'!$C$172=3,'Consolidated One Ring Fence'!J4)))</f>
        <v>8891.1673124999998</v>
      </c>
      <c r="L5" s="393">
        <f>IF('Assumptions &amp; Results'!$C$172=1,'Consolidated LNG Tolling'!K4, IF('Assumptions &amp; Results'!$C$172=2,'Consolidated LNG Equity'!K4, IF('Assumptions &amp; Results'!$C$172=3,'Consolidated One Ring Fence'!K4)))</f>
        <v>9355.9537500000024</v>
      </c>
      <c r="M5" s="393">
        <f>IF('Assumptions &amp; Results'!$C$172=1,'Consolidated LNG Tolling'!L4, IF('Assumptions &amp; Results'!$C$172=2,'Consolidated LNG Equity'!L4, IF('Assumptions &amp; Results'!$C$172=3,'Consolidated One Ring Fence'!L4)))</f>
        <v>9355.9537500000024</v>
      </c>
      <c r="N5" s="393">
        <f>IF('Assumptions &amp; Results'!$C$172=1,'Consolidated LNG Tolling'!M4, IF('Assumptions &amp; Results'!$C$172=2,'Consolidated LNG Equity'!M4, IF('Assumptions &amp; Results'!$C$172=3,'Consolidated One Ring Fence'!M4)))</f>
        <v>9355.9537500000024</v>
      </c>
      <c r="O5" s="393">
        <f>IF('Assumptions &amp; Results'!$C$172=1,'Consolidated LNG Tolling'!N4, IF('Assumptions &amp; Results'!$C$172=2,'Consolidated LNG Equity'!N4, IF('Assumptions &amp; Results'!$C$172=3,'Consolidated One Ring Fence'!N4)))</f>
        <v>9355.9537500000024</v>
      </c>
      <c r="P5" s="393">
        <f>IF('Assumptions &amp; Results'!$C$172=1,'Consolidated LNG Tolling'!O4, IF('Assumptions &amp; Results'!$C$172=2,'Consolidated LNG Equity'!O4, IF('Assumptions &amp; Results'!$C$172=3,'Consolidated One Ring Fence'!O4)))</f>
        <v>8891.1673124999998</v>
      </c>
      <c r="Q5" s="393">
        <f>IF('Assumptions &amp; Results'!$C$172=1,'Consolidated LNG Tolling'!P4, IF('Assumptions &amp; Results'!$C$172=2,'Consolidated LNG Equity'!P4, IF('Assumptions &amp; Results'!$C$172=3,'Consolidated One Ring Fence'!P4)))</f>
        <v>9355.9537500000024</v>
      </c>
      <c r="R5" s="393">
        <f>IF('Assumptions &amp; Results'!$C$172=1,'Consolidated LNG Tolling'!Q4, IF('Assumptions &amp; Results'!$C$172=2,'Consolidated LNG Equity'!Q4, IF('Assumptions &amp; Results'!$C$172=3,'Consolidated One Ring Fence'!Q4)))</f>
        <v>9355.9537500000024</v>
      </c>
      <c r="S5" s="393">
        <f>IF('Assumptions &amp; Results'!$C$172=1,'Consolidated LNG Tolling'!R4, IF('Assumptions &amp; Results'!$C$172=2,'Consolidated LNG Equity'!R4, IF('Assumptions &amp; Results'!$C$172=3,'Consolidated One Ring Fence'!R4)))</f>
        <v>9355.9537500000024</v>
      </c>
      <c r="T5" s="393">
        <f>IF('Assumptions &amp; Results'!$C$172=1,'Consolidated LNG Tolling'!S4, IF('Assumptions &amp; Results'!$C$172=2,'Consolidated LNG Equity'!S4, IF('Assumptions &amp; Results'!$C$172=3,'Consolidated One Ring Fence'!S4)))</f>
        <v>9355.9537500000024</v>
      </c>
      <c r="U5" s="393">
        <f>IF('Assumptions &amp; Results'!$C$172=1,'Consolidated LNG Tolling'!T4, IF('Assumptions &amp; Results'!$C$172=2,'Consolidated LNG Equity'!T4, IF('Assumptions &amp; Results'!$C$172=3,'Consolidated One Ring Fence'!T4)))</f>
        <v>8891.1673124999998</v>
      </c>
      <c r="V5" s="393">
        <f>IF('Assumptions &amp; Results'!$C$172=1,'Consolidated LNG Tolling'!U4, IF('Assumptions &amp; Results'!$C$172=2,'Consolidated LNG Equity'!U4, IF('Assumptions &amp; Results'!$C$172=3,'Consolidated One Ring Fence'!U4)))</f>
        <v>9355.9537500000024</v>
      </c>
      <c r="W5" s="393">
        <f>IF('Assumptions &amp; Results'!$C$172=1,'Consolidated LNG Tolling'!V4, IF('Assumptions &amp; Results'!$C$172=2,'Consolidated LNG Equity'!V4, IF('Assumptions &amp; Results'!$C$172=3,'Consolidated One Ring Fence'!V4)))</f>
        <v>9355.9537500000024</v>
      </c>
      <c r="X5" s="393">
        <f>IF('Assumptions &amp; Results'!$C$172=1,'Consolidated LNG Tolling'!W4, IF('Assumptions &amp; Results'!$C$172=2,'Consolidated LNG Equity'!W4, IF('Assumptions &amp; Results'!$C$172=3,'Consolidated One Ring Fence'!W4)))</f>
        <v>9355.9537500000024</v>
      </c>
      <c r="Y5" s="393">
        <f>IF('Assumptions &amp; Results'!$C$172=1,'Consolidated LNG Tolling'!X4, IF('Assumptions &amp; Results'!$C$172=2,'Consolidated LNG Equity'!X4, IF('Assumptions &amp; Results'!$C$172=3,'Consolidated One Ring Fence'!X4)))</f>
        <v>9355.9537500000024</v>
      </c>
      <c r="Z5" s="393">
        <f>IF('Assumptions &amp; Results'!$C$172=1,'Consolidated LNG Tolling'!Y4, IF('Assumptions &amp; Results'!$C$172=2,'Consolidated LNG Equity'!Y4, IF('Assumptions &amp; Results'!$C$172=3,'Consolidated One Ring Fence'!Y4)))</f>
        <v>8891.1673124999998</v>
      </c>
      <c r="AA5" s="393">
        <f>IF('Assumptions &amp; Results'!$C$172=1,'Consolidated LNG Tolling'!Z4, IF('Assumptions &amp; Results'!$C$172=2,'Consolidated LNG Equity'!Z4, IF('Assumptions &amp; Results'!$C$172=3,'Consolidated One Ring Fence'!Z4)))</f>
        <v>9355.9537500000024</v>
      </c>
      <c r="AB5" s="393">
        <f>IF('Assumptions &amp; Results'!$C$172=1,'Consolidated LNG Tolling'!AA4, IF('Assumptions &amp; Results'!$C$172=2,'Consolidated LNG Equity'!AA4, IF('Assumptions &amp; Results'!$C$172=3,'Consolidated One Ring Fence'!AA4)))</f>
        <v>9355.9537500000024</v>
      </c>
      <c r="AC5" s="393">
        <f>IF('Assumptions &amp; Results'!$C$172=1,'Consolidated LNG Tolling'!AB4, IF('Assumptions &amp; Results'!$C$172=2,'Consolidated LNG Equity'!AB4, IF('Assumptions &amp; Results'!$C$172=3,'Consolidated One Ring Fence'!AB4)))</f>
        <v>9355.9537500000024</v>
      </c>
      <c r="AD5" s="393">
        <f>IF('Assumptions &amp; Results'!$C$172=1,'Consolidated LNG Tolling'!AC4, IF('Assumptions &amp; Results'!$C$172=2,'Consolidated LNG Equity'!AC4, IF('Assumptions &amp; Results'!$C$172=3,'Consolidated One Ring Fence'!AC4)))</f>
        <v>9355.9537500000024</v>
      </c>
      <c r="AE5" s="393">
        <f>IF('Assumptions &amp; Results'!$C$172=1,'Consolidated LNG Tolling'!AD4, IF('Assumptions &amp; Results'!$C$172=2,'Consolidated LNG Equity'!AD4, IF('Assumptions &amp; Results'!$C$172=3,'Consolidated One Ring Fence'!AD4)))</f>
        <v>8891.1673124999998</v>
      </c>
      <c r="AF5" s="393">
        <f>IF('Assumptions &amp; Results'!$C$172=1,'Consolidated LNG Tolling'!AE4, IF('Assumptions &amp; Results'!$C$172=2,'Consolidated LNG Equity'!AE4, IF('Assumptions &amp; Results'!$C$172=3,'Consolidated One Ring Fence'!AE4)))</f>
        <v>9355.9537500000024</v>
      </c>
      <c r="AG5" s="393">
        <f>IF('Assumptions &amp; Results'!$C$172=1,'Consolidated LNG Tolling'!AF4, IF('Assumptions &amp; Results'!$C$172=2,'Consolidated LNG Equity'!AF4, IF('Assumptions &amp; Results'!$C$172=3,'Consolidated One Ring Fence'!AF4)))</f>
        <v>9355.9537500000024</v>
      </c>
      <c r="AH5" s="393">
        <f>IF('Assumptions &amp; Results'!$C$172=1,'Consolidated LNG Tolling'!AG4, IF('Assumptions &amp; Results'!$C$172=2,'Consolidated LNG Equity'!AG4, IF('Assumptions &amp; Results'!$C$172=3,'Consolidated One Ring Fence'!AG4)))</f>
        <v>9355.9537500000024</v>
      </c>
      <c r="AI5" s="393">
        <f>IF('Assumptions &amp; Results'!$C$172=1,'Consolidated LNG Tolling'!AH4, IF('Assumptions &amp; Results'!$C$172=2,'Consolidated LNG Equity'!AH4, IF('Assumptions &amp; Results'!$C$172=3,'Consolidated One Ring Fence'!AH4)))</f>
        <v>9355.9537500000024</v>
      </c>
      <c r="AJ5" s="393">
        <f>IF('Assumptions &amp; Results'!$C$172=1,'Consolidated LNG Tolling'!AI4, IF('Assumptions &amp; Results'!$C$172=2,'Consolidated LNG Equity'!AI4, IF('Assumptions &amp; Results'!$C$172=3,'Consolidated One Ring Fence'!AI4)))</f>
        <v>9355.9537500000024</v>
      </c>
    </row>
    <row r="6" spans="1:36" s="389" customFormat="1" x14ac:dyDescent="0.2">
      <c r="A6" s="392" t="s">
        <v>523</v>
      </c>
      <c r="B6" s="389" t="s">
        <v>99</v>
      </c>
      <c r="D6" s="393">
        <f>IF('Assumptions &amp; Results'!$C$172=1,'Consolidated LNG Tolling'!C8, IF('Assumptions &amp; Results'!$C$172=2,'Consolidated LNG Equity'!C8, IF('Assumptions &amp; Results'!$C$172=3,'Consolidated One Ring Fence'!C8)))</f>
        <v>-417</v>
      </c>
      <c r="E6" s="393">
        <f>IF('Assumptions &amp; Results'!$C$172=1,'Consolidated LNG Tolling'!D8, IF('Assumptions &amp; Results'!$C$172=2,'Consolidated LNG Equity'!D8, IF('Assumptions &amp; Results'!$C$172=3,'Consolidated One Ring Fence'!D8)))</f>
        <v>-5243</v>
      </c>
      <c r="F6" s="393">
        <f>IF('Assumptions &amp; Results'!$C$172=1,'Consolidated LNG Tolling'!E8, IF('Assumptions &amp; Results'!$C$172=2,'Consolidated LNG Equity'!E8, IF('Assumptions &amp; Results'!$C$172=3,'Consolidated One Ring Fence'!E8)))</f>
        <v>-8207</v>
      </c>
      <c r="G6" s="393">
        <f>IF('Assumptions &amp; Results'!$C$172=1,'Consolidated LNG Tolling'!F8, IF('Assumptions &amp; Results'!$C$172=2,'Consolidated LNG Equity'!F8, IF('Assumptions &amp; Results'!$C$172=3,'Consolidated One Ring Fence'!F8)))</f>
        <v>-10831</v>
      </c>
      <c r="H6" s="393">
        <f>IF('Assumptions &amp; Results'!$C$172=1,'Consolidated LNG Tolling'!G8, IF('Assumptions &amp; Results'!$C$172=2,'Consolidated LNG Equity'!G8, IF('Assumptions &amp; Results'!$C$172=3,'Consolidated One Ring Fence'!G8)))</f>
        <v>-3300</v>
      </c>
      <c r="I6" s="393">
        <f>IF('Assumptions &amp; Results'!$C$172=1,'Consolidated LNG Tolling'!H8, IF('Assumptions &amp; Results'!$C$172=2,'Consolidated LNG Equity'!H8, IF('Assumptions &amp; Results'!$C$172=3,'Consolidated One Ring Fence'!H8)))</f>
        <v>-540</v>
      </c>
      <c r="J6" s="393">
        <f>IF('Assumptions &amp; Results'!$C$172=1,'Consolidated LNG Tolling'!I8, IF('Assumptions &amp; Results'!$C$172=2,'Consolidated LNG Equity'!I8, IF('Assumptions &amp; Results'!$C$172=3,'Consolidated One Ring Fence'!I8)))</f>
        <v>0</v>
      </c>
      <c r="K6" s="393">
        <f>IF('Assumptions &amp; Results'!$C$172=1,'Consolidated LNG Tolling'!J8, IF('Assumptions &amp; Results'!$C$172=2,'Consolidated LNG Equity'!J8, IF('Assumptions &amp; Results'!$C$172=3,'Consolidated One Ring Fence'!J8)))</f>
        <v>0</v>
      </c>
      <c r="L6" s="393">
        <f>IF('Assumptions &amp; Results'!$C$172=1,'Consolidated LNG Tolling'!K8, IF('Assumptions &amp; Results'!$C$172=2,'Consolidated LNG Equity'!K8, IF('Assumptions &amp; Results'!$C$172=3,'Consolidated One Ring Fence'!K8)))</f>
        <v>0</v>
      </c>
      <c r="M6" s="393">
        <f>IF('Assumptions &amp; Results'!$C$172=1,'Consolidated LNG Tolling'!L8, IF('Assumptions &amp; Results'!$C$172=2,'Consolidated LNG Equity'!L8, IF('Assumptions &amp; Results'!$C$172=3,'Consolidated One Ring Fence'!L8)))</f>
        <v>0</v>
      </c>
      <c r="N6" s="393">
        <f>IF('Assumptions &amp; Results'!$C$172=1,'Consolidated LNG Tolling'!M8, IF('Assumptions &amp; Results'!$C$172=2,'Consolidated LNG Equity'!M8, IF('Assumptions &amp; Results'!$C$172=3,'Consolidated One Ring Fence'!M8)))</f>
        <v>0</v>
      </c>
      <c r="O6" s="393">
        <f>IF('Assumptions &amp; Results'!$C$172=1,'Consolidated LNG Tolling'!N8, IF('Assumptions &amp; Results'!$C$172=2,'Consolidated LNG Equity'!N8, IF('Assumptions &amp; Results'!$C$172=3,'Consolidated One Ring Fence'!N8)))</f>
        <v>0</v>
      </c>
      <c r="P6" s="393">
        <f>IF('Assumptions &amp; Results'!$C$172=1,'Consolidated LNG Tolling'!O8, IF('Assumptions &amp; Results'!$C$172=2,'Consolidated LNG Equity'!O8, IF('Assumptions &amp; Results'!$C$172=3,'Consolidated One Ring Fence'!O8)))</f>
        <v>0</v>
      </c>
      <c r="Q6" s="393">
        <f>IF('Assumptions &amp; Results'!$C$172=1,'Consolidated LNG Tolling'!P8, IF('Assumptions &amp; Results'!$C$172=2,'Consolidated LNG Equity'!P8, IF('Assumptions &amp; Results'!$C$172=3,'Consolidated One Ring Fence'!P8)))</f>
        <v>0</v>
      </c>
      <c r="R6" s="393">
        <f>IF('Assumptions &amp; Results'!$C$172=1,'Consolidated LNG Tolling'!Q8, IF('Assumptions &amp; Results'!$C$172=2,'Consolidated LNG Equity'!Q8, IF('Assumptions &amp; Results'!$C$172=3,'Consolidated One Ring Fence'!Q8)))</f>
        <v>0</v>
      </c>
      <c r="S6" s="393">
        <f>IF('Assumptions &amp; Results'!$C$172=1,'Consolidated LNG Tolling'!R8, IF('Assumptions &amp; Results'!$C$172=2,'Consolidated LNG Equity'!R8, IF('Assumptions &amp; Results'!$C$172=3,'Consolidated One Ring Fence'!R8)))</f>
        <v>0</v>
      </c>
      <c r="T6" s="393">
        <f>IF('Assumptions &amp; Results'!$C$172=1,'Consolidated LNG Tolling'!S8, IF('Assumptions &amp; Results'!$C$172=2,'Consolidated LNG Equity'!S8, IF('Assumptions &amp; Results'!$C$172=3,'Consolidated One Ring Fence'!S8)))</f>
        <v>0</v>
      </c>
      <c r="U6" s="393">
        <f>IF('Assumptions &amp; Results'!$C$172=1,'Consolidated LNG Tolling'!T8, IF('Assumptions &amp; Results'!$C$172=2,'Consolidated LNG Equity'!T8, IF('Assumptions &amp; Results'!$C$172=3,'Consolidated One Ring Fence'!T8)))</f>
        <v>0</v>
      </c>
      <c r="V6" s="393">
        <f>IF('Assumptions &amp; Results'!$C$172=1,'Consolidated LNG Tolling'!U8, IF('Assumptions &amp; Results'!$C$172=2,'Consolidated LNG Equity'!U8, IF('Assumptions &amp; Results'!$C$172=3,'Consolidated One Ring Fence'!U8)))</f>
        <v>0</v>
      </c>
      <c r="W6" s="393">
        <f>IF('Assumptions &amp; Results'!$C$172=1,'Consolidated LNG Tolling'!V8, IF('Assumptions &amp; Results'!$C$172=2,'Consolidated LNG Equity'!V8, IF('Assumptions &amp; Results'!$C$172=3,'Consolidated One Ring Fence'!V8)))</f>
        <v>0</v>
      </c>
      <c r="X6" s="393">
        <f>IF('Assumptions &amp; Results'!$C$172=1,'Consolidated LNG Tolling'!W8, IF('Assumptions &amp; Results'!$C$172=2,'Consolidated LNG Equity'!W8, IF('Assumptions &amp; Results'!$C$172=3,'Consolidated One Ring Fence'!W8)))</f>
        <v>0</v>
      </c>
      <c r="Y6" s="393">
        <f>IF('Assumptions &amp; Results'!$C$172=1,'Consolidated LNG Tolling'!X8, IF('Assumptions &amp; Results'!$C$172=2,'Consolidated LNG Equity'!X8, IF('Assumptions &amp; Results'!$C$172=3,'Consolidated One Ring Fence'!X8)))</f>
        <v>0</v>
      </c>
      <c r="Z6" s="393">
        <f>IF('Assumptions &amp; Results'!$C$172=1,'Consolidated LNG Tolling'!Y8, IF('Assumptions &amp; Results'!$C$172=2,'Consolidated LNG Equity'!Y8, IF('Assumptions &amp; Results'!$C$172=3,'Consolidated One Ring Fence'!Y8)))</f>
        <v>0</v>
      </c>
      <c r="AA6" s="393">
        <f>IF('Assumptions &amp; Results'!$C$172=1,'Consolidated LNG Tolling'!Z8, IF('Assumptions &amp; Results'!$C$172=2,'Consolidated LNG Equity'!Z8, IF('Assumptions &amp; Results'!$C$172=3,'Consolidated One Ring Fence'!Z8)))</f>
        <v>0</v>
      </c>
      <c r="AB6" s="393">
        <f>IF('Assumptions &amp; Results'!$C$172=1,'Consolidated LNG Tolling'!AA8, IF('Assumptions &amp; Results'!$C$172=2,'Consolidated LNG Equity'!AA8, IF('Assumptions &amp; Results'!$C$172=3,'Consolidated One Ring Fence'!AA8)))</f>
        <v>0</v>
      </c>
      <c r="AC6" s="393">
        <f>IF('Assumptions &amp; Results'!$C$172=1,'Consolidated LNG Tolling'!AB8, IF('Assumptions &amp; Results'!$C$172=2,'Consolidated LNG Equity'!AB8, IF('Assumptions &amp; Results'!$C$172=3,'Consolidated One Ring Fence'!AB8)))</f>
        <v>0</v>
      </c>
      <c r="AD6" s="393">
        <f>IF('Assumptions &amp; Results'!$C$172=1,'Consolidated LNG Tolling'!AC8, IF('Assumptions &amp; Results'!$C$172=2,'Consolidated LNG Equity'!AC8, IF('Assumptions &amp; Results'!$C$172=3,'Consolidated One Ring Fence'!AC8)))</f>
        <v>0</v>
      </c>
      <c r="AE6" s="393">
        <f>IF('Assumptions &amp; Results'!$C$172=1,'Consolidated LNG Tolling'!AD8, IF('Assumptions &amp; Results'!$C$172=2,'Consolidated LNG Equity'!AD8, IF('Assumptions &amp; Results'!$C$172=3,'Consolidated One Ring Fence'!AD8)))</f>
        <v>0</v>
      </c>
      <c r="AF6" s="393">
        <f>IF('Assumptions &amp; Results'!$C$172=1,'Consolidated LNG Tolling'!AE8, IF('Assumptions &amp; Results'!$C$172=2,'Consolidated LNG Equity'!AE8, IF('Assumptions &amp; Results'!$C$172=3,'Consolidated One Ring Fence'!AE8)))</f>
        <v>0</v>
      </c>
      <c r="AG6" s="393">
        <f>IF('Assumptions &amp; Results'!$C$172=1,'Consolidated LNG Tolling'!AF8, IF('Assumptions &amp; Results'!$C$172=2,'Consolidated LNG Equity'!AF8, IF('Assumptions &amp; Results'!$C$172=3,'Consolidated One Ring Fence'!AF8)))</f>
        <v>0</v>
      </c>
      <c r="AH6" s="393">
        <f>IF('Assumptions &amp; Results'!$C$172=1,'Consolidated LNG Tolling'!AG8, IF('Assumptions &amp; Results'!$C$172=2,'Consolidated LNG Equity'!AG8, IF('Assumptions &amp; Results'!$C$172=3,'Consolidated One Ring Fence'!AG8)))</f>
        <v>0</v>
      </c>
      <c r="AI6" s="393">
        <f>IF('Assumptions &amp; Results'!$C$172=1,'Consolidated LNG Tolling'!AH8, IF('Assumptions &amp; Results'!$C$172=2,'Consolidated LNG Equity'!AH8, IF('Assumptions &amp; Results'!$C$172=3,'Consolidated One Ring Fence'!AH8)))</f>
        <v>0</v>
      </c>
      <c r="AJ6" s="393">
        <f>IF('Assumptions &amp; Results'!$C$172=1,'Consolidated LNG Tolling'!AI8, IF('Assumptions &amp; Results'!$C$172=2,'Consolidated LNG Equity'!AI8, IF('Assumptions &amp; Results'!$C$172=3,'Consolidated One Ring Fence'!AI8)))</f>
        <v>0</v>
      </c>
    </row>
    <row r="7" spans="1:36" s="389" customFormat="1" x14ac:dyDescent="0.2">
      <c r="A7" s="392" t="s">
        <v>524</v>
      </c>
      <c r="B7" s="389" t="s">
        <v>99</v>
      </c>
      <c r="D7" s="393">
        <f>IF('Assumptions &amp; Results'!$C$172=1,'Consolidated LNG Tolling'!C6, IF('Assumptions &amp; Results'!$C$172=2,'Consolidated LNG Equity'!C6, IF('Assumptions &amp; Results'!$C$172=3,'Consolidated One Ring Fence'!C6)))</f>
        <v>0</v>
      </c>
      <c r="E7" s="393">
        <f>IF('Assumptions &amp; Results'!$C$172=1,'Consolidated LNG Tolling'!D6, IF('Assumptions &amp; Results'!$C$172=2,'Consolidated LNG Equity'!D6, IF('Assumptions &amp; Results'!$C$172=3,'Consolidated One Ring Fence'!D6)))</f>
        <v>0</v>
      </c>
      <c r="F7" s="393">
        <f>IF('Assumptions &amp; Results'!$C$172=1,'Consolidated LNG Tolling'!E6, IF('Assumptions &amp; Results'!$C$172=2,'Consolidated LNG Equity'!E6, IF('Assumptions &amp; Results'!$C$172=3,'Consolidated One Ring Fence'!E6)))</f>
        <v>0</v>
      </c>
      <c r="G7" s="393">
        <f>IF('Assumptions &amp; Results'!$C$172=1,'Consolidated LNG Tolling'!F6, IF('Assumptions &amp; Results'!$C$172=2,'Consolidated LNG Equity'!F6, IF('Assumptions &amp; Results'!$C$172=3,'Consolidated One Ring Fence'!F6)))</f>
        <v>0</v>
      </c>
      <c r="H7" s="393">
        <f>IF('Assumptions &amp; Results'!$C$172=1,'Consolidated LNG Tolling'!G6, IF('Assumptions &amp; Results'!$C$172=2,'Consolidated LNG Equity'!G6, IF('Assumptions &amp; Results'!$C$172=3,'Consolidated One Ring Fence'!G6)))</f>
        <v>-1139.3486</v>
      </c>
      <c r="I7" s="393">
        <f>IF('Assumptions &amp; Results'!$C$172=1,'Consolidated LNG Tolling'!H6, IF('Assumptions &amp; Results'!$C$172=2,'Consolidated LNG Equity'!H6, IF('Assumptions &amp; Results'!$C$172=3,'Consolidated One Ring Fence'!H6)))</f>
        <v>-2278.6972000000001</v>
      </c>
      <c r="J7" s="393">
        <f>IF('Assumptions &amp; Results'!$C$172=1,'Consolidated LNG Tolling'!I6, IF('Assumptions &amp; Results'!$C$172=2,'Consolidated LNG Equity'!I6, IF('Assumptions &amp; Results'!$C$172=3,'Consolidated One Ring Fence'!I6)))</f>
        <v>-2278.6972000000001</v>
      </c>
      <c r="K7" s="393">
        <f>IF('Assumptions &amp; Results'!$C$172=1,'Consolidated LNG Tolling'!J6, IF('Assumptions &amp; Results'!$C$172=2,'Consolidated LNG Equity'!J6, IF('Assumptions &amp; Results'!$C$172=3,'Consolidated One Ring Fence'!J6)))</f>
        <v>-2390.0837000000001</v>
      </c>
      <c r="L7" s="393">
        <f>IF('Assumptions &amp; Results'!$C$172=1,'Consolidated LNG Tolling'!K6, IF('Assumptions &amp; Results'!$C$172=2,'Consolidated LNG Equity'!K6, IF('Assumptions &amp; Results'!$C$172=3,'Consolidated One Ring Fence'!K6)))</f>
        <v>-2278.6972000000001</v>
      </c>
      <c r="M7" s="393">
        <f>IF('Assumptions &amp; Results'!$C$172=1,'Consolidated LNG Tolling'!L6, IF('Assumptions &amp; Results'!$C$172=2,'Consolidated LNG Equity'!L6, IF('Assumptions &amp; Results'!$C$172=3,'Consolidated One Ring Fence'!L6)))</f>
        <v>-2278.6972000000001</v>
      </c>
      <c r="N7" s="393">
        <f>IF('Assumptions &amp; Results'!$C$172=1,'Consolidated LNG Tolling'!M6, IF('Assumptions &amp; Results'!$C$172=2,'Consolidated LNG Equity'!M6, IF('Assumptions &amp; Results'!$C$172=3,'Consolidated One Ring Fence'!M6)))</f>
        <v>-2278.6972000000001</v>
      </c>
      <c r="O7" s="393">
        <f>IF('Assumptions &amp; Results'!$C$172=1,'Consolidated LNG Tolling'!N6, IF('Assumptions &amp; Results'!$C$172=2,'Consolidated LNG Equity'!N6, IF('Assumptions &amp; Results'!$C$172=3,'Consolidated One Ring Fence'!N6)))</f>
        <v>-2278.6972000000001</v>
      </c>
      <c r="P7" s="393">
        <f>IF('Assumptions &amp; Results'!$C$172=1,'Consolidated LNG Tolling'!O6, IF('Assumptions &amp; Results'!$C$172=2,'Consolidated LNG Equity'!O6, IF('Assumptions &amp; Results'!$C$172=3,'Consolidated One Ring Fence'!O6)))</f>
        <v>-2390.0837000000001</v>
      </c>
      <c r="Q7" s="393">
        <f>IF('Assumptions &amp; Results'!$C$172=1,'Consolidated LNG Tolling'!P6, IF('Assumptions &amp; Results'!$C$172=2,'Consolidated LNG Equity'!P6, IF('Assumptions &amp; Results'!$C$172=3,'Consolidated One Ring Fence'!P6)))</f>
        <v>-2278.6972000000001</v>
      </c>
      <c r="R7" s="393">
        <f>IF('Assumptions &amp; Results'!$C$172=1,'Consolidated LNG Tolling'!Q6, IF('Assumptions &amp; Results'!$C$172=2,'Consolidated LNG Equity'!Q6, IF('Assumptions &amp; Results'!$C$172=3,'Consolidated One Ring Fence'!Q6)))</f>
        <v>-2278.6972000000001</v>
      </c>
      <c r="S7" s="393">
        <f>IF('Assumptions &amp; Results'!$C$172=1,'Consolidated LNG Tolling'!R6, IF('Assumptions &amp; Results'!$C$172=2,'Consolidated LNG Equity'!R6, IF('Assumptions &amp; Results'!$C$172=3,'Consolidated One Ring Fence'!R6)))</f>
        <v>-2278.6972000000001</v>
      </c>
      <c r="T7" s="393">
        <f>IF('Assumptions &amp; Results'!$C$172=1,'Consolidated LNG Tolling'!S6, IF('Assumptions &amp; Results'!$C$172=2,'Consolidated LNG Equity'!S6, IF('Assumptions &amp; Results'!$C$172=3,'Consolidated One Ring Fence'!S6)))</f>
        <v>-2278.6972000000001</v>
      </c>
      <c r="U7" s="393">
        <f>IF('Assumptions &amp; Results'!$C$172=1,'Consolidated LNG Tolling'!T6, IF('Assumptions &amp; Results'!$C$172=2,'Consolidated LNG Equity'!T6, IF('Assumptions &amp; Results'!$C$172=3,'Consolidated One Ring Fence'!T6)))</f>
        <v>-2390.0837000000001</v>
      </c>
      <c r="V7" s="393">
        <f>IF('Assumptions &amp; Results'!$C$172=1,'Consolidated LNG Tolling'!U6, IF('Assumptions &amp; Results'!$C$172=2,'Consolidated LNG Equity'!U6, IF('Assumptions &amp; Results'!$C$172=3,'Consolidated One Ring Fence'!U6)))</f>
        <v>-2278.6972000000001</v>
      </c>
      <c r="W7" s="393">
        <f>IF('Assumptions &amp; Results'!$C$172=1,'Consolidated LNG Tolling'!V6, IF('Assumptions &amp; Results'!$C$172=2,'Consolidated LNG Equity'!V6, IF('Assumptions &amp; Results'!$C$172=3,'Consolidated One Ring Fence'!V6)))</f>
        <v>-2278.6972000000001</v>
      </c>
      <c r="X7" s="393">
        <f>IF('Assumptions &amp; Results'!$C$172=1,'Consolidated LNG Tolling'!W6, IF('Assumptions &amp; Results'!$C$172=2,'Consolidated LNG Equity'!W6, IF('Assumptions &amp; Results'!$C$172=3,'Consolidated One Ring Fence'!W6)))</f>
        <v>-2278.6972000000001</v>
      </c>
      <c r="Y7" s="393">
        <f>IF('Assumptions &amp; Results'!$C$172=1,'Consolidated LNG Tolling'!X6, IF('Assumptions &amp; Results'!$C$172=2,'Consolidated LNG Equity'!X6, IF('Assumptions &amp; Results'!$C$172=3,'Consolidated One Ring Fence'!X6)))</f>
        <v>-2278.6972000000001</v>
      </c>
      <c r="Z7" s="393">
        <f>IF('Assumptions &amp; Results'!$C$172=1,'Consolidated LNG Tolling'!Y6, IF('Assumptions &amp; Results'!$C$172=2,'Consolidated LNG Equity'!Y6, IF('Assumptions &amp; Results'!$C$172=3,'Consolidated One Ring Fence'!Y6)))</f>
        <v>-2390.0837000000001</v>
      </c>
      <c r="AA7" s="393">
        <f>IF('Assumptions &amp; Results'!$C$172=1,'Consolidated LNG Tolling'!Z6, IF('Assumptions &amp; Results'!$C$172=2,'Consolidated LNG Equity'!Z6, IF('Assumptions &amp; Results'!$C$172=3,'Consolidated One Ring Fence'!Z6)))</f>
        <v>-2278.6972000000001</v>
      </c>
      <c r="AB7" s="393">
        <f>IF('Assumptions &amp; Results'!$C$172=1,'Consolidated LNG Tolling'!AA6, IF('Assumptions &amp; Results'!$C$172=2,'Consolidated LNG Equity'!AA6, IF('Assumptions &amp; Results'!$C$172=3,'Consolidated One Ring Fence'!AA6)))</f>
        <v>-2278.6972000000001</v>
      </c>
      <c r="AC7" s="393">
        <f>IF('Assumptions &amp; Results'!$C$172=1,'Consolidated LNG Tolling'!AB6, IF('Assumptions &amp; Results'!$C$172=2,'Consolidated LNG Equity'!AB6, IF('Assumptions &amp; Results'!$C$172=3,'Consolidated One Ring Fence'!AB6)))</f>
        <v>-2278.6972000000001</v>
      </c>
      <c r="AD7" s="393">
        <f>IF('Assumptions &amp; Results'!$C$172=1,'Consolidated LNG Tolling'!AC6, IF('Assumptions &amp; Results'!$C$172=2,'Consolidated LNG Equity'!AC6, IF('Assumptions &amp; Results'!$C$172=3,'Consolidated One Ring Fence'!AC6)))</f>
        <v>-2278.6972000000001</v>
      </c>
      <c r="AE7" s="393">
        <f>IF('Assumptions &amp; Results'!$C$172=1,'Consolidated LNG Tolling'!AD6, IF('Assumptions &amp; Results'!$C$172=2,'Consolidated LNG Equity'!AD6, IF('Assumptions &amp; Results'!$C$172=3,'Consolidated One Ring Fence'!AD6)))</f>
        <v>-2390.0837000000001</v>
      </c>
      <c r="AF7" s="393">
        <f>IF('Assumptions &amp; Results'!$C$172=1,'Consolidated LNG Tolling'!AE6, IF('Assumptions &amp; Results'!$C$172=2,'Consolidated LNG Equity'!AE6, IF('Assumptions &amp; Results'!$C$172=3,'Consolidated One Ring Fence'!AE6)))</f>
        <v>-2278.6972000000001</v>
      </c>
      <c r="AG7" s="393">
        <f>IF('Assumptions &amp; Results'!$C$172=1,'Consolidated LNG Tolling'!AF6, IF('Assumptions &amp; Results'!$C$172=2,'Consolidated LNG Equity'!AF6, IF('Assumptions &amp; Results'!$C$172=3,'Consolidated One Ring Fence'!AF6)))</f>
        <v>-2278.6972000000001</v>
      </c>
      <c r="AH7" s="393">
        <f>IF('Assumptions &amp; Results'!$C$172=1,'Consolidated LNG Tolling'!AG6, IF('Assumptions &amp; Results'!$C$172=2,'Consolidated LNG Equity'!AG6, IF('Assumptions &amp; Results'!$C$172=3,'Consolidated One Ring Fence'!AG6)))</f>
        <v>-2878.6972000000001</v>
      </c>
      <c r="AI7" s="393">
        <f>IF('Assumptions &amp; Results'!$C$172=1,'Consolidated LNG Tolling'!AH6, IF('Assumptions &amp; Results'!$C$172=2,'Consolidated LNG Equity'!AH6, IF('Assumptions &amp; Results'!$C$172=3,'Consolidated One Ring Fence'!AH6)))</f>
        <v>-2878.6972000000001</v>
      </c>
      <c r="AJ7" s="393">
        <f>IF('Assumptions &amp; Results'!$C$172=1,'Consolidated LNG Tolling'!AI6, IF('Assumptions &amp; Results'!$C$172=2,'Consolidated LNG Equity'!AI6, IF('Assumptions &amp; Results'!$C$172=3,'Consolidated One Ring Fence'!AI6)))</f>
        <v>-3478.6972000000001</v>
      </c>
    </row>
    <row r="8" spans="1:36" s="389" customFormat="1" x14ac:dyDescent="0.2">
      <c r="A8" s="392" t="s">
        <v>525</v>
      </c>
      <c r="B8" s="389" t="s">
        <v>99</v>
      </c>
      <c r="D8" s="393">
        <f>IF('Assumptions &amp; Results'!$C$172=1,'Consolidated LNG Tolling'!C23, IF('Assumptions &amp; Results'!$C$172=2,'Consolidated LNG Equity'!C25, IF('Assumptions &amp; Results'!$C$172=3,'Consolidated One Ring Fence'!C25)))</f>
        <v>-417</v>
      </c>
      <c r="E8" s="393">
        <f>IF('Assumptions &amp; Results'!$C$172=1,'Consolidated LNG Tolling'!D23, IF('Assumptions &amp; Results'!$C$172=2,'Consolidated LNG Equity'!D25, IF('Assumptions &amp; Results'!$C$172=3,'Consolidated One Ring Fence'!D25)))</f>
        <v>-5243</v>
      </c>
      <c r="F8" s="393">
        <f>IF('Assumptions &amp; Results'!$C$172=1,'Consolidated LNG Tolling'!E23, IF('Assumptions &amp; Results'!$C$172=2,'Consolidated LNG Equity'!E25, IF('Assumptions &amp; Results'!$C$172=3,'Consolidated One Ring Fence'!E25)))</f>
        <v>-8207</v>
      </c>
      <c r="G8" s="393">
        <f>IF('Assumptions &amp; Results'!$C$172=1,'Consolidated LNG Tolling'!F23, IF('Assumptions &amp; Results'!$C$172=2,'Consolidated LNG Equity'!F25, IF('Assumptions &amp; Results'!$C$172=3,'Consolidated One Ring Fence'!F25)))</f>
        <v>-10831</v>
      </c>
      <c r="H8" s="393">
        <f>IF('Assumptions &amp; Results'!$C$172=1,'Consolidated LNG Tolling'!G23, IF('Assumptions &amp; Results'!$C$172=2,'Consolidated LNG Equity'!G25, IF('Assumptions &amp; Results'!$C$172=3,'Consolidated One Ring Fence'!G25)))</f>
        <v>18.221336875001043</v>
      </c>
      <c r="I8" s="393">
        <f>IF('Assumptions &amp; Results'!$C$172=1,'Consolidated LNG Tolling'!H23, IF('Assumptions &amp; Results'!$C$172=2,'Consolidated LNG Equity'!H25, IF('Assumptions &amp; Results'!$C$172=3,'Consolidated One Ring Fence'!H25)))</f>
        <v>6096.4426737500016</v>
      </c>
      <c r="J8" s="393">
        <f>IF('Assumptions &amp; Results'!$C$172=1,'Consolidated LNG Tolling'!I23, IF('Assumptions &amp; Results'!$C$172=2,'Consolidated LNG Equity'!I25, IF('Assumptions &amp; Results'!$C$172=3,'Consolidated One Ring Fence'!I25)))</f>
        <v>6636.4426737500016</v>
      </c>
      <c r="K8" s="393">
        <f>IF('Assumptions &amp; Results'!$C$172=1,'Consolidated LNG Tolling'!J23, IF('Assumptions &amp; Results'!$C$172=2,'Consolidated LNG Equity'!J25, IF('Assumptions &amp; Results'!$C$172=3,'Consolidated One Ring Fence'!J25)))</f>
        <v>6074.1668507312497</v>
      </c>
      <c r="L8" s="393">
        <f>IF('Assumptions &amp; Results'!$C$172=1,'Consolidated LNG Tolling'!K23, IF('Assumptions &amp; Results'!$C$172=2,'Consolidated LNG Equity'!K25, IF('Assumptions &amp; Results'!$C$172=3,'Consolidated One Ring Fence'!K25)))</f>
        <v>5980.7306275659994</v>
      </c>
      <c r="M8" s="393">
        <f>IF('Assumptions &amp; Results'!$C$172=1,'Consolidated LNG Tolling'!L23, IF('Assumptions &amp; Results'!$C$172=2,'Consolidated LNG Equity'!L25, IF('Assumptions &amp; Results'!$C$172=3,'Consolidated One Ring Fence'!L25)))</f>
        <v>4973.5706388000017</v>
      </c>
      <c r="N8" s="393">
        <f>IF('Assumptions &amp; Results'!$C$172=1,'Consolidated LNG Tolling'!M23, IF('Assumptions &amp; Results'!$C$172=2,'Consolidated LNG Equity'!M25, IF('Assumptions &amp; Results'!$C$172=3,'Consolidated One Ring Fence'!M25)))</f>
        <v>4739.0906388000012</v>
      </c>
      <c r="O8" s="393">
        <f>IF('Assumptions &amp; Results'!$C$172=1,'Consolidated LNG Tolling'!N23, IF('Assumptions &amp; Results'!$C$172=2,'Consolidated LNG Equity'!N25, IF('Assumptions &amp; Results'!$C$172=3,'Consolidated One Ring Fence'!N25)))</f>
        <v>4349.3356462755009</v>
      </c>
      <c r="P8" s="393">
        <f>IF('Assumptions &amp; Results'!$C$172=1,'Consolidated LNG Tolling'!O23, IF('Assumptions &amp; Results'!$C$172=2,'Consolidated LNG Equity'!O25, IF('Assumptions &amp; Results'!$C$172=3,'Consolidated One Ring Fence'!O25)))</f>
        <v>3551.8374650299997</v>
      </c>
      <c r="Q8" s="393">
        <f>IF('Assumptions &amp; Results'!$C$172=1,'Consolidated LNG Tolling'!P23, IF('Assumptions &amp; Results'!$C$172=2,'Consolidated LNG Equity'!P25, IF('Assumptions &amp; Results'!$C$172=3,'Consolidated One Ring Fence'!P25)))</f>
        <v>3934.4243233000007</v>
      </c>
      <c r="R8" s="393">
        <f>IF('Assumptions &amp; Results'!$C$172=1,'Consolidated LNG Tolling'!Q23, IF('Assumptions &amp; Results'!$C$172=2,'Consolidated LNG Equity'!Q25, IF('Assumptions &amp; Results'!$C$172=3,'Consolidated One Ring Fence'!Q25)))</f>
        <v>3934.4243233000007</v>
      </c>
      <c r="S8" s="393">
        <f>IF('Assumptions &amp; Results'!$C$172=1,'Consolidated LNG Tolling'!R23, IF('Assumptions &amp; Results'!$C$172=2,'Consolidated LNG Equity'!R25, IF('Assumptions &amp; Results'!$C$172=3,'Consolidated One Ring Fence'!R25)))</f>
        <v>3934.4243233000007</v>
      </c>
      <c r="T8" s="393">
        <f>IF('Assumptions &amp; Results'!$C$172=1,'Consolidated LNG Tolling'!S23, IF('Assumptions &amp; Results'!$C$172=2,'Consolidated LNG Equity'!S25, IF('Assumptions &amp; Results'!$C$172=3,'Consolidated One Ring Fence'!S25)))</f>
        <v>3476.2585405000009</v>
      </c>
      <c r="U8" s="393">
        <f>IF('Assumptions &amp; Results'!$C$172=1,'Consolidated LNG Tolling'!T23, IF('Assumptions &amp; Results'!$C$172=2,'Consolidated LNG Equity'!T25, IF('Assumptions &amp; Results'!$C$172=3,'Consolidated One Ring Fence'!T25)))</f>
        <v>3093.4910795000001</v>
      </c>
      <c r="V8" s="393">
        <f>IF('Assumptions &amp; Results'!$C$172=1,'Consolidated LNG Tolling'!U23, IF('Assumptions &amp; Results'!$C$172=2,'Consolidated LNG Equity'!U25, IF('Assumptions &amp; Results'!$C$172=3,'Consolidated One Ring Fence'!U25)))</f>
        <v>3476.2585405000009</v>
      </c>
      <c r="W8" s="393">
        <f>IF('Assumptions &amp; Results'!$C$172=1,'Consolidated LNG Tolling'!V23, IF('Assumptions &amp; Results'!$C$172=2,'Consolidated LNG Equity'!V25, IF('Assumptions &amp; Results'!$C$172=3,'Consolidated One Ring Fence'!V25)))</f>
        <v>3476.2585405000009</v>
      </c>
      <c r="X8" s="393">
        <f>IF('Assumptions &amp; Results'!$C$172=1,'Consolidated LNG Tolling'!W23, IF('Assumptions &amp; Results'!$C$172=2,'Consolidated LNG Equity'!W25, IF('Assumptions &amp; Results'!$C$172=3,'Consolidated One Ring Fence'!W25)))</f>
        <v>3476.2585405000009</v>
      </c>
      <c r="Y8" s="393">
        <f>IF('Assumptions &amp; Results'!$C$172=1,'Consolidated LNG Tolling'!X23, IF('Assumptions &amp; Results'!$C$172=2,'Consolidated LNG Equity'!X25, IF('Assumptions &amp; Results'!$C$172=3,'Consolidated One Ring Fence'!X25)))</f>
        <v>3476.2585405000009</v>
      </c>
      <c r="Z8" s="393">
        <f>IF('Assumptions &amp; Results'!$C$172=1,'Consolidated LNG Tolling'!Y23, IF('Assumptions &amp; Results'!$C$172=2,'Consolidated LNG Equity'!Y25, IF('Assumptions &amp; Results'!$C$172=3,'Consolidated One Ring Fence'!Y25)))</f>
        <v>2864.3178867349998</v>
      </c>
      <c r="AA8" s="393">
        <f>IF('Assumptions &amp; Results'!$C$172=1,'Consolidated LNG Tolling'!Z23, IF('Assumptions &amp; Results'!$C$172=2,'Consolidated LNG Equity'!Z25, IF('Assumptions &amp; Results'!$C$172=3,'Consolidated One Ring Fence'!Z25)))</f>
        <v>3247.175649100001</v>
      </c>
      <c r="AB8" s="393">
        <f>IF('Assumptions &amp; Results'!$C$172=1,'Consolidated LNG Tolling'!AA23, IF('Assumptions &amp; Results'!$C$172=2,'Consolidated LNG Equity'!AA25, IF('Assumptions &amp; Results'!$C$172=3,'Consolidated One Ring Fence'!AA25)))</f>
        <v>3247.175649100001</v>
      </c>
      <c r="AC8" s="393">
        <f>IF('Assumptions &amp; Results'!$C$172=1,'Consolidated LNG Tolling'!AB23, IF('Assumptions &amp; Results'!$C$172=2,'Consolidated LNG Equity'!AB25, IF('Assumptions &amp; Results'!$C$172=3,'Consolidated One Ring Fence'!AB25)))</f>
        <v>3247.175649100001</v>
      </c>
      <c r="AD8" s="393">
        <f>IF('Assumptions &amp; Results'!$C$172=1,'Consolidated LNG Tolling'!AC23, IF('Assumptions &amp; Results'!$C$172=2,'Consolidated LNG Equity'!AC25, IF('Assumptions &amp; Results'!$C$172=3,'Consolidated One Ring Fence'!AC25)))</f>
        <v>3247.175649100001</v>
      </c>
      <c r="AE8" s="393">
        <f>IF('Assumptions &amp; Results'!$C$172=1,'Consolidated LNG Tolling'!AD23, IF('Assumptions &amp; Results'!$C$172=2,'Consolidated LNG Equity'!AD25, IF('Assumptions &amp; Results'!$C$172=3,'Consolidated One Ring Fence'!AD25)))</f>
        <v>2864.3178867349998</v>
      </c>
      <c r="AF8" s="393">
        <f>IF('Assumptions &amp; Results'!$C$172=1,'Consolidated LNG Tolling'!AE23, IF('Assumptions &amp; Results'!$C$172=2,'Consolidated LNG Equity'!AE25, IF('Assumptions &amp; Results'!$C$172=3,'Consolidated One Ring Fence'!AE25)))</f>
        <v>3247.175649100001</v>
      </c>
      <c r="AG8" s="393">
        <f>IF('Assumptions &amp; Results'!$C$172=1,'Consolidated LNG Tolling'!AF23, IF('Assumptions &amp; Results'!$C$172=2,'Consolidated LNG Equity'!AF25, IF('Assumptions &amp; Results'!$C$172=3,'Consolidated One Ring Fence'!AF25)))</f>
        <v>3247.175649100001</v>
      </c>
      <c r="AH8" s="393">
        <f>IF('Assumptions &amp; Results'!$C$172=1,'Consolidated LNG Tolling'!AG23, IF('Assumptions &amp; Results'!$C$172=2,'Consolidated LNG Equity'!AG25, IF('Assumptions &amp; Results'!$C$172=3,'Consolidated One Ring Fence'!AG25)))</f>
        <v>3083.9756491000007</v>
      </c>
      <c r="AI8" s="393">
        <f>IF('Assumptions &amp; Results'!$C$172=1,'Consolidated LNG Tolling'!AH23, IF('Assumptions &amp; Results'!$C$172=2,'Consolidated LNG Equity'!AH25, IF('Assumptions &amp; Results'!$C$172=3,'Consolidated One Ring Fence'!AH25)))</f>
        <v>3083.9756491000007</v>
      </c>
      <c r="AJ8" s="393">
        <f>IF('Assumptions &amp; Results'!$C$172=1,'Consolidated LNG Tolling'!AI23, IF('Assumptions &amp; Results'!$C$172=2,'Consolidated LNG Equity'!AI25, IF('Assumptions &amp; Results'!$C$172=3,'Consolidated One Ring Fence'!AI25)))</f>
        <v>2920.7756491000009</v>
      </c>
    </row>
    <row r="9" spans="1:36" s="389" customFormat="1" x14ac:dyDescent="0.2">
      <c r="A9" s="390" t="s">
        <v>527</v>
      </c>
    </row>
    <row r="10" spans="1:36" s="389" customFormat="1" x14ac:dyDescent="0.2">
      <c r="A10" s="394" t="s">
        <v>191</v>
      </c>
      <c r="B10" s="389" t="s">
        <v>99</v>
      </c>
      <c r="D10" s="393">
        <f>IF('Assumptions &amp; Results'!$C$172=1,'Consolidated LNG Tolling'!C12,IF('Assumptions &amp; Results'!$C$172=2,'Consolidated LNG Equity'!C12,IF('Assumptions &amp; Results'!$C$172=3,'Consolidated One Ring Fence'!C12)))</f>
        <v>0</v>
      </c>
      <c r="E10" s="393">
        <f>IF('Assumptions &amp; Results'!$C$172=1,'Consolidated LNG Tolling'!D12,IF('Assumptions &amp; Results'!$C$172=2,'Consolidated LNG Equity'!D12,IF('Assumptions &amp; Results'!$C$172=3,'Consolidated One Ring Fence'!D12)))</f>
        <v>0</v>
      </c>
      <c r="F10" s="393">
        <f>IF('Assumptions &amp; Results'!$C$172=1,'Consolidated LNG Tolling'!E12,IF('Assumptions &amp; Results'!$C$172=2,'Consolidated LNG Equity'!E12,IF('Assumptions &amp; Results'!$C$172=3,'Consolidated One Ring Fence'!E12)))</f>
        <v>0</v>
      </c>
      <c r="G10" s="393">
        <f>IF('Assumptions &amp; Results'!$C$172=1,'Consolidated LNG Tolling'!F12,IF('Assumptions &amp; Results'!$C$172=2,'Consolidated LNG Equity'!F12,IF('Assumptions &amp; Results'!$C$172=3,'Consolidated One Ring Fence'!F12)))</f>
        <v>0</v>
      </c>
      <c r="H10" s="393">
        <f>IF('Assumptions &amp; Results'!$C$172=1,'Consolidated LNG Tolling'!G12,IF('Assumptions &amp; Results'!$C$172=2,'Consolidated LNG Equity'!G12,IF('Assumptions &amp; Results'!$C$172=3,'Consolidated One Ring Fence'!G12)))</f>
        <v>80.067631875000032</v>
      </c>
      <c r="I10" s="393">
        <f>IF('Assumptions &amp; Results'!$C$172=1,'Consolidated LNG Tolling'!H12,IF('Assumptions &amp; Results'!$C$172=2,'Consolidated LNG Equity'!H12,IF('Assumptions &amp; Results'!$C$172=3,'Consolidated One Ring Fence'!H12)))</f>
        <v>160.13526375000006</v>
      </c>
      <c r="J10" s="393">
        <f>IF('Assumptions &amp; Results'!$C$172=1,'Consolidated LNG Tolling'!I12,IF('Assumptions &amp; Results'!$C$172=2,'Consolidated LNG Equity'!I12,IF('Assumptions &amp; Results'!$C$172=3,'Consolidated One Ring Fence'!I12)))</f>
        <v>160.13526375000006</v>
      </c>
      <c r="K10" s="393">
        <f>IF('Assumptions &amp; Results'!$C$172=1,'Consolidated LNG Tolling'!J12,IF('Assumptions &amp; Results'!$C$172=2,'Consolidated LNG Equity'!J12,IF('Assumptions &amp; Results'!$C$172=3,'Consolidated One Ring Fence'!J12)))</f>
        <v>160.18174239375</v>
      </c>
      <c r="L10" s="393">
        <f>IF('Assumptions &amp; Results'!$C$172=1,'Consolidated LNG Tolling'!K12,IF('Assumptions &amp; Results'!$C$172=2,'Consolidated LNG Equity'!K12,IF('Assumptions &amp; Results'!$C$172=3,'Consolidated One Ring Fence'!K12)))</f>
        <v>320.27052750000013</v>
      </c>
      <c r="M10" s="393">
        <f>IF('Assumptions &amp; Results'!$C$172=1,'Consolidated LNG Tolling'!L12,IF('Assumptions &amp; Results'!$C$172=2,'Consolidated LNG Equity'!L12,IF('Assumptions &amp; Results'!$C$172=3,'Consolidated One Ring Fence'!L12)))</f>
        <v>320.27052750000013</v>
      </c>
      <c r="N10" s="393">
        <f>IF('Assumptions &amp; Results'!$C$172=1,'Consolidated LNG Tolling'!M12,IF('Assumptions &amp; Results'!$C$172=2,'Consolidated LNG Equity'!M12,IF('Assumptions &amp; Results'!$C$172=3,'Consolidated One Ring Fence'!M12)))</f>
        <v>320.27052750000013</v>
      </c>
      <c r="O10" s="393">
        <f>IF('Assumptions &amp; Results'!$C$172=1,'Consolidated LNG Tolling'!N12,IF('Assumptions &amp; Results'!$C$172=2,'Consolidated LNG Equity'!N12,IF('Assumptions &amp; Results'!$C$172=3,'Consolidated One Ring Fence'!N12)))</f>
        <v>455.71328121250082</v>
      </c>
      <c r="P10" s="393">
        <f>IF('Assumptions &amp; Results'!$C$172=1,'Consolidated LNG Tolling'!O12,IF('Assumptions &amp; Results'!$C$172=2,'Consolidated LNG Equity'!O12,IF('Assumptions &amp; Results'!$C$172=3,'Consolidated One Ring Fence'!O12)))</f>
        <v>1011.0582033749998</v>
      </c>
      <c r="Q10" s="393">
        <f>IF('Assumptions &amp; Results'!$C$172=1,'Consolidated LNG Tolling'!P12,IF('Assumptions &amp; Results'!$C$172=2,'Consolidated LNG Equity'!P12,IF('Assumptions &amp; Results'!$C$172=3,'Consolidated One Ring Fence'!P12)))</f>
        <v>1010.6598150000004</v>
      </c>
      <c r="R10" s="393">
        <f>IF('Assumptions &amp; Results'!$C$172=1,'Consolidated LNG Tolling'!Q12,IF('Assumptions &amp; Results'!$C$172=2,'Consolidated LNG Equity'!Q12,IF('Assumptions &amp; Results'!$C$172=3,'Consolidated One Ring Fence'!Q12)))</f>
        <v>1010.6598150000004</v>
      </c>
      <c r="S10" s="393">
        <f>IF('Assumptions &amp; Results'!$C$172=1,'Consolidated LNG Tolling'!R12,IF('Assumptions &amp; Results'!$C$172=2,'Consolidated LNG Equity'!R12,IF('Assumptions &amp; Results'!$C$172=3,'Consolidated One Ring Fence'!R12)))</f>
        <v>1010.6598150000004</v>
      </c>
      <c r="T10" s="393">
        <f>IF('Assumptions &amp; Results'!$C$172=1,'Consolidated LNG Tolling'!S12,IF('Assumptions &amp; Results'!$C$172=2,'Consolidated LNG Equity'!S12,IF('Assumptions &amp; Results'!$C$172=3,'Consolidated One Ring Fence'!S12)))</f>
        <v>1684.4330250000007</v>
      </c>
      <c r="U10" s="393">
        <f>IF('Assumptions &amp; Results'!$C$172=1,'Consolidated LNG Tolling'!T12,IF('Assumptions &amp; Results'!$C$172=2,'Consolidated LNG Equity'!T12,IF('Assumptions &amp; Results'!$C$172=3,'Consolidated One Ring Fence'!T12)))</f>
        <v>1685.0970056249998</v>
      </c>
      <c r="V10" s="393">
        <f>IF('Assumptions &amp; Results'!$C$172=1,'Consolidated LNG Tolling'!U12,IF('Assumptions &amp; Results'!$C$172=2,'Consolidated LNG Equity'!U12,IF('Assumptions &amp; Results'!$C$172=3,'Consolidated One Ring Fence'!U12)))</f>
        <v>1684.4330250000007</v>
      </c>
      <c r="W10" s="393">
        <f>IF('Assumptions &amp; Results'!$C$172=1,'Consolidated LNG Tolling'!V12,IF('Assumptions &amp; Results'!$C$172=2,'Consolidated LNG Equity'!V12,IF('Assumptions &amp; Results'!$C$172=3,'Consolidated One Ring Fence'!V12)))</f>
        <v>1684.4330250000007</v>
      </c>
      <c r="X10" s="393">
        <f>IF('Assumptions &amp; Results'!$C$172=1,'Consolidated LNG Tolling'!W12,IF('Assumptions &amp; Results'!$C$172=2,'Consolidated LNG Equity'!W12,IF('Assumptions &amp; Results'!$C$172=3,'Consolidated One Ring Fence'!W12)))</f>
        <v>1684.4330250000007</v>
      </c>
      <c r="Y10" s="393">
        <f>IF('Assumptions &amp; Results'!$C$172=1,'Consolidated LNG Tolling'!X12,IF('Assumptions &amp; Results'!$C$172=2,'Consolidated LNG Equity'!X12,IF('Assumptions &amp; Results'!$C$172=3,'Consolidated One Ring Fence'!X12)))</f>
        <v>1684.4330250000007</v>
      </c>
      <c r="Z10" s="393">
        <f>IF('Assumptions &amp; Results'!$C$172=1,'Consolidated LNG Tolling'!Y12,IF('Assumptions &amp; Results'!$C$172=2,'Consolidated LNG Equity'!Y12,IF('Assumptions &amp; Results'!$C$172=3,'Consolidated One Ring Fence'!Y12)))</f>
        <v>2022.1164067499997</v>
      </c>
      <c r="AA10" s="393">
        <f>IF('Assumptions &amp; Results'!$C$172=1,'Consolidated LNG Tolling'!Z12,IF('Assumptions &amp; Results'!$C$172=2,'Consolidated LNG Equity'!Z12,IF('Assumptions &amp; Results'!$C$172=3,'Consolidated One Ring Fence'!Z12)))</f>
        <v>2021.3196300000009</v>
      </c>
      <c r="AB10" s="393">
        <f>IF('Assumptions &amp; Results'!$C$172=1,'Consolidated LNG Tolling'!AA12,IF('Assumptions &amp; Results'!$C$172=2,'Consolidated LNG Equity'!AA12,IF('Assumptions &amp; Results'!$C$172=3,'Consolidated One Ring Fence'!AA12)))</f>
        <v>2021.3196300000009</v>
      </c>
      <c r="AC10" s="393">
        <f>IF('Assumptions &amp; Results'!$C$172=1,'Consolidated LNG Tolling'!AB12,IF('Assumptions &amp; Results'!$C$172=2,'Consolidated LNG Equity'!AB12,IF('Assumptions &amp; Results'!$C$172=3,'Consolidated One Ring Fence'!AB12)))</f>
        <v>2021.3196300000009</v>
      </c>
      <c r="AD10" s="393">
        <f>IF('Assumptions &amp; Results'!$C$172=1,'Consolidated LNG Tolling'!AC12,IF('Assumptions &amp; Results'!$C$172=2,'Consolidated LNG Equity'!AC12,IF('Assumptions &amp; Results'!$C$172=3,'Consolidated One Ring Fence'!AC12)))</f>
        <v>2021.3196300000009</v>
      </c>
      <c r="AE10" s="393">
        <f>IF('Assumptions &amp; Results'!$C$172=1,'Consolidated LNG Tolling'!AD12,IF('Assumptions &amp; Results'!$C$172=2,'Consolidated LNG Equity'!AD12,IF('Assumptions &amp; Results'!$C$172=3,'Consolidated One Ring Fence'!AD12)))</f>
        <v>2022.1164067499997</v>
      </c>
      <c r="AF10" s="393">
        <f>IF('Assumptions &amp; Results'!$C$172=1,'Consolidated LNG Tolling'!AE12,IF('Assumptions &amp; Results'!$C$172=2,'Consolidated LNG Equity'!AE12,IF('Assumptions &amp; Results'!$C$172=3,'Consolidated One Ring Fence'!AE12)))</f>
        <v>2021.3196300000009</v>
      </c>
      <c r="AG10" s="393">
        <f>IF('Assumptions &amp; Results'!$C$172=1,'Consolidated LNG Tolling'!AF12,IF('Assumptions &amp; Results'!$C$172=2,'Consolidated LNG Equity'!AF12,IF('Assumptions &amp; Results'!$C$172=3,'Consolidated One Ring Fence'!AF12)))</f>
        <v>2021.3196300000009</v>
      </c>
      <c r="AH10" s="393">
        <f>IF('Assumptions &amp; Results'!$C$172=1,'Consolidated LNG Tolling'!AG12,IF('Assumptions &amp; Results'!$C$172=2,'Consolidated LNG Equity'!AG12,IF('Assumptions &amp; Results'!$C$172=3,'Consolidated One Ring Fence'!AG12)))</f>
        <v>1661.3196300000009</v>
      </c>
      <c r="AI10" s="393">
        <f>IF('Assumptions &amp; Results'!$C$172=1,'Consolidated LNG Tolling'!AH12,IF('Assumptions &amp; Results'!$C$172=2,'Consolidated LNG Equity'!AH12,IF('Assumptions &amp; Results'!$C$172=3,'Consolidated One Ring Fence'!AH12)))</f>
        <v>1661.3196300000009</v>
      </c>
      <c r="AJ10" s="393">
        <f>IF('Assumptions &amp; Results'!$C$172=1,'Consolidated LNG Tolling'!AI12,IF('Assumptions &amp; Results'!$C$172=2,'Consolidated LNG Equity'!AI12,IF('Assumptions &amp; Results'!$C$172=3,'Consolidated One Ring Fence'!AI12)))</f>
        <v>1301.3196300000009</v>
      </c>
    </row>
    <row r="11" spans="1:36" s="389" customFormat="1" x14ac:dyDescent="0.2">
      <c r="A11" s="394" t="s">
        <v>192</v>
      </c>
      <c r="B11" s="389" t="s">
        <v>99</v>
      </c>
      <c r="D11" s="393">
        <f>IF('Assumptions &amp; Results'!$C$172=1,'Consolidated LNG Tolling'!C14,IF('Assumptions &amp; Results'!$C$172=2,'Consolidated LNG Equity'!C15,IF('Assumptions &amp; Results'!$C$172=3,'Consolidated One Ring Fence'!C15)))</f>
        <v>0</v>
      </c>
      <c r="E11" s="393">
        <f>IF('Assumptions &amp; Results'!$C$172=1,'Consolidated LNG Tolling'!D14,IF('Assumptions &amp; Results'!$C$172=2,'Consolidated LNG Equity'!D15,IF('Assumptions &amp; Results'!$C$172=3,'Consolidated One Ring Fence'!D15)))</f>
        <v>0</v>
      </c>
      <c r="F11" s="393">
        <f>IF('Assumptions &amp; Results'!$C$172=1,'Consolidated LNG Tolling'!E14,IF('Assumptions &amp; Results'!$C$172=2,'Consolidated LNG Equity'!E15,IF('Assumptions &amp; Results'!$C$172=3,'Consolidated One Ring Fence'!E15)))</f>
        <v>0</v>
      </c>
      <c r="G11" s="393">
        <f>IF('Assumptions &amp; Results'!$C$172=1,'Consolidated LNG Tolling'!F14,IF('Assumptions &amp; Results'!$C$172=2,'Consolidated LNG Equity'!F15,IF('Assumptions &amp; Results'!$C$172=3,'Consolidated One Ring Fence'!F15)))</f>
        <v>0</v>
      </c>
      <c r="H11" s="393">
        <f>IF('Assumptions &amp; Results'!$C$172=1,'Consolidated LNG Tolling'!G14,IF('Assumptions &amp; Results'!$C$172=2,'Consolidated LNG Equity'!G15,IF('Assumptions &amp; Results'!$C$172=3,'Consolidated One Ring Fence'!G15)))</f>
        <v>140.33930625000002</v>
      </c>
      <c r="I11" s="393">
        <f>IF('Assumptions &amp; Results'!$C$172=1,'Consolidated LNG Tolling'!H14,IF('Assumptions &amp; Results'!$C$172=2,'Consolidated LNG Equity'!H15,IF('Assumptions &amp; Results'!$C$172=3,'Consolidated One Ring Fence'!H15)))</f>
        <v>280.67861250000004</v>
      </c>
      <c r="J11" s="393">
        <f>IF('Assumptions &amp; Results'!$C$172=1,'Consolidated LNG Tolling'!I14,IF('Assumptions &amp; Results'!$C$172=2,'Consolidated LNG Equity'!I15,IF('Assumptions &amp; Results'!$C$172=3,'Consolidated One Ring Fence'!I15)))</f>
        <v>280.67861250000004</v>
      </c>
      <c r="K11" s="393">
        <f>IF('Assumptions &amp; Results'!$C$172=1,'Consolidated LNG Tolling'!J14,IF('Assumptions &amp; Results'!$C$172=2,'Consolidated LNG Equity'!J15,IF('Assumptions &amp; Results'!$C$172=3,'Consolidated One Ring Fence'!J15)))</f>
        <v>266.73501937499998</v>
      </c>
      <c r="L11" s="393">
        <f>IF('Assumptions &amp; Results'!$C$172=1,'Consolidated LNG Tolling'!K14,IF('Assumptions &amp; Results'!$C$172=2,'Consolidated LNG Equity'!K15,IF('Assumptions &amp; Results'!$C$172=3,'Consolidated One Ring Fence'!K15)))</f>
        <v>280.67861250000004</v>
      </c>
      <c r="M11" s="393">
        <f>IF('Assumptions &amp; Results'!$C$172=1,'Consolidated LNG Tolling'!L14,IF('Assumptions &amp; Results'!$C$172=2,'Consolidated LNG Equity'!L15,IF('Assumptions &amp; Results'!$C$172=3,'Consolidated One Ring Fence'!L15)))</f>
        <v>280.67861250000004</v>
      </c>
      <c r="N11" s="393">
        <f>IF('Assumptions &amp; Results'!$C$172=1,'Consolidated LNG Tolling'!M14,IF('Assumptions &amp; Results'!$C$172=2,'Consolidated LNG Equity'!M15,IF('Assumptions &amp; Results'!$C$172=3,'Consolidated One Ring Fence'!M15)))</f>
        <v>280.67861250000004</v>
      </c>
      <c r="O11" s="393">
        <f>IF('Assumptions &amp; Results'!$C$172=1,'Consolidated LNG Tolling'!N14,IF('Assumptions &amp; Results'!$C$172=2,'Consolidated LNG Equity'!N15,IF('Assumptions &amp; Results'!$C$172=3,'Consolidated One Ring Fence'!N15)))</f>
        <v>280.67861250000004</v>
      </c>
      <c r="P11" s="393">
        <f>IF('Assumptions &amp; Results'!$C$172=1,'Consolidated LNG Tolling'!O14,IF('Assumptions &amp; Results'!$C$172=2,'Consolidated LNG Equity'!O15,IF('Assumptions &amp; Results'!$C$172=3,'Consolidated One Ring Fence'!O15)))</f>
        <v>266.73501937499998</v>
      </c>
      <c r="Q11" s="393">
        <f>IF('Assumptions &amp; Results'!$C$172=1,'Consolidated LNG Tolling'!P14,IF('Assumptions &amp; Results'!$C$172=2,'Consolidated LNG Equity'!P15,IF('Assumptions &amp; Results'!$C$172=3,'Consolidated One Ring Fence'!P15)))</f>
        <v>280.67861250000004</v>
      </c>
      <c r="R11" s="393">
        <f>IF('Assumptions &amp; Results'!$C$172=1,'Consolidated LNG Tolling'!Q14,IF('Assumptions &amp; Results'!$C$172=2,'Consolidated LNG Equity'!Q15,IF('Assumptions &amp; Results'!$C$172=3,'Consolidated One Ring Fence'!Q15)))</f>
        <v>280.67861250000004</v>
      </c>
      <c r="S11" s="393">
        <f>IF('Assumptions &amp; Results'!$C$172=1,'Consolidated LNG Tolling'!R14,IF('Assumptions &amp; Results'!$C$172=2,'Consolidated LNG Equity'!R15,IF('Assumptions &amp; Results'!$C$172=3,'Consolidated One Ring Fence'!R15)))</f>
        <v>280.67861250000004</v>
      </c>
      <c r="T11" s="393">
        <f>IF('Assumptions &amp; Results'!$C$172=1,'Consolidated LNG Tolling'!S14,IF('Assumptions &amp; Results'!$C$172=2,'Consolidated LNG Equity'!S15,IF('Assumptions &amp; Results'!$C$172=3,'Consolidated One Ring Fence'!S15)))</f>
        <v>280.67861250000004</v>
      </c>
      <c r="U11" s="393">
        <f>IF('Assumptions &amp; Results'!$C$172=1,'Consolidated LNG Tolling'!T14,IF('Assumptions &amp; Results'!$C$172=2,'Consolidated LNG Equity'!T15,IF('Assumptions &amp; Results'!$C$172=3,'Consolidated One Ring Fence'!T15)))</f>
        <v>266.73501937499998</v>
      </c>
      <c r="V11" s="393">
        <f>IF('Assumptions &amp; Results'!$C$172=1,'Consolidated LNG Tolling'!U14,IF('Assumptions &amp; Results'!$C$172=2,'Consolidated LNG Equity'!U15,IF('Assumptions &amp; Results'!$C$172=3,'Consolidated One Ring Fence'!U15)))</f>
        <v>280.67861250000004</v>
      </c>
      <c r="W11" s="393">
        <f>IF('Assumptions &amp; Results'!$C$172=1,'Consolidated LNG Tolling'!V14,IF('Assumptions &amp; Results'!$C$172=2,'Consolidated LNG Equity'!V15,IF('Assumptions &amp; Results'!$C$172=3,'Consolidated One Ring Fence'!V15)))</f>
        <v>280.67861250000004</v>
      </c>
      <c r="X11" s="393">
        <f>IF('Assumptions &amp; Results'!$C$172=1,'Consolidated LNG Tolling'!W14,IF('Assumptions &amp; Results'!$C$172=2,'Consolidated LNG Equity'!W15,IF('Assumptions &amp; Results'!$C$172=3,'Consolidated One Ring Fence'!W15)))</f>
        <v>280.67861250000004</v>
      </c>
      <c r="Y11" s="393">
        <f>IF('Assumptions &amp; Results'!$C$172=1,'Consolidated LNG Tolling'!X14,IF('Assumptions &amp; Results'!$C$172=2,'Consolidated LNG Equity'!X15,IF('Assumptions &amp; Results'!$C$172=3,'Consolidated One Ring Fence'!X15)))</f>
        <v>280.67861250000004</v>
      </c>
      <c r="Z11" s="393">
        <f>IF('Assumptions &amp; Results'!$C$172=1,'Consolidated LNG Tolling'!Y14,IF('Assumptions &amp; Results'!$C$172=2,'Consolidated LNG Equity'!Y15,IF('Assumptions &amp; Results'!$C$172=3,'Consolidated One Ring Fence'!Y15)))</f>
        <v>266.73501937499998</v>
      </c>
      <c r="AA11" s="393">
        <f>IF('Assumptions &amp; Results'!$C$172=1,'Consolidated LNG Tolling'!Z14,IF('Assumptions &amp; Results'!$C$172=2,'Consolidated LNG Equity'!Z15,IF('Assumptions &amp; Results'!$C$172=3,'Consolidated One Ring Fence'!Z15)))</f>
        <v>280.67861250000004</v>
      </c>
      <c r="AB11" s="393">
        <f>IF('Assumptions &amp; Results'!$C$172=1,'Consolidated LNG Tolling'!AA14,IF('Assumptions &amp; Results'!$C$172=2,'Consolidated LNG Equity'!AA15,IF('Assumptions &amp; Results'!$C$172=3,'Consolidated One Ring Fence'!AA15)))</f>
        <v>280.67861250000004</v>
      </c>
      <c r="AC11" s="393">
        <f>IF('Assumptions &amp; Results'!$C$172=1,'Consolidated LNG Tolling'!AB14,IF('Assumptions &amp; Results'!$C$172=2,'Consolidated LNG Equity'!AB15,IF('Assumptions &amp; Results'!$C$172=3,'Consolidated One Ring Fence'!AB15)))</f>
        <v>280.67861250000004</v>
      </c>
      <c r="AD11" s="393">
        <f>IF('Assumptions &amp; Results'!$C$172=1,'Consolidated LNG Tolling'!AC14,IF('Assumptions &amp; Results'!$C$172=2,'Consolidated LNG Equity'!AC15,IF('Assumptions &amp; Results'!$C$172=3,'Consolidated One Ring Fence'!AC15)))</f>
        <v>280.67861250000004</v>
      </c>
      <c r="AE11" s="393">
        <f>IF('Assumptions &amp; Results'!$C$172=1,'Consolidated LNG Tolling'!AD14,IF('Assumptions &amp; Results'!$C$172=2,'Consolidated LNG Equity'!AD15,IF('Assumptions &amp; Results'!$C$172=3,'Consolidated One Ring Fence'!AD15)))</f>
        <v>266.73501937499998</v>
      </c>
      <c r="AF11" s="393">
        <f>IF('Assumptions &amp; Results'!$C$172=1,'Consolidated LNG Tolling'!AE14,IF('Assumptions &amp; Results'!$C$172=2,'Consolidated LNG Equity'!AE15,IF('Assumptions &amp; Results'!$C$172=3,'Consolidated One Ring Fence'!AE15)))</f>
        <v>280.67861250000004</v>
      </c>
      <c r="AG11" s="393">
        <f>IF('Assumptions &amp; Results'!$C$172=1,'Consolidated LNG Tolling'!AF14,IF('Assumptions &amp; Results'!$C$172=2,'Consolidated LNG Equity'!AF15,IF('Assumptions &amp; Results'!$C$172=3,'Consolidated One Ring Fence'!AF15)))</f>
        <v>280.67861250000004</v>
      </c>
      <c r="AH11" s="393">
        <f>IF('Assumptions &amp; Results'!$C$172=1,'Consolidated LNG Tolling'!AG14,IF('Assumptions &amp; Results'!$C$172=2,'Consolidated LNG Equity'!AG15,IF('Assumptions &amp; Results'!$C$172=3,'Consolidated One Ring Fence'!AG15)))</f>
        <v>280.67861250000004</v>
      </c>
      <c r="AI11" s="393">
        <f>IF('Assumptions &amp; Results'!$C$172=1,'Consolidated LNG Tolling'!AH14,IF('Assumptions &amp; Results'!$C$172=2,'Consolidated LNG Equity'!AH15,IF('Assumptions &amp; Results'!$C$172=3,'Consolidated One Ring Fence'!AH15)))</f>
        <v>280.67861250000004</v>
      </c>
      <c r="AJ11" s="393">
        <f>IF('Assumptions &amp; Results'!$C$172=1,'Consolidated LNG Tolling'!AI14,IF('Assumptions &amp; Results'!$C$172=2,'Consolidated LNG Equity'!AI15,IF('Assumptions &amp; Results'!$C$172=3,'Consolidated One Ring Fence'!AI15)))</f>
        <v>280.67861250000004</v>
      </c>
    </row>
    <row r="12" spans="1:36" s="389" customFormat="1" x14ac:dyDescent="0.2">
      <c r="A12" s="394" t="s">
        <v>197</v>
      </c>
      <c r="B12" s="389" t="s">
        <v>99</v>
      </c>
      <c r="D12" s="393">
        <f>IF('Assumptions &amp; Results'!$C$172=1,0,IF('Assumptions &amp; Results'!$C$172=2,'Consolidated LNG Equity'!C16,IF('Assumptions &amp; Results'!$C$172=3,'Consolidated One Ring Fence'!C16)))</f>
        <v>0</v>
      </c>
      <c r="E12" s="393">
        <f>IF('Assumptions &amp; Results'!$C$172=1,0,IF('Assumptions &amp; Results'!$C$172=2,'Consolidated LNG Equity'!D16,IF('Assumptions &amp; Results'!$C$172=3,'Consolidated One Ring Fence'!D16)))</f>
        <v>0</v>
      </c>
      <c r="F12" s="393">
        <f>IF('Assumptions &amp; Results'!$C$172=1,0,IF('Assumptions &amp; Results'!$C$172=2,'Consolidated LNG Equity'!E16,IF('Assumptions &amp; Results'!$C$172=3,'Consolidated One Ring Fence'!E16)))</f>
        <v>0</v>
      </c>
      <c r="G12" s="393">
        <f>IF('Assumptions &amp; Results'!$C$172=1,0,IF('Assumptions &amp; Results'!$C$172=2,'Consolidated LNG Equity'!F16,IF('Assumptions &amp; Results'!$C$172=3,'Consolidated One Ring Fence'!F16)))</f>
        <v>0</v>
      </c>
      <c r="H12" s="393">
        <f>IF('Assumptions &amp; Results'!$C$172=1,0,IF('Assumptions &amp; Results'!$C$172=2,'Consolidated LNG Equity'!G16,IF('Assumptions &amp; Results'!$C$172=3,'Consolidated One Ring Fence'!G16)))</f>
        <v>0</v>
      </c>
      <c r="I12" s="393">
        <f>IF('Assumptions &amp; Results'!$C$172=1,0,IF('Assumptions &amp; Results'!$C$172=2,'Consolidated LNG Equity'!H16,IF('Assumptions &amp; Results'!$C$172=3,'Consolidated One Ring Fence'!H16)))</f>
        <v>0</v>
      </c>
      <c r="J12" s="393">
        <f>IF('Assumptions &amp; Results'!$C$172=1,0,IF('Assumptions &amp; Results'!$C$172=2,'Consolidated LNG Equity'!I16,IF('Assumptions &amp; Results'!$C$172=3,'Consolidated One Ring Fence'!I16)))</f>
        <v>0</v>
      </c>
      <c r="K12" s="393">
        <f>IF('Assumptions &amp; Results'!$C$172=1,0,IF('Assumptions &amp; Results'!$C$172=2,'Consolidated LNG Equity'!J16,IF('Assumptions &amp; Results'!$C$172=3,'Consolidated One Ring Fence'!J16)))</f>
        <v>0</v>
      </c>
      <c r="L12" s="393">
        <f>IF('Assumptions &amp; Results'!$C$172=1,0,IF('Assumptions &amp; Results'!$C$172=2,'Consolidated LNG Equity'!K16,IF('Assumptions &amp; Results'!$C$172=3,'Consolidated One Ring Fence'!K16)))</f>
        <v>0</v>
      </c>
      <c r="M12" s="393">
        <f>IF('Assumptions &amp; Results'!$C$172=1,0,IF('Assumptions &amp; Results'!$C$172=2,'Consolidated LNG Equity'!L16,IF('Assumptions &amp; Results'!$C$172=3,'Consolidated One Ring Fence'!L16)))</f>
        <v>0</v>
      </c>
      <c r="N12" s="393">
        <f>IF('Assumptions &amp; Results'!$C$172=1,0,IF('Assumptions &amp; Results'!$C$172=2,'Consolidated LNG Equity'!M16,IF('Assumptions &amp; Results'!$C$172=3,'Consolidated One Ring Fence'!M16)))</f>
        <v>0</v>
      </c>
      <c r="O12" s="393">
        <f>IF('Assumptions &amp; Results'!$C$172=1,0,IF('Assumptions &amp; Results'!$C$172=2,'Consolidated LNG Equity'!N16,IF('Assumptions &amp; Results'!$C$172=3,'Consolidated One Ring Fence'!N16)))</f>
        <v>0</v>
      </c>
      <c r="P12" s="393">
        <f>IF('Assumptions &amp; Results'!$C$172=1,0,IF('Assumptions &amp; Results'!$C$172=2,'Consolidated LNG Equity'!O16,IF('Assumptions &amp; Results'!$C$172=3,'Consolidated One Ring Fence'!O16)))</f>
        <v>0</v>
      </c>
      <c r="Q12" s="393">
        <f>IF('Assumptions &amp; Results'!$C$172=1,0,IF('Assumptions &amp; Results'!$C$172=2,'Consolidated LNG Equity'!P16,IF('Assumptions &amp; Results'!$C$172=3,'Consolidated One Ring Fence'!P16)))</f>
        <v>0</v>
      </c>
      <c r="R12" s="393">
        <f>IF('Assumptions &amp; Results'!$C$172=1,0,IF('Assumptions &amp; Results'!$C$172=2,'Consolidated LNG Equity'!Q16,IF('Assumptions &amp; Results'!$C$172=3,'Consolidated One Ring Fence'!Q16)))</f>
        <v>0</v>
      </c>
      <c r="S12" s="393">
        <f>IF('Assumptions &amp; Results'!$C$172=1,0,IF('Assumptions &amp; Results'!$C$172=2,'Consolidated LNG Equity'!R16,IF('Assumptions &amp; Results'!$C$172=3,'Consolidated One Ring Fence'!R16)))</f>
        <v>0</v>
      </c>
      <c r="T12" s="393">
        <f>IF('Assumptions &amp; Results'!$C$172=1,0,IF('Assumptions &amp; Results'!$C$172=2,'Consolidated LNG Equity'!S16,IF('Assumptions &amp; Results'!$C$172=3,'Consolidated One Ring Fence'!S16)))</f>
        <v>0</v>
      </c>
      <c r="U12" s="393">
        <f>IF('Assumptions &amp; Results'!$C$172=1,0,IF('Assumptions &amp; Results'!$C$172=2,'Consolidated LNG Equity'!T16,IF('Assumptions &amp; Results'!$C$172=3,'Consolidated One Ring Fence'!T16)))</f>
        <v>0</v>
      </c>
      <c r="V12" s="393">
        <f>IF('Assumptions &amp; Results'!$C$172=1,0,IF('Assumptions &amp; Results'!$C$172=2,'Consolidated LNG Equity'!U16,IF('Assumptions &amp; Results'!$C$172=3,'Consolidated One Ring Fence'!U16)))</f>
        <v>0</v>
      </c>
      <c r="W12" s="393">
        <f>IF('Assumptions &amp; Results'!$C$172=1,0,IF('Assumptions &amp; Results'!$C$172=2,'Consolidated LNG Equity'!V16,IF('Assumptions &amp; Results'!$C$172=3,'Consolidated One Ring Fence'!V16)))</f>
        <v>0</v>
      </c>
      <c r="X12" s="393">
        <f>IF('Assumptions &amp; Results'!$C$172=1,0,IF('Assumptions &amp; Results'!$C$172=2,'Consolidated LNG Equity'!W16,IF('Assumptions &amp; Results'!$C$172=3,'Consolidated One Ring Fence'!W16)))</f>
        <v>0</v>
      </c>
      <c r="Y12" s="393">
        <f>IF('Assumptions &amp; Results'!$C$172=1,0,IF('Assumptions &amp; Results'!$C$172=2,'Consolidated LNG Equity'!X16,IF('Assumptions &amp; Results'!$C$172=3,'Consolidated One Ring Fence'!X16)))</f>
        <v>0</v>
      </c>
      <c r="Z12" s="393">
        <f>IF('Assumptions &amp; Results'!$C$172=1,0,IF('Assumptions &amp; Results'!$C$172=2,'Consolidated LNG Equity'!Y16,IF('Assumptions &amp; Results'!$C$172=3,'Consolidated One Ring Fence'!Y16)))</f>
        <v>0</v>
      </c>
      <c r="AA12" s="393">
        <f>IF('Assumptions &amp; Results'!$C$172=1,0,IF('Assumptions &amp; Results'!$C$172=2,'Consolidated LNG Equity'!Z16,IF('Assumptions &amp; Results'!$C$172=3,'Consolidated One Ring Fence'!Z16)))</f>
        <v>0</v>
      </c>
      <c r="AB12" s="393">
        <f>IF('Assumptions &amp; Results'!$C$172=1,0,IF('Assumptions &amp; Results'!$C$172=2,'Consolidated LNG Equity'!AA16,IF('Assumptions &amp; Results'!$C$172=3,'Consolidated One Ring Fence'!AA16)))</f>
        <v>0</v>
      </c>
      <c r="AC12" s="393">
        <f>IF('Assumptions &amp; Results'!$C$172=1,0,IF('Assumptions &amp; Results'!$C$172=2,'Consolidated LNG Equity'!AB16,IF('Assumptions &amp; Results'!$C$172=3,'Consolidated One Ring Fence'!AB16)))</f>
        <v>0</v>
      </c>
      <c r="AD12" s="393">
        <f>IF('Assumptions &amp; Results'!$C$172=1,0,IF('Assumptions &amp; Results'!$C$172=2,'Consolidated LNG Equity'!AC16,IF('Assumptions &amp; Results'!$C$172=3,'Consolidated One Ring Fence'!AC16)))</f>
        <v>0</v>
      </c>
      <c r="AE12" s="393">
        <f>IF('Assumptions &amp; Results'!$C$172=1,0,IF('Assumptions &amp; Results'!$C$172=2,'Consolidated LNG Equity'!AD16,IF('Assumptions &amp; Results'!$C$172=3,'Consolidated One Ring Fence'!AD16)))</f>
        <v>0</v>
      </c>
      <c r="AF12" s="393">
        <f>IF('Assumptions &amp; Results'!$C$172=1,0,IF('Assumptions &amp; Results'!$C$172=2,'Consolidated LNG Equity'!AE16,IF('Assumptions &amp; Results'!$C$172=3,'Consolidated One Ring Fence'!AE16)))</f>
        <v>0</v>
      </c>
      <c r="AG12" s="393">
        <f>IF('Assumptions &amp; Results'!$C$172=1,0,IF('Assumptions &amp; Results'!$C$172=2,'Consolidated LNG Equity'!AF16,IF('Assumptions &amp; Results'!$C$172=3,'Consolidated One Ring Fence'!AF16)))</f>
        <v>0</v>
      </c>
      <c r="AH12" s="393">
        <f>IF('Assumptions &amp; Results'!$C$172=1,0,IF('Assumptions &amp; Results'!$C$172=2,'Consolidated LNG Equity'!AG16,IF('Assumptions &amp; Results'!$C$172=3,'Consolidated One Ring Fence'!AG16)))</f>
        <v>0</v>
      </c>
      <c r="AI12" s="393">
        <f>IF('Assumptions &amp; Results'!$C$172=1,0,IF('Assumptions &amp; Results'!$C$172=2,'Consolidated LNG Equity'!AH16,IF('Assumptions &amp; Results'!$C$172=3,'Consolidated One Ring Fence'!AH16)))</f>
        <v>0</v>
      </c>
      <c r="AJ12" s="393">
        <f>IF('Assumptions &amp; Results'!$C$172=1,0,IF('Assumptions &amp; Results'!$C$172=2,'Consolidated LNG Equity'!AI16,IF('Assumptions &amp; Results'!$C$172=3,'Consolidated One Ring Fence'!AI16)))</f>
        <v>0</v>
      </c>
    </row>
    <row r="13" spans="1:36" s="389" customFormat="1" x14ac:dyDescent="0.2">
      <c r="A13" s="394" t="s">
        <v>193</v>
      </c>
      <c r="B13" s="389" t="s">
        <v>99</v>
      </c>
      <c r="D13" s="393">
        <f>IF('Assumptions &amp; Results'!$C$172=1,'Consolidated LNG Tolling'!C17,IF('Assumptions &amp; Results'!$C$172=2,'Consolidated LNG Equity'!C19,IF('Assumptions &amp; Results'!$C$172=3,'Consolidated One Ring Fence'!C19)))</f>
        <v>0</v>
      </c>
      <c r="E13" s="393">
        <f>IF('Assumptions &amp; Results'!$C$172=1,'Consolidated LNG Tolling'!D17,IF('Assumptions &amp; Results'!$C$172=2,'Consolidated LNG Equity'!D19,IF('Assumptions &amp; Results'!$C$172=3,'Consolidated One Ring Fence'!D19)))</f>
        <v>0</v>
      </c>
      <c r="F13" s="393">
        <f>IF('Assumptions &amp; Results'!$C$172=1,'Consolidated LNG Tolling'!E17,IF('Assumptions &amp; Results'!$C$172=2,'Consolidated LNG Equity'!E19,IF('Assumptions &amp; Results'!$C$172=3,'Consolidated One Ring Fence'!E19)))</f>
        <v>0</v>
      </c>
      <c r="G13" s="393">
        <f>IF('Assumptions &amp; Results'!$C$172=1,'Consolidated LNG Tolling'!F17,IF('Assumptions &amp; Results'!$C$172=2,'Consolidated LNG Equity'!F19,IF('Assumptions &amp; Results'!$C$172=3,'Consolidated One Ring Fence'!F19)))</f>
        <v>0</v>
      </c>
      <c r="H13" s="393">
        <f>IF('Assumptions &amp; Results'!$C$172=1,'Consolidated LNG Tolling'!G17,IF('Assumptions &amp; Results'!$C$172=2,'Consolidated LNG Equity'!G19,IF('Assumptions &amp; Results'!$C$172=3,'Consolidated One Ring Fence'!G19)))</f>
        <v>0</v>
      </c>
      <c r="I13" s="393">
        <f>IF('Assumptions &amp; Results'!$C$172=1,'Consolidated LNG Tolling'!H17,IF('Assumptions &amp; Results'!$C$172=2,'Consolidated LNG Equity'!H19,IF('Assumptions &amp; Results'!$C$172=3,'Consolidated One Ring Fence'!H19)))</f>
        <v>0</v>
      </c>
      <c r="J13" s="393">
        <f>IF('Assumptions &amp; Results'!$C$172=1,'Consolidated LNG Tolling'!I17,IF('Assumptions &amp; Results'!$C$172=2,'Consolidated LNG Equity'!I19,IF('Assumptions &amp; Results'!$C$172=3,'Consolidated One Ring Fence'!I19)))</f>
        <v>0</v>
      </c>
      <c r="K13" s="393">
        <f>IF('Assumptions &amp; Results'!$C$172=1,'Consolidated LNG Tolling'!J17,IF('Assumptions &amp; Results'!$C$172=2,'Consolidated LNG Equity'!J19,IF('Assumptions &amp; Results'!$C$172=3,'Consolidated One Ring Fence'!J19)))</f>
        <v>0</v>
      </c>
      <c r="L13" s="393">
        <f>IF('Assumptions &amp; Results'!$C$172=1,'Consolidated LNG Tolling'!K17,IF('Assumptions &amp; Results'!$C$172=2,'Consolidated LNG Equity'!K19,IF('Assumptions &amp; Results'!$C$172=3,'Consolidated One Ring Fence'!K19)))</f>
        <v>144.42387003400131</v>
      </c>
      <c r="M13" s="393">
        <f>IF('Assumptions &amp; Results'!$C$172=1,'Consolidated LNG Tolling'!L17,IF('Assumptions &amp; Results'!$C$172=2,'Consolidated LNG Equity'!L19,IF('Assumptions &amp; Results'!$C$172=3,'Consolidated One Ring Fence'!L19)))</f>
        <v>885.73341120000055</v>
      </c>
      <c r="N13" s="393">
        <f>IF('Assumptions &amp; Results'!$C$172=1,'Consolidated LNG Tolling'!M17,IF('Assumptions &amp; Results'!$C$172=2,'Consolidated LNG Equity'!M19,IF('Assumptions &amp; Results'!$C$172=3,'Consolidated One Ring Fence'!M19)))</f>
        <v>885.73341120000055</v>
      </c>
      <c r="O13" s="393">
        <f>IF('Assumptions &amp; Results'!$C$172=1,'Consolidated LNG Tolling'!N17,IF('Assumptions &amp; Results'!$C$172=2,'Consolidated LNG Equity'!N19,IF('Assumptions &amp; Results'!$C$172=3,'Consolidated One Ring Fence'!N19)))</f>
        <v>842.39173001200015</v>
      </c>
      <c r="P13" s="393">
        <f>IF('Assumptions &amp; Results'!$C$172=1,'Consolidated LNG Tolling'!O17,IF('Assumptions &amp; Results'!$C$172=2,'Consolidated LNG Equity'!O19,IF('Assumptions &amp; Results'!$C$172=3,'Consolidated One Ring Fence'!O19)))</f>
        <v>669.56825232000006</v>
      </c>
      <c r="Q13" s="393">
        <f>IF('Assumptions &amp; Results'!$C$172=1,'Consolidated LNG Tolling'!P17,IF('Assumptions &amp; Results'!$C$172=2,'Consolidated LNG Equity'!P19,IF('Assumptions &amp; Results'!$C$172=3,'Consolidated One Ring Fence'!P19)))</f>
        <v>664.80883920000042</v>
      </c>
      <c r="R13" s="393">
        <f>IF('Assumptions &amp; Results'!$C$172=1,'Consolidated LNG Tolling'!Q17,IF('Assumptions &amp; Results'!$C$172=2,'Consolidated LNG Equity'!Q19,IF('Assumptions &amp; Results'!$C$172=3,'Consolidated One Ring Fence'!Q19)))</f>
        <v>664.80883920000042</v>
      </c>
      <c r="S13" s="393">
        <f>IF('Assumptions &amp; Results'!$C$172=1,'Consolidated LNG Tolling'!R17,IF('Assumptions &amp; Results'!$C$172=2,'Consolidated LNG Equity'!R19,IF('Assumptions &amp; Results'!$C$172=3,'Consolidated One Ring Fence'!R19)))</f>
        <v>664.80883920000042</v>
      </c>
      <c r="T13" s="393">
        <f>IF('Assumptions &amp; Results'!$C$172=1,'Consolidated LNG Tolling'!S17,IF('Assumptions &amp; Results'!$C$172=2,'Consolidated LNG Equity'!S19,IF('Assumptions &amp; Results'!$C$172=3,'Consolidated One Ring Fence'!S19)))</f>
        <v>449.20141200000023</v>
      </c>
      <c r="U13" s="393">
        <f>IF('Assumptions &amp; Results'!$C$172=1,'Consolidated LNG Tolling'!T17,IF('Assumptions &amp; Results'!$C$172=2,'Consolidated LNG Equity'!T19,IF('Assumptions &amp; Results'!$C$172=3,'Consolidated One Ring Fence'!T19)))</f>
        <v>453.87583560000002</v>
      </c>
      <c r="V13" s="393">
        <f>IF('Assumptions &amp; Results'!$C$172=1,'Consolidated LNG Tolling'!U17,IF('Assumptions &amp; Results'!$C$172=2,'Consolidated LNG Equity'!U19,IF('Assumptions &amp; Results'!$C$172=3,'Consolidated One Ring Fence'!U19)))</f>
        <v>449.20141200000023</v>
      </c>
      <c r="W13" s="393">
        <f>IF('Assumptions &amp; Results'!$C$172=1,'Consolidated LNG Tolling'!V17,IF('Assumptions &amp; Results'!$C$172=2,'Consolidated LNG Equity'!V19,IF('Assumptions &amp; Results'!$C$172=3,'Consolidated One Ring Fence'!V19)))</f>
        <v>449.20141200000023</v>
      </c>
      <c r="X13" s="393">
        <f>IF('Assumptions &amp; Results'!$C$172=1,'Consolidated LNG Tolling'!W17,IF('Assumptions &amp; Results'!$C$172=2,'Consolidated LNG Equity'!W19,IF('Assumptions &amp; Results'!$C$172=3,'Consolidated One Ring Fence'!W19)))</f>
        <v>449.20141200000023</v>
      </c>
      <c r="Y13" s="393">
        <f>IF('Assumptions &amp; Results'!$C$172=1,'Consolidated LNG Tolling'!X17,IF('Assumptions &amp; Results'!$C$172=2,'Consolidated LNG Equity'!X19,IF('Assumptions &amp; Results'!$C$172=3,'Consolidated One Ring Fence'!X19)))</f>
        <v>449.20141200000023</v>
      </c>
      <c r="Z13" s="393">
        <f>IF('Assumptions &amp; Results'!$C$172=1,'Consolidated LNG Tolling'!Y17,IF('Assumptions &amp; Results'!$C$172=2,'Consolidated LNG Equity'!Y19,IF('Assumptions &amp; Results'!$C$172=3,'Consolidated One Ring Fence'!Y19)))</f>
        <v>346.02962724000014</v>
      </c>
      <c r="AA13" s="393">
        <f>IF('Assumptions &amp; Results'!$C$172=1,'Consolidated LNG Tolling'!Z17,IF('Assumptions &amp; Results'!$C$172=2,'Consolidated LNG Equity'!Z19,IF('Assumptions &amp; Results'!$C$172=3,'Consolidated One Ring Fence'!Z19)))</f>
        <v>341.39769840000014</v>
      </c>
      <c r="AB13" s="393">
        <f>IF('Assumptions &amp; Results'!$C$172=1,'Consolidated LNG Tolling'!AA17,IF('Assumptions &amp; Results'!$C$172=2,'Consolidated LNG Equity'!AA19,IF('Assumptions &amp; Results'!$C$172=3,'Consolidated One Ring Fence'!AA19)))</f>
        <v>341.39769840000014</v>
      </c>
      <c r="AC13" s="393">
        <f>IF('Assumptions &amp; Results'!$C$172=1,'Consolidated LNG Tolling'!AB17,IF('Assumptions &amp; Results'!$C$172=2,'Consolidated LNG Equity'!AB19,IF('Assumptions &amp; Results'!$C$172=3,'Consolidated One Ring Fence'!AB19)))</f>
        <v>341.39769840000014</v>
      </c>
      <c r="AD13" s="393">
        <f>IF('Assumptions &amp; Results'!$C$172=1,'Consolidated LNG Tolling'!AC17,IF('Assumptions &amp; Results'!$C$172=2,'Consolidated LNG Equity'!AC19,IF('Assumptions &amp; Results'!$C$172=3,'Consolidated One Ring Fence'!AC19)))</f>
        <v>341.39769840000014</v>
      </c>
      <c r="AE13" s="393">
        <f>IF('Assumptions &amp; Results'!$C$172=1,'Consolidated LNG Tolling'!AD17,IF('Assumptions &amp; Results'!$C$172=2,'Consolidated LNG Equity'!AD19,IF('Assumptions &amp; Results'!$C$172=3,'Consolidated One Ring Fence'!AD19)))</f>
        <v>346.02962724000014</v>
      </c>
      <c r="AF13" s="393">
        <f>IF('Assumptions &amp; Results'!$C$172=1,'Consolidated LNG Tolling'!AE17,IF('Assumptions &amp; Results'!$C$172=2,'Consolidated LNG Equity'!AE19,IF('Assumptions &amp; Results'!$C$172=3,'Consolidated One Ring Fence'!AE19)))</f>
        <v>341.39769840000014</v>
      </c>
      <c r="AG13" s="393">
        <f>IF('Assumptions &amp; Results'!$C$172=1,'Consolidated LNG Tolling'!AF17,IF('Assumptions &amp; Results'!$C$172=2,'Consolidated LNG Equity'!AF19,IF('Assumptions &amp; Results'!$C$172=3,'Consolidated One Ring Fence'!AF19)))</f>
        <v>341.39769840000014</v>
      </c>
      <c r="AH13" s="393">
        <f>IF('Assumptions &amp; Results'!$C$172=1,'Consolidated LNG Tolling'!AG17,IF('Assumptions &amp; Results'!$C$172=2,'Consolidated LNG Equity'!AG19,IF('Assumptions &amp; Results'!$C$172=3,'Consolidated One Ring Fence'!AG19)))</f>
        <v>264.59769840000018</v>
      </c>
      <c r="AI13" s="393">
        <f>IF('Assumptions &amp; Results'!$C$172=1,'Consolidated LNG Tolling'!AH17,IF('Assumptions &amp; Results'!$C$172=2,'Consolidated LNG Equity'!AH19,IF('Assumptions &amp; Results'!$C$172=3,'Consolidated One Ring Fence'!AH19)))</f>
        <v>264.59769840000018</v>
      </c>
      <c r="AJ13" s="393">
        <f>IF('Assumptions &amp; Results'!$C$172=1,'Consolidated LNG Tolling'!AI17,IF('Assumptions &amp; Results'!$C$172=2,'Consolidated LNG Equity'!AI19,IF('Assumptions &amp; Results'!$C$172=3,'Consolidated One Ring Fence'!AI19)))</f>
        <v>187.79769840000014</v>
      </c>
    </row>
    <row r="14" spans="1:36" s="389" customFormat="1" x14ac:dyDescent="0.2">
      <c r="A14" s="394" t="s">
        <v>194</v>
      </c>
      <c r="B14" s="389" t="s">
        <v>99</v>
      </c>
      <c r="D14" s="393">
        <f>IF('Assumptions &amp; Results'!$C$172=1,'Consolidated LNG Tolling'!C18,IF('Assumptions &amp; Results'!$C$172=2,'Consolidated LNG Equity'!C20,IF('Assumptions &amp; Results'!$C$172=3,'Consolidated One Ring Fence'!C20)))</f>
        <v>0</v>
      </c>
      <c r="E14" s="393">
        <f>IF('Assumptions &amp; Results'!$C$172=1,'Consolidated LNG Tolling'!D18,IF('Assumptions &amp; Results'!$C$172=2,'Consolidated LNG Equity'!D20,IF('Assumptions &amp; Results'!$C$172=3,'Consolidated One Ring Fence'!D20)))</f>
        <v>0</v>
      </c>
      <c r="F14" s="393">
        <f>IF('Assumptions &amp; Results'!$C$172=1,'Consolidated LNG Tolling'!E18,IF('Assumptions &amp; Results'!$C$172=2,'Consolidated LNG Equity'!E20,IF('Assumptions &amp; Results'!$C$172=3,'Consolidated One Ring Fence'!E20)))</f>
        <v>0</v>
      </c>
      <c r="G14" s="393">
        <f>IF('Assumptions &amp; Results'!$C$172=1,'Consolidated LNG Tolling'!F18,IF('Assumptions &amp; Results'!$C$172=2,'Consolidated LNG Equity'!F20,IF('Assumptions &amp; Results'!$C$172=3,'Consolidated One Ring Fence'!F20)))</f>
        <v>0</v>
      </c>
      <c r="H14" s="393">
        <f>IF('Assumptions &amp; Results'!$C$172=1,'Consolidated LNG Tolling'!G18,IF('Assumptions &amp; Results'!$C$172=2,'Consolidated LNG Equity'!G20,IF('Assumptions &amp; Results'!$C$172=3,'Consolidated One Ring Fence'!G20)))</f>
        <v>0</v>
      </c>
      <c r="I14" s="393">
        <f>IF('Assumptions &amp; Results'!$C$172=1,'Consolidated LNG Tolling'!H18,IF('Assumptions &amp; Results'!$C$172=2,'Consolidated LNG Equity'!H20,IF('Assumptions &amp; Results'!$C$172=3,'Consolidated One Ring Fence'!H20)))</f>
        <v>0</v>
      </c>
      <c r="J14" s="393">
        <f>IF('Assumptions &amp; Results'!$C$172=1,'Consolidated LNG Tolling'!I18,IF('Assumptions &amp; Results'!$C$172=2,'Consolidated LNG Equity'!I20,IF('Assumptions &amp; Results'!$C$172=3,'Consolidated One Ring Fence'!I20)))</f>
        <v>0</v>
      </c>
      <c r="K14" s="393">
        <f>IF('Assumptions &amp; Results'!$C$172=1,'Consolidated LNG Tolling'!J18,IF('Assumptions &amp; Results'!$C$172=2,'Consolidated LNG Equity'!J20,IF('Assumptions &amp; Results'!$C$172=3,'Consolidated One Ring Fence'!J20)))</f>
        <v>0</v>
      </c>
      <c r="L14" s="393">
        <f>IF('Assumptions &amp; Results'!$C$172=1,'Consolidated LNG Tolling'!K18,IF('Assumptions &amp; Results'!$C$172=2,'Consolidated LNG Equity'!K20,IF('Assumptions &amp; Results'!$C$172=3,'Consolidated One Ring Fence'!K20)))</f>
        <v>0</v>
      </c>
      <c r="M14" s="393">
        <f>IF('Assumptions &amp; Results'!$C$172=1,'Consolidated LNG Tolling'!L18,IF('Assumptions &amp; Results'!$C$172=2,'Consolidated LNG Equity'!L20,IF('Assumptions &amp; Results'!$C$172=3,'Consolidated One Ring Fence'!L20)))</f>
        <v>0</v>
      </c>
      <c r="N14" s="393">
        <f>IF('Assumptions &amp; Results'!$C$172=1,'Consolidated LNG Tolling'!M18,IF('Assumptions &amp; Results'!$C$172=2,'Consolidated LNG Equity'!M20,IF('Assumptions &amp; Results'!$C$172=3,'Consolidated One Ring Fence'!M20)))</f>
        <v>0</v>
      </c>
      <c r="O14" s="393">
        <f>IF('Assumptions &amp; Results'!$C$172=1,'Consolidated LNG Tolling'!N18,IF('Assumptions &amp; Results'!$C$172=2,'Consolidated LNG Equity'!N20,IF('Assumptions &amp; Results'!$C$172=3,'Consolidated One Ring Fence'!N20)))</f>
        <v>16.41391999999999</v>
      </c>
      <c r="P14" s="393">
        <f>IF('Assumptions &amp; Results'!$C$172=1,'Consolidated LNG Tolling'!O18,IF('Assumptions &amp; Results'!$C$172=2,'Consolidated LNG Equity'!O20,IF('Assumptions &amp; Results'!$C$172=3,'Consolidated One Ring Fence'!O20)))</f>
        <v>46.463520000000003</v>
      </c>
      <c r="Q14" s="393">
        <f>IF('Assumptions &amp; Results'!$C$172=1,'Consolidated LNG Tolling'!P18,IF('Assumptions &amp; Results'!$C$172=2,'Consolidated LNG Equity'!P20,IF('Assumptions &amp; Results'!$C$172=3,'Consolidated One Ring Fence'!P20)))</f>
        <v>53.961599999999997</v>
      </c>
      <c r="R14" s="393">
        <f>IF('Assumptions &amp; Results'!$C$172=1,'Consolidated LNG Tolling'!Q18,IF('Assumptions &amp; Results'!$C$172=2,'Consolidated LNG Equity'!Q20,IF('Assumptions &amp; Results'!$C$172=3,'Consolidated One Ring Fence'!Q20)))</f>
        <v>53.961599999999997</v>
      </c>
      <c r="S14" s="393">
        <f>IF('Assumptions &amp; Results'!$C$172=1,'Consolidated LNG Tolling'!R18,IF('Assumptions &amp; Results'!$C$172=2,'Consolidated LNG Equity'!R20,IF('Assumptions &amp; Results'!$C$172=3,'Consolidated One Ring Fence'!R20)))</f>
        <v>53.961599999999997</v>
      </c>
      <c r="T14" s="393">
        <f>IF('Assumptions &amp; Results'!$C$172=1,'Consolidated LNG Tolling'!S18,IF('Assumptions &amp; Results'!$C$172=2,'Consolidated LNG Equity'!S20,IF('Assumptions &amp; Results'!$C$172=3,'Consolidated One Ring Fence'!S20)))</f>
        <v>53.961599999999997</v>
      </c>
      <c r="U14" s="393">
        <f>IF('Assumptions &amp; Results'!$C$172=1,'Consolidated LNG Tolling'!T18,IF('Assumptions &amp; Results'!$C$172=2,'Consolidated LNG Equity'!T20,IF('Assumptions &amp; Results'!$C$172=3,'Consolidated One Ring Fence'!T20)))</f>
        <v>46.463520000000003</v>
      </c>
      <c r="V14" s="393">
        <f>IF('Assumptions &amp; Results'!$C$172=1,'Consolidated LNG Tolling'!U18,IF('Assumptions &amp; Results'!$C$172=2,'Consolidated LNG Equity'!U20,IF('Assumptions &amp; Results'!$C$172=3,'Consolidated One Ring Fence'!U20)))</f>
        <v>53.961599999999997</v>
      </c>
      <c r="W14" s="393">
        <f>IF('Assumptions &amp; Results'!$C$172=1,'Consolidated LNG Tolling'!V18,IF('Assumptions &amp; Results'!$C$172=2,'Consolidated LNG Equity'!V20,IF('Assumptions &amp; Results'!$C$172=3,'Consolidated One Ring Fence'!V20)))</f>
        <v>53.961599999999997</v>
      </c>
      <c r="X14" s="393">
        <f>IF('Assumptions &amp; Results'!$C$172=1,'Consolidated LNG Tolling'!W18,IF('Assumptions &amp; Results'!$C$172=2,'Consolidated LNG Equity'!W20,IF('Assumptions &amp; Results'!$C$172=3,'Consolidated One Ring Fence'!W20)))</f>
        <v>53.961599999999997</v>
      </c>
      <c r="Y14" s="393">
        <f>IF('Assumptions &amp; Results'!$C$172=1,'Consolidated LNG Tolling'!X18,IF('Assumptions &amp; Results'!$C$172=2,'Consolidated LNG Equity'!X20,IF('Assumptions &amp; Results'!$C$172=3,'Consolidated One Ring Fence'!X20)))</f>
        <v>53.961599999999997</v>
      </c>
      <c r="Z14" s="393">
        <f>IF('Assumptions &amp; Results'!$C$172=1,'Consolidated LNG Tolling'!Y18,IF('Assumptions &amp; Results'!$C$172=2,'Consolidated LNG Equity'!Y20,IF('Assumptions &amp; Results'!$C$172=3,'Consolidated One Ring Fence'!Y20)))</f>
        <v>46.463520000000003</v>
      </c>
      <c r="AA14" s="393">
        <f>IF('Assumptions &amp; Results'!$C$172=1,'Consolidated LNG Tolling'!Z18,IF('Assumptions &amp; Results'!$C$172=2,'Consolidated LNG Equity'!Z20,IF('Assumptions &amp; Results'!$C$172=3,'Consolidated One Ring Fence'!Z20)))</f>
        <v>53.961599999999997</v>
      </c>
      <c r="AB14" s="393">
        <f>IF('Assumptions &amp; Results'!$C$172=1,'Consolidated LNG Tolling'!AA18,IF('Assumptions &amp; Results'!$C$172=2,'Consolidated LNG Equity'!AA20,IF('Assumptions &amp; Results'!$C$172=3,'Consolidated One Ring Fence'!AA20)))</f>
        <v>53.961599999999997</v>
      </c>
      <c r="AC14" s="393">
        <f>IF('Assumptions &amp; Results'!$C$172=1,'Consolidated LNG Tolling'!AB18,IF('Assumptions &amp; Results'!$C$172=2,'Consolidated LNG Equity'!AB20,IF('Assumptions &amp; Results'!$C$172=3,'Consolidated One Ring Fence'!AB20)))</f>
        <v>53.961599999999997</v>
      </c>
      <c r="AD14" s="393">
        <f>IF('Assumptions &amp; Results'!$C$172=1,'Consolidated LNG Tolling'!AC18,IF('Assumptions &amp; Results'!$C$172=2,'Consolidated LNG Equity'!AC20,IF('Assumptions &amp; Results'!$C$172=3,'Consolidated One Ring Fence'!AC20)))</f>
        <v>53.961599999999997</v>
      </c>
      <c r="AE14" s="393">
        <f>IF('Assumptions &amp; Results'!$C$172=1,'Consolidated LNG Tolling'!AD18,IF('Assumptions &amp; Results'!$C$172=2,'Consolidated LNG Equity'!AD20,IF('Assumptions &amp; Results'!$C$172=3,'Consolidated One Ring Fence'!AD20)))</f>
        <v>46.463520000000003</v>
      </c>
      <c r="AF14" s="393">
        <f>IF('Assumptions &amp; Results'!$C$172=1,'Consolidated LNG Tolling'!AE18,IF('Assumptions &amp; Results'!$C$172=2,'Consolidated LNG Equity'!AE20,IF('Assumptions &amp; Results'!$C$172=3,'Consolidated One Ring Fence'!AE20)))</f>
        <v>53.961599999999997</v>
      </c>
      <c r="AG14" s="393">
        <f>IF('Assumptions &amp; Results'!$C$172=1,'Consolidated LNG Tolling'!AF18,IF('Assumptions &amp; Results'!$C$172=2,'Consolidated LNG Equity'!AF20,IF('Assumptions &amp; Results'!$C$172=3,'Consolidated One Ring Fence'!AF20)))</f>
        <v>53.961599999999997</v>
      </c>
      <c r="AH14" s="393">
        <f>IF('Assumptions &amp; Results'!$C$172=1,'Consolidated LNG Tolling'!AG18,IF('Assumptions &amp; Results'!$C$172=2,'Consolidated LNG Equity'!AG20,IF('Assumptions &amp; Results'!$C$172=3,'Consolidated One Ring Fence'!AG20)))</f>
        <v>53.961599999999997</v>
      </c>
      <c r="AI14" s="393">
        <f>IF('Assumptions &amp; Results'!$C$172=1,'Consolidated LNG Tolling'!AH18,IF('Assumptions &amp; Results'!$C$172=2,'Consolidated LNG Equity'!AH20,IF('Assumptions &amp; Results'!$C$172=3,'Consolidated One Ring Fence'!AH20)))</f>
        <v>53.961599999999997</v>
      </c>
      <c r="AJ14" s="393">
        <f>IF('Assumptions &amp; Results'!$C$172=1,'Consolidated LNG Tolling'!AI18,IF('Assumptions &amp; Results'!$C$172=2,'Consolidated LNG Equity'!AI20,IF('Assumptions &amp; Results'!$C$172=3,'Consolidated One Ring Fence'!AI20)))</f>
        <v>53.961599999999997</v>
      </c>
    </row>
    <row r="15" spans="1:36" s="389" customFormat="1" x14ac:dyDescent="0.2">
      <c r="A15" s="394" t="s">
        <v>195</v>
      </c>
      <c r="B15" s="389" t="s">
        <v>99</v>
      </c>
      <c r="D15" s="393">
        <f>IF('Assumptions &amp; Results'!$C$172=1,'Consolidated LNG Tolling'!C19,IF('Assumptions &amp; Results'!$C$172=2,'Consolidated LNG Equity'!C21,IF('Assumptions &amp; Results'!$C$172=3,'Consolidated One Ring Fence'!C21)))</f>
        <v>0</v>
      </c>
      <c r="E15" s="393">
        <f>IF('Assumptions &amp; Results'!$C$172=1,'Consolidated LNG Tolling'!D19,IF('Assumptions &amp; Results'!$C$172=2,'Consolidated LNG Equity'!D21,IF('Assumptions &amp; Results'!$C$172=3,'Consolidated One Ring Fence'!D21)))</f>
        <v>0</v>
      </c>
      <c r="F15" s="393">
        <f>IF('Assumptions &amp; Results'!$C$172=1,'Consolidated LNG Tolling'!E19,IF('Assumptions &amp; Results'!$C$172=2,'Consolidated LNG Equity'!E21,IF('Assumptions &amp; Results'!$C$172=3,'Consolidated One Ring Fence'!E21)))</f>
        <v>0</v>
      </c>
      <c r="G15" s="393">
        <f>IF('Assumptions &amp; Results'!$C$172=1,'Consolidated LNG Tolling'!F19,IF('Assumptions &amp; Results'!$C$172=2,'Consolidated LNG Equity'!F21,IF('Assumptions &amp; Results'!$C$172=3,'Consolidated One Ring Fence'!F21)))</f>
        <v>0</v>
      </c>
      <c r="H15" s="393">
        <f>IF('Assumptions &amp; Results'!$C$172=1,'Consolidated LNG Tolling'!G19,IF('Assumptions &amp; Results'!$C$172=2,'Consolidated LNG Equity'!G21,IF('Assumptions &amp; Results'!$C$172=3,'Consolidated One Ring Fence'!G21)))</f>
        <v>0</v>
      </c>
      <c r="I15" s="393">
        <f>IF('Assumptions &amp; Results'!$C$172=1,'Consolidated LNG Tolling'!H19,IF('Assumptions &amp; Results'!$C$172=2,'Consolidated LNG Equity'!H21,IF('Assumptions &amp; Results'!$C$172=3,'Consolidated One Ring Fence'!H21)))</f>
        <v>0</v>
      </c>
      <c r="J15" s="393">
        <f>IF('Assumptions &amp; Results'!$C$172=1,'Consolidated LNG Tolling'!I19,IF('Assumptions &amp; Results'!$C$172=2,'Consolidated LNG Equity'!I21,IF('Assumptions &amp; Results'!$C$172=3,'Consolidated One Ring Fence'!I21)))</f>
        <v>0</v>
      </c>
      <c r="K15" s="393">
        <f>IF('Assumptions &amp; Results'!$C$172=1,'Consolidated LNG Tolling'!J19,IF('Assumptions &amp; Results'!$C$172=2,'Consolidated LNG Equity'!J21,IF('Assumptions &amp; Results'!$C$172=3,'Consolidated One Ring Fence'!J21)))</f>
        <v>0</v>
      </c>
      <c r="L15" s="393">
        <f>IF('Assumptions &amp; Results'!$C$172=1,'Consolidated LNG Tolling'!K19,IF('Assumptions &amp; Results'!$C$172=2,'Consolidated LNG Equity'!K21,IF('Assumptions &amp; Results'!$C$172=3,'Consolidated One Ring Fence'!K21)))</f>
        <v>351.15291240000079</v>
      </c>
      <c r="M15" s="393">
        <f>IF('Assumptions &amp; Results'!$C$172=1,'Consolidated LNG Tolling'!L19,IF('Assumptions &amp; Results'!$C$172=2,'Consolidated LNG Equity'!L21,IF('Assumptions &amp; Results'!$C$172=3,'Consolidated One Ring Fence'!L21)))</f>
        <v>617.00336000000027</v>
      </c>
      <c r="N15" s="393">
        <f>IF('Assumptions &amp; Results'!$C$172=1,'Consolidated LNG Tolling'!M19,IF('Assumptions &amp; Results'!$C$172=2,'Consolidated LNG Equity'!M21,IF('Assumptions &amp; Results'!$C$172=3,'Consolidated One Ring Fence'!M21)))</f>
        <v>851.48336000000029</v>
      </c>
      <c r="O15" s="393">
        <f>IF('Assumptions &amp; Results'!$C$172=1,'Consolidated LNG Tolling'!N19,IF('Assumptions &amp; Results'!$C$172=2,'Consolidated LNG Equity'!N21,IF('Assumptions &amp; Results'!$C$172=3,'Consolidated One Ring Fence'!N21)))</f>
        <v>1132.7233600000002</v>
      </c>
      <c r="P15" s="393">
        <f>IF('Assumptions &amp; Results'!$C$172=1,'Consolidated LNG Tolling'!O19,IF('Assumptions &amp; Results'!$C$172=2,'Consolidated LNG Equity'!O21,IF('Assumptions &amp; Results'!$C$172=3,'Consolidated One Ring Fence'!O21)))</f>
        <v>955.42115239999998</v>
      </c>
      <c r="Q15" s="393">
        <f>IF('Assumptions &amp; Results'!$C$172=1,'Consolidated LNG Tolling'!P19,IF('Assumptions &amp; Results'!$C$172=2,'Consolidated LNG Equity'!P21,IF('Assumptions &amp; Results'!$C$172=3,'Consolidated One Ring Fence'!P21)))</f>
        <v>1132.7233600000002</v>
      </c>
      <c r="R15" s="393">
        <f>IF('Assumptions &amp; Results'!$C$172=1,'Consolidated LNG Tolling'!Q19,IF('Assumptions &amp; Results'!$C$172=2,'Consolidated LNG Equity'!Q21,IF('Assumptions &amp; Results'!$C$172=3,'Consolidated One Ring Fence'!Q21)))</f>
        <v>1132.7233600000002</v>
      </c>
      <c r="S15" s="393">
        <f>IF('Assumptions &amp; Results'!$C$172=1,'Consolidated LNG Tolling'!R19,IF('Assumptions &amp; Results'!$C$172=2,'Consolidated LNG Equity'!R21,IF('Assumptions &amp; Results'!$C$172=3,'Consolidated One Ring Fence'!R21)))</f>
        <v>1132.7233600000002</v>
      </c>
      <c r="T15" s="393">
        <f>IF('Assumptions &amp; Results'!$C$172=1,'Consolidated LNG Tolling'!S19,IF('Assumptions &amp; Results'!$C$172=2,'Consolidated LNG Equity'!S21,IF('Assumptions &amp; Results'!$C$172=3,'Consolidated One Ring Fence'!S21)))</f>
        <v>1132.7233600000002</v>
      </c>
      <c r="U15" s="393">
        <f>IF('Assumptions &amp; Results'!$C$172=1,'Consolidated LNG Tolling'!T19,IF('Assumptions &amp; Results'!$C$172=2,'Consolidated LNG Equity'!T21,IF('Assumptions &amp; Results'!$C$172=3,'Consolidated One Ring Fence'!T21)))</f>
        <v>955.42115239999998</v>
      </c>
      <c r="V15" s="393">
        <f>IF('Assumptions &amp; Results'!$C$172=1,'Consolidated LNG Tolling'!U19,IF('Assumptions &amp; Results'!$C$172=2,'Consolidated LNG Equity'!U21,IF('Assumptions &amp; Results'!$C$172=3,'Consolidated One Ring Fence'!U21)))</f>
        <v>1132.7233600000002</v>
      </c>
      <c r="W15" s="393">
        <f>IF('Assumptions &amp; Results'!$C$172=1,'Consolidated LNG Tolling'!V19,IF('Assumptions &amp; Results'!$C$172=2,'Consolidated LNG Equity'!V21,IF('Assumptions &amp; Results'!$C$172=3,'Consolidated One Ring Fence'!V21)))</f>
        <v>1132.7233600000002</v>
      </c>
      <c r="X15" s="393">
        <f>IF('Assumptions &amp; Results'!$C$172=1,'Consolidated LNG Tolling'!W19,IF('Assumptions &amp; Results'!$C$172=2,'Consolidated LNG Equity'!W21,IF('Assumptions &amp; Results'!$C$172=3,'Consolidated One Ring Fence'!W21)))</f>
        <v>1132.7233600000002</v>
      </c>
      <c r="Y15" s="393">
        <f>IF('Assumptions &amp; Results'!$C$172=1,'Consolidated LNG Tolling'!X19,IF('Assumptions &amp; Results'!$C$172=2,'Consolidated LNG Equity'!X21,IF('Assumptions &amp; Results'!$C$172=3,'Consolidated One Ring Fence'!X21)))</f>
        <v>1132.7233600000002</v>
      </c>
      <c r="Z15" s="393">
        <f>IF('Assumptions &amp; Results'!$C$172=1,'Consolidated LNG Tolling'!Y19,IF('Assumptions &amp; Results'!$C$172=2,'Consolidated LNG Equity'!Y21,IF('Assumptions &amp; Results'!$C$172=3,'Consolidated One Ring Fence'!Y21)))</f>
        <v>955.42115239999998</v>
      </c>
      <c r="AA15" s="393">
        <f>IF('Assumptions &amp; Results'!$C$172=1,'Consolidated LNG Tolling'!Z19,IF('Assumptions &amp; Results'!$C$172=2,'Consolidated LNG Equity'!Z21,IF('Assumptions &amp; Results'!$C$172=3,'Consolidated One Ring Fence'!Z21)))</f>
        <v>1132.7233600000002</v>
      </c>
      <c r="AB15" s="393">
        <f>IF('Assumptions &amp; Results'!$C$172=1,'Consolidated LNG Tolling'!AA19,IF('Assumptions &amp; Results'!$C$172=2,'Consolidated LNG Equity'!AA21,IF('Assumptions &amp; Results'!$C$172=3,'Consolidated One Ring Fence'!AA21)))</f>
        <v>1132.7233600000002</v>
      </c>
      <c r="AC15" s="393">
        <f>IF('Assumptions &amp; Results'!$C$172=1,'Consolidated LNG Tolling'!AB19,IF('Assumptions &amp; Results'!$C$172=2,'Consolidated LNG Equity'!AB21,IF('Assumptions &amp; Results'!$C$172=3,'Consolidated One Ring Fence'!AB21)))</f>
        <v>1132.7233600000002</v>
      </c>
      <c r="AD15" s="393">
        <f>IF('Assumptions &amp; Results'!$C$172=1,'Consolidated LNG Tolling'!AC19,IF('Assumptions &amp; Results'!$C$172=2,'Consolidated LNG Equity'!AC21,IF('Assumptions &amp; Results'!$C$172=3,'Consolidated One Ring Fence'!AC21)))</f>
        <v>1132.7233600000002</v>
      </c>
      <c r="AE15" s="393">
        <f>IF('Assumptions &amp; Results'!$C$172=1,'Consolidated LNG Tolling'!AD19,IF('Assumptions &amp; Results'!$C$172=2,'Consolidated LNG Equity'!AD21,IF('Assumptions &amp; Results'!$C$172=3,'Consolidated One Ring Fence'!AD21)))</f>
        <v>955.42115239999998</v>
      </c>
      <c r="AF15" s="393">
        <f>IF('Assumptions &amp; Results'!$C$172=1,'Consolidated LNG Tolling'!AE19,IF('Assumptions &amp; Results'!$C$172=2,'Consolidated LNG Equity'!AE21,IF('Assumptions &amp; Results'!$C$172=3,'Consolidated One Ring Fence'!AE21)))</f>
        <v>1132.7233600000002</v>
      </c>
      <c r="AG15" s="393">
        <f>IF('Assumptions &amp; Results'!$C$172=1,'Consolidated LNG Tolling'!AF19,IF('Assumptions &amp; Results'!$C$172=2,'Consolidated LNG Equity'!AF21,IF('Assumptions &amp; Results'!$C$172=3,'Consolidated One Ring Fence'!AF21)))</f>
        <v>1132.7233600000002</v>
      </c>
      <c r="AH15" s="393">
        <f>IF('Assumptions &amp; Results'!$C$172=1,'Consolidated LNG Tolling'!AG19,IF('Assumptions &amp; Results'!$C$172=2,'Consolidated LNG Equity'!AG21,IF('Assumptions &amp; Results'!$C$172=3,'Consolidated One Ring Fence'!AG21)))</f>
        <v>1132.7233600000002</v>
      </c>
      <c r="AI15" s="393">
        <f>IF('Assumptions &amp; Results'!$C$172=1,'Consolidated LNG Tolling'!AH19,IF('Assumptions &amp; Results'!$C$172=2,'Consolidated LNG Equity'!AH21,IF('Assumptions &amp; Results'!$C$172=3,'Consolidated One Ring Fence'!AH21)))</f>
        <v>1132.7233600000002</v>
      </c>
      <c r="AJ15" s="393">
        <f>IF('Assumptions &amp; Results'!$C$172=1,'Consolidated LNG Tolling'!AI19,IF('Assumptions &amp; Results'!$C$172=2,'Consolidated LNG Equity'!AI21,IF('Assumptions &amp; Results'!$C$172=3,'Consolidated One Ring Fence'!AI21)))</f>
        <v>1132.7233600000002</v>
      </c>
    </row>
    <row r="16" spans="1:36" s="389" customFormat="1" x14ac:dyDescent="0.2">
      <c r="A16" s="394" t="s">
        <v>521</v>
      </c>
      <c r="B16" s="389" t="s">
        <v>99</v>
      </c>
      <c r="D16" s="393">
        <f>IF('Assumptions &amp; Results'!$C$172=1,0,IF('Assumptions &amp; Results'!$C$172=2,0,IF('Assumptions &amp; Results'!$C$172=3,'Consolidated One Ring Fence'!C18)))</f>
        <v>0</v>
      </c>
      <c r="E16" s="393">
        <f>IF('Assumptions &amp; Results'!$C$172=1,0,IF('Assumptions &amp; Results'!$C$172=2,0,IF('Assumptions &amp; Results'!$C$172=3,'Consolidated One Ring Fence'!D18)))</f>
        <v>0</v>
      </c>
      <c r="F16" s="393">
        <f>IF('Assumptions &amp; Results'!$C$172=1,0,IF('Assumptions &amp; Results'!$C$172=2,0,IF('Assumptions &amp; Results'!$C$172=3,'Consolidated One Ring Fence'!E18)))</f>
        <v>0</v>
      </c>
      <c r="G16" s="393">
        <f>IF('Assumptions &amp; Results'!$C$172=1,0,IF('Assumptions &amp; Results'!$C$172=2,0,IF('Assumptions &amp; Results'!$C$172=3,'Consolidated One Ring Fence'!F18)))</f>
        <v>0</v>
      </c>
      <c r="H16" s="393">
        <f>IF('Assumptions &amp; Results'!$C$172=1,0,IF('Assumptions &amp; Results'!$C$172=2,0,IF('Assumptions &amp; Results'!$C$172=3,'Consolidated One Ring Fence'!G18)))</f>
        <v>0</v>
      </c>
      <c r="I16" s="393">
        <f>IF('Assumptions &amp; Results'!$C$172=1,0,IF('Assumptions &amp; Results'!$C$172=2,0,IF('Assumptions &amp; Results'!$C$172=3,'Consolidated One Ring Fence'!H18)))</f>
        <v>0</v>
      </c>
      <c r="J16" s="393">
        <f>IF('Assumptions &amp; Results'!$C$172=1,0,IF('Assumptions &amp; Results'!$C$172=2,0,IF('Assumptions &amp; Results'!$C$172=3,'Consolidated One Ring Fence'!I18)))</f>
        <v>0</v>
      </c>
      <c r="K16" s="393">
        <f>IF('Assumptions &amp; Results'!$C$172=1,0,IF('Assumptions &amp; Results'!$C$172=2,0,IF('Assumptions &amp; Results'!$C$172=3,'Consolidated One Ring Fence'!J18)))</f>
        <v>0</v>
      </c>
      <c r="L16" s="393">
        <f>IF('Assumptions &amp; Results'!$C$172=1,0,IF('Assumptions &amp; Results'!$C$172=2,0,IF('Assumptions &amp; Results'!$C$172=3,'Consolidated One Ring Fence'!K18)))</f>
        <v>0</v>
      </c>
      <c r="M16" s="393">
        <f>IF('Assumptions &amp; Results'!$C$172=1,0,IF('Assumptions &amp; Results'!$C$172=2,0,IF('Assumptions &amp; Results'!$C$172=3,'Consolidated One Ring Fence'!L18)))</f>
        <v>0</v>
      </c>
      <c r="N16" s="393">
        <f>IF('Assumptions &amp; Results'!$C$172=1,0,IF('Assumptions &amp; Results'!$C$172=2,0,IF('Assumptions &amp; Results'!$C$172=3,'Consolidated One Ring Fence'!M18)))</f>
        <v>0</v>
      </c>
      <c r="O16" s="393">
        <f>IF('Assumptions &amp; Results'!$C$172=1,0,IF('Assumptions &amp; Results'!$C$172=2,0,IF('Assumptions &amp; Results'!$C$172=3,'Consolidated One Ring Fence'!N18)))</f>
        <v>0</v>
      </c>
      <c r="P16" s="393">
        <f>IF('Assumptions &amp; Results'!$C$172=1,0,IF('Assumptions &amp; Results'!$C$172=2,0,IF('Assumptions &amp; Results'!$C$172=3,'Consolidated One Ring Fence'!O18)))</f>
        <v>0</v>
      </c>
      <c r="Q16" s="393">
        <f>IF('Assumptions &amp; Results'!$C$172=1,0,IF('Assumptions &amp; Results'!$C$172=2,0,IF('Assumptions &amp; Results'!$C$172=3,'Consolidated One Ring Fence'!P18)))</f>
        <v>0</v>
      </c>
      <c r="R16" s="393">
        <f>IF('Assumptions &amp; Results'!$C$172=1,0,IF('Assumptions &amp; Results'!$C$172=2,0,IF('Assumptions &amp; Results'!$C$172=3,'Consolidated One Ring Fence'!Q18)))</f>
        <v>0</v>
      </c>
      <c r="S16" s="393">
        <f>IF('Assumptions &amp; Results'!$C$172=1,0,IF('Assumptions &amp; Results'!$C$172=2,0,IF('Assumptions &amp; Results'!$C$172=3,'Consolidated One Ring Fence'!R18)))</f>
        <v>0</v>
      </c>
      <c r="T16" s="393">
        <f>IF('Assumptions &amp; Results'!$C$172=1,0,IF('Assumptions &amp; Results'!$C$172=2,0,IF('Assumptions &amp; Results'!$C$172=3,'Consolidated One Ring Fence'!S18)))</f>
        <v>0</v>
      </c>
      <c r="U16" s="393">
        <f>IF('Assumptions &amp; Results'!$C$172=1,0,IF('Assumptions &amp; Results'!$C$172=2,0,IF('Assumptions &amp; Results'!$C$172=3,'Consolidated One Ring Fence'!T18)))</f>
        <v>0</v>
      </c>
      <c r="V16" s="393">
        <f>IF('Assumptions &amp; Results'!$C$172=1,0,IF('Assumptions &amp; Results'!$C$172=2,0,IF('Assumptions &amp; Results'!$C$172=3,'Consolidated One Ring Fence'!U18)))</f>
        <v>0</v>
      </c>
      <c r="W16" s="393">
        <f>IF('Assumptions &amp; Results'!$C$172=1,0,IF('Assumptions &amp; Results'!$C$172=2,0,IF('Assumptions &amp; Results'!$C$172=3,'Consolidated One Ring Fence'!V18)))</f>
        <v>0</v>
      </c>
      <c r="X16" s="393">
        <f>IF('Assumptions &amp; Results'!$C$172=1,0,IF('Assumptions &amp; Results'!$C$172=2,0,IF('Assumptions &amp; Results'!$C$172=3,'Consolidated One Ring Fence'!W18)))</f>
        <v>0</v>
      </c>
      <c r="Y16" s="393">
        <f>IF('Assumptions &amp; Results'!$C$172=1,0,IF('Assumptions &amp; Results'!$C$172=2,0,IF('Assumptions &amp; Results'!$C$172=3,'Consolidated One Ring Fence'!X18)))</f>
        <v>0</v>
      </c>
      <c r="Z16" s="393">
        <f>IF('Assumptions &amp; Results'!$C$172=1,0,IF('Assumptions &amp; Results'!$C$172=2,0,IF('Assumptions &amp; Results'!$C$172=3,'Consolidated One Ring Fence'!Y18)))</f>
        <v>0</v>
      </c>
      <c r="AA16" s="393">
        <f>IF('Assumptions &amp; Results'!$C$172=1,0,IF('Assumptions &amp; Results'!$C$172=2,0,IF('Assumptions &amp; Results'!$C$172=3,'Consolidated One Ring Fence'!Z18)))</f>
        <v>0</v>
      </c>
      <c r="AB16" s="393">
        <f>IF('Assumptions &amp; Results'!$C$172=1,0,IF('Assumptions &amp; Results'!$C$172=2,0,IF('Assumptions &amp; Results'!$C$172=3,'Consolidated One Ring Fence'!AA18)))</f>
        <v>0</v>
      </c>
      <c r="AC16" s="393">
        <f>IF('Assumptions &amp; Results'!$C$172=1,0,IF('Assumptions &amp; Results'!$C$172=2,0,IF('Assumptions &amp; Results'!$C$172=3,'Consolidated One Ring Fence'!AB18)))</f>
        <v>0</v>
      </c>
      <c r="AD16" s="393">
        <f>IF('Assumptions &amp; Results'!$C$172=1,0,IF('Assumptions &amp; Results'!$C$172=2,0,IF('Assumptions &amp; Results'!$C$172=3,'Consolidated One Ring Fence'!AC18)))</f>
        <v>0</v>
      </c>
      <c r="AE16" s="393">
        <f>IF('Assumptions &amp; Results'!$C$172=1,0,IF('Assumptions &amp; Results'!$C$172=2,0,IF('Assumptions &amp; Results'!$C$172=3,'Consolidated One Ring Fence'!AD18)))</f>
        <v>0</v>
      </c>
      <c r="AF16" s="393">
        <f>IF('Assumptions &amp; Results'!$C$172=1,0,IF('Assumptions &amp; Results'!$C$172=2,0,IF('Assumptions &amp; Results'!$C$172=3,'Consolidated One Ring Fence'!AE18)))</f>
        <v>0</v>
      </c>
      <c r="AG16" s="393">
        <f>IF('Assumptions &amp; Results'!$C$172=1,0,IF('Assumptions &amp; Results'!$C$172=2,0,IF('Assumptions &amp; Results'!$C$172=3,'Consolidated One Ring Fence'!AF18)))</f>
        <v>0</v>
      </c>
      <c r="AH16" s="393">
        <f>IF('Assumptions &amp; Results'!$C$172=1,0,IF('Assumptions &amp; Results'!$C$172=2,0,IF('Assumptions &amp; Results'!$C$172=3,'Consolidated One Ring Fence'!AG18)))</f>
        <v>0</v>
      </c>
      <c r="AI16" s="393">
        <f>IF('Assumptions &amp; Results'!$C$172=1,0,IF('Assumptions &amp; Results'!$C$172=2,0,IF('Assumptions &amp; Results'!$C$172=3,'Consolidated One Ring Fence'!AH18)))</f>
        <v>0</v>
      </c>
      <c r="AJ16" s="393">
        <f>IF('Assumptions &amp; Results'!$C$172=1,0,IF('Assumptions &amp; Results'!$C$172=2,0,IF('Assumptions &amp; Results'!$C$172=3,'Consolidated One Ring Fence'!AI18)))</f>
        <v>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FF0000"/>
  </sheetPr>
  <dimension ref="A1:AJ54"/>
  <sheetViews>
    <sheetView workbookViewId="0">
      <pane xSplit="1" topLeftCell="B1" activePane="topRight" state="frozen"/>
      <selection activeCell="C18" sqref="C18:AI18"/>
      <selection pane="topRight"/>
    </sheetView>
  </sheetViews>
  <sheetFormatPr defaultColWidth="8.85546875" defaultRowHeight="15" x14ac:dyDescent="0.25"/>
  <cols>
    <col min="1" max="1" width="42.28515625" customWidth="1"/>
    <col min="3" max="3" width="13.140625" customWidth="1"/>
    <col min="4" max="4" width="9.140625" bestFit="1" customWidth="1"/>
    <col min="5" max="9" width="9.7109375" bestFit="1" customWidth="1"/>
    <col min="10" max="11" width="9.140625" bestFit="1" customWidth="1"/>
    <col min="12" max="12" width="10.85546875" customWidth="1"/>
    <col min="13" max="13" width="10.42578125" customWidth="1"/>
    <col min="14" max="35" width="9.140625" bestFit="1" customWidth="1"/>
    <col min="36" max="36" width="10.28515625" style="124" customWidth="1"/>
  </cols>
  <sheetData>
    <row r="1" spans="1:36" s="69" customFormat="1" ht="21" x14ac:dyDescent="0.25">
      <c r="A1" s="197" t="s">
        <v>233</v>
      </c>
      <c r="D1" s="75"/>
      <c r="AJ1" s="122"/>
    </row>
    <row r="2" spans="1:36" s="69" customFormat="1" ht="21" x14ac:dyDescent="0.25">
      <c r="A2" s="197"/>
      <c r="C2" s="117" t="str">
        <f>IF('Assumptions &amp; Results'!$C$172=3,"INVALID","VALID")</f>
        <v>VALID</v>
      </c>
      <c r="D2" s="235" t="s">
        <v>570</v>
      </c>
      <c r="AJ2" s="132"/>
    </row>
    <row r="3" spans="1:36" x14ac:dyDescent="0.2">
      <c r="D3" s="1"/>
    </row>
    <row r="4" spans="1:36" x14ac:dyDescent="0.2">
      <c r="A4" s="28"/>
      <c r="B4" t="s">
        <v>234</v>
      </c>
      <c r="C4" s="1">
        <f>'Assumptions &amp; Results'!D2</f>
        <v>2017</v>
      </c>
      <c r="D4" s="1">
        <f>'Assumptions &amp; Results'!E2</f>
        <v>2018</v>
      </c>
      <c r="E4" s="1">
        <f>'Assumptions &amp; Results'!F2</f>
        <v>2019</v>
      </c>
      <c r="F4" s="1">
        <f>'Assumptions &amp; Results'!G2</f>
        <v>2020</v>
      </c>
      <c r="G4" s="1">
        <f>'Assumptions &amp; Results'!H2</f>
        <v>2021</v>
      </c>
      <c r="H4" s="1">
        <f>'Assumptions &amp; Results'!I2</f>
        <v>2022</v>
      </c>
      <c r="I4" s="1">
        <f>'Assumptions &amp; Results'!J2</f>
        <v>2023</v>
      </c>
      <c r="J4" s="1">
        <f>'Assumptions &amp; Results'!K2</f>
        <v>2024</v>
      </c>
      <c r="K4" s="1">
        <f>'Assumptions &amp; Results'!L2</f>
        <v>2025</v>
      </c>
      <c r="L4" s="1">
        <f>'Assumptions &amp; Results'!M2</f>
        <v>2026</v>
      </c>
      <c r="M4" s="1">
        <f>'Assumptions &amp; Results'!N2</f>
        <v>2027</v>
      </c>
      <c r="N4" s="1">
        <f>'Assumptions &amp; Results'!O2</f>
        <v>2028</v>
      </c>
      <c r="O4" s="1">
        <f>'Assumptions &amp; Results'!P2</f>
        <v>2029</v>
      </c>
      <c r="P4" s="1">
        <f>'Assumptions &amp; Results'!Q2</f>
        <v>2030</v>
      </c>
      <c r="Q4" s="1">
        <f>'Assumptions &amp; Results'!R2</f>
        <v>2031</v>
      </c>
      <c r="R4" s="1">
        <f>'Assumptions &amp; Results'!S2</f>
        <v>2032</v>
      </c>
      <c r="S4" s="1">
        <f>'Assumptions &amp; Results'!T2</f>
        <v>2033</v>
      </c>
      <c r="T4" s="1">
        <f>'Assumptions &amp; Results'!U2</f>
        <v>2034</v>
      </c>
      <c r="U4" s="1">
        <f>'Assumptions &amp; Results'!V2</f>
        <v>2035</v>
      </c>
      <c r="V4" s="1">
        <f>'Assumptions &amp; Results'!W2</f>
        <v>2036</v>
      </c>
      <c r="W4" s="1">
        <f>'Assumptions &amp; Results'!X2</f>
        <v>2037</v>
      </c>
      <c r="X4" s="1">
        <f>'Assumptions &amp; Results'!Y2</f>
        <v>2038</v>
      </c>
      <c r="Y4" s="1">
        <f>'Assumptions &amp; Results'!Z2</f>
        <v>2039</v>
      </c>
      <c r="Z4" s="1">
        <f>'Assumptions &amp; Results'!AA2</f>
        <v>2040</v>
      </c>
      <c r="AA4" s="1">
        <f>'Assumptions &amp; Results'!AB2</f>
        <v>2041</v>
      </c>
      <c r="AB4" s="1">
        <f>'Assumptions &amp; Results'!AC2</f>
        <v>2042</v>
      </c>
      <c r="AC4" s="1">
        <f>'Assumptions &amp; Results'!AD2</f>
        <v>2043</v>
      </c>
      <c r="AD4" s="1">
        <f>'Assumptions &amp; Results'!AE2</f>
        <v>2044</v>
      </c>
      <c r="AE4" s="1">
        <f>'Assumptions &amp; Results'!AF2</f>
        <v>2045</v>
      </c>
      <c r="AF4" s="1">
        <f>'Assumptions &amp; Results'!AG2</f>
        <v>2046</v>
      </c>
      <c r="AG4" s="1">
        <f>'Assumptions &amp; Results'!AH2</f>
        <v>2047</v>
      </c>
      <c r="AH4" s="1">
        <f>'Assumptions &amp; Results'!AI2</f>
        <v>2048</v>
      </c>
      <c r="AI4" s="1">
        <f>'Assumptions &amp; Results'!AJ2</f>
        <v>2049</v>
      </c>
      <c r="AJ4" s="130" t="s">
        <v>63</v>
      </c>
    </row>
    <row r="5" spans="1:36" x14ac:dyDescent="0.2">
      <c r="A5" s="30" t="str">
        <f>'Field 1 Investor'!A20</f>
        <v xml:space="preserve">   Total Revenues</v>
      </c>
      <c r="B5" s="31" t="s">
        <v>99</v>
      </c>
      <c r="C5" s="32">
        <f>'Field 1 Investor'!C20</f>
        <v>0</v>
      </c>
      <c r="D5" s="32">
        <f>'Field 1 Investor'!D20</f>
        <v>0</v>
      </c>
      <c r="E5" s="32">
        <f>'Field 1 Investor'!E20</f>
        <v>0</v>
      </c>
      <c r="F5" s="32">
        <f>'Field 1 Investor'!F20</f>
        <v>0</v>
      </c>
      <c r="G5" s="32">
        <f>'Field 1 Investor'!G20</f>
        <v>2338.9884375000006</v>
      </c>
      <c r="H5" s="32">
        <f>'Field 1 Investor'!H20</f>
        <v>4677.9768750000012</v>
      </c>
      <c r="I5" s="32">
        <f>'Field 1 Investor'!I20</f>
        <v>4677.9768750000012</v>
      </c>
      <c r="J5" s="32">
        <f>'Field 1 Investor'!J20</f>
        <v>4445.5836562499999</v>
      </c>
      <c r="K5" s="32">
        <f>'Field 1 Investor'!K20</f>
        <v>4677.9768750000012</v>
      </c>
      <c r="L5" s="32">
        <f>'Field 1 Investor'!L20</f>
        <v>4677.9768750000012</v>
      </c>
      <c r="M5" s="32">
        <f>'Field 1 Investor'!M20</f>
        <v>4677.9768750000012</v>
      </c>
      <c r="N5" s="32">
        <f>'Field 1 Investor'!N20</f>
        <v>4677.9768750000012</v>
      </c>
      <c r="O5" s="32">
        <f>'Field 1 Investor'!O20</f>
        <v>4445.5836562499999</v>
      </c>
      <c r="P5" s="32">
        <f>'Field 1 Investor'!P20</f>
        <v>4677.9768750000012</v>
      </c>
      <c r="Q5" s="32">
        <f>'Field 1 Investor'!Q20</f>
        <v>4677.9768750000012</v>
      </c>
      <c r="R5" s="32">
        <f>'Field 1 Investor'!R20</f>
        <v>4677.9768750000012</v>
      </c>
      <c r="S5" s="32">
        <f>'Field 1 Investor'!S20</f>
        <v>4677.9768750000012</v>
      </c>
      <c r="T5" s="32">
        <f>'Field 1 Investor'!T20</f>
        <v>4445.5836562499999</v>
      </c>
      <c r="U5" s="32">
        <f>'Field 1 Investor'!U20</f>
        <v>4677.9768750000012</v>
      </c>
      <c r="V5" s="32">
        <f>'Field 1 Investor'!V20</f>
        <v>4677.9768750000012</v>
      </c>
      <c r="W5" s="32">
        <f>'Field 1 Investor'!W20</f>
        <v>4677.9768750000012</v>
      </c>
      <c r="X5" s="32">
        <f>'Field 1 Investor'!X20</f>
        <v>4677.9768750000012</v>
      </c>
      <c r="Y5" s="32">
        <f>'Field 1 Investor'!Y20</f>
        <v>4445.5836562499999</v>
      </c>
      <c r="Z5" s="32">
        <f>'Field 1 Investor'!Z20</f>
        <v>4677.9768750000012</v>
      </c>
      <c r="AA5" s="32">
        <f>'Field 1 Investor'!AA20</f>
        <v>4677.9768750000012</v>
      </c>
      <c r="AB5" s="32">
        <f>'Field 1 Investor'!AB20</f>
        <v>4677.9768750000012</v>
      </c>
      <c r="AC5" s="32">
        <f>'Field 1 Investor'!AC20</f>
        <v>4677.9768750000012</v>
      </c>
      <c r="AD5" s="32">
        <f>'Field 1 Investor'!AD20</f>
        <v>4445.5836562499999</v>
      </c>
      <c r="AE5" s="32">
        <f>'Field 1 Investor'!AE20</f>
        <v>4677.9768750000012</v>
      </c>
      <c r="AF5" s="32">
        <f>'Field 1 Investor'!AF20</f>
        <v>4677.9768750000012</v>
      </c>
      <c r="AG5" s="32">
        <f>'Field 1 Investor'!AG20</f>
        <v>4677.9768750000012</v>
      </c>
      <c r="AH5" s="32">
        <f>'Field 1 Investor'!AH20</f>
        <v>4677.9768750000012</v>
      </c>
      <c r="AI5" s="32">
        <f>'Field 1 Investor'!AI20</f>
        <v>4677.9768750000012</v>
      </c>
      <c r="AJ5" s="125">
        <f>SUM(C5:AI5)</f>
        <v>132160.37484375009</v>
      </c>
    </row>
    <row r="6" spans="1:36" x14ac:dyDescent="0.2">
      <c r="A6" s="30" t="s">
        <v>235</v>
      </c>
      <c r="B6" s="31" t="s">
        <v>99</v>
      </c>
      <c r="C6" s="32">
        <f>'LNG Tolling'!C23</f>
        <v>0</v>
      </c>
      <c r="D6" s="32">
        <f>'LNG Tolling'!D23</f>
        <v>0</v>
      </c>
      <c r="E6" s="32">
        <f>'LNG Tolling'!E23</f>
        <v>0</v>
      </c>
      <c r="F6" s="32">
        <f>'LNG Tolling'!F23</f>
        <v>0</v>
      </c>
      <c r="G6" s="32">
        <f>'LNG Tolling'!G23</f>
        <v>1195.1651250000002</v>
      </c>
      <c r="H6" s="32">
        <f>'LNG Tolling'!H23</f>
        <v>2390.3302500000004</v>
      </c>
      <c r="I6" s="32">
        <f>'LNG Tolling'!I23</f>
        <v>2390.3302500000004</v>
      </c>
      <c r="J6" s="32">
        <f>'LNG Tolling'!J23</f>
        <v>2157.273050625</v>
      </c>
      <c r="K6" s="32">
        <f>'LNG Tolling'!K23</f>
        <v>2390.3302500000004</v>
      </c>
      <c r="L6" s="32">
        <f>'LNG Tolling'!L23</f>
        <v>2390.3302500000004</v>
      </c>
      <c r="M6" s="32">
        <f>'LNG Tolling'!M23</f>
        <v>2390.3302500000004</v>
      </c>
      <c r="N6" s="32">
        <f>'LNG Tolling'!N23</f>
        <v>2390.3302500000004</v>
      </c>
      <c r="O6" s="32">
        <f>'LNG Tolling'!O23</f>
        <v>2157.273050625</v>
      </c>
      <c r="P6" s="32">
        <f>'LNG Tolling'!P23</f>
        <v>2390.3302500000004</v>
      </c>
      <c r="Q6" s="32">
        <f>'LNG Tolling'!Q23</f>
        <v>2390.3302500000004</v>
      </c>
      <c r="R6" s="32">
        <f>'LNG Tolling'!R23</f>
        <v>2390.3302500000004</v>
      </c>
      <c r="S6" s="32">
        <f>'LNG Tolling'!S23</f>
        <v>2390.3302500000004</v>
      </c>
      <c r="T6" s="32">
        <f>'LNG Tolling'!T23</f>
        <v>2157.273050625</v>
      </c>
      <c r="U6" s="32">
        <f>'LNG Tolling'!U23</f>
        <v>2390.3302500000004</v>
      </c>
      <c r="V6" s="32">
        <f>'LNG Tolling'!V23</f>
        <v>2390.3302500000004</v>
      </c>
      <c r="W6" s="32">
        <f>'LNG Tolling'!W23</f>
        <v>2390.3302500000004</v>
      </c>
      <c r="X6" s="32">
        <f>'LNG Tolling'!X23</f>
        <v>2390.3302500000004</v>
      </c>
      <c r="Y6" s="32">
        <f>'LNG Tolling'!Y23</f>
        <v>2157.273050625</v>
      </c>
      <c r="Z6" s="32">
        <f>'LNG Tolling'!Z23</f>
        <v>2390.3302500000004</v>
      </c>
      <c r="AA6" s="32">
        <f>'LNG Tolling'!AA23</f>
        <v>2390.3302500000004</v>
      </c>
      <c r="AB6" s="32">
        <f>'LNG Tolling'!AB23</f>
        <v>2390.3302500000004</v>
      </c>
      <c r="AC6" s="32">
        <f>'LNG Tolling'!AC23</f>
        <v>2390.3302500000004</v>
      </c>
      <c r="AD6" s="32">
        <f>'LNG Tolling'!AD23</f>
        <v>2157.273050625</v>
      </c>
      <c r="AE6" s="32">
        <f>'LNG Tolling'!AE23</f>
        <v>2390.3302500000004</v>
      </c>
      <c r="AF6" s="32">
        <f>'LNG Tolling'!AF23</f>
        <v>2390.3302500000004</v>
      </c>
      <c r="AG6" s="32">
        <f>'LNG Tolling'!AG23</f>
        <v>2390.3302500000004</v>
      </c>
      <c r="AH6" s="32">
        <f>'LNG Tolling'!AH23</f>
        <v>2390.3302500000004</v>
      </c>
      <c r="AI6" s="32">
        <f>'LNG Tolling'!AI23</f>
        <v>2390.3302500000004</v>
      </c>
      <c r="AJ6" s="125">
        <f>SUM(C6:AI6)</f>
        <v>66959.12612812499</v>
      </c>
    </row>
    <row r="7" spans="1:36" x14ac:dyDescent="0.2">
      <c r="A7" s="30" t="s">
        <v>236</v>
      </c>
      <c r="B7" s="31" t="s">
        <v>99</v>
      </c>
      <c r="C7" s="32">
        <f>C5-C6</f>
        <v>0</v>
      </c>
      <c r="D7" s="32">
        <f t="shared" ref="D7:AI7" si="0">D5-D6</f>
        <v>0</v>
      </c>
      <c r="E7" s="32">
        <f t="shared" si="0"/>
        <v>0</v>
      </c>
      <c r="F7" s="32">
        <f t="shared" si="0"/>
        <v>0</v>
      </c>
      <c r="G7" s="32">
        <f t="shared" si="0"/>
        <v>1143.8233125000004</v>
      </c>
      <c r="H7" s="32">
        <f t="shared" si="0"/>
        <v>2287.6466250000008</v>
      </c>
      <c r="I7" s="32">
        <f t="shared" si="0"/>
        <v>2287.6466250000008</v>
      </c>
      <c r="J7" s="32">
        <f t="shared" si="0"/>
        <v>2288.3106056249999</v>
      </c>
      <c r="K7" s="32">
        <f t="shared" si="0"/>
        <v>2287.6466250000008</v>
      </c>
      <c r="L7" s="32">
        <f t="shared" si="0"/>
        <v>2287.6466250000008</v>
      </c>
      <c r="M7" s="32">
        <f t="shared" si="0"/>
        <v>2287.6466250000008</v>
      </c>
      <c r="N7" s="32">
        <f t="shared" si="0"/>
        <v>2287.6466250000008</v>
      </c>
      <c r="O7" s="32">
        <f t="shared" si="0"/>
        <v>2288.3106056249999</v>
      </c>
      <c r="P7" s="32">
        <f t="shared" si="0"/>
        <v>2287.6466250000008</v>
      </c>
      <c r="Q7" s="32">
        <f t="shared" si="0"/>
        <v>2287.6466250000008</v>
      </c>
      <c r="R7" s="32">
        <f t="shared" si="0"/>
        <v>2287.6466250000008</v>
      </c>
      <c r="S7" s="32">
        <f t="shared" si="0"/>
        <v>2287.6466250000008</v>
      </c>
      <c r="T7" s="32">
        <f t="shared" si="0"/>
        <v>2288.3106056249999</v>
      </c>
      <c r="U7" s="32">
        <f t="shared" si="0"/>
        <v>2287.6466250000008</v>
      </c>
      <c r="V7" s="32">
        <f t="shared" si="0"/>
        <v>2287.6466250000008</v>
      </c>
      <c r="W7" s="32">
        <f t="shared" si="0"/>
        <v>2287.6466250000008</v>
      </c>
      <c r="X7" s="32">
        <f t="shared" si="0"/>
        <v>2287.6466250000008</v>
      </c>
      <c r="Y7" s="32">
        <f t="shared" si="0"/>
        <v>2288.3106056249999</v>
      </c>
      <c r="Z7" s="32">
        <f t="shared" si="0"/>
        <v>2287.6466250000008</v>
      </c>
      <c r="AA7" s="32">
        <f t="shared" si="0"/>
        <v>2287.6466250000008</v>
      </c>
      <c r="AB7" s="32">
        <f t="shared" si="0"/>
        <v>2287.6466250000008</v>
      </c>
      <c r="AC7" s="32">
        <f t="shared" si="0"/>
        <v>2287.6466250000008</v>
      </c>
      <c r="AD7" s="32">
        <f t="shared" si="0"/>
        <v>2288.3106056249999</v>
      </c>
      <c r="AE7" s="32">
        <f t="shared" si="0"/>
        <v>2287.6466250000008</v>
      </c>
      <c r="AF7" s="32">
        <f t="shared" si="0"/>
        <v>2287.6466250000008</v>
      </c>
      <c r="AG7" s="32">
        <f t="shared" si="0"/>
        <v>2287.6466250000008</v>
      </c>
      <c r="AH7" s="32">
        <f t="shared" si="0"/>
        <v>2287.6466250000008</v>
      </c>
      <c r="AI7" s="32">
        <f t="shared" si="0"/>
        <v>2287.6466250000008</v>
      </c>
      <c r="AJ7" s="125">
        <f>SUM(C7:AI7)</f>
        <v>65201.248715625021</v>
      </c>
    </row>
    <row r="8" spans="1:36" x14ac:dyDescent="0.2">
      <c r="A8" s="30"/>
      <c r="B8" s="31"/>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125"/>
    </row>
    <row r="9" spans="1:36" x14ac:dyDescent="0.2">
      <c r="A9" s="31" t="s">
        <v>237</v>
      </c>
      <c r="B9" s="31" t="s">
        <v>99</v>
      </c>
      <c r="C9" s="33">
        <f>'Field 1 Investor'!C29-C6</f>
        <v>0</v>
      </c>
      <c r="D9" s="33">
        <f>'Field 1 Investor'!D29-D6</f>
        <v>0</v>
      </c>
      <c r="E9" s="33">
        <f>'Field 1 Investor'!E29-E6</f>
        <v>0</v>
      </c>
      <c r="F9" s="33">
        <f>'Field 1 Investor'!F29-F6</f>
        <v>0</v>
      </c>
      <c r="G9" s="33">
        <f>'Field 1 Investor'!G29-G6</f>
        <v>301.60680000000002</v>
      </c>
      <c r="H9" s="33">
        <f>'Field 1 Investor'!H29-H6</f>
        <v>603.21360000000004</v>
      </c>
      <c r="I9" s="33">
        <f>'Field 1 Investor'!I29-I6</f>
        <v>603.21360000000004</v>
      </c>
      <c r="J9" s="33">
        <f>'Field 1 Investor'!J29-J6</f>
        <v>603.21360000000004</v>
      </c>
      <c r="K9" s="33">
        <f>'Field 1 Investor'!K29-K6</f>
        <v>603.21360000000004</v>
      </c>
      <c r="L9" s="33">
        <f>'Field 1 Investor'!L29-L6</f>
        <v>603.21360000000004</v>
      </c>
      <c r="M9" s="33">
        <f>'Field 1 Investor'!M29-M6</f>
        <v>603.21360000000004</v>
      </c>
      <c r="N9" s="33">
        <f>'Field 1 Investor'!N29-N6</f>
        <v>603.21360000000004</v>
      </c>
      <c r="O9" s="33">
        <f>'Field 1 Investor'!O29-O6</f>
        <v>603.21360000000004</v>
      </c>
      <c r="P9" s="33">
        <f>'Field 1 Investor'!P29-P6</f>
        <v>603.21360000000004</v>
      </c>
      <c r="Q9" s="33">
        <f>'Field 1 Investor'!Q29-Q6</f>
        <v>603.21360000000004</v>
      </c>
      <c r="R9" s="33">
        <f>'Field 1 Investor'!R29-R6</f>
        <v>603.21360000000004</v>
      </c>
      <c r="S9" s="33">
        <f>'Field 1 Investor'!S29-S6</f>
        <v>603.21360000000004</v>
      </c>
      <c r="T9" s="33">
        <f>'Field 1 Investor'!T29-T6</f>
        <v>603.21360000000004</v>
      </c>
      <c r="U9" s="33">
        <f>'Field 1 Investor'!U29-U6</f>
        <v>603.21360000000004</v>
      </c>
      <c r="V9" s="33">
        <f>'Field 1 Investor'!V29-V6</f>
        <v>603.21360000000004</v>
      </c>
      <c r="W9" s="33">
        <f>'Field 1 Investor'!W29-W6</f>
        <v>603.21360000000004</v>
      </c>
      <c r="X9" s="33">
        <f>'Field 1 Investor'!X29-X6</f>
        <v>603.21360000000004</v>
      </c>
      <c r="Y9" s="33">
        <f>'Field 1 Investor'!Y29-Y6</f>
        <v>603.21360000000004</v>
      </c>
      <c r="Z9" s="33">
        <f>'Field 1 Investor'!Z29-Z6</f>
        <v>603.21360000000004</v>
      </c>
      <c r="AA9" s="33">
        <f>'Field 1 Investor'!AA29-AA6</f>
        <v>603.21360000000004</v>
      </c>
      <c r="AB9" s="33">
        <f>'Field 1 Investor'!AB29-AB6</f>
        <v>603.21360000000004</v>
      </c>
      <c r="AC9" s="33">
        <f>'Field 1 Investor'!AC29-AC6</f>
        <v>603.21360000000004</v>
      </c>
      <c r="AD9" s="33">
        <f>'Field 1 Investor'!AD29-AD6</f>
        <v>603.21360000000004</v>
      </c>
      <c r="AE9" s="33">
        <f>'Field 1 Investor'!AE29-AE6</f>
        <v>603.21360000000004</v>
      </c>
      <c r="AF9" s="33">
        <f>'Field 1 Investor'!AF29-AF6</f>
        <v>603.21360000000004</v>
      </c>
      <c r="AG9" s="33">
        <f>'Field 1 Investor'!AG29-AG6</f>
        <v>903.21360000000004</v>
      </c>
      <c r="AH9" s="33">
        <f>'Field 1 Investor'!AH29-AH6</f>
        <v>903.21360000000004</v>
      </c>
      <c r="AI9" s="33">
        <f>'Field 1 Investor'!AI29-AI6</f>
        <v>1203.2136</v>
      </c>
      <c r="AJ9" s="125">
        <f>SUM(C9:AI9)</f>
        <v>18391.587599999988</v>
      </c>
    </row>
    <row r="10" spans="1:36" x14ac:dyDescent="0.2">
      <c r="A10" s="31" t="s">
        <v>475</v>
      </c>
      <c r="B10" s="31" t="s">
        <v>99</v>
      </c>
      <c r="C10" s="33">
        <f>IF('Assumptions &amp; Results'!$C$127=1,'Financing for Fiscal Terms Only'!C9,0)</f>
        <v>0</v>
      </c>
      <c r="D10" s="33">
        <f>IF('Assumptions &amp; Results'!$C$127=1,'Financing for Fiscal Terms Only'!D9,0)</f>
        <v>0</v>
      </c>
      <c r="E10" s="33">
        <f>IF('Assumptions &amp; Results'!$C$127=1,'Financing for Fiscal Terms Only'!E9,0)</f>
        <v>0</v>
      </c>
      <c r="F10" s="33">
        <f>IF('Assumptions &amp; Results'!$C$127=1,'Financing for Fiscal Terms Only'!F9,0)</f>
        <v>0</v>
      </c>
      <c r="G10" s="33">
        <f>IF('Assumptions &amp; Results'!$C$127=1,'Financing for Fiscal Terms Only'!G9,0)</f>
        <v>0</v>
      </c>
      <c r="H10" s="33">
        <f>IF('Assumptions &amp; Results'!$C$127=1,'Financing for Fiscal Terms Only'!H9,0)</f>
        <v>0</v>
      </c>
      <c r="I10" s="33">
        <f>IF('Assumptions &amp; Results'!$C$127=1,'Financing for Fiscal Terms Only'!I9,0)</f>
        <v>0</v>
      </c>
      <c r="J10" s="33">
        <f>IF('Assumptions &amp; Results'!$C$127=1,'Financing for Fiscal Terms Only'!J9,0)</f>
        <v>0</v>
      </c>
      <c r="K10" s="33">
        <f>IF('Assumptions &amp; Results'!$C$127=1,'Financing for Fiscal Terms Only'!K9,0)</f>
        <v>0</v>
      </c>
      <c r="L10" s="33">
        <f>IF('Assumptions &amp; Results'!$C$127=1,'Financing for Fiscal Terms Only'!L9,0)</f>
        <v>0</v>
      </c>
      <c r="M10" s="33">
        <f>IF('Assumptions &amp; Results'!$C$127=1,'Financing for Fiscal Terms Only'!M9,0)</f>
        <v>0</v>
      </c>
      <c r="N10" s="33">
        <f>IF('Assumptions &amp; Results'!$C$127=1,'Financing for Fiscal Terms Only'!N9,0)</f>
        <v>0</v>
      </c>
      <c r="O10" s="33">
        <f>IF('Assumptions &amp; Results'!$C$127=1,'Financing for Fiscal Terms Only'!O9,0)</f>
        <v>0</v>
      </c>
      <c r="P10" s="33">
        <f>IF('Assumptions &amp; Results'!$C$127=1,'Financing for Fiscal Terms Only'!P9,0)</f>
        <v>0</v>
      </c>
      <c r="Q10" s="33">
        <f>IF('Assumptions &amp; Results'!$C$127=1,'Financing for Fiscal Terms Only'!Q9,0)</f>
        <v>0</v>
      </c>
      <c r="R10" s="33">
        <f>IF('Assumptions &amp; Results'!$C$127=1,'Financing for Fiscal Terms Only'!R9,0)</f>
        <v>0</v>
      </c>
      <c r="S10" s="33">
        <f>IF('Assumptions &amp; Results'!$C$127=1,'Financing for Fiscal Terms Only'!S9,0)</f>
        <v>0</v>
      </c>
      <c r="T10" s="33">
        <f>IF('Assumptions &amp; Results'!$C$127=1,'Financing for Fiscal Terms Only'!T9,0)</f>
        <v>0</v>
      </c>
      <c r="U10" s="33">
        <f>IF('Assumptions &amp; Results'!$C$127=1,'Financing for Fiscal Terms Only'!U9,0)</f>
        <v>0</v>
      </c>
      <c r="V10" s="33">
        <f>IF('Assumptions &amp; Results'!$C$127=1,'Financing for Fiscal Terms Only'!V9,0)</f>
        <v>0</v>
      </c>
      <c r="W10" s="33">
        <f>IF('Assumptions &amp; Results'!$C$127=1,'Financing for Fiscal Terms Only'!W9,0)</f>
        <v>0</v>
      </c>
      <c r="X10" s="33">
        <f>IF('Assumptions &amp; Results'!$C$127=1,'Financing for Fiscal Terms Only'!X9,0)</f>
        <v>0</v>
      </c>
      <c r="Y10" s="33">
        <f>IF('Assumptions &amp; Results'!$C$127=1,'Financing for Fiscal Terms Only'!Y9,0)</f>
        <v>0</v>
      </c>
      <c r="Z10" s="33">
        <f>IF('Assumptions &amp; Results'!$C$127=1,'Financing for Fiscal Terms Only'!Z9,0)</f>
        <v>0</v>
      </c>
      <c r="AA10" s="33">
        <f>IF('Assumptions &amp; Results'!$C$127=1,'Financing for Fiscal Terms Only'!AA9,0)</f>
        <v>0</v>
      </c>
      <c r="AB10" s="33">
        <f>IF('Assumptions &amp; Results'!$C$127=1,'Financing for Fiscal Terms Only'!AB9,0)</f>
        <v>0</v>
      </c>
      <c r="AC10" s="33">
        <f>IF('Assumptions &amp; Results'!$C$127=1,'Financing for Fiscal Terms Only'!AC9,0)</f>
        <v>0</v>
      </c>
      <c r="AD10" s="33">
        <f>IF('Assumptions &amp; Results'!$C$127=1,'Financing for Fiscal Terms Only'!AD9,0)</f>
        <v>0</v>
      </c>
      <c r="AE10" s="33">
        <f>IF('Assumptions &amp; Results'!$C$127=1,'Financing for Fiscal Terms Only'!AE9,0)</f>
        <v>0</v>
      </c>
      <c r="AF10" s="33">
        <f>IF('Assumptions &amp; Results'!$C$127=1,'Financing for Fiscal Terms Only'!AF9,0)</f>
        <v>0</v>
      </c>
      <c r="AG10" s="33">
        <f>IF('Assumptions &amp; Results'!$C$127=1,'Financing for Fiscal Terms Only'!AG9,0)</f>
        <v>0</v>
      </c>
      <c r="AH10" s="33">
        <f>IF('Assumptions &amp; Results'!$C$127=1,'Financing for Fiscal Terms Only'!AH9,0)</f>
        <v>0</v>
      </c>
      <c r="AI10" s="33">
        <f>IF('Assumptions &amp; Results'!$C$127=1,'Financing for Fiscal Terms Only'!AI9,0)</f>
        <v>0</v>
      </c>
      <c r="AJ10" s="125">
        <f>SUM(C10:AI10)</f>
        <v>0</v>
      </c>
    </row>
    <row r="11" spans="1:36" x14ac:dyDescent="0.2">
      <c r="A11" s="31"/>
      <c r="B11" s="31"/>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125"/>
    </row>
    <row r="12" spans="1:36" x14ac:dyDescent="0.2">
      <c r="A12" s="31" t="str">
        <f>'Field 1 Depr'!A11</f>
        <v>Capital Eligible for Upstream Depreciation*</v>
      </c>
      <c r="B12" s="31" t="s">
        <v>99</v>
      </c>
      <c r="C12" s="33">
        <f>'Field 1 Depr'!C11</f>
        <v>200</v>
      </c>
      <c r="D12" s="33">
        <f>'Field 1 Depr'!D11</f>
        <v>420</v>
      </c>
      <c r="E12" s="33">
        <f>'Field 1 Depr'!E11</f>
        <v>850</v>
      </c>
      <c r="F12" s="33">
        <f>'Field 1 Depr'!F11</f>
        <v>1900</v>
      </c>
      <c r="G12" s="33">
        <f>'Field 1 Depr'!G11</f>
        <v>1650</v>
      </c>
      <c r="H12" s="33">
        <f>'Field 1 Depr'!H11</f>
        <v>270</v>
      </c>
      <c r="I12" s="33">
        <f>'Field 1 Depr'!I11</f>
        <v>0</v>
      </c>
      <c r="J12" s="33">
        <f>'Field 1 Depr'!J11</f>
        <v>0</v>
      </c>
      <c r="K12" s="33">
        <f>'Field 1 Depr'!K11</f>
        <v>0</v>
      </c>
      <c r="L12" s="33">
        <f>'Field 1 Depr'!L11</f>
        <v>0</v>
      </c>
      <c r="M12" s="33">
        <f>'Field 1 Depr'!M11</f>
        <v>0</v>
      </c>
      <c r="N12" s="33">
        <f>'Field 1 Depr'!N11</f>
        <v>0</v>
      </c>
      <c r="O12" s="33">
        <f>'Field 1 Depr'!O11</f>
        <v>0</v>
      </c>
      <c r="P12" s="33">
        <f>'Field 1 Depr'!P11</f>
        <v>0</v>
      </c>
      <c r="Q12" s="33">
        <f>'Field 1 Depr'!Q11</f>
        <v>0</v>
      </c>
      <c r="R12" s="33">
        <f>'Field 1 Depr'!R11</f>
        <v>0</v>
      </c>
      <c r="S12" s="33">
        <f>'Field 1 Depr'!S11</f>
        <v>0</v>
      </c>
      <c r="T12" s="33">
        <f>'Field 1 Depr'!T11</f>
        <v>0</v>
      </c>
      <c r="U12" s="33">
        <f>'Field 1 Depr'!U11</f>
        <v>0</v>
      </c>
      <c r="V12" s="33">
        <f>'Field 1 Depr'!V11</f>
        <v>0</v>
      </c>
      <c r="W12" s="33">
        <f>'Field 1 Depr'!W11</f>
        <v>0</v>
      </c>
      <c r="X12" s="33">
        <f>'Field 1 Depr'!X11</f>
        <v>0</v>
      </c>
      <c r="Y12" s="33">
        <f>'Field 1 Depr'!Y11</f>
        <v>0</v>
      </c>
      <c r="Z12" s="33">
        <f>'Field 1 Depr'!Z11</f>
        <v>0</v>
      </c>
      <c r="AA12" s="33">
        <f>'Field 1 Depr'!AA11</f>
        <v>0</v>
      </c>
      <c r="AB12" s="33">
        <f>'Field 1 Depr'!AB11</f>
        <v>0</v>
      </c>
      <c r="AC12" s="33">
        <f>'Field 1 Depr'!AC11</f>
        <v>0</v>
      </c>
      <c r="AD12" s="33">
        <f>'Field 1 Depr'!AD11</f>
        <v>0</v>
      </c>
      <c r="AE12" s="33">
        <f>'Field 1 Depr'!AE11</f>
        <v>0</v>
      </c>
      <c r="AF12" s="33">
        <f>'Field 1 Depr'!AF11</f>
        <v>0</v>
      </c>
      <c r="AG12" s="33">
        <f>'Field 1 Depr'!AG11</f>
        <v>0</v>
      </c>
      <c r="AH12" s="33">
        <f>'Field 1 Depr'!AH11</f>
        <v>0</v>
      </c>
      <c r="AI12" s="33">
        <f>'Field 1 Depr'!AI11</f>
        <v>0</v>
      </c>
      <c r="AJ12" s="125">
        <f>SUM(C12:AI12)</f>
        <v>5290</v>
      </c>
    </row>
    <row r="13" spans="1:36" x14ac:dyDescent="0.2">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125"/>
    </row>
    <row r="14" spans="1:36" x14ac:dyDescent="0.2">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125"/>
    </row>
    <row r="15" spans="1:36" s="69" customFormat="1" x14ac:dyDescent="0.2">
      <c r="A15" s="74" t="s">
        <v>238</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131"/>
    </row>
    <row r="16" spans="1:36" x14ac:dyDescent="0.2">
      <c r="A16" t="s">
        <v>239</v>
      </c>
      <c r="B16" s="96" t="s">
        <v>99</v>
      </c>
      <c r="C16" s="8">
        <f>'Field 1 Depr'!C48</f>
        <v>50</v>
      </c>
      <c r="D16" s="8">
        <f>'Field 1 Depr'!D48</f>
        <v>155</v>
      </c>
      <c r="E16" s="8">
        <f>'Field 1 Depr'!E48</f>
        <v>367.5</v>
      </c>
      <c r="F16" s="8">
        <f>'Field 1 Depr'!F48</f>
        <v>842.5</v>
      </c>
      <c r="G16" s="8">
        <f>'Field 1 Depr'!G48</f>
        <v>1205</v>
      </c>
      <c r="H16" s="8">
        <f>'Field 1 Depr'!H48</f>
        <v>1167.5</v>
      </c>
      <c r="I16" s="8">
        <f>'Field 1 Depr'!I48</f>
        <v>955</v>
      </c>
      <c r="J16" s="8">
        <f>'Field 1 Depr'!J48</f>
        <v>480</v>
      </c>
      <c r="K16" s="8">
        <f>'Field 1 Depr'!K48</f>
        <v>67.5</v>
      </c>
      <c r="L16" s="8">
        <f>'Field 1 Depr'!L48</f>
        <v>0</v>
      </c>
      <c r="M16" s="8">
        <f>'Field 1 Depr'!M48</f>
        <v>0</v>
      </c>
      <c r="N16" s="8">
        <f>'Field 1 Depr'!N48</f>
        <v>0</v>
      </c>
      <c r="O16" s="8">
        <f>'Field 1 Depr'!O48</f>
        <v>0</v>
      </c>
      <c r="P16" s="8">
        <f>'Field 1 Depr'!P48</f>
        <v>0</v>
      </c>
      <c r="Q16" s="8">
        <f>'Field 1 Depr'!Q48</f>
        <v>0</v>
      </c>
      <c r="R16" s="8">
        <f>'Field 1 Depr'!R48</f>
        <v>0</v>
      </c>
      <c r="S16" s="8">
        <f>'Field 1 Depr'!S48</f>
        <v>0</v>
      </c>
      <c r="T16" s="8">
        <f>'Field 1 Depr'!T48</f>
        <v>0</v>
      </c>
      <c r="U16" s="8">
        <f>'Field 1 Depr'!U48</f>
        <v>0</v>
      </c>
      <c r="V16" s="8">
        <f>'Field 1 Depr'!V48</f>
        <v>0</v>
      </c>
      <c r="W16" s="8">
        <f>'Field 1 Depr'!W48</f>
        <v>0</v>
      </c>
      <c r="X16" s="8">
        <f>'Field 1 Depr'!X48</f>
        <v>0</v>
      </c>
      <c r="Y16" s="8">
        <f>'Field 1 Depr'!Y48</f>
        <v>0</v>
      </c>
      <c r="Z16" s="8">
        <f>'Field 1 Depr'!Z48</f>
        <v>0</v>
      </c>
      <c r="AA16" s="8">
        <f>'Field 1 Depr'!AA48</f>
        <v>0</v>
      </c>
      <c r="AB16" s="8">
        <f>'Field 1 Depr'!AB48</f>
        <v>0</v>
      </c>
      <c r="AC16" s="8">
        <f>'Field 1 Depr'!AC48</f>
        <v>0</v>
      </c>
      <c r="AD16" s="8">
        <f>'Field 1 Depr'!AD48</f>
        <v>0</v>
      </c>
      <c r="AE16" s="8">
        <f>'Field 1 Depr'!AE48</f>
        <v>0</v>
      </c>
      <c r="AF16" s="8">
        <f>'Field 1 Depr'!AF48</f>
        <v>0</v>
      </c>
      <c r="AG16" s="8">
        <f>'Field 1 Depr'!AG48</f>
        <v>0</v>
      </c>
      <c r="AH16" s="8">
        <f>'Field 1 Depr'!AH48</f>
        <v>0</v>
      </c>
      <c r="AI16" s="8">
        <f>'Field 1 Depr'!AI48</f>
        <v>0</v>
      </c>
      <c r="AJ16" s="125">
        <f>SUM(C16:AI16)</f>
        <v>5290</v>
      </c>
    </row>
    <row r="17" spans="1:36" x14ac:dyDescent="0.2">
      <c r="A17" t="s">
        <v>240</v>
      </c>
      <c r="B17" s="96" t="s">
        <v>99</v>
      </c>
      <c r="C17" s="8">
        <f>'Assumptions &amp; Results'!C113</f>
        <v>1000</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125"/>
    </row>
    <row r="18" spans="1:36" x14ac:dyDescent="0.2">
      <c r="A18" t="s">
        <v>241</v>
      </c>
      <c r="B18" s="96" t="s">
        <v>99</v>
      </c>
      <c r="C18" s="8">
        <f>C9+C16+C17+C10</f>
        <v>1050</v>
      </c>
      <c r="D18" s="8">
        <f t="shared" ref="D18:AI18" si="1">D9+D16+D17+D10</f>
        <v>155</v>
      </c>
      <c r="E18" s="8">
        <f t="shared" si="1"/>
        <v>367.5</v>
      </c>
      <c r="F18" s="8">
        <f t="shared" si="1"/>
        <v>842.5</v>
      </c>
      <c r="G18" s="8">
        <f t="shared" si="1"/>
        <v>1506.6068</v>
      </c>
      <c r="H18" s="8">
        <f t="shared" si="1"/>
        <v>1770.7136</v>
      </c>
      <c r="I18" s="8">
        <f t="shared" si="1"/>
        <v>1558.2136</v>
      </c>
      <c r="J18" s="8">
        <f t="shared" si="1"/>
        <v>1083.2136</v>
      </c>
      <c r="K18" s="8">
        <f t="shared" si="1"/>
        <v>670.71360000000004</v>
      </c>
      <c r="L18" s="8">
        <f t="shared" si="1"/>
        <v>603.21360000000004</v>
      </c>
      <c r="M18" s="8">
        <f t="shared" si="1"/>
        <v>603.21360000000004</v>
      </c>
      <c r="N18" s="8">
        <f t="shared" si="1"/>
        <v>603.21360000000004</v>
      </c>
      <c r="O18" s="8">
        <f t="shared" si="1"/>
        <v>603.21360000000004</v>
      </c>
      <c r="P18" s="8">
        <f t="shared" si="1"/>
        <v>603.21360000000004</v>
      </c>
      <c r="Q18" s="8">
        <f t="shared" si="1"/>
        <v>603.21360000000004</v>
      </c>
      <c r="R18" s="8">
        <f t="shared" si="1"/>
        <v>603.21360000000004</v>
      </c>
      <c r="S18" s="8">
        <f t="shared" si="1"/>
        <v>603.21360000000004</v>
      </c>
      <c r="T18" s="8">
        <f t="shared" si="1"/>
        <v>603.21360000000004</v>
      </c>
      <c r="U18" s="8">
        <f t="shared" si="1"/>
        <v>603.21360000000004</v>
      </c>
      <c r="V18" s="8">
        <f t="shared" si="1"/>
        <v>603.21360000000004</v>
      </c>
      <c r="W18" s="8">
        <f t="shared" si="1"/>
        <v>603.21360000000004</v>
      </c>
      <c r="X18" s="8">
        <f t="shared" si="1"/>
        <v>603.21360000000004</v>
      </c>
      <c r="Y18" s="8">
        <f t="shared" si="1"/>
        <v>603.21360000000004</v>
      </c>
      <c r="Z18" s="8">
        <f t="shared" si="1"/>
        <v>603.21360000000004</v>
      </c>
      <c r="AA18" s="8">
        <f t="shared" si="1"/>
        <v>603.21360000000004</v>
      </c>
      <c r="AB18" s="8">
        <f t="shared" si="1"/>
        <v>603.21360000000004</v>
      </c>
      <c r="AC18" s="8">
        <f t="shared" si="1"/>
        <v>603.21360000000004</v>
      </c>
      <c r="AD18" s="8">
        <f t="shared" si="1"/>
        <v>603.21360000000004</v>
      </c>
      <c r="AE18" s="8">
        <f t="shared" si="1"/>
        <v>603.21360000000004</v>
      </c>
      <c r="AF18" s="8">
        <f t="shared" si="1"/>
        <v>603.21360000000004</v>
      </c>
      <c r="AG18" s="8">
        <f t="shared" si="1"/>
        <v>903.21360000000004</v>
      </c>
      <c r="AH18" s="8">
        <f t="shared" si="1"/>
        <v>903.21360000000004</v>
      </c>
      <c r="AI18" s="8">
        <f t="shared" si="1"/>
        <v>1203.2136</v>
      </c>
      <c r="AJ18" s="125">
        <f>SUM(C18:AI18)</f>
        <v>24681.587599999981</v>
      </c>
    </row>
    <row r="19" spans="1:36" x14ac:dyDescent="0.2">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125"/>
    </row>
    <row r="20" spans="1:36" x14ac:dyDescent="0.2">
      <c r="A20" t="s">
        <v>242</v>
      </c>
      <c r="B20" s="96" t="s">
        <v>99</v>
      </c>
      <c r="C20" s="8">
        <f>'Assumptions &amp; Results'!$C$118*C7</f>
        <v>0</v>
      </c>
      <c r="D20" s="8">
        <f>'Assumptions &amp; Results'!$C$118*D7</f>
        <v>0</v>
      </c>
      <c r="E20" s="8">
        <f>'Assumptions &amp; Results'!$C$118*E7</f>
        <v>0</v>
      </c>
      <c r="F20" s="8">
        <f>'Assumptions &amp; Results'!$C$118*F7</f>
        <v>0</v>
      </c>
      <c r="G20" s="8">
        <f>'Assumptions &amp; Results'!$C$118*G7</f>
        <v>743.48515312500024</v>
      </c>
      <c r="H20" s="8">
        <f>'Assumptions &amp; Results'!$C$118*H7</f>
        <v>1486.9703062500005</v>
      </c>
      <c r="I20" s="8">
        <f>'Assumptions &amp; Results'!$C$118*I7</f>
        <v>1486.9703062500005</v>
      </c>
      <c r="J20" s="8">
        <f>'Assumptions &amp; Results'!$C$118*J7</f>
        <v>1487.40189365625</v>
      </c>
      <c r="K20" s="8">
        <f>'Assumptions &amp; Results'!$C$118*K7</f>
        <v>1486.9703062500005</v>
      </c>
      <c r="L20" s="8">
        <f>'Assumptions &amp; Results'!$C$118*L7</f>
        <v>1486.9703062500005</v>
      </c>
      <c r="M20" s="8">
        <f>'Assumptions &amp; Results'!$C$118*M7</f>
        <v>1486.9703062500005</v>
      </c>
      <c r="N20" s="8">
        <f>'Assumptions &amp; Results'!$C$118*N7</f>
        <v>1486.9703062500005</v>
      </c>
      <c r="O20" s="8">
        <f>'Assumptions &amp; Results'!$C$118*O7</f>
        <v>1487.40189365625</v>
      </c>
      <c r="P20" s="8">
        <f>'Assumptions &amp; Results'!$C$118*P7</f>
        <v>1486.9703062500005</v>
      </c>
      <c r="Q20" s="8">
        <f>'Assumptions &amp; Results'!$C$118*Q7</f>
        <v>1486.9703062500005</v>
      </c>
      <c r="R20" s="8">
        <f>'Assumptions &amp; Results'!$C$118*R7</f>
        <v>1486.9703062500005</v>
      </c>
      <c r="S20" s="8">
        <f>'Assumptions &amp; Results'!$C$118*S7</f>
        <v>1486.9703062500005</v>
      </c>
      <c r="T20" s="8">
        <f>'Assumptions &amp; Results'!$C$118*T7</f>
        <v>1487.40189365625</v>
      </c>
      <c r="U20" s="8">
        <f>'Assumptions &amp; Results'!$C$118*U7</f>
        <v>1486.9703062500005</v>
      </c>
      <c r="V20" s="8">
        <f>'Assumptions &amp; Results'!$C$118*V7</f>
        <v>1486.9703062500005</v>
      </c>
      <c r="W20" s="8">
        <f>'Assumptions &amp; Results'!$C$118*W7</f>
        <v>1486.9703062500005</v>
      </c>
      <c r="X20" s="8">
        <f>'Assumptions &amp; Results'!$C$118*X7</f>
        <v>1486.9703062500005</v>
      </c>
      <c r="Y20" s="8">
        <f>'Assumptions &amp; Results'!$C$118*Y7</f>
        <v>1487.40189365625</v>
      </c>
      <c r="Z20" s="8">
        <f>'Assumptions &amp; Results'!$C$118*Z7</f>
        <v>1486.9703062500005</v>
      </c>
      <c r="AA20" s="8">
        <f>'Assumptions &amp; Results'!$C$118*AA7</f>
        <v>1486.9703062500005</v>
      </c>
      <c r="AB20" s="8">
        <f>'Assumptions &amp; Results'!$C$118*AB7</f>
        <v>1486.9703062500005</v>
      </c>
      <c r="AC20" s="8">
        <f>'Assumptions &amp; Results'!$C$118*AC7</f>
        <v>1486.9703062500005</v>
      </c>
      <c r="AD20" s="8">
        <f>'Assumptions &amp; Results'!$C$118*AD7</f>
        <v>1487.40189365625</v>
      </c>
      <c r="AE20" s="8">
        <f>'Assumptions &amp; Results'!$C$118*AE7</f>
        <v>1486.9703062500005</v>
      </c>
      <c r="AF20" s="8">
        <f>'Assumptions &amp; Results'!$C$118*AF7</f>
        <v>1486.9703062500005</v>
      </c>
      <c r="AG20" s="8">
        <f>'Assumptions &amp; Results'!$C$118*AG7</f>
        <v>1486.9703062500005</v>
      </c>
      <c r="AH20" s="8">
        <f>'Assumptions &amp; Results'!$C$118*AH7</f>
        <v>1486.9703062500005</v>
      </c>
      <c r="AI20" s="8">
        <f>'Assumptions &amp; Results'!$C$118*AI7</f>
        <v>1486.9703062500005</v>
      </c>
      <c r="AJ20" s="125">
        <f>SUM(C20:AI20)</f>
        <v>42380.811665156252</v>
      </c>
    </row>
    <row r="21" spans="1:36" x14ac:dyDescent="0.2">
      <c r="A21" t="s">
        <v>243</v>
      </c>
      <c r="B21" s="96" t="s">
        <v>99</v>
      </c>
      <c r="C21" s="8">
        <f t="shared" ref="C21:AI21" si="2">MAX(C18-C20,0)</f>
        <v>1050</v>
      </c>
      <c r="D21" s="8">
        <f t="shared" si="2"/>
        <v>155</v>
      </c>
      <c r="E21" s="8">
        <f t="shared" si="2"/>
        <v>367.5</v>
      </c>
      <c r="F21" s="8">
        <f t="shared" si="2"/>
        <v>842.5</v>
      </c>
      <c r="G21" s="8">
        <f t="shared" si="2"/>
        <v>763.12164687499978</v>
      </c>
      <c r="H21" s="8">
        <f t="shared" si="2"/>
        <v>283.74329374999957</v>
      </c>
      <c r="I21" s="8">
        <f t="shared" si="2"/>
        <v>71.243293749999566</v>
      </c>
      <c r="J21" s="8">
        <f t="shared" si="2"/>
        <v>0</v>
      </c>
      <c r="K21" s="8">
        <f t="shared" si="2"/>
        <v>0</v>
      </c>
      <c r="L21" s="8">
        <f t="shared" si="2"/>
        <v>0</v>
      </c>
      <c r="M21" s="8">
        <f t="shared" si="2"/>
        <v>0</v>
      </c>
      <c r="N21" s="8">
        <f t="shared" si="2"/>
        <v>0</v>
      </c>
      <c r="O21" s="8">
        <f t="shared" si="2"/>
        <v>0</v>
      </c>
      <c r="P21" s="8">
        <f t="shared" si="2"/>
        <v>0</v>
      </c>
      <c r="Q21" s="8">
        <f t="shared" si="2"/>
        <v>0</v>
      </c>
      <c r="R21" s="8">
        <f t="shared" si="2"/>
        <v>0</v>
      </c>
      <c r="S21" s="8">
        <f t="shared" si="2"/>
        <v>0</v>
      </c>
      <c r="T21" s="8">
        <f t="shared" si="2"/>
        <v>0</v>
      </c>
      <c r="U21" s="8">
        <f t="shared" si="2"/>
        <v>0</v>
      </c>
      <c r="V21" s="8">
        <f t="shared" si="2"/>
        <v>0</v>
      </c>
      <c r="W21" s="8">
        <f t="shared" si="2"/>
        <v>0</v>
      </c>
      <c r="X21" s="8">
        <f t="shared" si="2"/>
        <v>0</v>
      </c>
      <c r="Y21" s="8">
        <f t="shared" si="2"/>
        <v>0</v>
      </c>
      <c r="Z21" s="8">
        <f t="shared" si="2"/>
        <v>0</v>
      </c>
      <c r="AA21" s="8">
        <f t="shared" si="2"/>
        <v>0</v>
      </c>
      <c r="AB21" s="8">
        <f t="shared" si="2"/>
        <v>0</v>
      </c>
      <c r="AC21" s="8">
        <f t="shared" si="2"/>
        <v>0</v>
      </c>
      <c r="AD21" s="8">
        <f t="shared" si="2"/>
        <v>0</v>
      </c>
      <c r="AE21" s="8">
        <f t="shared" si="2"/>
        <v>0</v>
      </c>
      <c r="AF21" s="8">
        <f t="shared" si="2"/>
        <v>0</v>
      </c>
      <c r="AG21" s="8">
        <f t="shared" si="2"/>
        <v>0</v>
      </c>
      <c r="AH21" s="8">
        <f t="shared" si="2"/>
        <v>0</v>
      </c>
      <c r="AI21" s="8">
        <f t="shared" si="2"/>
        <v>0</v>
      </c>
      <c r="AJ21" s="125">
        <f>SUM(C21:AI21)</f>
        <v>3533.1082343749995</v>
      </c>
    </row>
    <row r="22" spans="1:36" x14ac:dyDescent="0.2">
      <c r="A22" t="s">
        <v>244</v>
      </c>
      <c r="B22" s="96" t="s">
        <v>99</v>
      </c>
      <c r="C22" s="8">
        <f>MIN(C18,C20)</f>
        <v>0</v>
      </c>
      <c r="D22" s="8">
        <f t="shared" ref="D22:AI22" si="3">MIN(D20,D18+C23)</f>
        <v>0</v>
      </c>
      <c r="E22" s="8">
        <f t="shared" si="3"/>
        <v>0</v>
      </c>
      <c r="F22" s="8">
        <f t="shared" si="3"/>
        <v>0</v>
      </c>
      <c r="G22" s="8">
        <f t="shared" si="3"/>
        <v>743.48515312500024</v>
      </c>
      <c r="H22" s="8">
        <f t="shared" si="3"/>
        <v>1486.9703062500005</v>
      </c>
      <c r="I22" s="8">
        <f t="shared" si="3"/>
        <v>1486.9703062500005</v>
      </c>
      <c r="J22" s="8">
        <f t="shared" si="3"/>
        <v>1487.40189365625</v>
      </c>
      <c r="K22" s="8">
        <f t="shared" si="3"/>
        <v>1486.9703062500005</v>
      </c>
      <c r="L22" s="8">
        <f t="shared" si="3"/>
        <v>1486.9703062500005</v>
      </c>
      <c r="M22" s="8">
        <f t="shared" si="3"/>
        <v>1486.9703062500005</v>
      </c>
      <c r="N22" s="8">
        <f t="shared" si="3"/>
        <v>1148.3634219687488</v>
      </c>
      <c r="O22" s="8">
        <f t="shared" si="3"/>
        <v>603.21360000000004</v>
      </c>
      <c r="P22" s="8">
        <f t="shared" si="3"/>
        <v>603.21360000000004</v>
      </c>
      <c r="Q22" s="8">
        <f t="shared" si="3"/>
        <v>603.21360000000004</v>
      </c>
      <c r="R22" s="8">
        <f t="shared" si="3"/>
        <v>603.21360000000004</v>
      </c>
      <c r="S22" s="8">
        <f t="shared" si="3"/>
        <v>603.21360000000004</v>
      </c>
      <c r="T22" s="8">
        <f t="shared" si="3"/>
        <v>603.21360000000004</v>
      </c>
      <c r="U22" s="8">
        <f t="shared" si="3"/>
        <v>603.21360000000004</v>
      </c>
      <c r="V22" s="8">
        <f t="shared" si="3"/>
        <v>603.21360000000004</v>
      </c>
      <c r="W22" s="8">
        <f t="shared" si="3"/>
        <v>603.21360000000004</v>
      </c>
      <c r="X22" s="8">
        <f t="shared" si="3"/>
        <v>603.21360000000004</v>
      </c>
      <c r="Y22" s="8">
        <f t="shared" si="3"/>
        <v>603.21360000000004</v>
      </c>
      <c r="Z22" s="8">
        <f t="shared" si="3"/>
        <v>603.21360000000004</v>
      </c>
      <c r="AA22" s="8">
        <f t="shared" si="3"/>
        <v>603.21360000000004</v>
      </c>
      <c r="AB22" s="8">
        <f t="shared" si="3"/>
        <v>603.21360000000004</v>
      </c>
      <c r="AC22" s="8">
        <f t="shared" si="3"/>
        <v>603.21360000000004</v>
      </c>
      <c r="AD22" s="8">
        <f t="shared" si="3"/>
        <v>603.21360000000004</v>
      </c>
      <c r="AE22" s="8">
        <f t="shared" si="3"/>
        <v>603.21360000000004</v>
      </c>
      <c r="AF22" s="8">
        <f t="shared" si="3"/>
        <v>603.21360000000004</v>
      </c>
      <c r="AG22" s="8">
        <f t="shared" si="3"/>
        <v>903.21360000000004</v>
      </c>
      <c r="AH22" s="8">
        <f t="shared" si="3"/>
        <v>903.21360000000004</v>
      </c>
      <c r="AI22" s="8">
        <f t="shared" si="3"/>
        <v>1203.2136</v>
      </c>
      <c r="AJ22" s="125">
        <f>SUM(C22:AI22)</f>
        <v>24681.587599999984</v>
      </c>
    </row>
    <row r="23" spans="1:36" x14ac:dyDescent="0.2">
      <c r="A23" t="s">
        <v>245</v>
      </c>
      <c r="B23" s="96" t="s">
        <v>99</v>
      </c>
      <c r="C23" s="8">
        <f>C18-C22</f>
        <v>1050</v>
      </c>
      <c r="D23" s="8">
        <f t="shared" ref="D23:AI23" si="4">D18-D22+C23</f>
        <v>1205</v>
      </c>
      <c r="E23" s="8">
        <f t="shared" si="4"/>
        <v>1572.5</v>
      </c>
      <c r="F23" s="8">
        <f t="shared" si="4"/>
        <v>2415</v>
      </c>
      <c r="G23" s="8">
        <f t="shared" si="4"/>
        <v>3178.1216468749999</v>
      </c>
      <c r="H23" s="8">
        <f t="shared" si="4"/>
        <v>3461.8649406249997</v>
      </c>
      <c r="I23" s="8">
        <f t="shared" si="4"/>
        <v>3533.1082343749995</v>
      </c>
      <c r="J23" s="8">
        <f t="shared" si="4"/>
        <v>3128.9199407187498</v>
      </c>
      <c r="K23" s="8">
        <f t="shared" si="4"/>
        <v>2312.6632344687496</v>
      </c>
      <c r="L23" s="8">
        <f t="shared" si="4"/>
        <v>1428.9065282187491</v>
      </c>
      <c r="M23" s="8">
        <f t="shared" si="4"/>
        <v>545.14982196874871</v>
      </c>
      <c r="N23" s="8">
        <f t="shared" si="4"/>
        <v>0</v>
      </c>
      <c r="O23" s="8">
        <f t="shared" si="4"/>
        <v>0</v>
      </c>
      <c r="P23" s="8">
        <f t="shared" si="4"/>
        <v>0</v>
      </c>
      <c r="Q23" s="8">
        <f t="shared" si="4"/>
        <v>0</v>
      </c>
      <c r="R23" s="8">
        <f t="shared" si="4"/>
        <v>0</v>
      </c>
      <c r="S23" s="8">
        <f t="shared" si="4"/>
        <v>0</v>
      </c>
      <c r="T23" s="8">
        <f t="shared" si="4"/>
        <v>0</v>
      </c>
      <c r="U23" s="8">
        <f t="shared" si="4"/>
        <v>0</v>
      </c>
      <c r="V23" s="8">
        <f t="shared" si="4"/>
        <v>0</v>
      </c>
      <c r="W23" s="8">
        <f t="shared" si="4"/>
        <v>0</v>
      </c>
      <c r="X23" s="8">
        <f t="shared" si="4"/>
        <v>0</v>
      </c>
      <c r="Y23" s="8">
        <f t="shared" si="4"/>
        <v>0</v>
      </c>
      <c r="Z23" s="8">
        <f t="shared" si="4"/>
        <v>0</v>
      </c>
      <c r="AA23" s="8">
        <f t="shared" si="4"/>
        <v>0</v>
      </c>
      <c r="AB23" s="8">
        <f t="shared" si="4"/>
        <v>0</v>
      </c>
      <c r="AC23" s="8">
        <f t="shared" si="4"/>
        <v>0</v>
      </c>
      <c r="AD23" s="8">
        <f t="shared" si="4"/>
        <v>0</v>
      </c>
      <c r="AE23" s="8">
        <f t="shared" si="4"/>
        <v>0</v>
      </c>
      <c r="AF23" s="8">
        <f t="shared" si="4"/>
        <v>0</v>
      </c>
      <c r="AG23" s="8">
        <f t="shared" si="4"/>
        <v>0</v>
      </c>
      <c r="AH23" s="8">
        <f t="shared" si="4"/>
        <v>0</v>
      </c>
      <c r="AI23" s="8">
        <f t="shared" si="4"/>
        <v>0</v>
      </c>
      <c r="AJ23" s="125"/>
    </row>
    <row r="24" spans="1:36" x14ac:dyDescent="0.2">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125"/>
    </row>
    <row r="25" spans="1:36" s="69" customFormat="1" x14ac:dyDescent="0.2">
      <c r="A25" s="74" t="s">
        <v>246</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131"/>
    </row>
    <row r="26" spans="1:36" x14ac:dyDescent="0.2">
      <c r="A26" s="2" t="s">
        <v>247</v>
      </c>
      <c r="B26" t="s">
        <v>99</v>
      </c>
      <c r="C26" s="8">
        <f>'Assumptions &amp; Results'!$C$125*C5</f>
        <v>0</v>
      </c>
      <c r="D26" s="8">
        <f>'Assumptions &amp; Results'!$C$125*D5</f>
        <v>0</v>
      </c>
      <c r="E26" s="8">
        <f>'Assumptions &amp; Results'!$C$125*E5</f>
        <v>0</v>
      </c>
      <c r="F26" s="8">
        <f>'Assumptions &amp; Results'!$C$125*F5</f>
        <v>0</v>
      </c>
      <c r="G26" s="8">
        <f>'Assumptions &amp; Results'!$C$125*G5</f>
        <v>70.169653125000011</v>
      </c>
      <c r="H26" s="8">
        <f>'Assumptions &amp; Results'!$C$125*H5</f>
        <v>140.33930625000002</v>
      </c>
      <c r="I26" s="8">
        <f>'Assumptions &amp; Results'!$C$125*I5</f>
        <v>140.33930625000002</v>
      </c>
      <c r="J26" s="8">
        <f>'Assumptions &amp; Results'!$C$125*J5</f>
        <v>133.36750968749999</v>
      </c>
      <c r="K26" s="8">
        <f>'Assumptions &amp; Results'!$C$125*K5</f>
        <v>140.33930625000002</v>
      </c>
      <c r="L26" s="8">
        <f>'Assumptions &amp; Results'!$C$125*L5</f>
        <v>140.33930625000002</v>
      </c>
      <c r="M26" s="8">
        <f>'Assumptions &amp; Results'!$C$125*M5</f>
        <v>140.33930625000002</v>
      </c>
      <c r="N26" s="8">
        <f>'Assumptions &amp; Results'!$C$125*N5</f>
        <v>140.33930625000002</v>
      </c>
      <c r="O26" s="8">
        <f>'Assumptions &amp; Results'!$C$125*O5</f>
        <v>133.36750968749999</v>
      </c>
      <c r="P26" s="8">
        <f>'Assumptions &amp; Results'!$C$125*P5</f>
        <v>140.33930625000002</v>
      </c>
      <c r="Q26" s="8">
        <f>'Assumptions &amp; Results'!$C$125*Q5</f>
        <v>140.33930625000002</v>
      </c>
      <c r="R26" s="8">
        <f>'Assumptions &amp; Results'!$C$125*R5</f>
        <v>140.33930625000002</v>
      </c>
      <c r="S26" s="8">
        <f>'Assumptions &amp; Results'!$C$125*S5</f>
        <v>140.33930625000002</v>
      </c>
      <c r="T26" s="8">
        <f>'Assumptions &amp; Results'!$C$125*T5</f>
        <v>133.36750968749999</v>
      </c>
      <c r="U26" s="8">
        <f>'Assumptions &amp; Results'!$C$125*U5</f>
        <v>140.33930625000002</v>
      </c>
      <c r="V26" s="8">
        <f>'Assumptions &amp; Results'!$C$125*V5</f>
        <v>140.33930625000002</v>
      </c>
      <c r="W26" s="8">
        <f>'Assumptions &amp; Results'!$C$125*W5</f>
        <v>140.33930625000002</v>
      </c>
      <c r="X26" s="8">
        <f>'Assumptions &amp; Results'!$C$125*X5</f>
        <v>140.33930625000002</v>
      </c>
      <c r="Y26" s="8">
        <f>'Assumptions &amp; Results'!$C$125*Y5</f>
        <v>133.36750968749999</v>
      </c>
      <c r="Z26" s="8">
        <f>'Assumptions &amp; Results'!$C$125*Z5</f>
        <v>140.33930625000002</v>
      </c>
      <c r="AA26" s="8">
        <f>'Assumptions &amp; Results'!$C$125*AA5</f>
        <v>140.33930625000002</v>
      </c>
      <c r="AB26" s="8">
        <f>'Assumptions &amp; Results'!$C$125*AB5</f>
        <v>140.33930625000002</v>
      </c>
      <c r="AC26" s="8">
        <f>'Assumptions &amp; Results'!$C$125*AC5</f>
        <v>140.33930625000002</v>
      </c>
      <c r="AD26" s="8">
        <f>'Assumptions &amp; Results'!$C$125*AD5</f>
        <v>133.36750968749999</v>
      </c>
      <c r="AE26" s="8">
        <f>'Assumptions &amp; Results'!$C$125*AE5</f>
        <v>140.33930625000002</v>
      </c>
      <c r="AF26" s="8">
        <f>'Assumptions &amp; Results'!$C$125*AF5</f>
        <v>140.33930625000002</v>
      </c>
      <c r="AG26" s="8">
        <f>'Assumptions &amp; Results'!$C$125*AG5</f>
        <v>140.33930625000002</v>
      </c>
      <c r="AH26" s="8">
        <f>'Assumptions &amp; Results'!$C$125*AH5</f>
        <v>140.33930625000002</v>
      </c>
      <c r="AI26" s="8">
        <f>'Assumptions &amp; Results'!$C$125*AI5</f>
        <v>140.33930625000002</v>
      </c>
      <c r="AJ26" s="125">
        <f>SUM(C26:AI26)</f>
        <v>3964.8112453124991</v>
      </c>
    </row>
    <row r="27" spans="1:36" x14ac:dyDescent="0.2">
      <c r="A27" s="2"/>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125"/>
    </row>
    <row r="28" spans="1:36" x14ac:dyDescent="0.2">
      <c r="A28" s="3" t="s">
        <v>248</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125"/>
    </row>
    <row r="29" spans="1:36" x14ac:dyDescent="0.2">
      <c r="A29" s="2" t="s">
        <v>249</v>
      </c>
      <c r="B29" s="96" t="s">
        <v>99</v>
      </c>
      <c r="C29" s="8">
        <f>C46+C22-C9</f>
        <v>0</v>
      </c>
      <c r="D29" s="8">
        <f t="shared" ref="D29:AI29" si="5">D46+D22-D9+C29</f>
        <v>0</v>
      </c>
      <c r="E29" s="8">
        <f t="shared" si="5"/>
        <v>0</v>
      </c>
      <c r="F29" s="8">
        <f t="shared" si="5"/>
        <v>0</v>
      </c>
      <c r="G29" s="8">
        <f t="shared" si="5"/>
        <v>802.18269656250027</v>
      </c>
      <c r="H29" s="8">
        <f t="shared" si="5"/>
        <v>2406.5480896875006</v>
      </c>
      <c r="I29" s="8">
        <f t="shared" si="5"/>
        <v>4010.9134828125011</v>
      </c>
      <c r="J29" s="8">
        <f t="shared" si="5"/>
        <v>5615.9196172406264</v>
      </c>
      <c r="K29" s="8">
        <f t="shared" si="5"/>
        <v>7140.2173784906272</v>
      </c>
      <c r="L29" s="8">
        <f t="shared" si="5"/>
        <v>8664.515139740628</v>
      </c>
      <c r="M29" s="8">
        <f t="shared" si="5"/>
        <v>10188.81290099063</v>
      </c>
      <c r="N29" s="8">
        <f t="shared" si="5"/>
        <v>11645.389285384379</v>
      </c>
      <c r="O29" s="8">
        <f t="shared" si="5"/>
        <v>12824.957189321878</v>
      </c>
      <c r="P29" s="8">
        <f t="shared" si="5"/>
        <v>14004.060306821879</v>
      </c>
      <c r="Q29" s="8">
        <f t="shared" si="5"/>
        <v>15183.16342432188</v>
      </c>
      <c r="R29" s="8">
        <f t="shared" si="5"/>
        <v>16362.26654182188</v>
      </c>
      <c r="S29" s="8">
        <f t="shared" si="5"/>
        <v>17204.483054321881</v>
      </c>
      <c r="T29" s="8">
        <f t="shared" si="5"/>
        <v>18047.031557134382</v>
      </c>
      <c r="U29" s="8">
        <f t="shared" si="5"/>
        <v>18889.248069634381</v>
      </c>
      <c r="V29" s="8">
        <f t="shared" si="5"/>
        <v>19731.46458213438</v>
      </c>
      <c r="W29" s="8">
        <f t="shared" si="5"/>
        <v>20573.681094634379</v>
      </c>
      <c r="X29" s="8">
        <f t="shared" si="5"/>
        <v>21415.897607134379</v>
      </c>
      <c r="Y29" s="8">
        <f t="shared" si="5"/>
        <v>22089.93640938438</v>
      </c>
      <c r="Z29" s="8">
        <f t="shared" si="5"/>
        <v>22763.709619384379</v>
      </c>
      <c r="AA29" s="8">
        <f t="shared" si="5"/>
        <v>23437.482829384378</v>
      </c>
      <c r="AB29" s="8">
        <f t="shared" si="5"/>
        <v>24111.256039384378</v>
      </c>
      <c r="AC29" s="8">
        <f t="shared" si="5"/>
        <v>24785.029249384377</v>
      </c>
      <c r="AD29" s="8">
        <f t="shared" si="5"/>
        <v>25459.068051634378</v>
      </c>
      <c r="AE29" s="8">
        <f t="shared" si="5"/>
        <v>26132.841261634378</v>
      </c>
      <c r="AF29" s="8">
        <f t="shared" si="5"/>
        <v>26806.614471634377</v>
      </c>
      <c r="AG29" s="8">
        <f t="shared" si="5"/>
        <v>27360.387681634376</v>
      </c>
      <c r="AH29" s="8">
        <f t="shared" si="5"/>
        <v>27914.160891634376</v>
      </c>
      <c r="AI29" s="8">
        <f t="shared" si="5"/>
        <v>28347.934101634375</v>
      </c>
      <c r="AJ29" s="125"/>
    </row>
    <row r="30" spans="1:36" x14ac:dyDescent="0.2">
      <c r="A30" s="2" t="s">
        <v>250</v>
      </c>
      <c r="B30" s="96" t="s">
        <v>99</v>
      </c>
      <c r="C30" s="8">
        <f>C12</f>
        <v>200</v>
      </c>
      <c r="D30" s="8">
        <f>C30+D12</f>
        <v>620</v>
      </c>
      <c r="E30" s="8">
        <f t="shared" ref="E30:AI30" si="6">D30+E12</f>
        <v>1470</v>
      </c>
      <c r="F30" s="8">
        <f t="shared" si="6"/>
        <v>3370</v>
      </c>
      <c r="G30" s="8">
        <f t="shared" si="6"/>
        <v>5020</v>
      </c>
      <c r="H30" s="8">
        <f t="shared" si="6"/>
        <v>5290</v>
      </c>
      <c r="I30" s="8">
        <f t="shared" si="6"/>
        <v>5290</v>
      </c>
      <c r="J30" s="8">
        <f t="shared" si="6"/>
        <v>5290</v>
      </c>
      <c r="K30" s="8">
        <f t="shared" si="6"/>
        <v>5290</v>
      </c>
      <c r="L30" s="8">
        <f t="shared" si="6"/>
        <v>5290</v>
      </c>
      <c r="M30" s="8">
        <f t="shared" si="6"/>
        <v>5290</v>
      </c>
      <c r="N30" s="8">
        <f t="shared" si="6"/>
        <v>5290</v>
      </c>
      <c r="O30" s="8">
        <f t="shared" si="6"/>
        <v>5290</v>
      </c>
      <c r="P30" s="8">
        <f t="shared" si="6"/>
        <v>5290</v>
      </c>
      <c r="Q30" s="8">
        <f t="shared" si="6"/>
        <v>5290</v>
      </c>
      <c r="R30" s="8">
        <f t="shared" si="6"/>
        <v>5290</v>
      </c>
      <c r="S30" s="8">
        <f t="shared" si="6"/>
        <v>5290</v>
      </c>
      <c r="T30" s="8">
        <f t="shared" si="6"/>
        <v>5290</v>
      </c>
      <c r="U30" s="8">
        <f t="shared" si="6"/>
        <v>5290</v>
      </c>
      <c r="V30" s="8">
        <f t="shared" si="6"/>
        <v>5290</v>
      </c>
      <c r="W30" s="8">
        <f t="shared" si="6"/>
        <v>5290</v>
      </c>
      <c r="X30" s="8">
        <f t="shared" si="6"/>
        <v>5290</v>
      </c>
      <c r="Y30" s="8">
        <f t="shared" si="6"/>
        <v>5290</v>
      </c>
      <c r="Z30" s="8">
        <f t="shared" si="6"/>
        <v>5290</v>
      </c>
      <c r="AA30" s="8">
        <f t="shared" si="6"/>
        <v>5290</v>
      </c>
      <c r="AB30" s="8">
        <f t="shared" si="6"/>
        <v>5290</v>
      </c>
      <c r="AC30" s="8">
        <f t="shared" si="6"/>
        <v>5290</v>
      </c>
      <c r="AD30" s="8">
        <f t="shared" si="6"/>
        <v>5290</v>
      </c>
      <c r="AE30" s="8">
        <f t="shared" si="6"/>
        <v>5290</v>
      </c>
      <c r="AF30" s="8">
        <f t="shared" si="6"/>
        <v>5290</v>
      </c>
      <c r="AG30" s="8">
        <f t="shared" si="6"/>
        <v>5290</v>
      </c>
      <c r="AH30" s="8">
        <f t="shared" si="6"/>
        <v>5290</v>
      </c>
      <c r="AI30" s="8">
        <f t="shared" si="6"/>
        <v>5290</v>
      </c>
      <c r="AJ30" s="125"/>
    </row>
    <row r="31" spans="1:36" x14ac:dyDescent="0.2">
      <c r="A31" s="2" t="s">
        <v>251</v>
      </c>
      <c r="B31" s="96"/>
      <c r="C31" s="8">
        <f>IF(C30=0,0,C29/C30)</f>
        <v>0</v>
      </c>
      <c r="D31" s="8">
        <f t="shared" ref="D31:AI31" si="7">IF(D30=0,0,D29/D30)</f>
        <v>0</v>
      </c>
      <c r="E31" s="8">
        <f t="shared" si="7"/>
        <v>0</v>
      </c>
      <c r="F31" s="8">
        <f t="shared" si="7"/>
        <v>0</v>
      </c>
      <c r="G31" s="8">
        <f t="shared" si="7"/>
        <v>0.15979734991284866</v>
      </c>
      <c r="H31" s="8">
        <f t="shared" si="7"/>
        <v>0.45492402451559555</v>
      </c>
      <c r="I31" s="8">
        <f t="shared" si="7"/>
        <v>0.75820670752599262</v>
      </c>
      <c r="J31" s="8">
        <f t="shared" si="7"/>
        <v>1.061610513656073</v>
      </c>
      <c r="K31" s="8">
        <f t="shared" si="7"/>
        <v>1.3497575384670373</v>
      </c>
      <c r="L31" s="8">
        <f t="shared" si="7"/>
        <v>1.6379045632780016</v>
      </c>
      <c r="M31" s="8">
        <f t="shared" si="7"/>
        <v>1.9260515880889659</v>
      </c>
      <c r="N31" s="8">
        <f t="shared" si="7"/>
        <v>2.2013968403373116</v>
      </c>
      <c r="O31" s="8">
        <f t="shared" si="7"/>
        <v>2.4243775405145329</v>
      </c>
      <c r="P31" s="8">
        <f t="shared" si="7"/>
        <v>2.6472703793614136</v>
      </c>
      <c r="Q31" s="8">
        <f t="shared" si="7"/>
        <v>2.8701632182082948</v>
      </c>
      <c r="R31" s="8">
        <f t="shared" si="7"/>
        <v>3.0930560570551759</v>
      </c>
      <c r="S31" s="8">
        <f t="shared" si="7"/>
        <v>3.2522652276600912</v>
      </c>
      <c r="T31" s="8">
        <f t="shared" si="7"/>
        <v>3.4115371563581061</v>
      </c>
      <c r="U31" s="8">
        <f t="shared" si="7"/>
        <v>3.5707463269630209</v>
      </c>
      <c r="V31" s="8">
        <f t="shared" si="7"/>
        <v>3.7299554975679357</v>
      </c>
      <c r="W31" s="8">
        <f t="shared" si="7"/>
        <v>3.8891646681728504</v>
      </c>
      <c r="X31" s="8">
        <f t="shared" si="7"/>
        <v>4.0483738387777652</v>
      </c>
      <c r="Y31" s="8">
        <f t="shared" si="7"/>
        <v>4.175791381736178</v>
      </c>
      <c r="Z31" s="8">
        <f t="shared" si="7"/>
        <v>4.3031587182201099</v>
      </c>
      <c r="AA31" s="8">
        <f t="shared" si="7"/>
        <v>4.4305260547040417</v>
      </c>
      <c r="AB31" s="8">
        <f t="shared" si="7"/>
        <v>4.5578933911879735</v>
      </c>
      <c r="AC31" s="8">
        <f t="shared" si="7"/>
        <v>4.6852607276719054</v>
      </c>
      <c r="AD31" s="8">
        <f t="shared" si="7"/>
        <v>4.8126782706303173</v>
      </c>
      <c r="AE31" s="8">
        <f t="shared" si="7"/>
        <v>4.9400456071142491</v>
      </c>
      <c r="AF31" s="8">
        <f t="shared" si="7"/>
        <v>5.067412943598181</v>
      </c>
      <c r="AG31" s="8">
        <f t="shared" si="7"/>
        <v>5.172095970063209</v>
      </c>
      <c r="AH31" s="8">
        <f t="shared" si="7"/>
        <v>5.276778996528237</v>
      </c>
      <c r="AI31" s="8">
        <f t="shared" si="7"/>
        <v>5.3587777129743621</v>
      </c>
    </row>
    <row r="32" spans="1:36" s="16" customFormat="1" x14ac:dyDescent="0.2">
      <c r="A32" s="3" t="s">
        <v>252</v>
      </c>
      <c r="B32" s="16" t="s">
        <v>69</v>
      </c>
      <c r="C32" s="138">
        <f>'Assumptions &amp; Results'!C132</f>
        <v>0.1</v>
      </c>
      <c r="D32" s="138">
        <f>LOOKUP(C31,'Assumptions &amp; Results'!$C$131:$I$131,'Assumptions &amp; Results'!$C$132:$I$132)</f>
        <v>0.1</v>
      </c>
      <c r="E32" s="138">
        <f>LOOKUP(D31,'Assumptions &amp; Results'!$C$131:$I$131,'Assumptions &amp; Results'!$C$132:$I$132)</f>
        <v>0.1</v>
      </c>
      <c r="F32" s="138">
        <f>LOOKUP(E31,'Assumptions &amp; Results'!$C$131:$I$131,'Assumptions &amp; Results'!$C$132:$I$132)</f>
        <v>0.1</v>
      </c>
      <c r="G32" s="138">
        <f>LOOKUP(F31,'Assumptions &amp; Results'!$C$131:$I$131,'Assumptions &amp; Results'!$C$132:$I$132)</f>
        <v>0.1</v>
      </c>
      <c r="H32" s="138">
        <f>LOOKUP(G31,'Assumptions &amp; Results'!$C$131:$I$131,'Assumptions &amp; Results'!$C$132:$I$132)</f>
        <v>0.1</v>
      </c>
      <c r="I32" s="138">
        <f>LOOKUP(H31,'Assumptions &amp; Results'!$C$131:$I$131,'Assumptions &amp; Results'!$C$132:$I$132)</f>
        <v>0.1</v>
      </c>
      <c r="J32" s="138">
        <f>LOOKUP(I31,'Assumptions &amp; Results'!$C$131:$I$131,'Assumptions &amp; Results'!$C$132:$I$132)</f>
        <v>0.1</v>
      </c>
      <c r="K32" s="138">
        <f>LOOKUP(J31,'Assumptions &amp; Results'!$C$131:$I$131,'Assumptions &amp; Results'!$C$132:$I$132)</f>
        <v>0.2</v>
      </c>
      <c r="L32" s="138">
        <f>LOOKUP(K31,'Assumptions &amp; Results'!$C$131:$I$131,'Assumptions &amp; Results'!$C$132:$I$132)</f>
        <v>0.2</v>
      </c>
      <c r="M32" s="138">
        <f>LOOKUP(L31,'Assumptions &amp; Results'!$C$131:$I$131,'Assumptions &amp; Results'!$C$132:$I$132)</f>
        <v>0.2</v>
      </c>
      <c r="N32" s="138">
        <f>LOOKUP(M31,'Assumptions &amp; Results'!$C$131:$I$131,'Assumptions &amp; Results'!$C$132:$I$132)</f>
        <v>0.2</v>
      </c>
      <c r="O32" s="138">
        <f>LOOKUP(N31,'Assumptions &amp; Results'!$C$131:$I$131,'Assumptions &amp; Results'!$C$132:$I$132)</f>
        <v>0.3</v>
      </c>
      <c r="P32" s="138">
        <f>LOOKUP(O31,'Assumptions &amp; Results'!$C$131:$I$131,'Assumptions &amp; Results'!$C$132:$I$132)</f>
        <v>0.3</v>
      </c>
      <c r="Q32" s="138">
        <f>LOOKUP(P31,'Assumptions &amp; Results'!$C$131:$I$131,'Assumptions &amp; Results'!$C$132:$I$132)</f>
        <v>0.3</v>
      </c>
      <c r="R32" s="138">
        <f>LOOKUP(Q31,'Assumptions &amp; Results'!$C$131:$I$131,'Assumptions &amp; Results'!$C$132:$I$132)</f>
        <v>0.3</v>
      </c>
      <c r="S32" s="138">
        <f>LOOKUP(R31,'Assumptions &amp; Results'!$C$131:$I$131,'Assumptions &amp; Results'!$C$132:$I$132)</f>
        <v>0.5</v>
      </c>
      <c r="T32" s="138">
        <f>LOOKUP(S31,'Assumptions &amp; Results'!$C$131:$I$131,'Assumptions &amp; Results'!$C$132:$I$132)</f>
        <v>0.5</v>
      </c>
      <c r="U32" s="138">
        <f>LOOKUP(T31,'Assumptions &amp; Results'!$C$131:$I$131,'Assumptions &amp; Results'!$C$132:$I$132)</f>
        <v>0.5</v>
      </c>
      <c r="V32" s="138">
        <f>LOOKUP(U31,'Assumptions &amp; Results'!$C$131:$I$131,'Assumptions &amp; Results'!$C$132:$I$132)</f>
        <v>0.5</v>
      </c>
      <c r="W32" s="138">
        <f>LOOKUP(V31,'Assumptions &amp; Results'!$C$131:$I$131,'Assumptions &amp; Results'!$C$132:$I$132)</f>
        <v>0.5</v>
      </c>
      <c r="X32" s="138">
        <f>LOOKUP(W31,'Assumptions &amp; Results'!$C$131:$I$131,'Assumptions &amp; Results'!$C$132:$I$132)</f>
        <v>0.5</v>
      </c>
      <c r="Y32" s="138">
        <f>LOOKUP(X31,'Assumptions &amp; Results'!$C$131:$I$131,'Assumptions &amp; Results'!$C$132:$I$132)</f>
        <v>0.6</v>
      </c>
      <c r="Z32" s="138">
        <f>LOOKUP(Y31,'Assumptions &amp; Results'!$C$131:$I$131,'Assumptions &amp; Results'!$C$132:$I$132)</f>
        <v>0.6</v>
      </c>
      <c r="AA32" s="138">
        <f>LOOKUP(Z31,'Assumptions &amp; Results'!$C$131:$I$131,'Assumptions &amp; Results'!$C$132:$I$132)</f>
        <v>0.6</v>
      </c>
      <c r="AB32" s="138">
        <f>LOOKUP(AA31,'Assumptions &amp; Results'!$C$131:$I$131,'Assumptions &amp; Results'!$C$132:$I$132)</f>
        <v>0.6</v>
      </c>
      <c r="AC32" s="138">
        <f>LOOKUP(AB31,'Assumptions &amp; Results'!$C$131:$I$131,'Assumptions &amp; Results'!$C$132:$I$132)</f>
        <v>0.6</v>
      </c>
      <c r="AD32" s="138">
        <f>LOOKUP(AC31,'Assumptions &amp; Results'!$C$131:$I$131,'Assumptions &amp; Results'!$C$132:$I$132)</f>
        <v>0.6</v>
      </c>
      <c r="AE32" s="138">
        <f>LOOKUP(AD31,'Assumptions &amp; Results'!$C$131:$I$131,'Assumptions &amp; Results'!$C$132:$I$132)</f>
        <v>0.6</v>
      </c>
      <c r="AF32" s="138">
        <f>LOOKUP(AE31,'Assumptions &amp; Results'!$C$131:$I$131,'Assumptions &amp; Results'!$C$132:$I$132)</f>
        <v>0.6</v>
      </c>
      <c r="AG32" s="138">
        <f>LOOKUP(AF31,'Assumptions &amp; Results'!$C$131:$I$131,'Assumptions &amp; Results'!$C$132:$I$132)</f>
        <v>0.6</v>
      </c>
      <c r="AH32" s="138">
        <f>LOOKUP(AG31,'Assumptions &amp; Results'!$C$131:$I$131,'Assumptions &amp; Results'!$C$132:$I$132)</f>
        <v>0.6</v>
      </c>
      <c r="AI32" s="138">
        <f>LOOKUP(AH31,'Assumptions &amp; Results'!$C$131:$I$131,'Assumptions &amp; Results'!$C$132:$I$132)</f>
        <v>0.6</v>
      </c>
      <c r="AJ32" s="139"/>
    </row>
    <row r="33" spans="1:36" s="16" customFormat="1" x14ac:dyDescent="0.2">
      <c r="A33" s="3"/>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9"/>
    </row>
    <row r="34" spans="1:36" s="185" customFormat="1" x14ac:dyDescent="0.2">
      <c r="A34" s="184" t="s">
        <v>253</v>
      </c>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27"/>
    </row>
    <row r="35" spans="1:36" s="185" customFormat="1" x14ac:dyDescent="0.2">
      <c r="A35" s="187" t="s">
        <v>254</v>
      </c>
      <c r="C35" s="185">
        <f>'Assumptions &amp; Results'!D20</f>
        <v>0</v>
      </c>
      <c r="D35" s="185">
        <f>'Assumptions &amp; Results'!E20</f>
        <v>0</v>
      </c>
      <c r="E35" s="185">
        <f>'Assumptions &amp; Results'!F20</f>
        <v>0</v>
      </c>
      <c r="F35" s="185">
        <f>'Assumptions &amp; Results'!G20</f>
        <v>0</v>
      </c>
      <c r="G35" s="185">
        <f>'Assumptions &amp; Results'!H20</f>
        <v>825</v>
      </c>
      <c r="H35" s="185">
        <f>'Assumptions &amp; Results'!I20</f>
        <v>1650</v>
      </c>
      <c r="I35" s="185">
        <f>'Assumptions &amp; Results'!J20</f>
        <v>1650</v>
      </c>
      <c r="J35" s="185">
        <f>'Assumptions &amp; Results'!K20</f>
        <v>1650</v>
      </c>
      <c r="K35" s="185">
        <f>'Assumptions &amp; Results'!L20</f>
        <v>1650</v>
      </c>
      <c r="L35" s="185">
        <f>'Assumptions &amp; Results'!M20</f>
        <v>1650</v>
      </c>
      <c r="M35" s="185">
        <f>'Assumptions &amp; Results'!N20</f>
        <v>1650</v>
      </c>
      <c r="N35" s="185">
        <f>'Assumptions &amp; Results'!O20</f>
        <v>1650</v>
      </c>
      <c r="O35" s="185">
        <f>'Assumptions &amp; Results'!P20</f>
        <v>1650</v>
      </c>
      <c r="P35" s="185">
        <f>'Assumptions &amp; Results'!Q20</f>
        <v>1650</v>
      </c>
      <c r="Q35" s="185">
        <f>'Assumptions &amp; Results'!R20</f>
        <v>1650</v>
      </c>
      <c r="R35" s="185">
        <f>'Assumptions &amp; Results'!S20</f>
        <v>1650</v>
      </c>
      <c r="S35" s="185">
        <f>'Assumptions &amp; Results'!T20</f>
        <v>1650</v>
      </c>
      <c r="T35" s="185">
        <f>'Assumptions &amp; Results'!U20</f>
        <v>1650</v>
      </c>
      <c r="U35" s="185">
        <f>'Assumptions &amp; Results'!V20</f>
        <v>1650</v>
      </c>
      <c r="V35" s="185">
        <f>'Assumptions &amp; Results'!W20</f>
        <v>1650</v>
      </c>
      <c r="W35" s="185">
        <f>'Assumptions &amp; Results'!X20</f>
        <v>1650</v>
      </c>
      <c r="X35" s="185">
        <f>'Assumptions &amp; Results'!Y20</f>
        <v>1650</v>
      </c>
      <c r="Y35" s="185">
        <f>'Assumptions &amp; Results'!Z20</f>
        <v>1650</v>
      </c>
      <c r="Z35" s="185">
        <f>'Assumptions &amp; Results'!AA20</f>
        <v>1650</v>
      </c>
      <c r="AA35" s="185">
        <f>'Assumptions &amp; Results'!AB20</f>
        <v>1650</v>
      </c>
      <c r="AB35" s="185">
        <f>'Assumptions &amp; Results'!AC20</f>
        <v>1650</v>
      </c>
      <c r="AC35" s="185">
        <f>'Assumptions &amp; Results'!AD20</f>
        <v>1650</v>
      </c>
      <c r="AD35" s="185">
        <f>'Assumptions &amp; Results'!AE20</f>
        <v>1650</v>
      </c>
      <c r="AE35" s="185">
        <f>'Assumptions &amp; Results'!AF20</f>
        <v>1650</v>
      </c>
      <c r="AF35" s="185">
        <f>'Assumptions &amp; Results'!AG20</f>
        <v>1650</v>
      </c>
      <c r="AG35" s="185">
        <f>'Assumptions &amp; Results'!AH20</f>
        <v>1650</v>
      </c>
      <c r="AH35" s="185">
        <f>'Assumptions &amp; Results'!AI20</f>
        <v>1650</v>
      </c>
      <c r="AI35" s="185">
        <f>'Assumptions &amp; Results'!AJ20</f>
        <v>1650</v>
      </c>
      <c r="AJ35" s="127">
        <f>SUM(C35:AI35)</f>
        <v>47025</v>
      </c>
    </row>
    <row r="36" spans="1:36" s="185" customFormat="1" x14ac:dyDescent="0.2">
      <c r="A36" s="188" t="s">
        <v>255</v>
      </c>
      <c r="C36" s="186">
        <f>MIN(C35,'Assumptions &amp; Results'!$C$135)</f>
        <v>0</v>
      </c>
      <c r="D36" s="186">
        <f>MIN(D35,'Assumptions &amp; Results'!$C$135)</f>
        <v>0</v>
      </c>
      <c r="E36" s="186">
        <f>MIN(E35,'Assumptions &amp; Results'!$C$135)</f>
        <v>0</v>
      </c>
      <c r="F36" s="186">
        <f>MIN(F35,'Assumptions &amp; Results'!$C$135)</f>
        <v>0</v>
      </c>
      <c r="G36" s="186">
        <f>MIN(G35,'Assumptions &amp; Results'!$C$135)</f>
        <v>300</v>
      </c>
      <c r="H36" s="186">
        <f>MIN(H35,'Assumptions &amp; Results'!$C$135)</f>
        <v>300</v>
      </c>
      <c r="I36" s="186">
        <f>MIN(I35,'Assumptions &amp; Results'!$C$135)</f>
        <v>300</v>
      </c>
      <c r="J36" s="186">
        <f>MIN(J35,'Assumptions &amp; Results'!$C$135)</f>
        <v>300</v>
      </c>
      <c r="K36" s="186">
        <f>MIN(K35,'Assumptions &amp; Results'!$C$135)</f>
        <v>300</v>
      </c>
      <c r="L36" s="186">
        <f>MIN(L35,'Assumptions &amp; Results'!$C$135)</f>
        <v>300</v>
      </c>
      <c r="M36" s="186">
        <f>MIN(M35,'Assumptions &amp; Results'!$C$135)</f>
        <v>300</v>
      </c>
      <c r="N36" s="186">
        <f>MIN(N35,'Assumptions &amp; Results'!$C$135)</f>
        <v>300</v>
      </c>
      <c r="O36" s="186">
        <f>MIN(O35,'Assumptions &amp; Results'!$C$135)</f>
        <v>300</v>
      </c>
      <c r="P36" s="186">
        <f>MIN(P35,'Assumptions &amp; Results'!$C$135)</f>
        <v>300</v>
      </c>
      <c r="Q36" s="186">
        <f>MIN(Q35,'Assumptions &amp; Results'!$C$135)</f>
        <v>300</v>
      </c>
      <c r="R36" s="186">
        <f>MIN(R35,'Assumptions &amp; Results'!$C$135)</f>
        <v>300</v>
      </c>
      <c r="S36" s="186">
        <f>MIN(S35,'Assumptions &amp; Results'!$C$135)</f>
        <v>300</v>
      </c>
      <c r="T36" s="186">
        <f>MIN(T35,'Assumptions &amp; Results'!$C$135)</f>
        <v>300</v>
      </c>
      <c r="U36" s="186">
        <f>MIN(U35,'Assumptions &amp; Results'!$C$135)</f>
        <v>300</v>
      </c>
      <c r="V36" s="186">
        <f>MIN(V35,'Assumptions &amp; Results'!$C$135)</f>
        <v>300</v>
      </c>
      <c r="W36" s="186">
        <f>MIN(W35,'Assumptions &amp; Results'!$C$135)</f>
        <v>300</v>
      </c>
      <c r="X36" s="186">
        <f>MIN(X35,'Assumptions &amp; Results'!$C$135)</f>
        <v>300</v>
      </c>
      <c r="Y36" s="186">
        <f>MIN(Y35,'Assumptions &amp; Results'!$C$135)</f>
        <v>300</v>
      </c>
      <c r="Z36" s="186">
        <f>MIN(Z35,'Assumptions &amp; Results'!$C$135)</f>
        <v>300</v>
      </c>
      <c r="AA36" s="186">
        <f>MIN(AA35,'Assumptions &amp; Results'!$C$135)</f>
        <v>300</v>
      </c>
      <c r="AB36" s="186">
        <f>MIN(AB35,'Assumptions &amp; Results'!$C$135)</f>
        <v>300</v>
      </c>
      <c r="AC36" s="186">
        <f>MIN(AC35,'Assumptions &amp; Results'!$C$135)</f>
        <v>300</v>
      </c>
      <c r="AD36" s="186">
        <f>MIN(AD35,'Assumptions &amp; Results'!$C$135)</f>
        <v>300</v>
      </c>
      <c r="AE36" s="186">
        <f>MIN(AE35,'Assumptions &amp; Results'!$C$135)</f>
        <v>300</v>
      </c>
      <c r="AF36" s="186">
        <f>MIN(AF35,'Assumptions &amp; Results'!$C$135)</f>
        <v>300</v>
      </c>
      <c r="AG36" s="186">
        <f>MIN(AG35,'Assumptions &amp; Results'!$C$135)</f>
        <v>300</v>
      </c>
      <c r="AH36" s="186">
        <f>MIN(AH35,'Assumptions &amp; Results'!$C$135)</f>
        <v>300</v>
      </c>
      <c r="AI36" s="186">
        <f>MIN(AI35,'Assumptions &amp; Results'!$C$135)</f>
        <v>300</v>
      </c>
      <c r="AJ36" s="127"/>
    </row>
    <row r="37" spans="1:36" s="185" customFormat="1" x14ac:dyDescent="0.2">
      <c r="A37" s="188" t="s">
        <v>256</v>
      </c>
      <c r="C37" s="186">
        <f>(C35&gt;'Assumptions &amp; Results'!$C$135)*(C35-'Assumptions &amp; Results'!$C$135-C38-C39-C40-C41)</f>
        <v>0</v>
      </c>
      <c r="D37" s="186">
        <f>(D35&gt;'Assumptions &amp; Results'!$C$135)*(D35-'Assumptions &amp; Results'!$C$135-D38-D39-D40-D41)</f>
        <v>0</v>
      </c>
      <c r="E37" s="186">
        <f>(E35&gt;'Assumptions &amp; Results'!$C$135)*(E35-'Assumptions &amp; Results'!$C$135-E38-E39-E40-E41)</f>
        <v>0</v>
      </c>
      <c r="F37" s="186">
        <f>(F35&gt;'Assumptions &amp; Results'!$C$135)*(F35-'Assumptions &amp; Results'!$C$135-F38-F39-F40-F41)</f>
        <v>0</v>
      </c>
      <c r="G37" s="186">
        <f>(G35&gt;'Assumptions &amp; Results'!$C$135)*(G35-'Assumptions &amp; Results'!$C$135-G38-G39-G40-G41)</f>
        <v>300</v>
      </c>
      <c r="H37" s="186">
        <f>(H35&gt;'Assumptions &amp; Results'!$C$135)*(H35-'Assumptions &amp; Results'!$C$135-H38-H39-H40-H41)</f>
        <v>300</v>
      </c>
      <c r="I37" s="186">
        <f>(I35&gt;'Assumptions &amp; Results'!$C$135)*(I35-'Assumptions &amp; Results'!$C$135-I38-I39-I40-I41)</f>
        <v>300</v>
      </c>
      <c r="J37" s="186">
        <f>(J35&gt;'Assumptions &amp; Results'!$C$135)*(J35-'Assumptions &amp; Results'!$C$135-J38-J39-J40-J41)</f>
        <v>300</v>
      </c>
      <c r="K37" s="186">
        <f>(K35&gt;'Assumptions &amp; Results'!$C$135)*(K35-'Assumptions &amp; Results'!$C$135-K38-K39-K40-K41)</f>
        <v>300</v>
      </c>
      <c r="L37" s="186">
        <f>(L35&gt;'Assumptions &amp; Results'!$C$135)*(L35-'Assumptions &amp; Results'!$C$135-L38-L39-L40-L41)</f>
        <v>300</v>
      </c>
      <c r="M37" s="186">
        <f>(M35&gt;'Assumptions &amp; Results'!$C$135)*(M35-'Assumptions &amp; Results'!$C$135-M38-M39-M40-M41)</f>
        <v>300</v>
      </c>
      <c r="N37" s="186">
        <f>(N35&gt;'Assumptions &amp; Results'!$C$135)*(N35-'Assumptions &amp; Results'!$C$135-N38-N39-N40-N41)</f>
        <v>300</v>
      </c>
      <c r="O37" s="186">
        <f>(O35&gt;'Assumptions &amp; Results'!$C$135)*(O35-'Assumptions &amp; Results'!$C$135-O38-O39-O40-O41)</f>
        <v>300</v>
      </c>
      <c r="P37" s="186">
        <f>(P35&gt;'Assumptions &amp; Results'!$C$135)*(P35-'Assumptions &amp; Results'!$C$135-P38-P39-P40-P41)</f>
        <v>300</v>
      </c>
      <c r="Q37" s="186">
        <f>(Q35&gt;'Assumptions &amp; Results'!$C$135)*(Q35-'Assumptions &amp; Results'!$C$135-Q38-Q39-Q40-Q41)</f>
        <v>300</v>
      </c>
      <c r="R37" s="186">
        <f>(R35&gt;'Assumptions &amp; Results'!$C$135)*(R35-'Assumptions &amp; Results'!$C$135-R38-R39-R40-R41)</f>
        <v>300</v>
      </c>
      <c r="S37" s="186">
        <f>(S35&gt;'Assumptions &amp; Results'!$C$135)*(S35-'Assumptions &amp; Results'!$C$135-S38-S39-S40-S41)</f>
        <v>300</v>
      </c>
      <c r="T37" s="186">
        <f>(T35&gt;'Assumptions &amp; Results'!$C$135)*(T35-'Assumptions &amp; Results'!$C$135-T38-T39-T40-T41)</f>
        <v>300</v>
      </c>
      <c r="U37" s="186">
        <f>(U35&gt;'Assumptions &amp; Results'!$C$135)*(U35-'Assumptions &amp; Results'!$C$135-U38-U39-U40-U41)</f>
        <v>300</v>
      </c>
      <c r="V37" s="186">
        <f>(V35&gt;'Assumptions &amp; Results'!$C$135)*(V35-'Assumptions &amp; Results'!$C$135-V38-V39-V40-V41)</f>
        <v>300</v>
      </c>
      <c r="W37" s="186">
        <f>(W35&gt;'Assumptions &amp; Results'!$C$135)*(W35-'Assumptions &amp; Results'!$C$135-W38-W39-W40-W41)</f>
        <v>300</v>
      </c>
      <c r="X37" s="186">
        <f>(X35&gt;'Assumptions &amp; Results'!$C$135)*(X35-'Assumptions &amp; Results'!$C$135-X38-X39-X40-X41)</f>
        <v>300</v>
      </c>
      <c r="Y37" s="186">
        <f>(Y35&gt;'Assumptions &amp; Results'!$C$135)*(Y35-'Assumptions &amp; Results'!$C$135-Y38-Y39-Y40-Y41)</f>
        <v>300</v>
      </c>
      <c r="Z37" s="186">
        <f>(Z35&gt;'Assumptions &amp; Results'!$C$135)*(Z35-'Assumptions &amp; Results'!$C$135-Z38-Z39-Z40-Z41)</f>
        <v>300</v>
      </c>
      <c r="AA37" s="186">
        <f>(AA35&gt;'Assumptions &amp; Results'!$C$135)*(AA35-'Assumptions &amp; Results'!$C$135-AA38-AA39-AA40-AA41)</f>
        <v>300</v>
      </c>
      <c r="AB37" s="186">
        <f>(AB35&gt;'Assumptions &amp; Results'!$C$135)*(AB35-'Assumptions &amp; Results'!$C$135-AB38-AB39-AB40-AB41)</f>
        <v>300</v>
      </c>
      <c r="AC37" s="186">
        <f>(AC35&gt;'Assumptions &amp; Results'!$C$135)*(AC35-'Assumptions &amp; Results'!$C$135-AC38-AC39-AC40-AC41)</f>
        <v>300</v>
      </c>
      <c r="AD37" s="186">
        <f>(AD35&gt;'Assumptions &amp; Results'!$C$135)*(AD35-'Assumptions &amp; Results'!$C$135-AD38-AD39-AD40-AD41)</f>
        <v>300</v>
      </c>
      <c r="AE37" s="186">
        <f>(AE35&gt;'Assumptions &amp; Results'!$C$135)*(AE35-'Assumptions &amp; Results'!$C$135-AE38-AE39-AE40-AE41)</f>
        <v>300</v>
      </c>
      <c r="AF37" s="186">
        <f>(AF35&gt;'Assumptions &amp; Results'!$C$135)*(AF35-'Assumptions &amp; Results'!$C$135-AF38-AF39-AF40-AF41)</f>
        <v>300</v>
      </c>
      <c r="AG37" s="186">
        <f>(AG35&gt;'Assumptions &amp; Results'!$C$135)*(AG35-'Assumptions &amp; Results'!$C$135-AG38-AG39-AG40-AG41)</f>
        <v>300</v>
      </c>
      <c r="AH37" s="186">
        <f>(AH35&gt;'Assumptions &amp; Results'!$C$135)*(AH35-'Assumptions &amp; Results'!$C$135-AH38-AH39-AH40-AH41)</f>
        <v>300</v>
      </c>
      <c r="AI37" s="186">
        <f>(AI35&gt;'Assumptions &amp; Results'!$C$135)*(AI35-'Assumptions &amp; Results'!$C$135-AI38-AI39-AI40-AI41)</f>
        <v>300</v>
      </c>
      <c r="AJ37" s="127"/>
    </row>
    <row r="38" spans="1:36" s="185" customFormat="1" x14ac:dyDescent="0.2">
      <c r="A38" s="188" t="s">
        <v>257</v>
      </c>
      <c r="C38" s="186">
        <f>(C35&gt;'Assumptions &amp; Results'!$C$136)*(C35-'Assumptions &amp; Results'!$C$136-C39-C40-C41)</f>
        <v>0</v>
      </c>
      <c r="D38" s="186">
        <f>(D35&gt;'Assumptions &amp; Results'!$C$136)*(D35-'Assumptions &amp; Results'!$C$136-D39-D40-D41)</f>
        <v>0</v>
      </c>
      <c r="E38" s="186">
        <f>(E35&gt;'Assumptions &amp; Results'!$C$136)*(E35-'Assumptions &amp; Results'!$C$136-E39-E40-E41)</f>
        <v>0</v>
      </c>
      <c r="F38" s="186">
        <f>(F35&gt;'Assumptions &amp; Results'!$C$136)*(F35-'Assumptions &amp; Results'!$C$136-F39-F40-F41)</f>
        <v>0</v>
      </c>
      <c r="G38" s="186">
        <f>(G35&gt;'Assumptions &amp; Results'!$C$136)*(G35-'Assumptions &amp; Results'!$C$136-G39-G40-G41)</f>
        <v>225</v>
      </c>
      <c r="H38" s="186">
        <f>(H35&gt;'Assumptions &amp; Results'!$C$136)*(H35-'Assumptions &amp; Results'!$C$136-H39-H40-H41)</f>
        <v>300</v>
      </c>
      <c r="I38" s="186">
        <f>(I35&gt;'Assumptions &amp; Results'!$C$136)*(I35-'Assumptions &amp; Results'!$C$136-I39-I40-I41)</f>
        <v>300</v>
      </c>
      <c r="J38" s="186">
        <f>(J35&gt;'Assumptions &amp; Results'!$C$136)*(J35-'Assumptions &amp; Results'!$C$136-J39-J40-J41)</f>
        <v>300</v>
      </c>
      <c r="K38" s="186">
        <f>(K35&gt;'Assumptions &amp; Results'!$C$136)*(K35-'Assumptions &amp; Results'!$C$136-K39-K40-K41)</f>
        <v>300</v>
      </c>
      <c r="L38" s="186">
        <f>(L35&gt;'Assumptions &amp; Results'!$C$136)*(L35-'Assumptions &amp; Results'!$C$136-L39-L40-L41)</f>
        <v>300</v>
      </c>
      <c r="M38" s="186">
        <f>(M35&gt;'Assumptions &amp; Results'!$C$136)*(M35-'Assumptions &amp; Results'!$C$136-M39-M40-M41)</f>
        <v>300</v>
      </c>
      <c r="N38" s="186">
        <f>(N35&gt;'Assumptions &amp; Results'!$C$136)*(N35-'Assumptions &amp; Results'!$C$136-N39-N40-N41)</f>
        <v>300</v>
      </c>
      <c r="O38" s="186">
        <f>(O35&gt;'Assumptions &amp; Results'!$C$136)*(O35-'Assumptions &amp; Results'!$C$136-O39-O40-O41)</f>
        <v>300</v>
      </c>
      <c r="P38" s="186">
        <f>(P35&gt;'Assumptions &amp; Results'!$C$136)*(P35-'Assumptions &amp; Results'!$C$136-P39-P40-P41)</f>
        <v>300</v>
      </c>
      <c r="Q38" s="186">
        <f>(Q35&gt;'Assumptions &amp; Results'!$C$136)*(Q35-'Assumptions &amp; Results'!$C$136-Q39-Q40-Q41)</f>
        <v>300</v>
      </c>
      <c r="R38" s="186">
        <f>(R35&gt;'Assumptions &amp; Results'!$C$136)*(R35-'Assumptions &amp; Results'!$C$136-R39-R40-R41)</f>
        <v>300</v>
      </c>
      <c r="S38" s="186">
        <f>(S35&gt;'Assumptions &amp; Results'!$C$136)*(S35-'Assumptions &amp; Results'!$C$136-S39-S40-S41)</f>
        <v>300</v>
      </c>
      <c r="T38" s="186">
        <f>(T35&gt;'Assumptions &amp; Results'!$C$136)*(T35-'Assumptions &amp; Results'!$C$136-T39-T40-T41)</f>
        <v>300</v>
      </c>
      <c r="U38" s="186">
        <f>(U35&gt;'Assumptions &amp; Results'!$C$136)*(U35-'Assumptions &amp; Results'!$C$136-U39-U40-U41)</f>
        <v>300</v>
      </c>
      <c r="V38" s="186">
        <f>(V35&gt;'Assumptions &amp; Results'!$C$136)*(V35-'Assumptions &amp; Results'!$C$136-V39-V40-V41)</f>
        <v>300</v>
      </c>
      <c r="W38" s="186">
        <f>(W35&gt;'Assumptions &amp; Results'!$C$136)*(W35-'Assumptions &amp; Results'!$C$136-W39-W40-W41)</f>
        <v>300</v>
      </c>
      <c r="X38" s="186">
        <f>(X35&gt;'Assumptions &amp; Results'!$C$136)*(X35-'Assumptions &amp; Results'!$C$136-X39-X40-X41)</f>
        <v>300</v>
      </c>
      <c r="Y38" s="186">
        <f>(Y35&gt;'Assumptions &amp; Results'!$C$136)*(Y35-'Assumptions &amp; Results'!$C$136-Y39-Y40-Y41)</f>
        <v>300</v>
      </c>
      <c r="Z38" s="186">
        <f>(Z35&gt;'Assumptions &amp; Results'!$C$136)*(Z35-'Assumptions &amp; Results'!$C$136-Z39-Z40-Z41)</f>
        <v>300</v>
      </c>
      <c r="AA38" s="186">
        <f>(AA35&gt;'Assumptions &amp; Results'!$C$136)*(AA35-'Assumptions &amp; Results'!$C$136-AA39-AA40-AA41)</f>
        <v>300</v>
      </c>
      <c r="AB38" s="186">
        <f>(AB35&gt;'Assumptions &amp; Results'!$C$136)*(AB35-'Assumptions &amp; Results'!$C$136-AB39-AB40-AB41)</f>
        <v>300</v>
      </c>
      <c r="AC38" s="186">
        <f>(AC35&gt;'Assumptions &amp; Results'!$C$136)*(AC35-'Assumptions &amp; Results'!$C$136-AC39-AC40-AC41)</f>
        <v>300</v>
      </c>
      <c r="AD38" s="186">
        <f>(AD35&gt;'Assumptions &amp; Results'!$C$136)*(AD35-'Assumptions &amp; Results'!$C$136-AD39-AD40-AD41)</f>
        <v>300</v>
      </c>
      <c r="AE38" s="186">
        <f>(AE35&gt;'Assumptions &amp; Results'!$C$136)*(AE35-'Assumptions &amp; Results'!$C$136-AE39-AE40-AE41)</f>
        <v>300</v>
      </c>
      <c r="AF38" s="186">
        <f>(AF35&gt;'Assumptions &amp; Results'!$C$136)*(AF35-'Assumptions &amp; Results'!$C$136-AF39-AF40-AF41)</f>
        <v>300</v>
      </c>
      <c r="AG38" s="186">
        <f>(AG35&gt;'Assumptions &amp; Results'!$C$136)*(AG35-'Assumptions &amp; Results'!$C$136-AG39-AG40-AG41)</f>
        <v>300</v>
      </c>
      <c r="AH38" s="186">
        <f>(AH35&gt;'Assumptions &amp; Results'!$C$136)*(AH35-'Assumptions &amp; Results'!$C$136-AH39-AH40-AH41)</f>
        <v>300</v>
      </c>
      <c r="AI38" s="186">
        <f>(AI35&gt;'Assumptions &amp; Results'!$C$136)*(AI35-'Assumptions &amp; Results'!$C$136-AI39-AI40-AI41)</f>
        <v>300</v>
      </c>
      <c r="AJ38" s="127"/>
    </row>
    <row r="39" spans="1:36" s="185" customFormat="1" x14ac:dyDescent="0.2">
      <c r="A39" s="188" t="s">
        <v>258</v>
      </c>
      <c r="C39" s="186">
        <f>(C35&gt;'Assumptions &amp; Results'!$C$137)*(C35-'Assumptions &amp; Results'!$C$137-C40-C41)</f>
        <v>0</v>
      </c>
      <c r="D39" s="186">
        <f>(D35&gt;'Assumptions &amp; Results'!$C$137)*(D35-'Assumptions &amp; Results'!$C$137-D40-D41)</f>
        <v>0</v>
      </c>
      <c r="E39" s="186">
        <f>(E35&gt;'Assumptions &amp; Results'!$C$137)*(E35-'Assumptions &amp; Results'!$C$137-E40-E41)</f>
        <v>0</v>
      </c>
      <c r="F39" s="186">
        <f>(F35&gt;'Assumptions &amp; Results'!$C$137)*(F35-'Assumptions &amp; Results'!$C$137-F40-F41)</f>
        <v>0</v>
      </c>
      <c r="G39" s="186">
        <f>(G35&gt;'Assumptions &amp; Results'!$C$137)*(G35-'Assumptions &amp; Results'!$C$137-G40-G41)</f>
        <v>0</v>
      </c>
      <c r="H39" s="186">
        <f>(H35&gt;'Assumptions &amp; Results'!$C$137)*(H35-'Assumptions &amp; Results'!$C$137-H40-H41)</f>
        <v>300</v>
      </c>
      <c r="I39" s="186">
        <f>(I35&gt;'Assumptions &amp; Results'!$C$137)*(I35-'Assumptions &amp; Results'!$C$137-I40-I41)</f>
        <v>300</v>
      </c>
      <c r="J39" s="186">
        <f>(J35&gt;'Assumptions &amp; Results'!$C$137)*(J35-'Assumptions &amp; Results'!$C$137-J40-J41)</f>
        <v>300</v>
      </c>
      <c r="K39" s="186">
        <f>(K35&gt;'Assumptions &amp; Results'!$C$137)*(K35-'Assumptions &amp; Results'!$C$137-K40-K41)</f>
        <v>300</v>
      </c>
      <c r="L39" s="186">
        <f>(L35&gt;'Assumptions &amp; Results'!$C$137)*(L35-'Assumptions &amp; Results'!$C$137-L40-L41)</f>
        <v>300</v>
      </c>
      <c r="M39" s="186">
        <f>(M35&gt;'Assumptions &amp; Results'!$C$137)*(M35-'Assumptions &amp; Results'!$C$137-M40-M41)</f>
        <v>300</v>
      </c>
      <c r="N39" s="186">
        <f>(N35&gt;'Assumptions &amp; Results'!$C$137)*(N35-'Assumptions &amp; Results'!$C$137-N40-N41)</f>
        <v>300</v>
      </c>
      <c r="O39" s="186">
        <f>(O35&gt;'Assumptions &amp; Results'!$C$137)*(O35-'Assumptions &amp; Results'!$C$137-O40-O41)</f>
        <v>300</v>
      </c>
      <c r="P39" s="186">
        <f>(P35&gt;'Assumptions &amp; Results'!$C$137)*(P35-'Assumptions &amp; Results'!$C$137-P40-P41)</f>
        <v>300</v>
      </c>
      <c r="Q39" s="186">
        <f>(Q35&gt;'Assumptions &amp; Results'!$C$137)*(Q35-'Assumptions &amp; Results'!$C$137-Q40-Q41)</f>
        <v>300</v>
      </c>
      <c r="R39" s="186">
        <f>(R35&gt;'Assumptions &amp; Results'!$C$137)*(R35-'Assumptions &amp; Results'!$C$137-R40-R41)</f>
        <v>300</v>
      </c>
      <c r="S39" s="186">
        <f>(S35&gt;'Assumptions &amp; Results'!$C$137)*(S35-'Assumptions &amp; Results'!$C$137-S40-S41)</f>
        <v>300</v>
      </c>
      <c r="T39" s="186">
        <f>(T35&gt;'Assumptions &amp; Results'!$C$137)*(T35-'Assumptions &amp; Results'!$C$137-T40-T41)</f>
        <v>300</v>
      </c>
      <c r="U39" s="186">
        <f>(U35&gt;'Assumptions &amp; Results'!$C$137)*(U35-'Assumptions &amp; Results'!$C$137-U40-U41)</f>
        <v>300</v>
      </c>
      <c r="V39" s="186">
        <f>(V35&gt;'Assumptions &amp; Results'!$C$137)*(V35-'Assumptions &amp; Results'!$C$137-V40-V41)</f>
        <v>300</v>
      </c>
      <c r="W39" s="186">
        <f>(W35&gt;'Assumptions &amp; Results'!$C$137)*(W35-'Assumptions &amp; Results'!$C$137-W40-W41)</f>
        <v>300</v>
      </c>
      <c r="X39" s="186">
        <f>(X35&gt;'Assumptions &amp; Results'!$C$137)*(X35-'Assumptions &amp; Results'!$C$137-X40-X41)</f>
        <v>300</v>
      </c>
      <c r="Y39" s="186">
        <f>(Y35&gt;'Assumptions &amp; Results'!$C$137)*(Y35-'Assumptions &amp; Results'!$C$137-Y40-Y41)</f>
        <v>300</v>
      </c>
      <c r="Z39" s="186">
        <f>(Z35&gt;'Assumptions &amp; Results'!$C$137)*(Z35-'Assumptions &amp; Results'!$C$137-Z40-Z41)</f>
        <v>300</v>
      </c>
      <c r="AA39" s="186">
        <f>(AA35&gt;'Assumptions &amp; Results'!$C$137)*(AA35-'Assumptions &amp; Results'!$C$137-AA40-AA41)</f>
        <v>300</v>
      </c>
      <c r="AB39" s="186">
        <f>(AB35&gt;'Assumptions &amp; Results'!$C$137)*(AB35-'Assumptions &amp; Results'!$C$137-AB40-AB41)</f>
        <v>300</v>
      </c>
      <c r="AC39" s="186">
        <f>(AC35&gt;'Assumptions &amp; Results'!$C$137)*(AC35-'Assumptions &amp; Results'!$C$137-AC40-AC41)</f>
        <v>300</v>
      </c>
      <c r="AD39" s="186">
        <f>(AD35&gt;'Assumptions &amp; Results'!$C$137)*(AD35-'Assumptions &amp; Results'!$C$137-AD40-AD41)</f>
        <v>300</v>
      </c>
      <c r="AE39" s="186">
        <f>(AE35&gt;'Assumptions &amp; Results'!$C$137)*(AE35-'Assumptions &amp; Results'!$C$137-AE40-AE41)</f>
        <v>300</v>
      </c>
      <c r="AF39" s="186">
        <f>(AF35&gt;'Assumptions &amp; Results'!$C$137)*(AF35-'Assumptions &amp; Results'!$C$137-AF40-AF41)</f>
        <v>300</v>
      </c>
      <c r="AG39" s="186">
        <f>(AG35&gt;'Assumptions &amp; Results'!$C$137)*(AG35-'Assumptions &amp; Results'!$C$137-AG40-AG41)</f>
        <v>300</v>
      </c>
      <c r="AH39" s="186">
        <f>(AH35&gt;'Assumptions &amp; Results'!$C$137)*(AH35-'Assumptions &amp; Results'!$C$137-AH40-AH41)</f>
        <v>300</v>
      </c>
      <c r="AI39" s="186">
        <f>(AI35&gt;'Assumptions &amp; Results'!$C$137)*(AI35-'Assumptions &amp; Results'!$C$137-AI40-AI41)</f>
        <v>300</v>
      </c>
      <c r="AJ39" s="127"/>
    </row>
    <row r="40" spans="1:36" s="185" customFormat="1" x14ac:dyDescent="0.2">
      <c r="A40" s="188" t="s">
        <v>259</v>
      </c>
      <c r="C40" s="186">
        <f>(C35&gt;'Assumptions &amp; Results'!$C$138)*(C35-'Assumptions &amp; Results'!$C$138-C41)</f>
        <v>0</v>
      </c>
      <c r="D40" s="186">
        <f>(D35&gt;'Assumptions &amp; Results'!$C$138)*(D35-'Assumptions &amp; Results'!$C$138-D41)</f>
        <v>0</v>
      </c>
      <c r="E40" s="186">
        <f>(E35&gt;'Assumptions &amp; Results'!$C$138)*(E35-'Assumptions &amp; Results'!$C$138-E41)</f>
        <v>0</v>
      </c>
      <c r="F40" s="186">
        <f>(F35&gt;'Assumptions &amp; Results'!$C$138)*(F35-'Assumptions &amp; Results'!$C$138-F41)</f>
        <v>0</v>
      </c>
      <c r="G40" s="186">
        <f>(G35&gt;'Assumptions &amp; Results'!$C$138)*(G35-'Assumptions &amp; Results'!$C$138-G41)</f>
        <v>0</v>
      </c>
      <c r="H40" s="186">
        <f>(H35&gt;'Assumptions &amp; Results'!$C$138)*(H35-'Assumptions &amp; Results'!$C$138-H41)</f>
        <v>300</v>
      </c>
      <c r="I40" s="186">
        <f>(I35&gt;'Assumptions &amp; Results'!$C$138)*(I35-'Assumptions &amp; Results'!$C$138-I41)</f>
        <v>300</v>
      </c>
      <c r="J40" s="186">
        <f>(J35&gt;'Assumptions &amp; Results'!$C$138)*(J35-'Assumptions &amp; Results'!$C$138-J41)</f>
        <v>300</v>
      </c>
      <c r="K40" s="186">
        <f>(K35&gt;'Assumptions &amp; Results'!$C$138)*(K35-'Assumptions &amp; Results'!$C$138-K41)</f>
        <v>300</v>
      </c>
      <c r="L40" s="186">
        <f>(L35&gt;'Assumptions &amp; Results'!$C$138)*(L35-'Assumptions &amp; Results'!$C$138-L41)</f>
        <v>300</v>
      </c>
      <c r="M40" s="186">
        <f>(M35&gt;'Assumptions &amp; Results'!$C$138)*(M35-'Assumptions &amp; Results'!$C$138-M41)</f>
        <v>300</v>
      </c>
      <c r="N40" s="186">
        <f>(N35&gt;'Assumptions &amp; Results'!$C$138)*(N35-'Assumptions &amp; Results'!$C$138-N41)</f>
        <v>300</v>
      </c>
      <c r="O40" s="186">
        <f>(O35&gt;'Assumptions &amp; Results'!$C$138)*(O35-'Assumptions &amp; Results'!$C$138-O41)</f>
        <v>300</v>
      </c>
      <c r="P40" s="186">
        <f>(P35&gt;'Assumptions &amp; Results'!$C$138)*(P35-'Assumptions &amp; Results'!$C$138-P41)</f>
        <v>300</v>
      </c>
      <c r="Q40" s="186">
        <f>(Q35&gt;'Assumptions &amp; Results'!$C$138)*(Q35-'Assumptions &amp; Results'!$C$138-Q41)</f>
        <v>300</v>
      </c>
      <c r="R40" s="186">
        <f>(R35&gt;'Assumptions &amp; Results'!$C$138)*(R35-'Assumptions &amp; Results'!$C$138-R41)</f>
        <v>300</v>
      </c>
      <c r="S40" s="186">
        <f>(S35&gt;'Assumptions &amp; Results'!$C$138)*(S35-'Assumptions &amp; Results'!$C$138-S41)</f>
        <v>300</v>
      </c>
      <c r="T40" s="186">
        <f>(T35&gt;'Assumptions &amp; Results'!$C$138)*(T35-'Assumptions &amp; Results'!$C$138-T41)</f>
        <v>300</v>
      </c>
      <c r="U40" s="186">
        <f>(U35&gt;'Assumptions &amp; Results'!$C$138)*(U35-'Assumptions &amp; Results'!$C$138-U41)</f>
        <v>300</v>
      </c>
      <c r="V40" s="186">
        <f>(V35&gt;'Assumptions &amp; Results'!$C$138)*(V35-'Assumptions &amp; Results'!$C$138-V41)</f>
        <v>300</v>
      </c>
      <c r="W40" s="186">
        <f>(W35&gt;'Assumptions &amp; Results'!$C$138)*(W35-'Assumptions &amp; Results'!$C$138-W41)</f>
        <v>300</v>
      </c>
      <c r="X40" s="186">
        <f>(X35&gt;'Assumptions &amp; Results'!$C$138)*(X35-'Assumptions &amp; Results'!$C$138-X41)</f>
        <v>300</v>
      </c>
      <c r="Y40" s="186">
        <f>(Y35&gt;'Assumptions &amp; Results'!$C$138)*(Y35-'Assumptions &amp; Results'!$C$138-Y41)</f>
        <v>300</v>
      </c>
      <c r="Z40" s="186">
        <f>(Z35&gt;'Assumptions &amp; Results'!$C$138)*(Z35-'Assumptions &amp; Results'!$C$138-Z41)</f>
        <v>300</v>
      </c>
      <c r="AA40" s="186">
        <f>(AA35&gt;'Assumptions &amp; Results'!$C$138)*(AA35-'Assumptions &amp; Results'!$C$138-AA41)</f>
        <v>300</v>
      </c>
      <c r="AB40" s="186">
        <f>(AB35&gt;'Assumptions &amp; Results'!$C$138)*(AB35-'Assumptions &amp; Results'!$C$138-AB41)</f>
        <v>300</v>
      </c>
      <c r="AC40" s="186">
        <f>(AC35&gt;'Assumptions &amp; Results'!$C$138)*(AC35-'Assumptions &amp; Results'!$C$138-AC41)</f>
        <v>300</v>
      </c>
      <c r="AD40" s="186">
        <f>(AD35&gt;'Assumptions &amp; Results'!$C$138)*(AD35-'Assumptions &amp; Results'!$C$138-AD41)</f>
        <v>300</v>
      </c>
      <c r="AE40" s="186">
        <f>(AE35&gt;'Assumptions &amp; Results'!$C$138)*(AE35-'Assumptions &amp; Results'!$C$138-AE41)</f>
        <v>300</v>
      </c>
      <c r="AF40" s="186">
        <f>(AF35&gt;'Assumptions &amp; Results'!$C$138)*(AF35-'Assumptions &amp; Results'!$C$138-AF41)</f>
        <v>300</v>
      </c>
      <c r="AG40" s="186">
        <f>(AG35&gt;'Assumptions &amp; Results'!$C$138)*(AG35-'Assumptions &amp; Results'!$C$138-AG41)</f>
        <v>300</v>
      </c>
      <c r="AH40" s="186">
        <f>(AH35&gt;'Assumptions &amp; Results'!$C$138)*(AH35-'Assumptions &amp; Results'!$C$138-AH41)</f>
        <v>300</v>
      </c>
      <c r="AI40" s="186">
        <f>(AI35&gt;'Assumptions &amp; Results'!$C$138)*(AI35-'Assumptions &amp; Results'!$C$138-AI41)</f>
        <v>300</v>
      </c>
      <c r="AJ40" s="127"/>
    </row>
    <row r="41" spans="1:36" s="185" customFormat="1" x14ac:dyDescent="0.2">
      <c r="A41" s="188" t="s">
        <v>260</v>
      </c>
      <c r="C41" s="186">
        <f>(C35&gt;'Assumptions &amp; Results'!$C$139)*(C35-'Assumptions &amp; Results'!$C$139)</f>
        <v>0</v>
      </c>
      <c r="D41" s="186">
        <f>(D35&gt;'Assumptions &amp; Results'!$C$139)*(D35-'Assumptions &amp; Results'!$C$139)</f>
        <v>0</v>
      </c>
      <c r="E41" s="186">
        <f>(E35&gt;'Assumptions &amp; Results'!$C$139)*(E35-'Assumptions &amp; Results'!$C$139)</f>
        <v>0</v>
      </c>
      <c r="F41" s="186">
        <f>(F35&gt;'Assumptions &amp; Results'!$C$139)*(F35-'Assumptions &amp; Results'!$C$139)</f>
        <v>0</v>
      </c>
      <c r="G41" s="186">
        <f>(G35&gt;'Assumptions &amp; Results'!$C$139)*(G35-'Assumptions &amp; Results'!$C$139)</f>
        <v>0</v>
      </c>
      <c r="H41" s="186">
        <f>(H35&gt;'Assumptions &amp; Results'!$C$139)*(H35-'Assumptions &amp; Results'!$C$139)</f>
        <v>150</v>
      </c>
      <c r="I41" s="186">
        <f>(I35&gt;'Assumptions &amp; Results'!$C$139)*(I35-'Assumptions &amp; Results'!$C$139)</f>
        <v>150</v>
      </c>
      <c r="J41" s="186">
        <f>(J35&gt;'Assumptions &amp; Results'!$C$139)*(J35-'Assumptions &amp; Results'!$C$139)</f>
        <v>150</v>
      </c>
      <c r="K41" s="186">
        <f>(K35&gt;'Assumptions &amp; Results'!$C$139)*(K35-'Assumptions &amp; Results'!$C$139)</f>
        <v>150</v>
      </c>
      <c r="L41" s="186">
        <f>(L35&gt;'Assumptions &amp; Results'!$C$139)*(L35-'Assumptions &amp; Results'!$C$139)</f>
        <v>150</v>
      </c>
      <c r="M41" s="186">
        <f>(M35&gt;'Assumptions &amp; Results'!$C$139)*(M35-'Assumptions &amp; Results'!$C$139)</f>
        <v>150</v>
      </c>
      <c r="N41" s="186">
        <f>(N35&gt;'Assumptions &amp; Results'!$C$139)*(N35-'Assumptions &amp; Results'!$C$139)</f>
        <v>150</v>
      </c>
      <c r="O41" s="186">
        <f>(O35&gt;'Assumptions &amp; Results'!$C$139)*(O35-'Assumptions &amp; Results'!$C$139)</f>
        <v>150</v>
      </c>
      <c r="P41" s="186">
        <f>(P35&gt;'Assumptions &amp; Results'!$C$139)*(P35-'Assumptions &amp; Results'!$C$139)</f>
        <v>150</v>
      </c>
      <c r="Q41" s="186">
        <f>(Q35&gt;'Assumptions &amp; Results'!$C$139)*(Q35-'Assumptions &amp; Results'!$C$139)</f>
        <v>150</v>
      </c>
      <c r="R41" s="186">
        <f>(R35&gt;'Assumptions &amp; Results'!$C$139)*(R35-'Assumptions &amp; Results'!$C$139)</f>
        <v>150</v>
      </c>
      <c r="S41" s="186">
        <f>(S35&gt;'Assumptions &amp; Results'!$C$139)*(S35-'Assumptions &amp; Results'!$C$139)</f>
        <v>150</v>
      </c>
      <c r="T41" s="186">
        <f>(T35&gt;'Assumptions &amp; Results'!$C$139)*(T35-'Assumptions &amp; Results'!$C$139)</f>
        <v>150</v>
      </c>
      <c r="U41" s="186">
        <f>(U35&gt;'Assumptions &amp; Results'!$C$139)*(U35-'Assumptions &amp; Results'!$C$139)</f>
        <v>150</v>
      </c>
      <c r="V41" s="186">
        <f>(V35&gt;'Assumptions &amp; Results'!$C$139)*(V35-'Assumptions &amp; Results'!$C$139)</f>
        <v>150</v>
      </c>
      <c r="W41" s="186">
        <f>(W35&gt;'Assumptions &amp; Results'!$C$139)*(W35-'Assumptions &amp; Results'!$C$139)</f>
        <v>150</v>
      </c>
      <c r="X41" s="186">
        <f>(X35&gt;'Assumptions &amp; Results'!$C$139)*(X35-'Assumptions &amp; Results'!$C$139)</f>
        <v>150</v>
      </c>
      <c r="Y41" s="186">
        <f>(Y35&gt;'Assumptions &amp; Results'!$C$139)*(Y35-'Assumptions &amp; Results'!$C$139)</f>
        <v>150</v>
      </c>
      <c r="Z41" s="186">
        <f>(Z35&gt;'Assumptions &amp; Results'!$C$139)*(Z35-'Assumptions &amp; Results'!$C$139)</f>
        <v>150</v>
      </c>
      <c r="AA41" s="186">
        <f>(AA35&gt;'Assumptions &amp; Results'!$C$139)*(AA35-'Assumptions &amp; Results'!$C$139)</f>
        <v>150</v>
      </c>
      <c r="AB41" s="186">
        <f>(AB35&gt;'Assumptions &amp; Results'!$C$139)*(AB35-'Assumptions &amp; Results'!$C$139)</f>
        <v>150</v>
      </c>
      <c r="AC41" s="186">
        <f>(AC35&gt;'Assumptions &amp; Results'!$C$139)*(AC35-'Assumptions &amp; Results'!$C$139)</f>
        <v>150</v>
      </c>
      <c r="AD41" s="186">
        <f>(AD35&gt;'Assumptions &amp; Results'!$C$139)*(AD35-'Assumptions &amp; Results'!$C$139)</f>
        <v>150</v>
      </c>
      <c r="AE41" s="186">
        <f>(AE35&gt;'Assumptions &amp; Results'!$C$139)*(AE35-'Assumptions &amp; Results'!$C$139)</f>
        <v>150</v>
      </c>
      <c r="AF41" s="186">
        <f>(AF35&gt;'Assumptions &amp; Results'!$C$139)*(AF35-'Assumptions &amp; Results'!$C$139)</f>
        <v>150</v>
      </c>
      <c r="AG41" s="186">
        <f>(AG35&gt;'Assumptions &amp; Results'!$C$139)*(AG35-'Assumptions &amp; Results'!$C$139)</f>
        <v>150</v>
      </c>
      <c r="AH41" s="186">
        <f>(AH35&gt;'Assumptions &amp; Results'!$C$139)*(AH35-'Assumptions &amp; Results'!$C$139)</f>
        <v>150</v>
      </c>
      <c r="AI41" s="186">
        <f>(AI35&gt;'Assumptions &amp; Results'!$C$139)*(AI35-'Assumptions &amp; Results'!$C$139)</f>
        <v>150</v>
      </c>
      <c r="AJ41" s="127"/>
    </row>
    <row r="42" spans="1:36" s="185" customFormat="1" x14ac:dyDescent="0.2">
      <c r="A42" s="187" t="s">
        <v>261</v>
      </c>
      <c r="C42" s="15">
        <f>SUMPRODUCT((C36:C41*'Assumptions &amp; Results'!$C$141:$C$146/(IF('Field 2 Fiscal'!C35&gt;0,'Field 2 Fiscal'!C35,1))))</f>
        <v>0</v>
      </c>
      <c r="D42" s="15">
        <f>SUMPRODUCT((D36:D41*'Assumptions &amp; Results'!$C$141:$C$146/(IF('Field 1 Fiscal'!D35&gt;0,'Field 1 Fiscal'!D35,1))))</f>
        <v>0</v>
      </c>
      <c r="E42" s="15">
        <f>SUMPRODUCT((E36:E41*'Assumptions &amp; Results'!$C$141:$C$146/(IF('Field 1 Fiscal'!E35&gt;0,'Field 1 Fiscal'!E35,1))))</f>
        <v>0</v>
      </c>
      <c r="F42" s="15">
        <f>SUMPRODUCT((F36:F41*'Assumptions &amp; Results'!$C$141:$C$146/(IF('Field 1 Fiscal'!F35&gt;0,'Field 1 Fiscal'!F35,1))))</f>
        <v>0</v>
      </c>
      <c r="G42" s="15">
        <f>SUMPRODUCT((G36:G41*'Assumptions &amp; Results'!$C$141:$C$146/(IF('Field 1 Fiscal'!G35&gt;0,'Field 1 Fiscal'!G35,1))))</f>
        <v>0.33863636363636362</v>
      </c>
      <c r="H42" s="15">
        <f>SUMPRODUCT((H36:H41*'Assumptions &amp; Results'!$C$141:$C$146/(IF('Field 1 Fiscal'!H35&gt;0,'Field 1 Fiscal'!H35,1))))</f>
        <v>0.3863636363636363</v>
      </c>
      <c r="I42" s="15">
        <f>SUMPRODUCT((I36:I41*'Assumptions &amp; Results'!$C$141:$C$146/(IF('Field 1 Fiscal'!I35&gt;0,'Field 1 Fiscal'!I35,1))))</f>
        <v>0.3863636363636363</v>
      </c>
      <c r="J42" s="15">
        <f>SUMPRODUCT((J36:J41*'Assumptions &amp; Results'!$C$141:$C$146/(IF('Field 1 Fiscal'!J35&gt;0,'Field 1 Fiscal'!J35,1))))</f>
        <v>0.3863636363636363</v>
      </c>
      <c r="K42" s="15">
        <f>SUMPRODUCT((K36:K41*'Assumptions &amp; Results'!$C$141:$C$146/(IF('Field 1 Fiscal'!K35&gt;0,'Field 1 Fiscal'!K35,1))))</f>
        <v>0.3863636363636363</v>
      </c>
      <c r="L42" s="15">
        <f>SUMPRODUCT((L36:L41*'Assumptions &amp; Results'!$C$141:$C$146/(IF('Field 1 Fiscal'!L35&gt;0,'Field 1 Fiscal'!L35,1))))</f>
        <v>0.3863636363636363</v>
      </c>
      <c r="M42" s="15">
        <f>SUMPRODUCT((M36:M41*'Assumptions &amp; Results'!$C$141:$C$146/(IF('Field 1 Fiscal'!M35&gt;0,'Field 1 Fiscal'!M35,1))))</f>
        <v>0.3863636363636363</v>
      </c>
      <c r="N42" s="15">
        <f>SUMPRODUCT((N36:N41*'Assumptions &amp; Results'!$C$141:$C$146/(IF('Field 1 Fiscal'!N35&gt;0,'Field 1 Fiscal'!N35,1))))</f>
        <v>0.3863636363636363</v>
      </c>
      <c r="O42" s="15">
        <f>SUMPRODUCT((O36:O41*'Assumptions &amp; Results'!$C$141:$C$146/(IF('Field 1 Fiscal'!O35&gt;0,'Field 1 Fiscal'!O35,1))))</f>
        <v>0.3863636363636363</v>
      </c>
      <c r="P42" s="15">
        <f>SUMPRODUCT((P36:P41*'Assumptions &amp; Results'!$C$141:$C$146/(IF('Field 1 Fiscal'!P35&gt;0,'Field 1 Fiscal'!P35,1))))</f>
        <v>0.3863636363636363</v>
      </c>
      <c r="Q42" s="15">
        <f>SUMPRODUCT((Q36:Q41*'Assumptions &amp; Results'!$C$141:$C$146/(IF('Field 1 Fiscal'!Q35&gt;0,'Field 1 Fiscal'!Q35,1))))</f>
        <v>0.3863636363636363</v>
      </c>
      <c r="R42" s="15">
        <f>SUMPRODUCT((R36:R41*'Assumptions &amp; Results'!$C$141:$C$146/(IF('Field 1 Fiscal'!R35&gt;0,'Field 1 Fiscal'!R35,1))))</f>
        <v>0.3863636363636363</v>
      </c>
      <c r="S42" s="15">
        <f>SUMPRODUCT((S36:S41*'Assumptions &amp; Results'!$C$141:$C$146/(IF('Field 1 Fiscal'!S35&gt;0,'Field 1 Fiscal'!S35,1))))</f>
        <v>0.3863636363636363</v>
      </c>
      <c r="T42" s="15">
        <f>SUMPRODUCT((T36:T41*'Assumptions &amp; Results'!$C$141:$C$146/(IF('Field 1 Fiscal'!T35&gt;0,'Field 1 Fiscal'!T35,1))))</f>
        <v>0.3863636363636363</v>
      </c>
      <c r="U42" s="15">
        <f>SUMPRODUCT((U36:U41*'Assumptions &amp; Results'!$C$141:$C$146/(IF('Field 1 Fiscal'!U35&gt;0,'Field 1 Fiscal'!U35,1))))</f>
        <v>0.3863636363636363</v>
      </c>
      <c r="V42" s="15">
        <f>SUMPRODUCT((V36:V41*'Assumptions &amp; Results'!$C$141:$C$146/(IF('Field 1 Fiscal'!V35&gt;0,'Field 1 Fiscal'!V35,1))))</f>
        <v>0.3863636363636363</v>
      </c>
      <c r="W42" s="15">
        <f>SUMPRODUCT((W36:W41*'Assumptions &amp; Results'!$C$141:$C$146/(IF('Field 1 Fiscal'!W35&gt;0,'Field 1 Fiscal'!W35,1))))</f>
        <v>0.3863636363636363</v>
      </c>
      <c r="X42" s="15">
        <f>SUMPRODUCT((X36:X41*'Assumptions &amp; Results'!$C$141:$C$146/(IF('Field 1 Fiscal'!X35&gt;0,'Field 1 Fiscal'!X35,1))))</f>
        <v>0.3863636363636363</v>
      </c>
      <c r="Y42" s="15">
        <f>SUMPRODUCT((Y36:Y41*'Assumptions &amp; Results'!$C$141:$C$146/(IF('Field 1 Fiscal'!Y35&gt;0,'Field 1 Fiscal'!Y35,1))))</f>
        <v>0.3863636363636363</v>
      </c>
      <c r="Z42" s="15">
        <f>SUMPRODUCT((Z36:Z41*'Assumptions &amp; Results'!$C$141:$C$146/(IF('Field 1 Fiscal'!Z35&gt;0,'Field 1 Fiscal'!Z35,1))))</f>
        <v>0.3863636363636363</v>
      </c>
      <c r="AA42" s="15">
        <f>SUMPRODUCT((AA36:AA41*'Assumptions &amp; Results'!$C$141:$C$146/(IF('Field 1 Fiscal'!AA35&gt;0,'Field 1 Fiscal'!AA35,1))))</f>
        <v>0.3863636363636363</v>
      </c>
      <c r="AB42" s="15">
        <f>SUMPRODUCT((AB36:AB41*'Assumptions &amp; Results'!$C$141:$C$146/(IF('Field 1 Fiscal'!AB35&gt;0,'Field 1 Fiscal'!AB35,1))))</f>
        <v>0.3863636363636363</v>
      </c>
      <c r="AC42" s="15">
        <f>SUMPRODUCT((AC36:AC41*'Assumptions &amp; Results'!$C$141:$C$146/(IF('Field 1 Fiscal'!AC35&gt;0,'Field 1 Fiscal'!AC35,1))))</f>
        <v>0.3863636363636363</v>
      </c>
      <c r="AD42" s="15">
        <f>SUMPRODUCT((AD36:AD41*'Assumptions &amp; Results'!$C$141:$C$146/(IF('Field 1 Fiscal'!AD35&gt;0,'Field 1 Fiscal'!AD35,1))))</f>
        <v>0.3863636363636363</v>
      </c>
      <c r="AE42" s="15">
        <f>SUMPRODUCT((AE36:AE41*'Assumptions &amp; Results'!$C$141:$C$146/(IF('Field 1 Fiscal'!AE35&gt;0,'Field 1 Fiscal'!AE35,1))))</f>
        <v>0.3863636363636363</v>
      </c>
      <c r="AF42" s="15">
        <f>SUMPRODUCT((AF36:AF41*'Assumptions &amp; Results'!$C$141:$C$146/(IF('Field 1 Fiscal'!AF35&gt;0,'Field 1 Fiscal'!AF35,1))))</f>
        <v>0.3863636363636363</v>
      </c>
      <c r="AG42" s="15">
        <f>SUMPRODUCT((AG36:AG41*'Assumptions &amp; Results'!$C$141:$C$146/(IF('Field 1 Fiscal'!AG35&gt;0,'Field 1 Fiscal'!AG35,1))))</f>
        <v>0.3863636363636363</v>
      </c>
      <c r="AH42" s="15">
        <f>SUMPRODUCT((AH36:AH41*'Assumptions &amp; Results'!$C$141:$C$146/(IF('Field 1 Fiscal'!AH35&gt;0,'Field 1 Fiscal'!AH35,1))))</f>
        <v>0.3863636363636363</v>
      </c>
      <c r="AI42" s="15">
        <f>SUMPRODUCT((AI36:AI41*'Assumptions &amp; Results'!$C$141:$C$146/(IF('Field 1 Fiscal'!AI35&gt;0,'Field 1 Fiscal'!AI35,1))))</f>
        <v>0.3863636363636363</v>
      </c>
      <c r="AJ42" s="190"/>
    </row>
    <row r="43" spans="1:36" s="185" customFormat="1" x14ac:dyDescent="0.2">
      <c r="A43" s="184"/>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27"/>
    </row>
    <row r="44" spans="1:36" s="185" customFormat="1" x14ac:dyDescent="0.25">
      <c r="A44" s="185" t="s">
        <v>262</v>
      </c>
      <c r="B44" s="189" t="s">
        <v>99</v>
      </c>
      <c r="C44" s="186">
        <f t="shared" ref="C44:AI44" si="8">C7-C22</f>
        <v>0</v>
      </c>
      <c r="D44" s="186">
        <f t="shared" si="8"/>
        <v>0</v>
      </c>
      <c r="E44" s="186">
        <f t="shared" si="8"/>
        <v>0</v>
      </c>
      <c r="F44" s="186">
        <f t="shared" si="8"/>
        <v>0</v>
      </c>
      <c r="G44" s="186">
        <f t="shared" si="8"/>
        <v>400.33815937500015</v>
      </c>
      <c r="H44" s="186">
        <f t="shared" si="8"/>
        <v>800.67631875000029</v>
      </c>
      <c r="I44" s="186">
        <f t="shared" si="8"/>
        <v>800.67631875000029</v>
      </c>
      <c r="J44" s="186">
        <f t="shared" si="8"/>
        <v>800.90871196874991</v>
      </c>
      <c r="K44" s="186">
        <f t="shared" si="8"/>
        <v>800.67631875000029</v>
      </c>
      <c r="L44" s="186">
        <f t="shared" si="8"/>
        <v>800.67631875000029</v>
      </c>
      <c r="M44" s="186">
        <f t="shared" si="8"/>
        <v>800.67631875000029</v>
      </c>
      <c r="N44" s="186">
        <f t="shared" si="8"/>
        <v>1139.283203031252</v>
      </c>
      <c r="O44" s="186">
        <f t="shared" si="8"/>
        <v>1685.0970056249998</v>
      </c>
      <c r="P44" s="186">
        <f t="shared" si="8"/>
        <v>1684.4330250000007</v>
      </c>
      <c r="Q44" s="186">
        <f t="shared" si="8"/>
        <v>1684.4330250000007</v>
      </c>
      <c r="R44" s="186">
        <f t="shared" si="8"/>
        <v>1684.4330250000007</v>
      </c>
      <c r="S44" s="186">
        <f t="shared" si="8"/>
        <v>1684.4330250000007</v>
      </c>
      <c r="T44" s="186">
        <f t="shared" si="8"/>
        <v>1685.0970056249998</v>
      </c>
      <c r="U44" s="186">
        <f t="shared" si="8"/>
        <v>1684.4330250000007</v>
      </c>
      <c r="V44" s="186">
        <f t="shared" si="8"/>
        <v>1684.4330250000007</v>
      </c>
      <c r="W44" s="186">
        <f t="shared" si="8"/>
        <v>1684.4330250000007</v>
      </c>
      <c r="X44" s="186">
        <f t="shared" si="8"/>
        <v>1684.4330250000007</v>
      </c>
      <c r="Y44" s="186">
        <f t="shared" si="8"/>
        <v>1685.0970056249998</v>
      </c>
      <c r="Z44" s="186">
        <f t="shared" si="8"/>
        <v>1684.4330250000007</v>
      </c>
      <c r="AA44" s="186">
        <f t="shared" si="8"/>
        <v>1684.4330250000007</v>
      </c>
      <c r="AB44" s="186">
        <f t="shared" si="8"/>
        <v>1684.4330250000007</v>
      </c>
      <c r="AC44" s="186">
        <f t="shared" si="8"/>
        <v>1684.4330250000007</v>
      </c>
      <c r="AD44" s="186">
        <f t="shared" si="8"/>
        <v>1685.0970056249998</v>
      </c>
      <c r="AE44" s="186">
        <f t="shared" si="8"/>
        <v>1684.4330250000007</v>
      </c>
      <c r="AF44" s="186">
        <f t="shared" si="8"/>
        <v>1684.4330250000007</v>
      </c>
      <c r="AG44" s="186">
        <f t="shared" si="8"/>
        <v>1384.4330250000007</v>
      </c>
      <c r="AH44" s="186">
        <f t="shared" si="8"/>
        <v>1384.4330250000007</v>
      </c>
      <c r="AI44" s="186">
        <f t="shared" si="8"/>
        <v>1084.4330250000007</v>
      </c>
      <c r="AJ44" s="127">
        <f t="shared" ref="AJ44:AJ51" si="9">SUM(C44:AI44)</f>
        <v>40519.661115625015</v>
      </c>
    </row>
    <row r="45" spans="1:36" x14ac:dyDescent="0.25">
      <c r="A45" t="s">
        <v>263</v>
      </c>
      <c r="B45" s="96" t="s">
        <v>99</v>
      </c>
      <c r="C45" s="8">
        <f>IF('Assumptions &amp; Results'!$C$130=1,C32*C44,'Field 1 Fiscal'!C42*C44)</f>
        <v>0</v>
      </c>
      <c r="D45" s="8">
        <f>IF('Assumptions &amp; Results'!$C$130=1,D32*D44,'Field 1 Fiscal'!D42*D44)</f>
        <v>0</v>
      </c>
      <c r="E45" s="8">
        <f>IF('Assumptions &amp; Results'!$C$130=1,E32*E44,'Field 1 Fiscal'!E42*E44)</f>
        <v>0</v>
      </c>
      <c r="F45" s="8">
        <f>IF('Assumptions &amp; Results'!$C$130=1,F32*F44,'Field 1 Fiscal'!F42*F44)</f>
        <v>0</v>
      </c>
      <c r="G45" s="8">
        <f>IF('Assumptions &amp; Results'!$C$130=1,G32*G44,'Field 1 Fiscal'!G42*G44)</f>
        <v>40.033815937500016</v>
      </c>
      <c r="H45" s="8">
        <f>IF('Assumptions &amp; Results'!$C$130=1,H32*H44,'Field 1 Fiscal'!H42*H44)</f>
        <v>80.067631875000032</v>
      </c>
      <c r="I45" s="8">
        <f>IF('Assumptions &amp; Results'!$C$130=1,I32*I44,'Field 1 Fiscal'!I42*I44)</f>
        <v>80.067631875000032</v>
      </c>
      <c r="J45" s="8">
        <f>IF('Assumptions &amp; Results'!$C$130=1,J32*J44,'Field 1 Fiscal'!J42*J44)</f>
        <v>80.090871196875</v>
      </c>
      <c r="K45" s="8">
        <f>IF('Assumptions &amp; Results'!$C$130=1,K32*K44,'Field 1 Fiscal'!K42*K44)</f>
        <v>160.13526375000006</v>
      </c>
      <c r="L45" s="8">
        <f>IF('Assumptions &amp; Results'!$C$130=1,L32*L44,'Field 1 Fiscal'!L42*L44)</f>
        <v>160.13526375000006</v>
      </c>
      <c r="M45" s="8">
        <f>IF('Assumptions &amp; Results'!$C$130=1,M32*M44,'Field 1 Fiscal'!M42*M44)</f>
        <v>160.13526375000006</v>
      </c>
      <c r="N45" s="8">
        <f>IF('Assumptions &amp; Results'!$C$130=1,N32*N44,'Field 1 Fiscal'!N42*N44)</f>
        <v>227.85664060625041</v>
      </c>
      <c r="O45" s="8">
        <f>IF('Assumptions &amp; Results'!$C$130=1,O32*O44,'Field 1 Fiscal'!O42*O44)</f>
        <v>505.52910168749992</v>
      </c>
      <c r="P45" s="8">
        <f>IF('Assumptions &amp; Results'!$C$130=1,P32*P44,'Field 1 Fiscal'!P42*P44)</f>
        <v>505.32990750000022</v>
      </c>
      <c r="Q45" s="8">
        <f>IF('Assumptions &amp; Results'!$C$130=1,Q32*Q44,'Field 1 Fiscal'!Q42*Q44)</f>
        <v>505.32990750000022</v>
      </c>
      <c r="R45" s="8">
        <f>IF('Assumptions &amp; Results'!$C$130=1,R32*R44,'Field 1 Fiscal'!R42*R44)</f>
        <v>505.32990750000022</v>
      </c>
      <c r="S45" s="8">
        <f>IF('Assumptions &amp; Results'!$C$130=1,S32*S44,'Field 1 Fiscal'!S42*S44)</f>
        <v>842.21651250000036</v>
      </c>
      <c r="T45" s="8">
        <f>IF('Assumptions &amp; Results'!$C$130=1,T32*T44,'Field 1 Fiscal'!T42*T44)</f>
        <v>842.54850281249992</v>
      </c>
      <c r="U45" s="8">
        <f>IF('Assumptions &amp; Results'!$C$130=1,U32*U44,'Field 1 Fiscal'!U42*U44)</f>
        <v>842.21651250000036</v>
      </c>
      <c r="V45" s="8">
        <f>IF('Assumptions &amp; Results'!$C$130=1,V32*V44,'Field 1 Fiscal'!V42*V44)</f>
        <v>842.21651250000036</v>
      </c>
      <c r="W45" s="8">
        <f>IF('Assumptions &amp; Results'!$C$130=1,W32*W44,'Field 1 Fiscal'!W42*W44)</f>
        <v>842.21651250000036</v>
      </c>
      <c r="X45" s="8">
        <f>IF('Assumptions &amp; Results'!$C$130=1,X32*X44,'Field 1 Fiscal'!X42*X44)</f>
        <v>842.21651250000036</v>
      </c>
      <c r="Y45" s="8">
        <f>IF('Assumptions &amp; Results'!$C$130=1,Y32*Y44,'Field 1 Fiscal'!Y42*Y44)</f>
        <v>1011.0582033749998</v>
      </c>
      <c r="Z45" s="8">
        <f>IF('Assumptions &amp; Results'!$C$130=1,Z32*Z44,'Field 1 Fiscal'!Z42*Z44)</f>
        <v>1010.6598150000004</v>
      </c>
      <c r="AA45" s="8">
        <f>IF('Assumptions &amp; Results'!$C$130=1,AA32*AA44,'Field 1 Fiscal'!AA42*AA44)</f>
        <v>1010.6598150000004</v>
      </c>
      <c r="AB45" s="8">
        <f>IF('Assumptions &amp; Results'!$C$130=1,AB32*AB44,'Field 1 Fiscal'!AB42*AB44)</f>
        <v>1010.6598150000004</v>
      </c>
      <c r="AC45" s="8">
        <f>IF('Assumptions &amp; Results'!$C$130=1,AC32*AC44,'Field 1 Fiscal'!AC42*AC44)</f>
        <v>1010.6598150000004</v>
      </c>
      <c r="AD45" s="8">
        <f>IF('Assumptions &amp; Results'!$C$130=1,AD32*AD44,'Field 1 Fiscal'!AD42*AD44)</f>
        <v>1011.0582033749998</v>
      </c>
      <c r="AE45" s="8">
        <f>IF('Assumptions &amp; Results'!$C$130=1,AE32*AE44,'Field 1 Fiscal'!AE42*AE44)</f>
        <v>1010.6598150000004</v>
      </c>
      <c r="AF45" s="8">
        <f>IF('Assumptions &amp; Results'!$C$130=1,AF32*AF44,'Field 1 Fiscal'!AF42*AF44)</f>
        <v>1010.6598150000004</v>
      </c>
      <c r="AG45" s="8">
        <f>IF('Assumptions &amp; Results'!$C$130=1,AG32*AG44,'Field 1 Fiscal'!AG42*AG44)</f>
        <v>830.65981500000044</v>
      </c>
      <c r="AH45" s="8">
        <f>IF('Assumptions &amp; Results'!$C$130=1,AH32*AH44,'Field 1 Fiscal'!AH42*AH44)</f>
        <v>830.65981500000044</v>
      </c>
      <c r="AI45" s="8">
        <f>IF('Assumptions &amp; Results'!$C$130=1,AI32*AI44,'Field 1 Fiscal'!AI42*AI44)</f>
        <v>650.65981500000044</v>
      </c>
      <c r="AJ45" s="125">
        <f t="shared" si="9"/>
        <v>18461.727013990629</v>
      </c>
    </row>
    <row r="46" spans="1:36" x14ac:dyDescent="0.25">
      <c r="A46" t="s">
        <v>264</v>
      </c>
      <c r="B46" s="96" t="s">
        <v>99</v>
      </c>
      <c r="C46" s="8">
        <f>C44-C45</f>
        <v>0</v>
      </c>
      <c r="D46" s="8">
        <f t="shared" ref="D46:AI46" si="10">D44-D45</f>
        <v>0</v>
      </c>
      <c r="E46" s="8">
        <f t="shared" si="10"/>
        <v>0</v>
      </c>
      <c r="F46" s="8">
        <f t="shared" si="10"/>
        <v>0</v>
      </c>
      <c r="G46" s="8">
        <f t="shared" si="10"/>
        <v>360.30434343750011</v>
      </c>
      <c r="H46" s="8">
        <f t="shared" si="10"/>
        <v>720.60868687500022</v>
      </c>
      <c r="I46" s="8">
        <f t="shared" si="10"/>
        <v>720.60868687500022</v>
      </c>
      <c r="J46" s="8">
        <f t="shared" si="10"/>
        <v>720.8178407718749</v>
      </c>
      <c r="K46" s="8">
        <f t="shared" si="10"/>
        <v>640.54105500000026</v>
      </c>
      <c r="L46" s="8">
        <f t="shared" si="10"/>
        <v>640.54105500000026</v>
      </c>
      <c r="M46" s="8">
        <f t="shared" si="10"/>
        <v>640.54105500000026</v>
      </c>
      <c r="N46" s="8">
        <f t="shared" si="10"/>
        <v>911.42656242500163</v>
      </c>
      <c r="O46" s="8">
        <f t="shared" si="10"/>
        <v>1179.5679039375</v>
      </c>
      <c r="P46" s="8">
        <f t="shared" si="10"/>
        <v>1179.1031175000005</v>
      </c>
      <c r="Q46" s="8">
        <f t="shared" si="10"/>
        <v>1179.1031175000005</v>
      </c>
      <c r="R46" s="8">
        <f t="shared" si="10"/>
        <v>1179.1031175000005</v>
      </c>
      <c r="S46" s="8">
        <f t="shared" si="10"/>
        <v>842.21651250000036</v>
      </c>
      <c r="T46" s="8">
        <f t="shared" si="10"/>
        <v>842.54850281249992</v>
      </c>
      <c r="U46" s="8">
        <f t="shared" si="10"/>
        <v>842.21651250000036</v>
      </c>
      <c r="V46" s="8">
        <f t="shared" si="10"/>
        <v>842.21651250000036</v>
      </c>
      <c r="W46" s="8">
        <f t="shared" si="10"/>
        <v>842.21651250000036</v>
      </c>
      <c r="X46" s="8">
        <f t="shared" si="10"/>
        <v>842.21651250000036</v>
      </c>
      <c r="Y46" s="8">
        <f t="shared" si="10"/>
        <v>674.03880225</v>
      </c>
      <c r="Z46" s="8">
        <f t="shared" si="10"/>
        <v>673.77321000000029</v>
      </c>
      <c r="AA46" s="8">
        <f t="shared" si="10"/>
        <v>673.77321000000029</v>
      </c>
      <c r="AB46" s="8">
        <f t="shared" si="10"/>
        <v>673.77321000000029</v>
      </c>
      <c r="AC46" s="8">
        <f t="shared" si="10"/>
        <v>673.77321000000029</v>
      </c>
      <c r="AD46" s="8">
        <f t="shared" si="10"/>
        <v>674.03880225</v>
      </c>
      <c r="AE46" s="8">
        <f t="shared" si="10"/>
        <v>673.77321000000029</v>
      </c>
      <c r="AF46" s="8">
        <f t="shared" si="10"/>
        <v>673.77321000000029</v>
      </c>
      <c r="AG46" s="8">
        <f t="shared" si="10"/>
        <v>553.77321000000029</v>
      </c>
      <c r="AH46" s="8">
        <f t="shared" si="10"/>
        <v>553.77321000000029</v>
      </c>
      <c r="AI46" s="8">
        <f t="shared" si="10"/>
        <v>433.77321000000029</v>
      </c>
      <c r="AJ46" s="125">
        <f t="shared" si="9"/>
        <v>22057.934101634382</v>
      </c>
    </row>
    <row r="47" spans="1:36" x14ac:dyDescent="0.25">
      <c r="B47" s="96"/>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125"/>
    </row>
    <row r="48" spans="1:36" x14ac:dyDescent="0.25">
      <c r="A48" t="s">
        <v>265</v>
      </c>
      <c r="B48" s="96" t="s">
        <v>99</v>
      </c>
      <c r="C48" s="8">
        <f>C22+C46-C9-C16-C26-C17-C10</f>
        <v>-1050</v>
      </c>
      <c r="D48" s="8">
        <f t="shared" ref="D48:AI48" si="11">D22+D46-D9-D16-D26-D17-D10</f>
        <v>-155</v>
      </c>
      <c r="E48" s="8">
        <f t="shared" si="11"/>
        <v>-367.5</v>
      </c>
      <c r="F48" s="8">
        <f t="shared" si="11"/>
        <v>-842.5</v>
      </c>
      <c r="G48" s="8">
        <f t="shared" si="11"/>
        <v>-472.98695656249976</v>
      </c>
      <c r="H48" s="8">
        <f t="shared" si="11"/>
        <v>296.52608687500049</v>
      </c>
      <c r="I48" s="8">
        <f t="shared" si="11"/>
        <v>509.02608687500049</v>
      </c>
      <c r="J48" s="8">
        <f t="shared" si="11"/>
        <v>991.63862474062489</v>
      </c>
      <c r="K48" s="8">
        <f t="shared" si="11"/>
        <v>1316.4584550000009</v>
      </c>
      <c r="L48" s="8">
        <f t="shared" si="11"/>
        <v>1383.9584550000009</v>
      </c>
      <c r="M48" s="8">
        <f t="shared" si="11"/>
        <v>1383.9584550000009</v>
      </c>
      <c r="N48" s="8">
        <f t="shared" si="11"/>
        <v>1316.2370781437503</v>
      </c>
      <c r="O48" s="8">
        <f t="shared" si="11"/>
        <v>1046.20039425</v>
      </c>
      <c r="P48" s="8">
        <f t="shared" si="11"/>
        <v>1038.7638112500006</v>
      </c>
      <c r="Q48" s="8">
        <f t="shared" si="11"/>
        <v>1038.7638112500006</v>
      </c>
      <c r="R48" s="8">
        <f t="shared" si="11"/>
        <v>1038.7638112500006</v>
      </c>
      <c r="S48" s="8">
        <f t="shared" si="11"/>
        <v>701.87720625000031</v>
      </c>
      <c r="T48" s="8">
        <f t="shared" si="11"/>
        <v>709.18099312499999</v>
      </c>
      <c r="U48" s="8">
        <f t="shared" si="11"/>
        <v>701.87720625000031</v>
      </c>
      <c r="V48" s="8">
        <f t="shared" si="11"/>
        <v>701.87720625000031</v>
      </c>
      <c r="W48" s="8">
        <f t="shared" si="11"/>
        <v>701.87720625000031</v>
      </c>
      <c r="X48" s="8">
        <f t="shared" si="11"/>
        <v>701.87720625000031</v>
      </c>
      <c r="Y48" s="8">
        <f t="shared" si="11"/>
        <v>540.67129256250018</v>
      </c>
      <c r="Z48" s="8">
        <f t="shared" si="11"/>
        <v>533.43390375000024</v>
      </c>
      <c r="AA48" s="8">
        <f t="shared" si="11"/>
        <v>533.43390375000024</v>
      </c>
      <c r="AB48" s="8">
        <f t="shared" si="11"/>
        <v>533.43390375000024</v>
      </c>
      <c r="AC48" s="8">
        <f t="shared" si="11"/>
        <v>533.43390375000024</v>
      </c>
      <c r="AD48" s="8">
        <f t="shared" si="11"/>
        <v>540.67129256250018</v>
      </c>
      <c r="AE48" s="8">
        <f t="shared" si="11"/>
        <v>533.43390375000024</v>
      </c>
      <c r="AF48" s="8">
        <f t="shared" si="11"/>
        <v>533.43390375000024</v>
      </c>
      <c r="AG48" s="8">
        <f t="shared" si="11"/>
        <v>413.43390375000024</v>
      </c>
      <c r="AH48" s="8">
        <f t="shared" si="11"/>
        <v>413.43390375000024</v>
      </c>
      <c r="AI48" s="8">
        <f t="shared" si="11"/>
        <v>293.43390375000024</v>
      </c>
      <c r="AJ48" s="125">
        <f t="shared" si="9"/>
        <v>18093.122856321883</v>
      </c>
    </row>
    <row r="49" spans="1:36" x14ac:dyDescent="0.25">
      <c r="A49" t="s">
        <v>266</v>
      </c>
      <c r="B49" s="96" t="s">
        <v>99</v>
      </c>
      <c r="C49" s="8">
        <f>IF(C48&lt;0,C48,0)</f>
        <v>-1050</v>
      </c>
      <c r="D49" s="8">
        <f>IF((D48+C49)&lt;0,(D48+C49),0)</f>
        <v>-1205</v>
      </c>
      <c r="E49" s="8">
        <f t="shared" ref="E49:AI49" si="12">IF((E48+D49)&lt;0,(E48+D49),0)</f>
        <v>-1572.5</v>
      </c>
      <c r="F49" s="8">
        <f t="shared" si="12"/>
        <v>-2415</v>
      </c>
      <c r="G49" s="8">
        <f t="shared" si="12"/>
        <v>-2887.9869565624999</v>
      </c>
      <c r="H49" s="8">
        <f t="shared" si="12"/>
        <v>-2591.4608696874993</v>
      </c>
      <c r="I49" s="8">
        <f t="shared" si="12"/>
        <v>-2082.4347828124987</v>
      </c>
      <c r="J49" s="8">
        <f t="shared" si="12"/>
        <v>-1090.7961580718738</v>
      </c>
      <c r="K49" s="8">
        <f t="shared" si="12"/>
        <v>0</v>
      </c>
      <c r="L49" s="8">
        <f t="shared" si="12"/>
        <v>0</v>
      </c>
      <c r="M49" s="8">
        <f t="shared" si="12"/>
        <v>0</v>
      </c>
      <c r="N49" s="8">
        <f t="shared" si="12"/>
        <v>0</v>
      </c>
      <c r="O49" s="8">
        <f t="shared" si="12"/>
        <v>0</v>
      </c>
      <c r="P49" s="8">
        <f t="shared" si="12"/>
        <v>0</v>
      </c>
      <c r="Q49" s="8">
        <f t="shared" si="12"/>
        <v>0</v>
      </c>
      <c r="R49" s="8">
        <f t="shared" si="12"/>
        <v>0</v>
      </c>
      <c r="S49" s="8">
        <f t="shared" si="12"/>
        <v>0</v>
      </c>
      <c r="T49" s="8">
        <f t="shared" si="12"/>
        <v>0</v>
      </c>
      <c r="U49" s="8">
        <f t="shared" si="12"/>
        <v>0</v>
      </c>
      <c r="V49" s="8">
        <f t="shared" si="12"/>
        <v>0</v>
      </c>
      <c r="W49" s="8">
        <f t="shared" si="12"/>
        <v>0</v>
      </c>
      <c r="X49" s="8">
        <f t="shared" si="12"/>
        <v>0</v>
      </c>
      <c r="Y49" s="8">
        <f t="shared" si="12"/>
        <v>0</v>
      </c>
      <c r="Z49" s="8">
        <f t="shared" si="12"/>
        <v>0</v>
      </c>
      <c r="AA49" s="8">
        <f t="shared" si="12"/>
        <v>0</v>
      </c>
      <c r="AB49" s="8">
        <f t="shared" si="12"/>
        <v>0</v>
      </c>
      <c r="AC49" s="8">
        <f t="shared" si="12"/>
        <v>0</v>
      </c>
      <c r="AD49" s="8">
        <f t="shared" si="12"/>
        <v>0</v>
      </c>
      <c r="AE49" s="8">
        <f t="shared" si="12"/>
        <v>0</v>
      </c>
      <c r="AF49" s="8">
        <f t="shared" si="12"/>
        <v>0</v>
      </c>
      <c r="AG49" s="8">
        <f t="shared" si="12"/>
        <v>0</v>
      </c>
      <c r="AH49" s="8">
        <f t="shared" si="12"/>
        <v>0</v>
      </c>
      <c r="AI49" s="8">
        <f t="shared" si="12"/>
        <v>0</v>
      </c>
      <c r="AJ49" s="125"/>
    </row>
    <row r="50" spans="1:36" x14ac:dyDescent="0.25">
      <c r="A50" t="s">
        <v>267</v>
      </c>
      <c r="B50" s="96" t="s">
        <v>99</v>
      </c>
      <c r="C50" s="8"/>
      <c r="D50" s="8">
        <f t="shared" ref="D50:I50" si="13">IF((D48+C49)&gt;0,(D48+C49),0)</f>
        <v>0</v>
      </c>
      <c r="E50" s="8">
        <f t="shared" si="13"/>
        <v>0</v>
      </c>
      <c r="F50" s="8">
        <f t="shared" si="13"/>
        <v>0</v>
      </c>
      <c r="G50" s="8">
        <f t="shared" si="13"/>
        <v>0</v>
      </c>
      <c r="H50" s="8">
        <f t="shared" si="13"/>
        <v>0</v>
      </c>
      <c r="I50" s="8">
        <f t="shared" si="13"/>
        <v>0</v>
      </c>
      <c r="J50" s="8">
        <f>IF((J48+I49)&gt;0,(J48+I49),0)</f>
        <v>0</v>
      </c>
      <c r="K50" s="8">
        <f t="shared" ref="K50:AI50" si="14">IF((K48+J49)&gt;0,(K48+J49),0)</f>
        <v>225.66229692812703</v>
      </c>
      <c r="L50" s="8">
        <f t="shared" si="14"/>
        <v>1383.9584550000009</v>
      </c>
      <c r="M50" s="8">
        <f t="shared" si="14"/>
        <v>1383.9584550000009</v>
      </c>
      <c r="N50" s="8">
        <f t="shared" si="14"/>
        <v>1316.2370781437503</v>
      </c>
      <c r="O50" s="8">
        <f t="shared" si="14"/>
        <v>1046.20039425</v>
      </c>
      <c r="P50" s="8">
        <f t="shared" si="14"/>
        <v>1038.7638112500006</v>
      </c>
      <c r="Q50" s="8">
        <f t="shared" si="14"/>
        <v>1038.7638112500006</v>
      </c>
      <c r="R50" s="8">
        <f t="shared" si="14"/>
        <v>1038.7638112500006</v>
      </c>
      <c r="S50" s="8">
        <f t="shared" si="14"/>
        <v>701.87720625000031</v>
      </c>
      <c r="T50" s="8">
        <f t="shared" si="14"/>
        <v>709.18099312499999</v>
      </c>
      <c r="U50" s="8">
        <f t="shared" si="14"/>
        <v>701.87720625000031</v>
      </c>
      <c r="V50" s="8">
        <f t="shared" si="14"/>
        <v>701.87720625000031</v>
      </c>
      <c r="W50" s="8">
        <f t="shared" si="14"/>
        <v>701.87720625000031</v>
      </c>
      <c r="X50" s="8">
        <f t="shared" si="14"/>
        <v>701.87720625000031</v>
      </c>
      <c r="Y50" s="8">
        <f t="shared" si="14"/>
        <v>540.67129256250018</v>
      </c>
      <c r="Z50" s="8">
        <f t="shared" si="14"/>
        <v>533.43390375000024</v>
      </c>
      <c r="AA50" s="8">
        <f t="shared" si="14"/>
        <v>533.43390375000024</v>
      </c>
      <c r="AB50" s="8">
        <f t="shared" si="14"/>
        <v>533.43390375000024</v>
      </c>
      <c r="AC50" s="8">
        <f t="shared" si="14"/>
        <v>533.43390375000024</v>
      </c>
      <c r="AD50" s="8">
        <f t="shared" si="14"/>
        <v>540.67129256250018</v>
      </c>
      <c r="AE50" s="8">
        <f t="shared" si="14"/>
        <v>533.43390375000024</v>
      </c>
      <c r="AF50" s="8">
        <f t="shared" si="14"/>
        <v>533.43390375000024</v>
      </c>
      <c r="AG50" s="8">
        <f t="shared" si="14"/>
        <v>413.43390375000024</v>
      </c>
      <c r="AH50" s="8">
        <f t="shared" si="14"/>
        <v>413.43390375000024</v>
      </c>
      <c r="AI50" s="8">
        <f t="shared" si="14"/>
        <v>293.43390375000024</v>
      </c>
      <c r="AJ50" s="125">
        <f t="shared" si="9"/>
        <v>18093.122856321883</v>
      </c>
    </row>
    <row r="51" spans="1:36" x14ac:dyDescent="0.25">
      <c r="A51" t="s">
        <v>268</v>
      </c>
      <c r="B51" s="96" t="s">
        <v>99</v>
      </c>
      <c r="C51" s="8">
        <f>C50*('Assumptions &amp; Results'!$C$122-'Assumptions &amp; Results'!D128)</f>
        <v>0</v>
      </c>
      <c r="D51" s="8">
        <f>D50*('Assumptions &amp; Results'!$C$122-'Assumptions &amp; Results'!E128)</f>
        <v>0</v>
      </c>
      <c r="E51" s="8">
        <f>E50*('Assumptions &amp; Results'!$C$122-'Assumptions &amp; Results'!F128)</f>
        <v>0</v>
      </c>
      <c r="F51" s="8">
        <f>F50*('Assumptions &amp; Results'!$C$122-'Assumptions &amp; Results'!G128)</f>
        <v>0</v>
      </c>
      <c r="G51" s="8">
        <f>G50*('Assumptions &amp; Results'!$C$122-'Assumptions &amp; Results'!H128)</f>
        <v>0</v>
      </c>
      <c r="H51" s="8">
        <f>H50*('Assumptions &amp; Results'!$C$122-'Assumptions &amp; Results'!I128)</f>
        <v>0</v>
      </c>
      <c r="I51" s="8">
        <f>I50*('Assumptions &amp; Results'!$C$122-'Assumptions &amp; Results'!J128)</f>
        <v>0</v>
      </c>
      <c r="J51" s="8">
        <f>J50*('Assumptions &amp; Results'!$C$122-'Assumptions &amp; Results'!K128)</f>
        <v>0</v>
      </c>
      <c r="K51" s="8">
        <f>K50*('Assumptions &amp; Results'!$C$122-'Assumptions &amp; Results'!L128)</f>
        <v>72.211935017000656</v>
      </c>
      <c r="L51" s="8">
        <f>L50*('Assumptions &amp; Results'!$C$122-'Assumptions &amp; Results'!M128)</f>
        <v>442.86670560000027</v>
      </c>
      <c r="M51" s="8">
        <f>M50*('Assumptions &amp; Results'!$C$122-'Assumptions &amp; Results'!N128)</f>
        <v>442.86670560000027</v>
      </c>
      <c r="N51" s="8">
        <f>N50*('Assumptions &amp; Results'!$C$122-'Assumptions &amp; Results'!O128)</f>
        <v>421.19586500600008</v>
      </c>
      <c r="O51" s="8">
        <f>O50*('Assumptions &amp; Results'!$C$122-'Assumptions &amp; Results'!P128)</f>
        <v>334.78412616000003</v>
      </c>
      <c r="P51" s="8">
        <f>P50*('Assumptions &amp; Results'!$C$122-'Assumptions &amp; Results'!Q128)</f>
        <v>332.40441960000021</v>
      </c>
      <c r="Q51" s="8">
        <f>Q50*('Assumptions &amp; Results'!$C$122-'Assumptions &amp; Results'!R128)</f>
        <v>332.40441960000021</v>
      </c>
      <c r="R51" s="8">
        <f>R50*('Assumptions &amp; Results'!$C$122-'Assumptions &amp; Results'!S128)</f>
        <v>332.40441960000021</v>
      </c>
      <c r="S51" s="8">
        <f>S50*('Assumptions &amp; Results'!$C$122-'Assumptions &amp; Results'!T128)</f>
        <v>224.60070600000012</v>
      </c>
      <c r="T51" s="8">
        <f>T50*('Assumptions &amp; Results'!$C$122-'Assumptions &amp; Results'!U128)</f>
        <v>226.93791780000001</v>
      </c>
      <c r="U51" s="8">
        <f>U50*('Assumptions &amp; Results'!$C$122-'Assumptions &amp; Results'!V128)</f>
        <v>224.60070600000012</v>
      </c>
      <c r="V51" s="8">
        <f>V50*('Assumptions &amp; Results'!$C$122-'Assumptions &amp; Results'!W128)</f>
        <v>224.60070600000012</v>
      </c>
      <c r="W51" s="8">
        <f>W50*('Assumptions &amp; Results'!$C$122-'Assumptions &amp; Results'!X128)</f>
        <v>224.60070600000012</v>
      </c>
      <c r="X51" s="8">
        <f>X50*('Assumptions &amp; Results'!$C$122-'Assumptions &amp; Results'!Y128)</f>
        <v>224.60070600000012</v>
      </c>
      <c r="Y51" s="8">
        <f>Y50*('Assumptions &amp; Results'!$C$122-'Assumptions &amp; Results'!Z128)</f>
        <v>173.01481362000007</v>
      </c>
      <c r="Z51" s="8">
        <f>Z50*('Assumptions &amp; Results'!$C$122-'Assumptions &amp; Results'!AA128)</f>
        <v>170.69884920000007</v>
      </c>
      <c r="AA51" s="8">
        <f>AA50*('Assumptions &amp; Results'!$C$122-'Assumptions &amp; Results'!AB128)</f>
        <v>170.69884920000007</v>
      </c>
      <c r="AB51" s="8">
        <f>AB50*('Assumptions &amp; Results'!$C$122-'Assumptions &amp; Results'!AC128)</f>
        <v>170.69884920000007</v>
      </c>
      <c r="AC51" s="8">
        <f>AC50*('Assumptions &amp; Results'!$C$122-'Assumptions &amp; Results'!AD128)</f>
        <v>170.69884920000007</v>
      </c>
      <c r="AD51" s="8">
        <f>AD50*('Assumptions &amp; Results'!$C$122-'Assumptions &amp; Results'!AE128)</f>
        <v>173.01481362000007</v>
      </c>
      <c r="AE51" s="8">
        <f>AE50*('Assumptions &amp; Results'!$C$122-'Assumptions &amp; Results'!AF128)</f>
        <v>170.69884920000007</v>
      </c>
      <c r="AF51" s="8">
        <f>AF50*('Assumptions &amp; Results'!$C$122-'Assumptions &amp; Results'!AG128)</f>
        <v>170.69884920000007</v>
      </c>
      <c r="AG51" s="8">
        <f>AG50*('Assumptions &amp; Results'!$C$122-'Assumptions &amp; Results'!AH128)</f>
        <v>132.29884920000009</v>
      </c>
      <c r="AH51" s="8">
        <f>AH50*('Assumptions &amp; Results'!$C$122-'Assumptions &amp; Results'!AI128)</f>
        <v>132.29884920000009</v>
      </c>
      <c r="AI51" s="8">
        <f>AI50*('Assumptions &amp; Results'!$C$122-'Assumptions &amp; Results'!AJ128)</f>
        <v>93.898849200000072</v>
      </c>
      <c r="AJ51" s="125">
        <f t="shared" si="9"/>
        <v>5789.7993140230046</v>
      </c>
    </row>
    <row r="52" spans="1:36" x14ac:dyDescent="0.25">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125"/>
    </row>
    <row r="53" spans="1:36" x14ac:dyDescent="0.25">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125"/>
    </row>
    <row r="54" spans="1:36" x14ac:dyDescent="0.25">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125"/>
    </row>
  </sheetData>
  <pageMargins left="0.7" right="0.7" top="0.75" bottom="0.75" header="0.3" footer="0.3"/>
  <pageSetup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FF0000"/>
  </sheetPr>
  <dimension ref="A1:AJ86"/>
  <sheetViews>
    <sheetView topLeftCell="A32" workbookViewId="0">
      <pane xSplit="1" topLeftCell="B1" activePane="topRight" state="frozen"/>
      <selection activeCell="AA18" sqref="AA18"/>
      <selection pane="topRight" activeCell="C39" sqref="C39"/>
    </sheetView>
  </sheetViews>
  <sheetFormatPr defaultColWidth="8.85546875" defaultRowHeight="15" x14ac:dyDescent="0.25"/>
  <cols>
    <col min="1" max="1" width="53.85546875" customWidth="1"/>
    <col min="2" max="2" width="13.140625" customWidth="1"/>
    <col min="3" max="3" width="10.85546875" customWidth="1"/>
    <col min="4" max="8" width="10.7109375" bestFit="1" customWidth="1"/>
    <col min="9" max="16" width="11.28515625" bestFit="1" customWidth="1"/>
    <col min="17" max="35" width="10.7109375" bestFit="1" customWidth="1"/>
    <col min="36" max="36" width="12.85546875" style="124" customWidth="1"/>
  </cols>
  <sheetData>
    <row r="1" spans="1:36" s="99" customFormat="1" ht="21" x14ac:dyDescent="0.25">
      <c r="A1" s="197" t="s">
        <v>269</v>
      </c>
      <c r="B1" s="211"/>
      <c r="C1" s="97"/>
      <c r="D1" s="211"/>
      <c r="E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2"/>
    </row>
    <row r="2" spans="1:36" s="99" customFormat="1" ht="21" x14ac:dyDescent="0.25">
      <c r="A2" s="197"/>
      <c r="B2" s="117" t="str">
        <f>IF('Assumptions &amp; Results'!$C$172=3,"INVALID","VALID")</f>
        <v>VALID</v>
      </c>
      <c r="C2" s="235" t="s">
        <v>570</v>
      </c>
      <c r="D2" s="211"/>
      <c r="E2" s="211"/>
      <c r="F2" s="235"/>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36"/>
    </row>
    <row r="3" spans="1:36" x14ac:dyDescent="0.2">
      <c r="B3" t="s">
        <v>234</v>
      </c>
      <c r="C3" s="1">
        <f>'Assumptions &amp; Results'!D2</f>
        <v>2017</v>
      </c>
      <c r="D3" s="1">
        <f>'Assumptions &amp; Results'!E2</f>
        <v>2018</v>
      </c>
      <c r="E3" s="1">
        <f>'Assumptions &amp; Results'!F2</f>
        <v>2019</v>
      </c>
      <c r="F3" s="1"/>
      <c r="G3" s="1">
        <f>'Assumptions &amp; Results'!H2</f>
        <v>2021</v>
      </c>
      <c r="H3" s="1">
        <f>'Assumptions &amp; Results'!I2</f>
        <v>2022</v>
      </c>
      <c r="I3" s="1">
        <f>'Assumptions &amp; Results'!J2</f>
        <v>2023</v>
      </c>
      <c r="J3" s="1">
        <f>'Assumptions &amp; Results'!K2</f>
        <v>2024</v>
      </c>
      <c r="K3" s="1">
        <f>'Assumptions &amp; Results'!L2</f>
        <v>2025</v>
      </c>
      <c r="L3" s="1">
        <f>'Assumptions &amp; Results'!M2</f>
        <v>2026</v>
      </c>
      <c r="M3" s="1">
        <f>'Assumptions &amp; Results'!N2</f>
        <v>2027</v>
      </c>
      <c r="N3" s="1">
        <f>'Assumptions &amp; Results'!O2</f>
        <v>2028</v>
      </c>
      <c r="O3" s="1">
        <f>'Assumptions &amp; Results'!P2</f>
        <v>2029</v>
      </c>
      <c r="P3" s="1">
        <f>'Assumptions &amp; Results'!Q2</f>
        <v>2030</v>
      </c>
      <c r="Q3" s="1">
        <f>'Assumptions &amp; Results'!R2</f>
        <v>2031</v>
      </c>
      <c r="R3" s="1">
        <f>'Assumptions &amp; Results'!S2</f>
        <v>2032</v>
      </c>
      <c r="S3" s="1">
        <f>'Assumptions &amp; Results'!T2</f>
        <v>2033</v>
      </c>
      <c r="T3" s="1">
        <f>'Assumptions &amp; Results'!U2</f>
        <v>2034</v>
      </c>
      <c r="U3" s="1">
        <f>'Assumptions &amp; Results'!V2</f>
        <v>2035</v>
      </c>
      <c r="V3" s="1">
        <f>'Assumptions &amp; Results'!W2</f>
        <v>2036</v>
      </c>
      <c r="W3" s="1">
        <f>'Assumptions &amp; Results'!X2</f>
        <v>2037</v>
      </c>
      <c r="X3" s="1">
        <f>'Assumptions &amp; Results'!Y2</f>
        <v>2038</v>
      </c>
      <c r="Y3" s="1">
        <f>'Assumptions &amp; Results'!Z2</f>
        <v>2039</v>
      </c>
      <c r="Z3" s="1">
        <f>'Assumptions &amp; Results'!AA2</f>
        <v>2040</v>
      </c>
      <c r="AA3" s="1">
        <f>'Assumptions &amp; Results'!AB2</f>
        <v>2041</v>
      </c>
      <c r="AB3" s="1">
        <f>'Assumptions &amp; Results'!AC2</f>
        <v>2042</v>
      </c>
      <c r="AC3" s="1">
        <f>'Assumptions &amp; Results'!AD2</f>
        <v>2043</v>
      </c>
      <c r="AD3" s="1">
        <f>'Assumptions &amp; Results'!AE2</f>
        <v>2044</v>
      </c>
      <c r="AE3" s="1">
        <f>'Assumptions &amp; Results'!AF2</f>
        <v>2045</v>
      </c>
      <c r="AF3" s="1">
        <f>'Assumptions &amp; Results'!AG2</f>
        <v>2046</v>
      </c>
      <c r="AG3" s="1">
        <f>'Assumptions &amp; Results'!AH2</f>
        <v>2047</v>
      </c>
      <c r="AH3" s="1">
        <f>'Assumptions &amp; Results'!AI2</f>
        <v>2048</v>
      </c>
      <c r="AI3" s="1">
        <f>'Assumptions &amp; Results'!AJ2</f>
        <v>2049</v>
      </c>
      <c r="AJ3" s="130" t="s">
        <v>63</v>
      </c>
    </row>
    <row r="4" spans="1:36" x14ac:dyDescent="0.2">
      <c r="A4" s="74" t="str">
        <f>'Assumptions &amp; Results'!A40</f>
        <v>Total Upstream Capital Expenditures Block 1</v>
      </c>
      <c r="B4" t="str">
        <f>'Assumptions &amp; Results'!B40</f>
        <v>$MM</v>
      </c>
      <c r="C4" s="8">
        <f>'Assumptions &amp; Results'!D40</f>
        <v>200</v>
      </c>
      <c r="D4" s="8">
        <f>'Assumptions &amp; Results'!E40</f>
        <v>420</v>
      </c>
      <c r="E4" s="8">
        <f>'Assumptions &amp; Results'!F40</f>
        <v>850</v>
      </c>
      <c r="F4" s="8">
        <f>'Assumptions &amp; Results'!G40</f>
        <v>1900</v>
      </c>
      <c r="G4" s="8">
        <f>'Assumptions &amp; Results'!H40</f>
        <v>1650</v>
      </c>
      <c r="H4" s="8">
        <f>'Assumptions &amp; Results'!I40</f>
        <v>270</v>
      </c>
      <c r="I4" s="8">
        <f>'Assumptions &amp; Results'!J40</f>
        <v>0</v>
      </c>
      <c r="J4" s="8">
        <f>'Assumptions &amp; Results'!K40</f>
        <v>0</v>
      </c>
      <c r="K4" s="8">
        <f>'Assumptions &amp; Results'!L40</f>
        <v>0</v>
      </c>
      <c r="L4" s="8">
        <f>'Assumptions &amp; Results'!M40</f>
        <v>0</v>
      </c>
      <c r="M4" s="8">
        <f>'Assumptions &amp; Results'!N40</f>
        <v>0</v>
      </c>
      <c r="N4" s="8">
        <f>'Assumptions &amp; Results'!O40</f>
        <v>0</v>
      </c>
      <c r="O4" s="8">
        <f>'Assumptions &amp; Results'!P40</f>
        <v>0</v>
      </c>
      <c r="P4" s="8">
        <f>'Assumptions &amp; Results'!Q40</f>
        <v>0</v>
      </c>
      <c r="Q4" s="8">
        <f>'Assumptions &amp; Results'!R40</f>
        <v>0</v>
      </c>
      <c r="R4" s="8">
        <f>'Assumptions &amp; Results'!S40</f>
        <v>0</v>
      </c>
      <c r="S4" s="8">
        <f>'Assumptions &amp; Results'!T40</f>
        <v>0</v>
      </c>
      <c r="T4" s="8">
        <f>'Assumptions &amp; Results'!U40</f>
        <v>0</v>
      </c>
      <c r="U4" s="8">
        <f>'Assumptions &amp; Results'!V40</f>
        <v>0</v>
      </c>
      <c r="V4" s="8">
        <f>'Assumptions &amp; Results'!W40</f>
        <v>0</v>
      </c>
      <c r="W4" s="8">
        <f>'Assumptions &amp; Results'!X40</f>
        <v>0</v>
      </c>
      <c r="X4" s="8">
        <f>'Assumptions &amp; Results'!Y40</f>
        <v>0</v>
      </c>
      <c r="Y4" s="8">
        <f>'Assumptions &amp; Results'!Z40</f>
        <v>0</v>
      </c>
      <c r="Z4" s="8">
        <f>'Assumptions &amp; Results'!AA40</f>
        <v>0</v>
      </c>
      <c r="AA4" s="8">
        <f>'Assumptions &amp; Results'!AB40</f>
        <v>0</v>
      </c>
      <c r="AB4" s="8">
        <f>'Assumptions &amp; Results'!AC40</f>
        <v>0</v>
      </c>
      <c r="AC4" s="8">
        <f>'Assumptions &amp; Results'!AD40</f>
        <v>0</v>
      </c>
      <c r="AD4" s="8">
        <f>'Assumptions &amp; Results'!AE40</f>
        <v>0</v>
      </c>
      <c r="AE4" s="8">
        <f>'Assumptions &amp; Results'!AF40</f>
        <v>0</v>
      </c>
      <c r="AF4" s="8">
        <f>'Assumptions &amp; Results'!AG40</f>
        <v>0</v>
      </c>
      <c r="AG4" s="8">
        <f>'Assumptions &amp; Results'!AH40</f>
        <v>0</v>
      </c>
      <c r="AH4" s="8">
        <f>'Assumptions &amp; Results'!AI40</f>
        <v>0</v>
      </c>
      <c r="AI4" s="8">
        <f>'Assumptions &amp; Results'!AJ40</f>
        <v>0</v>
      </c>
      <c r="AJ4" s="125">
        <f>SUM(C4:AI4)</f>
        <v>5290</v>
      </c>
    </row>
    <row r="6" spans="1:36" s="69" customFormat="1" x14ac:dyDescent="0.2">
      <c r="A6" s="74" t="s">
        <v>270</v>
      </c>
      <c r="AJ6" s="131"/>
    </row>
    <row r="7" spans="1:36" x14ac:dyDescent="0.2">
      <c r="A7" t="s">
        <v>271</v>
      </c>
      <c r="B7" t="s">
        <v>272</v>
      </c>
      <c r="C7" s="8">
        <f>'Assumptions &amp; Results'!D20</f>
        <v>0</v>
      </c>
      <c r="D7" s="8">
        <f>'Assumptions &amp; Results'!E20</f>
        <v>0</v>
      </c>
      <c r="E7" s="8">
        <f>'Assumptions &amp; Results'!F20</f>
        <v>0</v>
      </c>
      <c r="F7" s="8">
        <f>'Assumptions &amp; Results'!G20</f>
        <v>0</v>
      </c>
      <c r="G7" s="8">
        <f>'Assumptions &amp; Results'!H20</f>
        <v>825</v>
      </c>
      <c r="H7" s="8">
        <f>'Assumptions &amp; Results'!I20</f>
        <v>1650</v>
      </c>
      <c r="I7" s="8">
        <f>'Assumptions &amp; Results'!J20</f>
        <v>1650</v>
      </c>
      <c r="J7" s="8">
        <f>'Assumptions &amp; Results'!K20</f>
        <v>1650</v>
      </c>
      <c r="K7" s="8">
        <f>'Assumptions &amp; Results'!L20</f>
        <v>1650</v>
      </c>
      <c r="L7" s="8">
        <f>'Assumptions &amp; Results'!M20</f>
        <v>1650</v>
      </c>
      <c r="M7" s="8">
        <f>'Assumptions &amp; Results'!N20</f>
        <v>1650</v>
      </c>
      <c r="N7" s="8">
        <f>'Assumptions &amp; Results'!O20</f>
        <v>1650</v>
      </c>
      <c r="O7" s="8">
        <f>'Assumptions &amp; Results'!P20</f>
        <v>1650</v>
      </c>
      <c r="P7" s="8">
        <f>'Assumptions &amp; Results'!Q20</f>
        <v>1650</v>
      </c>
      <c r="Q7" s="8">
        <f>'Assumptions &amp; Results'!R20</f>
        <v>1650</v>
      </c>
      <c r="R7" s="8">
        <f>'Assumptions &amp; Results'!S20</f>
        <v>1650</v>
      </c>
      <c r="S7" s="8">
        <f>'Assumptions &amp; Results'!T20</f>
        <v>1650</v>
      </c>
      <c r="T7" s="8">
        <f>'Assumptions &amp; Results'!U20</f>
        <v>1650</v>
      </c>
      <c r="U7" s="8">
        <f>'Assumptions &amp; Results'!V20</f>
        <v>1650</v>
      </c>
      <c r="V7" s="8">
        <f>'Assumptions &amp; Results'!W20</f>
        <v>1650</v>
      </c>
      <c r="W7" s="8">
        <f>'Assumptions &amp; Results'!X20</f>
        <v>1650</v>
      </c>
      <c r="X7" s="8">
        <f>'Assumptions &amp; Results'!Y20</f>
        <v>1650</v>
      </c>
      <c r="Y7" s="8">
        <f>'Assumptions &amp; Results'!Z20</f>
        <v>1650</v>
      </c>
      <c r="Z7" s="8">
        <f>'Assumptions &amp; Results'!AA20</f>
        <v>1650</v>
      </c>
      <c r="AA7" s="8">
        <f>'Assumptions &amp; Results'!AB20</f>
        <v>1650</v>
      </c>
      <c r="AB7" s="8">
        <f>'Assumptions &amp; Results'!AC20</f>
        <v>1650</v>
      </c>
      <c r="AC7" s="8">
        <f>'Assumptions &amp; Results'!AD20</f>
        <v>1650</v>
      </c>
      <c r="AD7" s="8">
        <f>'Assumptions &amp; Results'!AE20</f>
        <v>1650</v>
      </c>
      <c r="AE7" s="8">
        <f>'Assumptions &amp; Results'!AF20</f>
        <v>1650</v>
      </c>
      <c r="AF7" s="8">
        <f>'Assumptions &amp; Results'!AG20</f>
        <v>1650</v>
      </c>
      <c r="AG7" s="8">
        <f>'Assumptions &amp; Results'!AH20</f>
        <v>1650</v>
      </c>
      <c r="AH7" s="8">
        <f>'Assumptions &amp; Results'!AI20</f>
        <v>1650</v>
      </c>
      <c r="AI7" s="8">
        <f>'Assumptions &amp; Results'!AJ20</f>
        <v>1650</v>
      </c>
      <c r="AJ7" s="125"/>
    </row>
    <row r="8" spans="1:36" x14ac:dyDescent="0.2">
      <c r="A8" t="s">
        <v>273</v>
      </c>
      <c r="B8" t="s">
        <v>274</v>
      </c>
      <c r="C8" s="8">
        <f t="shared" ref="C8:AI8" si="0">C7*365/1000</f>
        <v>0</v>
      </c>
      <c r="D8" s="8">
        <f t="shared" si="0"/>
        <v>0</v>
      </c>
      <c r="E8" s="8">
        <f t="shared" si="0"/>
        <v>0</v>
      </c>
      <c r="F8" s="8">
        <f t="shared" si="0"/>
        <v>0</v>
      </c>
      <c r="G8" s="8">
        <f t="shared" si="0"/>
        <v>301.125</v>
      </c>
      <c r="H8" s="8">
        <f t="shared" si="0"/>
        <v>602.25</v>
      </c>
      <c r="I8" s="8">
        <f t="shared" si="0"/>
        <v>602.25</v>
      </c>
      <c r="J8" s="8">
        <f t="shared" si="0"/>
        <v>602.25</v>
      </c>
      <c r="K8" s="8">
        <f t="shared" si="0"/>
        <v>602.25</v>
      </c>
      <c r="L8" s="8">
        <f t="shared" si="0"/>
        <v>602.25</v>
      </c>
      <c r="M8" s="8">
        <f t="shared" si="0"/>
        <v>602.25</v>
      </c>
      <c r="N8" s="8">
        <f t="shared" si="0"/>
        <v>602.25</v>
      </c>
      <c r="O8" s="8">
        <f t="shared" si="0"/>
        <v>602.25</v>
      </c>
      <c r="P8" s="8">
        <f t="shared" si="0"/>
        <v>602.25</v>
      </c>
      <c r="Q8" s="8">
        <f t="shared" si="0"/>
        <v>602.25</v>
      </c>
      <c r="R8" s="8">
        <f t="shared" si="0"/>
        <v>602.25</v>
      </c>
      <c r="S8" s="8">
        <f t="shared" si="0"/>
        <v>602.25</v>
      </c>
      <c r="T8" s="8">
        <f t="shared" si="0"/>
        <v>602.25</v>
      </c>
      <c r="U8" s="8">
        <f t="shared" si="0"/>
        <v>602.25</v>
      </c>
      <c r="V8" s="8">
        <f t="shared" si="0"/>
        <v>602.25</v>
      </c>
      <c r="W8" s="8">
        <f t="shared" si="0"/>
        <v>602.25</v>
      </c>
      <c r="X8" s="8">
        <f t="shared" si="0"/>
        <v>602.25</v>
      </c>
      <c r="Y8" s="8">
        <f t="shared" si="0"/>
        <v>602.25</v>
      </c>
      <c r="Z8" s="8">
        <f t="shared" si="0"/>
        <v>602.25</v>
      </c>
      <c r="AA8" s="8">
        <f t="shared" si="0"/>
        <v>602.25</v>
      </c>
      <c r="AB8" s="8">
        <f t="shared" si="0"/>
        <v>602.25</v>
      </c>
      <c r="AC8" s="8">
        <f t="shared" si="0"/>
        <v>602.25</v>
      </c>
      <c r="AD8" s="8">
        <f t="shared" si="0"/>
        <v>602.25</v>
      </c>
      <c r="AE8" s="8">
        <f t="shared" si="0"/>
        <v>602.25</v>
      </c>
      <c r="AF8" s="8">
        <f t="shared" si="0"/>
        <v>602.25</v>
      </c>
      <c r="AG8" s="8">
        <f t="shared" si="0"/>
        <v>602.25</v>
      </c>
      <c r="AH8" s="8">
        <f t="shared" si="0"/>
        <v>602.25</v>
      </c>
      <c r="AI8" s="8">
        <f t="shared" si="0"/>
        <v>602.25</v>
      </c>
      <c r="AJ8" s="125">
        <f t="shared" ref="AJ8:AJ13" si="1">SUM(C8:AI8)</f>
        <v>17164.125</v>
      </c>
    </row>
    <row r="9" spans="1:36" x14ac:dyDescent="0.2">
      <c r="A9" t="s">
        <v>275</v>
      </c>
      <c r="B9" t="s">
        <v>274</v>
      </c>
      <c r="C9">
        <f>'Assumptions &amp; Results'!D26*'Field 1 Investor'!C8</f>
        <v>0</v>
      </c>
      <c r="D9" s="22">
        <f>'Assumptions &amp; Results'!E26*'Field 1 Investor'!D8</f>
        <v>0</v>
      </c>
      <c r="E9" s="22">
        <f>'Assumptions &amp; Results'!F26*'Field 1 Investor'!E8</f>
        <v>0</v>
      </c>
      <c r="F9" s="22">
        <f>'Assumptions &amp; Results'!G26*'Field 1 Investor'!F8</f>
        <v>0</v>
      </c>
      <c r="G9" s="22">
        <f>'Assumptions &amp; Results'!H26*'Field 1 Investor'!G8</f>
        <v>6.0225</v>
      </c>
      <c r="H9" s="22">
        <f>'Assumptions &amp; Results'!I26*'Field 1 Investor'!H8</f>
        <v>12.045</v>
      </c>
      <c r="I9" s="22">
        <f>'Assumptions &amp; Results'!J26*'Field 1 Investor'!I8</f>
        <v>12.045</v>
      </c>
      <c r="J9" s="22">
        <f>'Assumptions &amp; Results'!K26*'Field 1 Investor'!J8</f>
        <v>12.045</v>
      </c>
      <c r="K9" s="22">
        <f>'Assumptions &amp; Results'!L26*'Field 1 Investor'!K8</f>
        <v>12.045</v>
      </c>
      <c r="L9" s="22">
        <f>'Assumptions &amp; Results'!M26*'Field 1 Investor'!L8</f>
        <v>12.045</v>
      </c>
      <c r="M9" s="22">
        <f>'Assumptions &amp; Results'!N26*'Field 1 Investor'!M8</f>
        <v>12.045</v>
      </c>
      <c r="N9" s="22">
        <f>'Assumptions &amp; Results'!O26*'Field 1 Investor'!N8</f>
        <v>12.045</v>
      </c>
      <c r="O9" s="22">
        <f>'Assumptions &amp; Results'!P26*'Field 1 Investor'!O8</f>
        <v>12.045</v>
      </c>
      <c r="P9" s="22">
        <f>'Assumptions &amp; Results'!Q26*'Field 1 Investor'!P8</f>
        <v>12.045</v>
      </c>
      <c r="Q9" s="22">
        <f>'Assumptions &amp; Results'!R26*'Field 1 Investor'!Q8</f>
        <v>12.045</v>
      </c>
      <c r="R9" s="22">
        <f>'Assumptions &amp; Results'!S26*'Field 1 Investor'!R8</f>
        <v>12.045</v>
      </c>
      <c r="S9" s="22">
        <f>'Assumptions &amp; Results'!T26*'Field 1 Investor'!S8</f>
        <v>12.045</v>
      </c>
      <c r="T9" s="22">
        <f>'Assumptions &amp; Results'!U26*'Field 1 Investor'!T8</f>
        <v>12.045</v>
      </c>
      <c r="U9" s="22">
        <f>'Assumptions &amp; Results'!V26*'Field 1 Investor'!U8</f>
        <v>12.045</v>
      </c>
      <c r="V9" s="22">
        <f>'Assumptions &amp; Results'!W26*'Field 1 Investor'!V8</f>
        <v>12.045</v>
      </c>
      <c r="W9" s="22">
        <f>'Assumptions &amp; Results'!X26*'Field 1 Investor'!W8</f>
        <v>12.045</v>
      </c>
      <c r="X9" s="22">
        <f>'Assumptions &amp; Results'!Y26*'Field 1 Investor'!X8</f>
        <v>12.045</v>
      </c>
      <c r="Y9" s="22">
        <f>'Assumptions &amp; Results'!Z26*'Field 1 Investor'!Y8</f>
        <v>12.045</v>
      </c>
      <c r="Z9" s="22">
        <f>'Assumptions &amp; Results'!AA26*'Field 1 Investor'!Z8</f>
        <v>12.045</v>
      </c>
      <c r="AA9" s="22">
        <f>'Assumptions &amp; Results'!AB26*'Field 1 Investor'!AA8</f>
        <v>12.045</v>
      </c>
      <c r="AB9" s="22">
        <f>'Assumptions &amp; Results'!AC26*'Field 1 Investor'!AB8</f>
        <v>12.045</v>
      </c>
      <c r="AC9" s="22">
        <f>'Assumptions &amp; Results'!AD26*'Field 1 Investor'!AC8</f>
        <v>12.045</v>
      </c>
      <c r="AD9" s="22">
        <f>'Assumptions &amp; Results'!AE26*'Field 1 Investor'!AD8</f>
        <v>12.045</v>
      </c>
      <c r="AE9" s="22">
        <f>'Assumptions &amp; Results'!AF26*'Field 1 Investor'!AE8</f>
        <v>12.045</v>
      </c>
      <c r="AF9" s="22">
        <f>'Assumptions &amp; Results'!AG26*'Field 1 Investor'!AF8</f>
        <v>12.045</v>
      </c>
      <c r="AG9" s="22">
        <f>'Assumptions &amp; Results'!AH26*'Field 1 Investor'!AG8</f>
        <v>12.045</v>
      </c>
      <c r="AH9" s="22">
        <f>'Assumptions &amp; Results'!AI26*'Field 1 Investor'!AH8</f>
        <v>12.045</v>
      </c>
      <c r="AI9" s="22">
        <f>'Assumptions &amp; Results'!AJ26*'Field 1 Investor'!AI8</f>
        <v>12.045</v>
      </c>
      <c r="AJ9" s="125">
        <f t="shared" si="1"/>
        <v>343.28250000000003</v>
      </c>
    </row>
    <row r="10" spans="1:36" x14ac:dyDescent="0.2">
      <c r="A10" t="s">
        <v>276</v>
      </c>
      <c r="B10" t="s">
        <v>274</v>
      </c>
      <c r="C10">
        <f>IF('Assumptions &amp; Results'!$C$14=1,'Assumptions &amp; Results'!D27*C8,0)</f>
        <v>0</v>
      </c>
      <c r="D10" s="8">
        <f>IF('Assumptions &amp; Results'!$C$14=1,'Assumptions &amp; Results'!E27*D8,0)</f>
        <v>0</v>
      </c>
      <c r="E10" s="8">
        <f>IF('Assumptions &amp; Results'!$C$14=1,'Assumptions &amp; Results'!F27*E8,0)</f>
        <v>0</v>
      </c>
      <c r="F10" s="8">
        <f>IF('Assumptions &amp; Results'!$C$14=1,'Assumptions &amp; Results'!G27*F8,0)</f>
        <v>0</v>
      </c>
      <c r="G10" s="8">
        <f>IF('Assumptions &amp; Results'!$C$14=1,'Assumptions &amp; Results'!H27*G8,0)</f>
        <v>0</v>
      </c>
      <c r="H10" s="8">
        <f>IF('Assumptions &amp; Results'!$C$14=1,'Assumptions &amp; Results'!I27*H8,0)</f>
        <v>0</v>
      </c>
      <c r="I10" s="8">
        <f>IF('Assumptions &amp; Results'!$C$14=1,'Assumptions &amp; Results'!J27*I8,0)</f>
        <v>0</v>
      </c>
      <c r="J10" s="8">
        <f>IF('Assumptions &amp; Results'!$C$14=1,'Assumptions &amp; Results'!K27*J8,0)</f>
        <v>0</v>
      </c>
      <c r="K10" s="8">
        <f>IF('Assumptions &amp; Results'!$C$14=1,'Assumptions &amp; Results'!L27*K8,0)</f>
        <v>0</v>
      </c>
      <c r="L10" s="8">
        <f>IF('Assumptions &amp; Results'!$C$14=1,'Assumptions &amp; Results'!M27*L8,0)</f>
        <v>0</v>
      </c>
      <c r="M10" s="8">
        <f>IF('Assumptions &amp; Results'!$C$14=1,'Assumptions &amp; Results'!N27*M8,0)</f>
        <v>0</v>
      </c>
      <c r="N10" s="8">
        <f>IF('Assumptions &amp; Results'!$C$14=1,'Assumptions &amp; Results'!O27*N8,0)</f>
        <v>0</v>
      </c>
      <c r="O10" s="8">
        <f>IF('Assumptions &amp; Results'!$C$14=1,'Assumptions &amp; Results'!P27*O8,0)</f>
        <v>0</v>
      </c>
      <c r="P10" s="8">
        <f>IF('Assumptions &amp; Results'!$C$14=1,'Assumptions &amp; Results'!Q27*P8,0)</f>
        <v>0</v>
      </c>
      <c r="Q10" s="8">
        <f>IF('Assumptions &amp; Results'!$C$14=1,'Assumptions &amp; Results'!R27*Q8,0)</f>
        <v>0</v>
      </c>
      <c r="R10" s="8">
        <f>IF('Assumptions &amp; Results'!$C$14=1,'Assumptions &amp; Results'!S27*R8,0)</f>
        <v>0</v>
      </c>
      <c r="S10" s="8">
        <f>IF('Assumptions &amp; Results'!$C$14=1,'Assumptions &amp; Results'!T27*S8,0)</f>
        <v>0</v>
      </c>
      <c r="T10" s="8">
        <f>IF('Assumptions &amp; Results'!$C$14=1,'Assumptions &amp; Results'!U27*T8,0)</f>
        <v>0</v>
      </c>
      <c r="U10" s="8">
        <f>IF('Assumptions &amp; Results'!$C$14=1,'Assumptions &amp; Results'!V27*U8,0)</f>
        <v>0</v>
      </c>
      <c r="V10" s="8">
        <f>IF('Assumptions &amp; Results'!$C$14=1,'Assumptions &amp; Results'!W27*V8,0)</f>
        <v>0</v>
      </c>
      <c r="W10" s="8">
        <f>IF('Assumptions &amp; Results'!$C$14=1,'Assumptions &amp; Results'!X27*W8,0)</f>
        <v>0</v>
      </c>
      <c r="X10" s="8">
        <f>IF('Assumptions &amp; Results'!$C$14=1,'Assumptions &amp; Results'!Y27*X8,0)</f>
        <v>0</v>
      </c>
      <c r="Y10" s="8">
        <f>IF('Assumptions &amp; Results'!$C$14=1,'Assumptions &amp; Results'!Z27*Y8,0)</f>
        <v>0</v>
      </c>
      <c r="Z10" s="8">
        <f>IF('Assumptions &amp; Results'!$C$14=1,'Assumptions &amp; Results'!AA27*Z8,0)</f>
        <v>0</v>
      </c>
      <c r="AA10" s="8">
        <f>IF('Assumptions &amp; Results'!$C$14=1,'Assumptions &amp; Results'!AB27*AA8,0)</f>
        <v>0</v>
      </c>
      <c r="AB10" s="8">
        <f>IF('Assumptions &amp; Results'!$C$14=1,'Assumptions &amp; Results'!AC27*AB8,0)</f>
        <v>0</v>
      </c>
      <c r="AC10" s="8">
        <f>IF('Assumptions &amp; Results'!$C$14=1,'Assumptions &amp; Results'!AD27*AC8,0)</f>
        <v>0</v>
      </c>
      <c r="AD10" s="8">
        <f>IF('Assumptions &amp; Results'!$C$14=1,'Assumptions &amp; Results'!AE27*AD8,0)</f>
        <v>0</v>
      </c>
      <c r="AE10" s="8">
        <f>IF('Assumptions &amp; Results'!$C$14=1,'Assumptions &amp; Results'!AF27*AE8,0)</f>
        <v>0</v>
      </c>
      <c r="AF10" s="8">
        <f>IF('Assumptions &amp; Results'!$C$14=1,'Assumptions &amp; Results'!AG27*AF8,0)</f>
        <v>0</v>
      </c>
      <c r="AG10" s="8">
        <f>IF('Assumptions &amp; Results'!$C$14=1,'Assumptions &amp; Results'!AH27*AG8,0)</f>
        <v>0</v>
      </c>
      <c r="AH10" s="8">
        <f>IF('Assumptions &amp; Results'!$C$14=1,'Assumptions &amp; Results'!AI27*AH8,0)</f>
        <v>0</v>
      </c>
      <c r="AI10" s="8">
        <f>IF('Assumptions &amp; Results'!$C$14=1,'Assumptions &amp; Results'!AJ27*AI8,0)</f>
        <v>0</v>
      </c>
      <c r="AJ10" s="125">
        <f t="shared" si="1"/>
        <v>0</v>
      </c>
    </row>
    <row r="11" spans="1:36" x14ac:dyDescent="0.2">
      <c r="A11" t="s">
        <v>277</v>
      </c>
      <c r="B11" t="s">
        <v>278</v>
      </c>
      <c r="C11" s="2">
        <f>'Assumptions &amp; Results'!D28*'Field 1 Investor'!C10</f>
        <v>0</v>
      </c>
      <c r="D11" s="207">
        <f>'Assumptions &amp; Results'!E28*'Field 1 Investor'!D10</f>
        <v>0</v>
      </c>
      <c r="E11" s="207">
        <f>'Assumptions &amp; Results'!F28*'Field 1 Investor'!E10</f>
        <v>0</v>
      </c>
      <c r="F11" s="207">
        <f>'Assumptions &amp; Results'!G28*'Field 1 Investor'!F10</f>
        <v>0</v>
      </c>
      <c r="G11" s="207">
        <f>'Assumptions &amp; Results'!H28*'Field 1 Investor'!G10</f>
        <v>0</v>
      </c>
      <c r="H11" s="207">
        <f>'Assumptions &amp; Results'!I28*'Field 1 Investor'!H10</f>
        <v>0</v>
      </c>
      <c r="I11" s="207">
        <f>'Assumptions &amp; Results'!J28*'Field 1 Investor'!I10</f>
        <v>0</v>
      </c>
      <c r="J11" s="207">
        <f>'Assumptions &amp; Results'!K28*'Field 1 Investor'!J10</f>
        <v>0</v>
      </c>
      <c r="K11" s="207">
        <f>'Assumptions &amp; Results'!L28*'Field 1 Investor'!K10</f>
        <v>0</v>
      </c>
      <c r="L11" s="207">
        <f>'Assumptions &amp; Results'!M28*'Field 1 Investor'!L10</f>
        <v>0</v>
      </c>
      <c r="M11" s="207">
        <f>'Assumptions &amp; Results'!N28*'Field 1 Investor'!M10</f>
        <v>0</v>
      </c>
      <c r="N11" s="207">
        <f>'Assumptions &amp; Results'!O28*'Field 1 Investor'!N10</f>
        <v>0</v>
      </c>
      <c r="O11" s="207">
        <f>'Assumptions &amp; Results'!P28*'Field 1 Investor'!O10</f>
        <v>0</v>
      </c>
      <c r="P11" s="207">
        <f>'Assumptions &amp; Results'!Q28*'Field 1 Investor'!P10</f>
        <v>0</v>
      </c>
      <c r="Q11" s="207">
        <f>'Assumptions &amp; Results'!R28*'Field 1 Investor'!Q10</f>
        <v>0</v>
      </c>
      <c r="R11" s="207">
        <f>'Assumptions &amp; Results'!S28*'Field 1 Investor'!R10</f>
        <v>0</v>
      </c>
      <c r="S11" s="207">
        <f>'Assumptions &amp; Results'!T28*'Field 1 Investor'!S10</f>
        <v>0</v>
      </c>
      <c r="T11" s="207">
        <f>'Assumptions &amp; Results'!U28*'Field 1 Investor'!T10</f>
        <v>0</v>
      </c>
      <c r="U11" s="207">
        <f>'Assumptions &amp; Results'!V28*'Field 1 Investor'!U10</f>
        <v>0</v>
      </c>
      <c r="V11" s="207">
        <f>'Assumptions &amp; Results'!W28*'Field 1 Investor'!V10</f>
        <v>0</v>
      </c>
      <c r="W11" s="207">
        <f>'Assumptions &amp; Results'!X28*'Field 1 Investor'!W10</f>
        <v>0</v>
      </c>
      <c r="X11" s="207">
        <f>'Assumptions &amp; Results'!Y28*'Field 1 Investor'!X10</f>
        <v>0</v>
      </c>
      <c r="Y11" s="207">
        <f>'Assumptions &amp; Results'!Z28*'Field 1 Investor'!Y10</f>
        <v>0</v>
      </c>
      <c r="Z11" s="207">
        <f>'Assumptions &amp; Results'!AA28*'Field 1 Investor'!Z10</f>
        <v>0</v>
      </c>
      <c r="AA11" s="207">
        <f>'Assumptions &amp; Results'!AB28*'Field 1 Investor'!AA10</f>
        <v>0</v>
      </c>
      <c r="AB11" s="207">
        <f>'Assumptions &amp; Results'!AC28*'Field 1 Investor'!AB10</f>
        <v>0</v>
      </c>
      <c r="AC11" s="207">
        <f>'Assumptions &amp; Results'!AD28*'Field 1 Investor'!AC10</f>
        <v>0</v>
      </c>
      <c r="AD11" s="207">
        <f>'Assumptions &amp; Results'!AE28*'Field 1 Investor'!AD10</f>
        <v>0</v>
      </c>
      <c r="AE11" s="207">
        <f>'Assumptions &amp; Results'!AF28*'Field 1 Investor'!AE10</f>
        <v>0</v>
      </c>
      <c r="AF11" s="207">
        <f>'Assumptions &amp; Results'!AG28*'Field 1 Investor'!AF10</f>
        <v>0</v>
      </c>
      <c r="AG11" s="207">
        <f>'Assumptions &amp; Results'!AH28*'Field 1 Investor'!AG10</f>
        <v>0</v>
      </c>
      <c r="AH11" s="207">
        <f>'Assumptions &amp; Results'!AI28*'Field 1 Investor'!AH10</f>
        <v>0</v>
      </c>
      <c r="AI11" s="207">
        <f>'Assumptions &amp; Results'!AJ28*'Field 1 Investor'!AI10</f>
        <v>0</v>
      </c>
      <c r="AJ11" s="125">
        <f t="shared" si="1"/>
        <v>0</v>
      </c>
    </row>
    <row r="12" spans="1:36" x14ac:dyDescent="0.2">
      <c r="A12" t="s">
        <v>279</v>
      </c>
      <c r="B12" t="s">
        <v>274</v>
      </c>
      <c r="C12" s="12">
        <f>(C8-C9-C10)*'Assumptions &amp; Results'!D25</f>
        <v>0</v>
      </c>
      <c r="D12" s="12">
        <f>(D8-D9-D10)*'Assumptions &amp; Results'!E25</f>
        <v>0</v>
      </c>
      <c r="E12" s="12">
        <f>(E8-E9-E10)*'Assumptions &amp; Results'!F25</f>
        <v>0</v>
      </c>
      <c r="F12" s="12">
        <f>(F8-F9-F10)*'Assumptions &amp; Results'!G25</f>
        <v>0</v>
      </c>
      <c r="G12" s="12">
        <f>(G8-G9-G10)*'Assumptions &amp; Results'!H25</f>
        <v>295.10250000000002</v>
      </c>
      <c r="H12" s="12">
        <f>(H8-H9-H10)*'Assumptions &amp; Results'!I25</f>
        <v>590.20500000000004</v>
      </c>
      <c r="I12" s="12">
        <f>(I8-I9-I10)*'Assumptions &amp; Results'!J25</f>
        <v>590.20500000000004</v>
      </c>
      <c r="J12" s="12">
        <f>(J8-J9-J10)*'Assumptions &amp; Results'!K25</f>
        <v>560.69475</v>
      </c>
      <c r="K12" s="12">
        <f>(K8-K9-K10)*'Assumptions &amp; Results'!L25</f>
        <v>590.20500000000004</v>
      </c>
      <c r="L12" s="12">
        <f>(L8-L9-L10)*'Assumptions &amp; Results'!M25</f>
        <v>590.20500000000004</v>
      </c>
      <c r="M12" s="12">
        <f>(M8-M9-M10)*'Assumptions &amp; Results'!N25</f>
        <v>590.20500000000004</v>
      </c>
      <c r="N12" s="12">
        <f>(N8-N9-N10)*'Assumptions &amp; Results'!O25</f>
        <v>590.20500000000004</v>
      </c>
      <c r="O12" s="12">
        <f>(O8-O9-O10)*'Assumptions &amp; Results'!P25</f>
        <v>560.69475</v>
      </c>
      <c r="P12" s="12">
        <f>(P8-P9-P10)*'Assumptions &amp; Results'!Q25</f>
        <v>590.20500000000004</v>
      </c>
      <c r="Q12" s="12">
        <f>(Q8-Q9-Q10)*'Assumptions &amp; Results'!R25</f>
        <v>590.20500000000004</v>
      </c>
      <c r="R12" s="12">
        <f>(R8-R9-R10)*'Assumptions &amp; Results'!S25</f>
        <v>590.20500000000004</v>
      </c>
      <c r="S12" s="12">
        <f>(S8-S9-S10)*'Assumptions &amp; Results'!T25</f>
        <v>590.20500000000004</v>
      </c>
      <c r="T12" s="12">
        <f>(T8-T9-T10)*'Assumptions &amp; Results'!U25</f>
        <v>560.69475</v>
      </c>
      <c r="U12" s="12">
        <f>(U8-U9-U10)*'Assumptions &amp; Results'!V25</f>
        <v>590.20500000000004</v>
      </c>
      <c r="V12" s="12">
        <f>(V8-V9-V10)*'Assumptions &amp; Results'!W25</f>
        <v>590.20500000000004</v>
      </c>
      <c r="W12" s="12">
        <f>(W8-W9-W10)*'Assumptions &amp; Results'!X25</f>
        <v>590.20500000000004</v>
      </c>
      <c r="X12" s="12">
        <f>(X8-X9-X10)*'Assumptions &amp; Results'!Y25</f>
        <v>590.20500000000004</v>
      </c>
      <c r="Y12" s="12">
        <f>(Y8-Y9-Y10)*'Assumptions &amp; Results'!Z25</f>
        <v>560.69475</v>
      </c>
      <c r="Z12" s="12">
        <f>(Z8-Z9-Z10)*'Assumptions &amp; Results'!AA25</f>
        <v>590.20500000000004</v>
      </c>
      <c r="AA12" s="12">
        <f>(AA8-AA9-AA10)*'Assumptions &amp; Results'!AB25</f>
        <v>590.20500000000004</v>
      </c>
      <c r="AB12" s="12">
        <f>(AB8-AB9-AB10)*'Assumptions &amp; Results'!AC25</f>
        <v>590.20500000000004</v>
      </c>
      <c r="AC12" s="12">
        <f>(AC8-AC9-AC10)*'Assumptions &amp; Results'!AD25</f>
        <v>590.20500000000004</v>
      </c>
      <c r="AD12" s="12">
        <f>(AD8-AD9-AD10)*'Assumptions &amp; Results'!AE25</f>
        <v>560.69475</v>
      </c>
      <c r="AE12" s="12">
        <f>(AE8-AE9-AE10)*'Assumptions &amp; Results'!AF25</f>
        <v>590.20500000000004</v>
      </c>
      <c r="AF12" s="12">
        <f>(AF8-AF9-AF10)*'Assumptions &amp; Results'!AG25</f>
        <v>590.20500000000004</v>
      </c>
      <c r="AG12" s="12">
        <f>(AG8-AG9-AG10)*'Assumptions &amp; Results'!AH25</f>
        <v>590.20500000000004</v>
      </c>
      <c r="AH12" s="12">
        <f>(AH8-AH9-AH10)*'Assumptions &amp; Results'!AI25</f>
        <v>590.20500000000004</v>
      </c>
      <c r="AI12" s="12">
        <f>(AI8-AI9-AI10)*'Assumptions &amp; Results'!AJ25</f>
        <v>590.20500000000004</v>
      </c>
      <c r="AJ12" s="125">
        <f t="shared" si="1"/>
        <v>16673.291250000002</v>
      </c>
    </row>
    <row r="13" spans="1:36" ht="30" x14ac:dyDescent="0.2">
      <c r="A13" s="208" t="s">
        <v>280</v>
      </c>
      <c r="B13" t="s">
        <v>274</v>
      </c>
      <c r="C13" s="12">
        <f>IF('Assumptions &amp; Results'!$C$172=1,C12*(1-'Assumptions &amp; Results'!D24),0)</f>
        <v>0</v>
      </c>
      <c r="D13" s="12">
        <f>IF('Assumptions &amp; Results'!$C$172=1,D12*(1-'Assumptions &amp; Results'!E24),0)</f>
        <v>0</v>
      </c>
      <c r="E13" s="12">
        <f>IF('Assumptions &amp; Results'!$C$172=1,E12*(1-'Assumptions &amp; Results'!F24),0)</f>
        <v>0</v>
      </c>
      <c r="F13" s="12">
        <f>IF('Assumptions &amp; Results'!$C$172=1,F12*(1-'Assumptions &amp; Results'!G24),0)</f>
        <v>0</v>
      </c>
      <c r="G13" s="12">
        <f>IF('Assumptions &amp; Results'!$C$172=1,G12*(1-'Assumptions &amp; Results'!H24),0)</f>
        <v>265.59225000000004</v>
      </c>
      <c r="H13" s="12">
        <f>IF('Assumptions &amp; Results'!$C$172=1,H12*(1-'Assumptions &amp; Results'!I24),0)</f>
        <v>531.18450000000007</v>
      </c>
      <c r="I13" s="12">
        <f>IF('Assumptions &amp; Results'!$C$172=1,I12*(1-'Assumptions &amp; Results'!J24),0)</f>
        <v>531.18450000000007</v>
      </c>
      <c r="J13" s="12">
        <f>IF('Assumptions &amp; Results'!$C$172=1,J12*(1-'Assumptions &amp; Results'!K24),0)</f>
        <v>504.62527499999999</v>
      </c>
      <c r="K13" s="12">
        <f>IF('Assumptions &amp; Results'!$C$172=1,K12*(1-'Assumptions &amp; Results'!L24),0)</f>
        <v>531.18450000000007</v>
      </c>
      <c r="L13" s="12">
        <f>IF('Assumptions &amp; Results'!$C$172=1,L12*(1-'Assumptions &amp; Results'!M24),0)</f>
        <v>531.18450000000007</v>
      </c>
      <c r="M13" s="12">
        <f>IF('Assumptions &amp; Results'!$C$172=1,M12*(1-'Assumptions &amp; Results'!N24),0)</f>
        <v>531.18450000000007</v>
      </c>
      <c r="N13" s="12">
        <f>IF('Assumptions &amp; Results'!$C$172=1,N12*(1-'Assumptions &amp; Results'!O24),0)</f>
        <v>531.18450000000007</v>
      </c>
      <c r="O13" s="12">
        <f>IF('Assumptions &amp; Results'!$C$172=1,O12*(1-'Assumptions &amp; Results'!P24),0)</f>
        <v>504.62527499999999</v>
      </c>
      <c r="P13" s="12">
        <f>IF('Assumptions &amp; Results'!$C$172=1,P12*(1-'Assumptions &amp; Results'!Q24),0)</f>
        <v>531.18450000000007</v>
      </c>
      <c r="Q13" s="12">
        <f>IF('Assumptions &amp; Results'!$C$172=1,Q12*(1-'Assumptions &amp; Results'!R24),0)</f>
        <v>531.18450000000007</v>
      </c>
      <c r="R13" s="12">
        <f>IF('Assumptions &amp; Results'!$C$172=1,R12*(1-'Assumptions &amp; Results'!S24),0)</f>
        <v>531.18450000000007</v>
      </c>
      <c r="S13" s="12">
        <f>IF('Assumptions &amp; Results'!$C$172=1,S12*(1-'Assumptions &amp; Results'!T24),0)</f>
        <v>531.18450000000007</v>
      </c>
      <c r="T13" s="12">
        <f>IF('Assumptions &amp; Results'!$C$172=1,T12*(1-'Assumptions &amp; Results'!U24),0)</f>
        <v>504.62527499999999</v>
      </c>
      <c r="U13" s="12">
        <f>IF('Assumptions &amp; Results'!$C$172=1,U12*(1-'Assumptions &amp; Results'!V24),0)</f>
        <v>531.18450000000007</v>
      </c>
      <c r="V13" s="12">
        <f>IF('Assumptions &amp; Results'!$C$172=1,V12*(1-'Assumptions &amp; Results'!W24),0)</f>
        <v>531.18450000000007</v>
      </c>
      <c r="W13" s="12">
        <f>IF('Assumptions &amp; Results'!$C$172=1,W12*(1-'Assumptions &amp; Results'!X24),0)</f>
        <v>531.18450000000007</v>
      </c>
      <c r="X13" s="12">
        <f>IF('Assumptions &amp; Results'!$C$172=1,X12*(1-'Assumptions &amp; Results'!Y24),0)</f>
        <v>531.18450000000007</v>
      </c>
      <c r="Y13" s="12">
        <f>IF('Assumptions &amp; Results'!$C$172=1,Y12*(1-'Assumptions &amp; Results'!Z24),0)</f>
        <v>504.62527499999999</v>
      </c>
      <c r="Z13" s="12">
        <f>IF('Assumptions &amp; Results'!$C$172=1,Z12*(1-'Assumptions &amp; Results'!AA24),0)</f>
        <v>531.18450000000007</v>
      </c>
      <c r="AA13" s="12">
        <f>IF('Assumptions &amp; Results'!$C$172=1,AA12*(1-'Assumptions &amp; Results'!AB24),0)</f>
        <v>531.18450000000007</v>
      </c>
      <c r="AB13" s="12">
        <f>IF('Assumptions &amp; Results'!$C$172=1,AB12*(1-'Assumptions &amp; Results'!AC24),0)</f>
        <v>531.18450000000007</v>
      </c>
      <c r="AC13" s="12">
        <f>IF('Assumptions &amp; Results'!$C$172=1,AC12*(1-'Assumptions &amp; Results'!AD24),0)</f>
        <v>531.18450000000007</v>
      </c>
      <c r="AD13" s="12">
        <f>IF('Assumptions &amp; Results'!$C$172=1,AD12*(1-'Assumptions &amp; Results'!AE24),0)</f>
        <v>504.62527499999999</v>
      </c>
      <c r="AE13" s="12">
        <f>IF('Assumptions &amp; Results'!$C$172=1,AE12*(1-'Assumptions &amp; Results'!AF24),0)</f>
        <v>531.18450000000007</v>
      </c>
      <c r="AF13" s="12">
        <f>IF('Assumptions &amp; Results'!$C$172=1,AF12*(1-'Assumptions &amp; Results'!AG24),0)</f>
        <v>531.18450000000007</v>
      </c>
      <c r="AG13" s="12">
        <f>IF('Assumptions &amp; Results'!$C$172=1,AG12*(1-'Assumptions &amp; Results'!AH24),0)</f>
        <v>531.18450000000007</v>
      </c>
      <c r="AH13" s="12">
        <f>IF('Assumptions &amp; Results'!$C$172=1,AH12*(1-'Assumptions &amp; Results'!AI24),0)</f>
        <v>531.18450000000007</v>
      </c>
      <c r="AI13" s="12">
        <f>IF('Assumptions &amp; Results'!$C$172=1,AI12*(1-'Assumptions &amp; Results'!AJ24),0)</f>
        <v>531.18450000000007</v>
      </c>
      <c r="AJ13" s="125">
        <f t="shared" si="1"/>
        <v>15005.962124999998</v>
      </c>
    </row>
    <row r="14" spans="1:36" x14ac:dyDescent="0.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5"/>
    </row>
    <row r="15" spans="1:36" ht="30" x14ac:dyDescent="0.2">
      <c r="A15" s="208" t="s">
        <v>281</v>
      </c>
      <c r="B15" t="s">
        <v>67</v>
      </c>
      <c r="C15" s="11">
        <f>IF('Assumptions &amp; Results'!$C$172=1,'Assumptions &amp; Results'!D6,'Assumptions &amp; Results'!D4)</f>
        <v>8.75</v>
      </c>
      <c r="D15" s="11">
        <f>IF('Assumptions &amp; Results'!$C$172=1,'Assumptions &amp; Results'!E6,'Assumptions &amp; Results'!E4)</f>
        <v>8.75</v>
      </c>
      <c r="E15" s="11">
        <f>IF('Assumptions &amp; Results'!$C$172=1,'Assumptions &amp; Results'!F6,'Assumptions &amp; Results'!F4)</f>
        <v>8.75</v>
      </c>
      <c r="F15" s="11">
        <f>IF('Assumptions &amp; Results'!$C$172=1,'Assumptions &amp; Results'!G6,'Assumptions &amp; Results'!G4)</f>
        <v>8.75</v>
      </c>
      <c r="G15" s="11">
        <f>IF('Assumptions &amp; Results'!$C$172=1,'Assumptions &amp; Results'!H6,'Assumptions &amp; Results'!H4)</f>
        <v>8.75</v>
      </c>
      <c r="H15" s="11">
        <f>IF('Assumptions &amp; Results'!$C$172=1,'Assumptions &amp; Results'!I6,'Assumptions &amp; Results'!I4)</f>
        <v>8.75</v>
      </c>
      <c r="I15" s="11">
        <f>IF('Assumptions &amp; Results'!$C$172=1,'Assumptions &amp; Results'!J6,'Assumptions &amp; Results'!J4)</f>
        <v>8.75</v>
      </c>
      <c r="J15" s="11">
        <f>IF('Assumptions &amp; Results'!$C$172=1,'Assumptions &amp; Results'!K6,'Assumptions &amp; Results'!K4)</f>
        <v>8.75</v>
      </c>
      <c r="K15" s="11">
        <f>IF('Assumptions &amp; Results'!$C$172=1,'Assumptions &amp; Results'!L6,'Assumptions &amp; Results'!L4)</f>
        <v>8.75</v>
      </c>
      <c r="L15" s="11">
        <f>IF('Assumptions &amp; Results'!$C$172=1,'Assumptions &amp; Results'!M6,'Assumptions &amp; Results'!M4)</f>
        <v>8.75</v>
      </c>
      <c r="M15" s="11">
        <f>IF('Assumptions &amp; Results'!$C$172=1,'Assumptions &amp; Results'!N6,'Assumptions &amp; Results'!N4)</f>
        <v>8.75</v>
      </c>
      <c r="N15" s="11">
        <f>IF('Assumptions &amp; Results'!$C$172=1,'Assumptions &amp; Results'!O6,'Assumptions &amp; Results'!O4)</f>
        <v>8.75</v>
      </c>
      <c r="O15" s="11">
        <f>IF('Assumptions &amp; Results'!$C$172=1,'Assumptions &amp; Results'!P6,'Assumptions &amp; Results'!P4)</f>
        <v>8.75</v>
      </c>
      <c r="P15" s="11">
        <f>IF('Assumptions &amp; Results'!$C$172=1,'Assumptions &amp; Results'!Q6,'Assumptions &amp; Results'!Q4)</f>
        <v>8.75</v>
      </c>
      <c r="Q15" s="11">
        <f>IF('Assumptions &amp; Results'!$C$172=1,'Assumptions &amp; Results'!R6,'Assumptions &amp; Results'!R4)</f>
        <v>8.75</v>
      </c>
      <c r="R15" s="11">
        <f>IF('Assumptions &amp; Results'!$C$172=1,'Assumptions &amp; Results'!S6,'Assumptions &amp; Results'!S4)</f>
        <v>8.75</v>
      </c>
      <c r="S15" s="11">
        <f>IF('Assumptions &amp; Results'!$C$172=1,'Assumptions &amp; Results'!T6,'Assumptions &amp; Results'!T4)</f>
        <v>8.75</v>
      </c>
      <c r="T15" s="11">
        <f>IF('Assumptions &amp; Results'!$C$172=1,'Assumptions &amp; Results'!U6,'Assumptions &amp; Results'!U4)</f>
        <v>8.75</v>
      </c>
      <c r="U15" s="11">
        <f>IF('Assumptions &amp; Results'!$C$172=1,'Assumptions &amp; Results'!V6,'Assumptions &amp; Results'!V4)</f>
        <v>8.75</v>
      </c>
      <c r="V15" s="11">
        <f>IF('Assumptions &amp; Results'!$C$172=1,'Assumptions &amp; Results'!W6,'Assumptions &amp; Results'!W4)</f>
        <v>8.75</v>
      </c>
      <c r="W15" s="11">
        <f>IF('Assumptions &amp; Results'!$C$172=1,'Assumptions &amp; Results'!X6,'Assumptions &amp; Results'!X4)</f>
        <v>8.75</v>
      </c>
      <c r="X15" s="11">
        <f>IF('Assumptions &amp; Results'!$C$172=1,'Assumptions &amp; Results'!Y6,'Assumptions &amp; Results'!Y4)</f>
        <v>8.75</v>
      </c>
      <c r="Y15" s="11">
        <f>IF('Assumptions &amp; Results'!$C$172=1,'Assumptions &amp; Results'!Z6,'Assumptions &amp; Results'!Z4)</f>
        <v>8.75</v>
      </c>
      <c r="Z15" s="11">
        <f>IF('Assumptions &amp; Results'!$C$172=1,'Assumptions &amp; Results'!AA6,'Assumptions &amp; Results'!AA4)</f>
        <v>8.75</v>
      </c>
      <c r="AA15" s="11">
        <f>IF('Assumptions &amp; Results'!$C$172=1,'Assumptions &amp; Results'!AB6,'Assumptions &amp; Results'!AB4)</f>
        <v>8.75</v>
      </c>
      <c r="AB15" s="11">
        <f>IF('Assumptions &amp; Results'!$C$172=1,'Assumptions &amp; Results'!AC6,'Assumptions &amp; Results'!AC4)</f>
        <v>8.75</v>
      </c>
      <c r="AC15" s="11">
        <f>IF('Assumptions &amp; Results'!$C$172=1,'Assumptions &amp; Results'!AD6,'Assumptions &amp; Results'!AD4)</f>
        <v>8.75</v>
      </c>
      <c r="AD15" s="11">
        <f>IF('Assumptions &amp; Results'!$C$172=1,'Assumptions &amp; Results'!AE6,'Assumptions &amp; Results'!AE4)</f>
        <v>8.75</v>
      </c>
      <c r="AE15" s="11">
        <f>IF('Assumptions &amp; Results'!$C$172=1,'Assumptions &amp; Results'!AF6,'Assumptions &amp; Results'!AF4)</f>
        <v>8.75</v>
      </c>
      <c r="AF15" s="11">
        <f>IF('Assumptions &amp; Results'!$C$172=1,'Assumptions &amp; Results'!AG6,'Assumptions &amp; Results'!AG4)</f>
        <v>8.75</v>
      </c>
      <c r="AG15" s="11">
        <f>IF('Assumptions &amp; Results'!$C$172=1,'Assumptions &amp; Results'!AH6,'Assumptions &amp; Results'!AH4)</f>
        <v>8.75</v>
      </c>
      <c r="AH15" s="11">
        <f>IF('Assumptions &amp; Results'!$C$172=1,'Assumptions &amp; Results'!AI6,'Assumptions &amp; Results'!AI4)</f>
        <v>8.75</v>
      </c>
      <c r="AI15" s="11">
        <f>IF('Assumptions &amp; Results'!$C$172=1,'Assumptions &amp; Results'!AJ6,'Assumptions &amp; Results'!AJ4)</f>
        <v>8.75</v>
      </c>
      <c r="AJ15" s="125"/>
    </row>
    <row r="16" spans="1:36" x14ac:dyDescent="0.2">
      <c r="A16" t="s">
        <v>282</v>
      </c>
      <c r="B16" t="s">
        <v>99</v>
      </c>
      <c r="C16" s="8">
        <f>C9*'Assumptions &amp; Results'!D10</f>
        <v>0</v>
      </c>
      <c r="D16" s="8">
        <f>D9*'Assumptions &amp; Results'!E10</f>
        <v>0</v>
      </c>
      <c r="E16" s="8">
        <f>E9*'Assumptions &amp; Results'!F10</f>
        <v>0</v>
      </c>
      <c r="F16" s="8">
        <f>F9*'Assumptions &amp; Results'!G10</f>
        <v>0</v>
      </c>
      <c r="G16" s="8">
        <f>G9*'Assumptions &amp; Results'!H10</f>
        <v>15.05625</v>
      </c>
      <c r="H16" s="8">
        <f>H9*'Assumptions &amp; Results'!I10</f>
        <v>30.112500000000001</v>
      </c>
      <c r="I16" s="8">
        <f>I9*'Assumptions &amp; Results'!J10</f>
        <v>30.112500000000001</v>
      </c>
      <c r="J16" s="8">
        <f>J9*'Assumptions &amp; Results'!K10</f>
        <v>30.112500000000001</v>
      </c>
      <c r="K16" s="8">
        <f>K9*'Assumptions &amp; Results'!L10</f>
        <v>30.112500000000001</v>
      </c>
      <c r="L16" s="8">
        <f>L9*'Assumptions &amp; Results'!M10</f>
        <v>30.112500000000001</v>
      </c>
      <c r="M16" s="8">
        <f>M9*'Assumptions &amp; Results'!N10</f>
        <v>30.112500000000001</v>
      </c>
      <c r="N16" s="8">
        <f>N9*'Assumptions &amp; Results'!O10</f>
        <v>30.112500000000001</v>
      </c>
      <c r="O16" s="8">
        <f>O9*'Assumptions &amp; Results'!P10</f>
        <v>30.112500000000001</v>
      </c>
      <c r="P16" s="8">
        <f>P9*'Assumptions &amp; Results'!Q10</f>
        <v>30.112500000000001</v>
      </c>
      <c r="Q16" s="8">
        <f>Q9*'Assumptions &amp; Results'!R10</f>
        <v>30.112500000000001</v>
      </c>
      <c r="R16" s="8">
        <f>R9*'Assumptions &amp; Results'!S10</f>
        <v>30.112500000000001</v>
      </c>
      <c r="S16" s="8">
        <f>S9*'Assumptions &amp; Results'!T10</f>
        <v>30.112500000000001</v>
      </c>
      <c r="T16" s="8">
        <f>T9*'Assumptions &amp; Results'!U10</f>
        <v>30.112500000000001</v>
      </c>
      <c r="U16" s="8">
        <f>U9*'Assumptions &amp; Results'!V10</f>
        <v>30.112500000000001</v>
      </c>
      <c r="V16" s="8">
        <f>V9*'Assumptions &amp; Results'!W10</f>
        <v>30.112500000000001</v>
      </c>
      <c r="W16" s="8">
        <f>W9*'Assumptions &amp; Results'!X10</f>
        <v>30.112500000000001</v>
      </c>
      <c r="X16" s="8">
        <f>X9*'Assumptions &amp; Results'!Y10</f>
        <v>30.112500000000001</v>
      </c>
      <c r="Y16" s="8">
        <f>Y9*'Assumptions &amp; Results'!Z10</f>
        <v>30.112500000000001</v>
      </c>
      <c r="Z16" s="8">
        <f>Z9*'Assumptions &amp; Results'!AA10</f>
        <v>30.112500000000001</v>
      </c>
      <c r="AA16" s="8">
        <f>AA9*'Assumptions &amp; Results'!AB10</f>
        <v>30.112500000000001</v>
      </c>
      <c r="AB16" s="8">
        <f>AB9*'Assumptions &amp; Results'!AC10</f>
        <v>30.112500000000001</v>
      </c>
      <c r="AC16" s="8">
        <f>AC9*'Assumptions &amp; Results'!AD10</f>
        <v>30.112500000000001</v>
      </c>
      <c r="AD16" s="8">
        <f>AD9*'Assumptions &amp; Results'!AE10</f>
        <v>30.112500000000001</v>
      </c>
      <c r="AE16" s="8">
        <f>AE9*'Assumptions &amp; Results'!AF10</f>
        <v>30.112500000000001</v>
      </c>
      <c r="AF16" s="8">
        <f>AF9*'Assumptions &amp; Results'!AG10</f>
        <v>30.112500000000001</v>
      </c>
      <c r="AG16" s="8">
        <f>AG9*'Assumptions &amp; Results'!AH10</f>
        <v>30.112500000000001</v>
      </c>
      <c r="AH16" s="8">
        <f>AH9*'Assumptions &amp; Results'!AI10</f>
        <v>30.112500000000001</v>
      </c>
      <c r="AI16" s="8">
        <f>AI9*'Assumptions &amp; Results'!AJ10</f>
        <v>30.112500000000001</v>
      </c>
      <c r="AJ16" s="125">
        <f>SUM(C16:AI16)</f>
        <v>858.20624999999961</v>
      </c>
    </row>
    <row r="17" spans="1:36" x14ac:dyDescent="0.2">
      <c r="A17" t="s">
        <v>283</v>
      </c>
      <c r="B17" t="s">
        <v>99</v>
      </c>
      <c r="C17" s="8">
        <f>C11*'Assumptions &amp; Results'!D11</f>
        <v>0</v>
      </c>
      <c r="D17" s="8">
        <f>D11*'Assumptions &amp; Results'!E11</f>
        <v>0</v>
      </c>
      <c r="E17" s="8">
        <f>E11*'Assumptions &amp; Results'!F11</f>
        <v>0</v>
      </c>
      <c r="F17" s="8">
        <f>F11*'Assumptions &amp; Results'!G11</f>
        <v>0</v>
      </c>
      <c r="G17" s="8">
        <f>G11*'Assumptions &amp; Results'!H11</f>
        <v>0</v>
      </c>
      <c r="H17" s="8">
        <f>H11*'Assumptions &amp; Results'!I11</f>
        <v>0</v>
      </c>
      <c r="I17" s="8">
        <f>I11*'Assumptions &amp; Results'!J11</f>
        <v>0</v>
      </c>
      <c r="J17" s="8">
        <f>J11*'Assumptions &amp; Results'!K11</f>
        <v>0</v>
      </c>
      <c r="K17" s="8">
        <f>K11*'Assumptions &amp; Results'!L11</f>
        <v>0</v>
      </c>
      <c r="L17" s="8">
        <f>L11*'Assumptions &amp; Results'!M11</f>
        <v>0</v>
      </c>
      <c r="M17" s="8">
        <f>M11*'Assumptions &amp; Results'!N11</f>
        <v>0</v>
      </c>
      <c r="N17" s="8">
        <f>N11*'Assumptions &amp; Results'!O11</f>
        <v>0</v>
      </c>
      <c r="O17" s="8">
        <f>O11*'Assumptions &amp; Results'!P11</f>
        <v>0</v>
      </c>
      <c r="P17" s="8">
        <f>P11*'Assumptions &amp; Results'!Q11</f>
        <v>0</v>
      </c>
      <c r="Q17" s="8">
        <f>Q11*'Assumptions &amp; Results'!R11</f>
        <v>0</v>
      </c>
      <c r="R17" s="8">
        <f>R11*'Assumptions &amp; Results'!S11</f>
        <v>0</v>
      </c>
      <c r="S17" s="8">
        <f>S11*'Assumptions &amp; Results'!T11</f>
        <v>0</v>
      </c>
      <c r="T17" s="8">
        <f>T11*'Assumptions &amp; Results'!U11</f>
        <v>0</v>
      </c>
      <c r="U17" s="8">
        <f>U11*'Assumptions &amp; Results'!V11</f>
        <v>0</v>
      </c>
      <c r="V17" s="8">
        <f>V11*'Assumptions &amp; Results'!W11</f>
        <v>0</v>
      </c>
      <c r="W17" s="8">
        <f>W11*'Assumptions &amp; Results'!X11</f>
        <v>0</v>
      </c>
      <c r="X17" s="8">
        <f>X11*'Assumptions &amp; Results'!Y11</f>
        <v>0</v>
      </c>
      <c r="Y17" s="8">
        <f>Y11*'Assumptions &amp; Results'!Z11</f>
        <v>0</v>
      </c>
      <c r="Z17" s="8">
        <f>Z11*'Assumptions &amp; Results'!AA11</f>
        <v>0</v>
      </c>
      <c r="AA17" s="8">
        <f>AA11*'Assumptions &amp; Results'!AB11</f>
        <v>0</v>
      </c>
      <c r="AB17" s="8">
        <f>AB11*'Assumptions &amp; Results'!AC11</f>
        <v>0</v>
      </c>
      <c r="AC17" s="8">
        <f>AC11*'Assumptions &amp; Results'!AD11</f>
        <v>0</v>
      </c>
      <c r="AD17" s="8">
        <f>AD11*'Assumptions &amp; Results'!AE11</f>
        <v>0</v>
      </c>
      <c r="AE17" s="8">
        <f>AE11*'Assumptions &amp; Results'!AF11</f>
        <v>0</v>
      </c>
      <c r="AF17" s="8">
        <f>AF11*'Assumptions &amp; Results'!AG11</f>
        <v>0</v>
      </c>
      <c r="AG17" s="8">
        <f>AG11*'Assumptions &amp; Results'!AH11</f>
        <v>0</v>
      </c>
      <c r="AH17" s="8">
        <f>AH11*'Assumptions &amp; Results'!AI11</f>
        <v>0</v>
      </c>
      <c r="AI17" s="8">
        <f>AI11*'Assumptions &amp; Results'!AJ11</f>
        <v>0</v>
      </c>
      <c r="AJ17" s="125">
        <f>SUM(C17:AI17)</f>
        <v>0</v>
      </c>
    </row>
    <row r="18" spans="1:36" x14ac:dyDescent="0.2">
      <c r="A18" t="s">
        <v>284</v>
      </c>
      <c r="B18" t="s">
        <v>99</v>
      </c>
      <c r="C18" s="8">
        <f>IF('Assumptions &amp; Results'!$C$172=2,C15*C12,0)</f>
        <v>0</v>
      </c>
      <c r="D18" s="8">
        <f>IF('Assumptions &amp; Results'!$C$172=2,D15*D12,0)</f>
        <v>0</v>
      </c>
      <c r="E18" s="8">
        <f>IF('Assumptions &amp; Results'!$C$172=2,E15*E12,0)</f>
        <v>0</v>
      </c>
      <c r="F18" s="8">
        <f>IF('Assumptions &amp; Results'!$C$172=2,F15*F12,0)</f>
        <v>0</v>
      </c>
      <c r="G18" s="8">
        <f>IF('Assumptions &amp; Results'!$C$172=2,G15*G12,0)</f>
        <v>0</v>
      </c>
      <c r="H18" s="8">
        <f>IF('Assumptions &amp; Results'!$C$172=2,H15*H12,0)</f>
        <v>0</v>
      </c>
      <c r="I18" s="8">
        <f>IF('Assumptions &amp; Results'!$C$172=2,I15*I12,0)</f>
        <v>0</v>
      </c>
      <c r="J18" s="8">
        <f>IF('Assumptions &amp; Results'!$C$172=2,J15*J12,0)</f>
        <v>0</v>
      </c>
      <c r="K18" s="8">
        <f>IF('Assumptions &amp; Results'!$C$172=2,K15*K12,0)</f>
        <v>0</v>
      </c>
      <c r="L18" s="8">
        <f>IF('Assumptions &amp; Results'!$C$172=2,L15*L12,0)</f>
        <v>0</v>
      </c>
      <c r="M18" s="8">
        <f>IF('Assumptions &amp; Results'!$C$172=2,M15*M12,0)</f>
        <v>0</v>
      </c>
      <c r="N18" s="8">
        <f>IF('Assumptions &amp; Results'!$C$172=2,N15*N12,0)</f>
        <v>0</v>
      </c>
      <c r="O18" s="8">
        <f>IF('Assumptions &amp; Results'!$C$172=2,O15*O12,0)</f>
        <v>0</v>
      </c>
      <c r="P18" s="8">
        <f>IF('Assumptions &amp; Results'!$C$172=2,P15*P12,0)</f>
        <v>0</v>
      </c>
      <c r="Q18" s="8">
        <f>IF('Assumptions &amp; Results'!$C$172=2,Q15*Q12,0)</f>
        <v>0</v>
      </c>
      <c r="R18" s="8">
        <f>IF('Assumptions &amp; Results'!$C$172=2,R15*R12,0)</f>
        <v>0</v>
      </c>
      <c r="S18" s="8">
        <f>IF('Assumptions &amp; Results'!$C$172=2,S15*S12,0)</f>
        <v>0</v>
      </c>
      <c r="T18" s="8">
        <f>IF('Assumptions &amp; Results'!$C$172=2,T15*T12,0)</f>
        <v>0</v>
      </c>
      <c r="U18" s="8">
        <f>IF('Assumptions &amp; Results'!$C$172=2,U15*U12,0)</f>
        <v>0</v>
      </c>
      <c r="V18" s="8">
        <f>IF('Assumptions &amp; Results'!$C$172=2,V15*V12,0)</f>
        <v>0</v>
      </c>
      <c r="W18" s="8">
        <f>IF('Assumptions &amp; Results'!$C$172=2,W15*W12,0)</f>
        <v>0</v>
      </c>
      <c r="X18" s="8">
        <f>IF('Assumptions &amp; Results'!$C$172=2,X15*X12,0)</f>
        <v>0</v>
      </c>
      <c r="Y18" s="8">
        <f>IF('Assumptions &amp; Results'!$C$172=2,Y15*Y12,0)</f>
        <v>0</v>
      </c>
      <c r="Z18" s="8">
        <f>IF('Assumptions &amp; Results'!$C$172=2,Z15*Z12,0)</f>
        <v>0</v>
      </c>
      <c r="AA18" s="8">
        <f>IF('Assumptions &amp; Results'!$C$172=2,AA15*AA12,0)</f>
        <v>0</v>
      </c>
      <c r="AB18" s="8">
        <f>IF('Assumptions &amp; Results'!$C$172=2,AB15*AB12,0)</f>
        <v>0</v>
      </c>
      <c r="AC18" s="8">
        <f>IF('Assumptions &amp; Results'!$C$172=2,AC15*AC12,0)</f>
        <v>0</v>
      </c>
      <c r="AD18" s="8">
        <f>IF('Assumptions &amp; Results'!$C$172=2,AD15*AD12,0)</f>
        <v>0</v>
      </c>
      <c r="AE18" s="8">
        <f>IF('Assumptions &amp; Results'!$C$172=2,AE15*AE12,0)</f>
        <v>0</v>
      </c>
      <c r="AF18" s="8">
        <f>IF('Assumptions &amp; Results'!$C$172=2,AF15*AF12,0)</f>
        <v>0</v>
      </c>
      <c r="AG18" s="8">
        <f>IF('Assumptions &amp; Results'!$C$172=2,AG15*AG12,0)</f>
        <v>0</v>
      </c>
      <c r="AH18" s="8">
        <f>IF('Assumptions &amp; Results'!$C$172=2,AH15*AH12,0)</f>
        <v>0</v>
      </c>
      <c r="AI18" s="8">
        <f>IF('Assumptions &amp; Results'!$C$172=2,AI15*AI12,0)</f>
        <v>0</v>
      </c>
      <c r="AJ18" s="125"/>
    </row>
    <row r="19" spans="1:36" ht="18" x14ac:dyDescent="0.35">
      <c r="A19" t="s">
        <v>285</v>
      </c>
      <c r="B19" t="s">
        <v>99</v>
      </c>
      <c r="C19" s="27">
        <f>C13*C15</f>
        <v>0</v>
      </c>
      <c r="D19" s="27">
        <f t="shared" ref="D19:AI19" si="2">D13*D15</f>
        <v>0</v>
      </c>
      <c r="E19" s="27">
        <f t="shared" si="2"/>
        <v>0</v>
      </c>
      <c r="F19" s="27">
        <f t="shared" si="2"/>
        <v>0</v>
      </c>
      <c r="G19" s="27">
        <f t="shared" si="2"/>
        <v>2323.9321875000005</v>
      </c>
      <c r="H19" s="27">
        <f t="shared" si="2"/>
        <v>4647.864375000001</v>
      </c>
      <c r="I19" s="27">
        <f t="shared" si="2"/>
        <v>4647.864375000001</v>
      </c>
      <c r="J19" s="27">
        <f t="shared" si="2"/>
        <v>4415.4711562499997</v>
      </c>
      <c r="K19" s="27">
        <f t="shared" si="2"/>
        <v>4647.864375000001</v>
      </c>
      <c r="L19" s="27">
        <f t="shared" si="2"/>
        <v>4647.864375000001</v>
      </c>
      <c r="M19" s="27">
        <f t="shared" si="2"/>
        <v>4647.864375000001</v>
      </c>
      <c r="N19" s="27">
        <f t="shared" si="2"/>
        <v>4647.864375000001</v>
      </c>
      <c r="O19" s="27">
        <f t="shared" si="2"/>
        <v>4415.4711562499997</v>
      </c>
      <c r="P19" s="27">
        <f t="shared" si="2"/>
        <v>4647.864375000001</v>
      </c>
      <c r="Q19" s="27">
        <f t="shared" si="2"/>
        <v>4647.864375000001</v>
      </c>
      <c r="R19" s="27">
        <f t="shared" si="2"/>
        <v>4647.864375000001</v>
      </c>
      <c r="S19" s="27">
        <f t="shared" si="2"/>
        <v>4647.864375000001</v>
      </c>
      <c r="T19" s="27">
        <f t="shared" si="2"/>
        <v>4415.4711562499997</v>
      </c>
      <c r="U19" s="27">
        <f t="shared" si="2"/>
        <v>4647.864375000001</v>
      </c>
      <c r="V19" s="27">
        <f t="shared" si="2"/>
        <v>4647.864375000001</v>
      </c>
      <c r="W19" s="27">
        <f t="shared" si="2"/>
        <v>4647.864375000001</v>
      </c>
      <c r="X19" s="27">
        <f t="shared" si="2"/>
        <v>4647.864375000001</v>
      </c>
      <c r="Y19" s="27">
        <f t="shared" si="2"/>
        <v>4415.4711562499997</v>
      </c>
      <c r="Z19" s="27">
        <f t="shared" si="2"/>
        <v>4647.864375000001</v>
      </c>
      <c r="AA19" s="27">
        <f t="shared" si="2"/>
        <v>4647.864375000001</v>
      </c>
      <c r="AB19" s="27">
        <f t="shared" si="2"/>
        <v>4647.864375000001</v>
      </c>
      <c r="AC19" s="27">
        <f t="shared" si="2"/>
        <v>4647.864375000001</v>
      </c>
      <c r="AD19" s="27">
        <f t="shared" si="2"/>
        <v>4415.4711562499997</v>
      </c>
      <c r="AE19" s="27">
        <f t="shared" si="2"/>
        <v>4647.864375000001</v>
      </c>
      <c r="AF19" s="27">
        <f t="shared" si="2"/>
        <v>4647.864375000001</v>
      </c>
      <c r="AG19" s="27">
        <f t="shared" si="2"/>
        <v>4647.864375000001</v>
      </c>
      <c r="AH19" s="27">
        <f t="shared" si="2"/>
        <v>4647.864375000001</v>
      </c>
      <c r="AI19" s="27">
        <f t="shared" si="2"/>
        <v>4647.864375000001</v>
      </c>
      <c r="AJ19" s="126">
        <f>SUM(C19:AI19)</f>
        <v>131302.16859375007</v>
      </c>
    </row>
    <row r="20" spans="1:36" x14ac:dyDescent="0.2">
      <c r="A20" t="s">
        <v>286</v>
      </c>
      <c r="B20" t="s">
        <v>99</v>
      </c>
      <c r="C20" s="23">
        <f t="shared" ref="C20:AI20" si="3">SUM(C16:C19)</f>
        <v>0</v>
      </c>
      <c r="D20" s="23">
        <f t="shared" si="3"/>
        <v>0</v>
      </c>
      <c r="E20" s="23">
        <f t="shared" si="3"/>
        <v>0</v>
      </c>
      <c r="F20" s="23">
        <f t="shared" si="3"/>
        <v>0</v>
      </c>
      <c r="G20" s="23">
        <f t="shared" si="3"/>
        <v>2338.9884375000006</v>
      </c>
      <c r="H20" s="23">
        <f t="shared" si="3"/>
        <v>4677.9768750000012</v>
      </c>
      <c r="I20" s="23">
        <f t="shared" si="3"/>
        <v>4677.9768750000012</v>
      </c>
      <c r="J20" s="23">
        <f t="shared" si="3"/>
        <v>4445.5836562499999</v>
      </c>
      <c r="K20" s="23">
        <f t="shared" si="3"/>
        <v>4677.9768750000012</v>
      </c>
      <c r="L20" s="23">
        <f t="shared" si="3"/>
        <v>4677.9768750000012</v>
      </c>
      <c r="M20" s="23">
        <f t="shared" si="3"/>
        <v>4677.9768750000012</v>
      </c>
      <c r="N20" s="23">
        <f t="shared" si="3"/>
        <v>4677.9768750000012</v>
      </c>
      <c r="O20" s="23">
        <f t="shared" si="3"/>
        <v>4445.5836562499999</v>
      </c>
      <c r="P20" s="23">
        <f t="shared" si="3"/>
        <v>4677.9768750000012</v>
      </c>
      <c r="Q20" s="23">
        <f t="shared" si="3"/>
        <v>4677.9768750000012</v>
      </c>
      <c r="R20" s="23">
        <f t="shared" si="3"/>
        <v>4677.9768750000012</v>
      </c>
      <c r="S20" s="23">
        <f t="shared" si="3"/>
        <v>4677.9768750000012</v>
      </c>
      <c r="T20" s="23">
        <f t="shared" si="3"/>
        <v>4445.5836562499999</v>
      </c>
      <c r="U20" s="23">
        <f t="shared" si="3"/>
        <v>4677.9768750000012</v>
      </c>
      <c r="V20" s="23">
        <f t="shared" si="3"/>
        <v>4677.9768750000012</v>
      </c>
      <c r="W20" s="23">
        <f t="shared" si="3"/>
        <v>4677.9768750000012</v>
      </c>
      <c r="X20" s="23">
        <f t="shared" si="3"/>
        <v>4677.9768750000012</v>
      </c>
      <c r="Y20" s="23">
        <f t="shared" si="3"/>
        <v>4445.5836562499999</v>
      </c>
      <c r="Z20" s="23">
        <f t="shared" si="3"/>
        <v>4677.9768750000012</v>
      </c>
      <c r="AA20" s="23">
        <f t="shared" si="3"/>
        <v>4677.9768750000012</v>
      </c>
      <c r="AB20" s="23">
        <f t="shared" si="3"/>
        <v>4677.9768750000012</v>
      </c>
      <c r="AC20" s="23">
        <f t="shared" si="3"/>
        <v>4677.9768750000012</v>
      </c>
      <c r="AD20" s="23">
        <f t="shared" si="3"/>
        <v>4445.5836562499999</v>
      </c>
      <c r="AE20" s="23">
        <f t="shared" si="3"/>
        <v>4677.9768750000012</v>
      </c>
      <c r="AF20" s="23">
        <f t="shared" si="3"/>
        <v>4677.9768750000012</v>
      </c>
      <c r="AG20" s="23">
        <f t="shared" si="3"/>
        <v>4677.9768750000012</v>
      </c>
      <c r="AH20" s="23">
        <f t="shared" si="3"/>
        <v>4677.9768750000012</v>
      </c>
      <c r="AI20" s="23">
        <f t="shared" si="3"/>
        <v>4677.9768750000012</v>
      </c>
      <c r="AJ20" s="125">
        <f>SUM(C20:AI20)</f>
        <v>132160.37484375009</v>
      </c>
    </row>
    <row r="21" spans="1:36" x14ac:dyDescent="0.2">
      <c r="AJ21" s="125"/>
    </row>
    <row r="22" spans="1:36" s="69" customFormat="1" x14ac:dyDescent="0.2">
      <c r="A22" s="74" t="s">
        <v>287</v>
      </c>
      <c r="AJ22" s="131"/>
    </row>
    <row r="23" spans="1:36" x14ac:dyDescent="0.2">
      <c r="A23" t="s">
        <v>288</v>
      </c>
      <c r="B23" t="s">
        <v>99</v>
      </c>
      <c r="C23" s="8">
        <f>C8*'Assumptions &amp; Results'!D100</f>
        <v>0</v>
      </c>
      <c r="D23" s="8">
        <f>D8*'Assumptions &amp; Results'!E100</f>
        <v>0</v>
      </c>
      <c r="E23" s="8">
        <f>E8*'Assumptions &amp; Results'!F100</f>
        <v>0</v>
      </c>
      <c r="F23" s="8">
        <f>F8*'Assumptions &amp; Results'!G100</f>
        <v>0</v>
      </c>
      <c r="G23" s="8">
        <f>G8*'Assumptions &amp; Results'!H100</f>
        <v>301.125</v>
      </c>
      <c r="H23" s="8">
        <f>H8*'Assumptions &amp; Results'!I100</f>
        <v>602.25</v>
      </c>
      <c r="I23" s="8">
        <f>I8*'Assumptions &amp; Results'!J100</f>
        <v>602.25</v>
      </c>
      <c r="J23" s="8">
        <f>J8*'Assumptions &amp; Results'!K100</f>
        <v>602.25</v>
      </c>
      <c r="K23" s="8">
        <f>K8*'Assumptions &amp; Results'!L100</f>
        <v>602.25</v>
      </c>
      <c r="L23" s="8">
        <f>L8*'Assumptions &amp; Results'!M100</f>
        <v>602.25</v>
      </c>
      <c r="M23" s="8">
        <f>M8*'Assumptions &amp; Results'!N100</f>
        <v>602.25</v>
      </c>
      <c r="N23" s="8">
        <f>N8*'Assumptions &amp; Results'!O100</f>
        <v>602.25</v>
      </c>
      <c r="O23" s="8">
        <f>O8*'Assumptions &amp; Results'!P100</f>
        <v>602.25</v>
      </c>
      <c r="P23" s="8">
        <f>P8*'Assumptions &amp; Results'!Q100</f>
        <v>602.25</v>
      </c>
      <c r="Q23" s="8">
        <f>Q8*'Assumptions &amp; Results'!R100</f>
        <v>602.25</v>
      </c>
      <c r="R23" s="8">
        <f>R8*'Assumptions &amp; Results'!S100</f>
        <v>602.25</v>
      </c>
      <c r="S23" s="8">
        <f>S8*'Assumptions &amp; Results'!T100</f>
        <v>602.25</v>
      </c>
      <c r="T23" s="8">
        <f>T8*'Assumptions &amp; Results'!U100</f>
        <v>602.25</v>
      </c>
      <c r="U23" s="8">
        <f>U8*'Assumptions &amp; Results'!V100</f>
        <v>602.25</v>
      </c>
      <c r="V23" s="8">
        <f>V8*'Assumptions &amp; Results'!W100</f>
        <v>602.25</v>
      </c>
      <c r="W23" s="8">
        <f>W8*'Assumptions &amp; Results'!X100</f>
        <v>602.25</v>
      </c>
      <c r="X23" s="8">
        <f>X8*'Assumptions &amp; Results'!Y100</f>
        <v>602.25</v>
      </c>
      <c r="Y23" s="8">
        <f>Y8*'Assumptions &amp; Results'!Z100</f>
        <v>602.25</v>
      </c>
      <c r="Z23" s="8">
        <f>Z8*'Assumptions &amp; Results'!AA100</f>
        <v>602.25</v>
      </c>
      <c r="AA23" s="8">
        <f>AA8*'Assumptions &amp; Results'!AB100</f>
        <v>602.25</v>
      </c>
      <c r="AB23" s="8">
        <f>AB8*'Assumptions &amp; Results'!AC100</f>
        <v>602.25</v>
      </c>
      <c r="AC23" s="8">
        <f>AC8*'Assumptions &amp; Results'!AD100</f>
        <v>602.25</v>
      </c>
      <c r="AD23" s="8">
        <f>AD8*'Assumptions &amp; Results'!AE100</f>
        <v>602.25</v>
      </c>
      <c r="AE23" s="8">
        <f>AE8*'Assumptions &amp; Results'!AF100</f>
        <v>602.25</v>
      </c>
      <c r="AF23" s="8">
        <f>AF8*'Assumptions &amp; Results'!AG100</f>
        <v>602.25</v>
      </c>
      <c r="AG23" s="8">
        <f>AG8*'Assumptions &amp; Results'!AH100</f>
        <v>602.25</v>
      </c>
      <c r="AH23" s="8">
        <f>AH8*'Assumptions &amp; Results'!AI100</f>
        <v>602.25</v>
      </c>
      <c r="AI23" s="8">
        <f>AI8*'Assumptions &amp; Results'!AJ100</f>
        <v>602.25</v>
      </c>
      <c r="AJ23" s="125">
        <f t="shared" ref="AJ23:AJ29" si="4">SUM(C23:AI23)</f>
        <v>17164.125</v>
      </c>
    </row>
    <row r="24" spans="1:36" x14ac:dyDescent="0.2">
      <c r="A24" t="s">
        <v>289</v>
      </c>
      <c r="B24" t="s">
        <v>99</v>
      </c>
      <c r="C24" s="8">
        <f>'Assumptions &amp; Results'!D108</f>
        <v>0</v>
      </c>
      <c r="D24" s="8">
        <f>'Assumptions &amp; Results'!E108</f>
        <v>0</v>
      </c>
      <c r="E24" s="8">
        <f>'Assumptions &amp; Results'!F108</f>
        <v>0</v>
      </c>
      <c r="F24" s="8">
        <f>'Assumptions &amp; Results'!G108</f>
        <v>0</v>
      </c>
      <c r="G24" s="8">
        <f>'Assumptions &amp; Results'!H108</f>
        <v>0</v>
      </c>
      <c r="H24" s="8">
        <f>'Assumptions &amp; Results'!I108</f>
        <v>0</v>
      </c>
      <c r="I24" s="8">
        <f>'Assumptions &amp; Results'!J108</f>
        <v>0</v>
      </c>
      <c r="J24" s="8">
        <f>'Assumptions &amp; Results'!K108</f>
        <v>0</v>
      </c>
      <c r="K24" s="8">
        <f>'Assumptions &amp; Results'!L108</f>
        <v>0</v>
      </c>
      <c r="L24" s="8">
        <f>'Assumptions &amp; Results'!M108</f>
        <v>0</v>
      </c>
      <c r="M24" s="8">
        <f>'Assumptions &amp; Results'!N108</f>
        <v>0</v>
      </c>
      <c r="N24" s="8">
        <f>'Assumptions &amp; Results'!O108</f>
        <v>0</v>
      </c>
      <c r="O24" s="8">
        <f>'Assumptions &amp; Results'!P108</f>
        <v>0</v>
      </c>
      <c r="P24" s="8">
        <f>'Assumptions &amp; Results'!Q108</f>
        <v>0</v>
      </c>
      <c r="Q24" s="8">
        <f>'Assumptions &amp; Results'!R108</f>
        <v>0</v>
      </c>
      <c r="R24" s="8">
        <f>'Assumptions &amp; Results'!S108</f>
        <v>0</v>
      </c>
      <c r="S24" s="8">
        <f>'Assumptions &amp; Results'!T108</f>
        <v>0</v>
      </c>
      <c r="T24" s="8">
        <f>'Assumptions &amp; Results'!U108</f>
        <v>0</v>
      </c>
      <c r="U24" s="8">
        <f>'Assumptions &amp; Results'!V108</f>
        <v>0</v>
      </c>
      <c r="V24" s="8">
        <f>'Assumptions &amp; Results'!W108</f>
        <v>0</v>
      </c>
      <c r="W24" s="8">
        <f>'Assumptions &amp; Results'!X108</f>
        <v>0</v>
      </c>
      <c r="X24" s="8">
        <f>'Assumptions &amp; Results'!Y108</f>
        <v>0</v>
      </c>
      <c r="Y24" s="8">
        <f>'Assumptions &amp; Results'!Z108</f>
        <v>0</v>
      </c>
      <c r="Z24" s="8">
        <f>'Assumptions &amp; Results'!AA108</f>
        <v>0</v>
      </c>
      <c r="AA24" s="8">
        <f>'Assumptions &amp; Results'!AB108</f>
        <v>0</v>
      </c>
      <c r="AB24" s="8">
        <f>'Assumptions &amp; Results'!AC108</f>
        <v>0</v>
      </c>
      <c r="AC24" s="8">
        <f>'Assumptions &amp; Results'!AD108</f>
        <v>0</v>
      </c>
      <c r="AD24" s="8">
        <f>'Assumptions &amp; Results'!AE108</f>
        <v>0</v>
      </c>
      <c r="AE24" s="8">
        <f>'Assumptions &amp; Results'!AF108</f>
        <v>0</v>
      </c>
      <c r="AF24" s="8">
        <f>'Assumptions &amp; Results'!AG108</f>
        <v>0</v>
      </c>
      <c r="AG24" s="8">
        <f>'Assumptions &amp; Results'!AH108</f>
        <v>300</v>
      </c>
      <c r="AH24" s="8">
        <f>'Assumptions &amp; Results'!AI108</f>
        <v>300</v>
      </c>
      <c r="AI24" s="8">
        <f>'Assumptions &amp; Results'!AJ108</f>
        <v>600</v>
      </c>
      <c r="AJ24" s="125">
        <f t="shared" si="4"/>
        <v>1200</v>
      </c>
    </row>
    <row r="25" spans="1:36" x14ac:dyDescent="0.2">
      <c r="A25" t="s">
        <v>290</v>
      </c>
      <c r="B25" t="s">
        <v>99</v>
      </c>
      <c r="C25" s="8">
        <f>IF('Assumptions &amp; Results'!$C$97=2,'Gas PL'!C23,0)</f>
        <v>0</v>
      </c>
      <c r="D25" s="8">
        <f>IF('Assumptions &amp; Results'!$C$97=2,'Gas PL'!D23,0)</f>
        <v>0</v>
      </c>
      <c r="E25" s="8">
        <f>IF('Assumptions &amp; Results'!$C$97=2,'Gas PL'!E23,0)</f>
        <v>0</v>
      </c>
      <c r="F25" s="8">
        <f>IF('Assumptions &amp; Results'!$C$97=2,'Gas PL'!F23,0)</f>
        <v>0</v>
      </c>
      <c r="G25" s="8">
        <f>IF('Assumptions &amp; Results'!$C$97=2,'Gas PL'!G23,0)</f>
        <v>0</v>
      </c>
      <c r="H25" s="8">
        <f>IF('Assumptions &amp; Results'!$C$97=2,'Gas PL'!H23,0)</f>
        <v>0</v>
      </c>
      <c r="I25" s="8">
        <f>IF('Assumptions &amp; Results'!$C$97=2,'Gas PL'!I23,0)</f>
        <v>0</v>
      </c>
      <c r="J25" s="8">
        <f>IF('Assumptions &amp; Results'!$C$97=2,'Gas PL'!J23,0)</f>
        <v>0</v>
      </c>
      <c r="K25" s="8">
        <f>IF('Assumptions &amp; Results'!$C$97=2,'Gas PL'!K23,0)</f>
        <v>0</v>
      </c>
      <c r="L25" s="8">
        <f>IF('Assumptions &amp; Results'!$C$97=2,'Gas PL'!L23,0)</f>
        <v>0</v>
      </c>
      <c r="M25" s="8">
        <f>IF('Assumptions &amp; Results'!$C$97=2,'Gas PL'!M23,0)</f>
        <v>0</v>
      </c>
      <c r="N25" s="8">
        <f>IF('Assumptions &amp; Results'!$C$97=2,'Gas PL'!N23,0)</f>
        <v>0</v>
      </c>
      <c r="O25" s="8">
        <f>IF('Assumptions &amp; Results'!$C$97=2,'Gas PL'!O23,0)</f>
        <v>0</v>
      </c>
      <c r="P25" s="8">
        <f>IF('Assumptions &amp; Results'!$C$97=2,'Gas PL'!P23,0)</f>
        <v>0</v>
      </c>
      <c r="Q25" s="8">
        <f>IF('Assumptions &amp; Results'!$C$97=2,'Gas PL'!Q23,0)</f>
        <v>0</v>
      </c>
      <c r="R25" s="8">
        <f>IF('Assumptions &amp; Results'!$C$97=2,'Gas PL'!R23,0)</f>
        <v>0</v>
      </c>
      <c r="S25" s="8">
        <f>IF('Assumptions &amp; Results'!$C$97=2,'Gas PL'!S23,0)</f>
        <v>0</v>
      </c>
      <c r="T25" s="8">
        <f>IF('Assumptions &amp; Results'!$C$97=2,'Gas PL'!T23,0)</f>
        <v>0</v>
      </c>
      <c r="U25" s="8">
        <f>IF('Assumptions &amp; Results'!$C$97=2,'Gas PL'!U23,0)</f>
        <v>0</v>
      </c>
      <c r="V25" s="8">
        <f>IF('Assumptions &amp; Results'!$C$97=2,'Gas PL'!V23,0)</f>
        <v>0</v>
      </c>
      <c r="W25" s="8">
        <f>IF('Assumptions &amp; Results'!$C$97=2,'Gas PL'!W23,0)</f>
        <v>0</v>
      </c>
      <c r="X25" s="8">
        <f>IF('Assumptions &amp; Results'!$C$97=2,'Gas PL'!X23,0)</f>
        <v>0</v>
      </c>
      <c r="Y25" s="8">
        <f>IF('Assumptions &amp; Results'!$C$97=2,'Gas PL'!Y23,0)</f>
        <v>0</v>
      </c>
      <c r="Z25" s="8">
        <f>IF('Assumptions &amp; Results'!$C$97=2,'Gas PL'!Z23,0)</f>
        <v>0</v>
      </c>
      <c r="AA25" s="8">
        <f>IF('Assumptions &amp; Results'!$C$97=2,'Gas PL'!AA23,0)</f>
        <v>0</v>
      </c>
      <c r="AB25" s="8">
        <f>IF('Assumptions &amp; Results'!$C$97=2,'Gas PL'!AB23,0)</f>
        <v>0</v>
      </c>
      <c r="AC25" s="8">
        <f>IF('Assumptions &amp; Results'!$C$97=2,'Gas PL'!AC23,0)</f>
        <v>0</v>
      </c>
      <c r="AD25" s="8">
        <f>IF('Assumptions &amp; Results'!$C$97=2,'Gas PL'!AD23,0)</f>
        <v>0</v>
      </c>
      <c r="AE25" s="8">
        <f>IF('Assumptions &amp; Results'!$C$97=2,'Gas PL'!AE23,0)</f>
        <v>0</v>
      </c>
      <c r="AF25" s="8">
        <f>IF('Assumptions &amp; Results'!$C$97=2,'Gas PL'!AF23,0)</f>
        <v>0</v>
      </c>
      <c r="AG25" s="8">
        <f>IF('Assumptions &amp; Results'!$C$97=2,'Gas PL'!AG23,0)</f>
        <v>0</v>
      </c>
      <c r="AH25" s="8">
        <f>IF('Assumptions &amp; Results'!$C$97=2,'Gas PL'!AH23,0)</f>
        <v>0</v>
      </c>
      <c r="AI25" s="8">
        <f>IF('Assumptions &amp; Results'!$C$97=2,'Gas PL'!AI23,0)</f>
        <v>0</v>
      </c>
      <c r="AJ25" s="125">
        <f t="shared" si="4"/>
        <v>0</v>
      </c>
    </row>
    <row r="26" spans="1:36" x14ac:dyDescent="0.2">
      <c r="A26" t="s">
        <v>291</v>
      </c>
      <c r="B26" t="s">
        <v>99</v>
      </c>
      <c r="C26" s="8">
        <f>'LNG Tolling'!C23</f>
        <v>0</v>
      </c>
      <c r="D26" s="8">
        <f>'LNG Tolling'!D23</f>
        <v>0</v>
      </c>
      <c r="E26" s="8">
        <f>'LNG Tolling'!E23</f>
        <v>0</v>
      </c>
      <c r="F26" s="8">
        <f>'LNG Tolling'!F23</f>
        <v>0</v>
      </c>
      <c r="G26" s="8">
        <f>'LNG Tolling'!G23</f>
        <v>1195.1651250000002</v>
      </c>
      <c r="H26" s="8">
        <f>'LNG Tolling'!H23</f>
        <v>2390.3302500000004</v>
      </c>
      <c r="I26" s="8">
        <f>'LNG Tolling'!I23</f>
        <v>2390.3302500000004</v>
      </c>
      <c r="J26" s="8">
        <f>'LNG Tolling'!J23</f>
        <v>2157.273050625</v>
      </c>
      <c r="K26" s="8">
        <f>'LNG Tolling'!K23</f>
        <v>2390.3302500000004</v>
      </c>
      <c r="L26" s="8">
        <f>'LNG Tolling'!L23</f>
        <v>2390.3302500000004</v>
      </c>
      <c r="M26" s="8">
        <f>'LNG Tolling'!M23</f>
        <v>2390.3302500000004</v>
      </c>
      <c r="N26" s="8">
        <f>'LNG Tolling'!N23</f>
        <v>2390.3302500000004</v>
      </c>
      <c r="O26" s="8">
        <f>'LNG Tolling'!O23</f>
        <v>2157.273050625</v>
      </c>
      <c r="P26" s="8">
        <f>'LNG Tolling'!P23</f>
        <v>2390.3302500000004</v>
      </c>
      <c r="Q26" s="8">
        <f>'LNG Tolling'!Q23</f>
        <v>2390.3302500000004</v>
      </c>
      <c r="R26" s="8">
        <f>'LNG Tolling'!R23</f>
        <v>2390.3302500000004</v>
      </c>
      <c r="S26" s="8">
        <f>'LNG Tolling'!S23</f>
        <v>2390.3302500000004</v>
      </c>
      <c r="T26" s="8">
        <f>'LNG Tolling'!T23</f>
        <v>2157.273050625</v>
      </c>
      <c r="U26" s="8">
        <f>'LNG Tolling'!U23</f>
        <v>2390.3302500000004</v>
      </c>
      <c r="V26" s="8">
        <f>'LNG Tolling'!V23</f>
        <v>2390.3302500000004</v>
      </c>
      <c r="W26" s="8">
        <f>'LNG Tolling'!W23</f>
        <v>2390.3302500000004</v>
      </c>
      <c r="X26" s="8">
        <f>'LNG Tolling'!X23</f>
        <v>2390.3302500000004</v>
      </c>
      <c r="Y26" s="8">
        <f>'LNG Tolling'!Y23</f>
        <v>2157.273050625</v>
      </c>
      <c r="Z26" s="8">
        <f>'LNG Tolling'!Z23</f>
        <v>2390.3302500000004</v>
      </c>
      <c r="AA26" s="8">
        <f>'LNG Tolling'!AA23</f>
        <v>2390.3302500000004</v>
      </c>
      <c r="AB26" s="8">
        <f>'LNG Tolling'!AB23</f>
        <v>2390.3302500000004</v>
      </c>
      <c r="AC26" s="8">
        <f>'LNG Tolling'!AC23</f>
        <v>2390.3302500000004</v>
      </c>
      <c r="AD26" s="8">
        <f>'LNG Tolling'!AD23</f>
        <v>2157.273050625</v>
      </c>
      <c r="AE26" s="8">
        <f>'LNG Tolling'!AE23</f>
        <v>2390.3302500000004</v>
      </c>
      <c r="AF26" s="8">
        <f>'LNG Tolling'!AF23</f>
        <v>2390.3302500000004</v>
      </c>
      <c r="AG26" s="8">
        <f>'LNG Tolling'!AG23</f>
        <v>2390.3302500000004</v>
      </c>
      <c r="AH26" s="8">
        <f>'LNG Tolling'!AH23</f>
        <v>2390.3302500000004</v>
      </c>
      <c r="AI26" s="8">
        <f>'LNG Tolling'!AI23</f>
        <v>2390.3302500000004</v>
      </c>
      <c r="AJ26" s="125">
        <f t="shared" si="4"/>
        <v>66959.12612812499</v>
      </c>
    </row>
    <row r="27" spans="1:36" x14ac:dyDescent="0.2">
      <c r="A27" t="s">
        <v>292</v>
      </c>
      <c r="B27" t="s">
        <v>99</v>
      </c>
      <c r="C27" s="8">
        <f>IF('Assumptions &amp; Results'!$C$14=1,'Assumptions &amp; Results'!D102*C10,0)</f>
        <v>0</v>
      </c>
      <c r="D27" s="8">
        <f>IF('Assumptions &amp; Results'!$C$14=1,'Assumptions &amp; Results'!E102*D10,0)</f>
        <v>0</v>
      </c>
      <c r="E27" s="8">
        <f>IF('Assumptions &amp; Results'!$C$14=1,'Assumptions &amp; Results'!F102*E10,0)</f>
        <v>0</v>
      </c>
      <c r="F27" s="8">
        <f>IF('Assumptions &amp; Results'!$C$14=1,'Assumptions &amp; Results'!G102*F10,0)</f>
        <v>0</v>
      </c>
      <c r="G27" s="8">
        <f>IF('Assumptions &amp; Results'!$C$14=1,'Assumptions &amp; Results'!H102*G10,0)</f>
        <v>0</v>
      </c>
      <c r="H27" s="8">
        <f>IF('Assumptions &amp; Results'!$C$14=1,'Assumptions &amp; Results'!I102*H10,0)</f>
        <v>0</v>
      </c>
      <c r="I27" s="8">
        <f>IF('Assumptions &amp; Results'!$C$14=1,'Assumptions &amp; Results'!J102*I10,0)</f>
        <v>0</v>
      </c>
      <c r="J27" s="8">
        <f>IF('Assumptions &amp; Results'!$C$14=1,'Assumptions &amp; Results'!K102*J10,0)</f>
        <v>0</v>
      </c>
      <c r="K27" s="8">
        <f>IF('Assumptions &amp; Results'!$C$14=1,'Assumptions &amp; Results'!L102*K10,0)</f>
        <v>0</v>
      </c>
      <c r="L27" s="8">
        <f>IF('Assumptions &amp; Results'!$C$14=1,'Assumptions &amp; Results'!M102*L10,0)</f>
        <v>0</v>
      </c>
      <c r="M27" s="8">
        <f>IF('Assumptions &amp; Results'!$C$14=1,'Assumptions &amp; Results'!N102*M10,0)</f>
        <v>0</v>
      </c>
      <c r="N27" s="8">
        <f>IF('Assumptions &amp; Results'!$C$14=1,'Assumptions &amp; Results'!O102*N10,0)</f>
        <v>0</v>
      </c>
      <c r="O27" s="8">
        <f>IF('Assumptions &amp; Results'!$C$14=1,'Assumptions &amp; Results'!P102*O10,0)</f>
        <v>0</v>
      </c>
      <c r="P27" s="8">
        <f>IF('Assumptions &amp; Results'!$C$14=1,'Assumptions &amp; Results'!Q102*P10,0)</f>
        <v>0</v>
      </c>
      <c r="Q27" s="8">
        <f>IF('Assumptions &amp; Results'!$C$14=1,'Assumptions &amp; Results'!R102*Q10,0)</f>
        <v>0</v>
      </c>
      <c r="R27" s="8">
        <f>IF('Assumptions &amp; Results'!$C$14=1,'Assumptions &amp; Results'!S102*R10,0)</f>
        <v>0</v>
      </c>
      <c r="S27" s="8">
        <f>IF('Assumptions &amp; Results'!$C$14=1,'Assumptions &amp; Results'!T102*S10,0)</f>
        <v>0</v>
      </c>
      <c r="T27" s="8">
        <f>IF('Assumptions &amp; Results'!$C$14=1,'Assumptions &amp; Results'!U102*T10,0)</f>
        <v>0</v>
      </c>
      <c r="U27" s="8">
        <f>IF('Assumptions &amp; Results'!$C$14=1,'Assumptions &amp; Results'!V102*U10,0)</f>
        <v>0</v>
      </c>
      <c r="V27" s="8">
        <f>IF('Assumptions &amp; Results'!$C$14=1,'Assumptions &amp; Results'!W102*V10,0)</f>
        <v>0</v>
      </c>
      <c r="W27" s="8">
        <f>IF('Assumptions &amp; Results'!$C$14=1,'Assumptions &amp; Results'!X102*W10,0)</f>
        <v>0</v>
      </c>
      <c r="X27" s="8">
        <f>IF('Assumptions &amp; Results'!$C$14=1,'Assumptions &amp; Results'!Y102*X10,0)</f>
        <v>0</v>
      </c>
      <c r="Y27" s="8">
        <f>IF('Assumptions &amp; Results'!$C$14=1,'Assumptions &amp; Results'!Z102*Y10,0)</f>
        <v>0</v>
      </c>
      <c r="Z27" s="8">
        <f>IF('Assumptions &amp; Results'!$C$14=1,'Assumptions &amp; Results'!AA102*Z10,0)</f>
        <v>0</v>
      </c>
      <c r="AA27" s="8">
        <f>IF('Assumptions &amp; Results'!$C$14=1,'Assumptions &amp; Results'!AB102*AA10,0)</f>
        <v>0</v>
      </c>
      <c r="AB27" s="8">
        <f>IF('Assumptions &amp; Results'!$C$14=1,'Assumptions &amp; Results'!AC102*AB10,0)</f>
        <v>0</v>
      </c>
      <c r="AC27" s="8">
        <f>IF('Assumptions &amp; Results'!$C$14=1,'Assumptions &amp; Results'!AD102*AC10,0)</f>
        <v>0</v>
      </c>
      <c r="AD27" s="8">
        <f>IF('Assumptions &amp; Results'!$C$14=1,'Assumptions &amp; Results'!AE102*AD10,0)</f>
        <v>0</v>
      </c>
      <c r="AE27" s="8">
        <f>IF('Assumptions &amp; Results'!$C$14=1,'Assumptions &amp; Results'!AF102*AE10,0)</f>
        <v>0</v>
      </c>
      <c r="AF27" s="8">
        <f>IF('Assumptions &amp; Results'!$C$14=1,'Assumptions &amp; Results'!AG102*AF10,0)</f>
        <v>0</v>
      </c>
      <c r="AG27" s="8">
        <f>IF('Assumptions &amp; Results'!$C$14=1,'Assumptions &amp; Results'!AH102*AG10,0)</f>
        <v>0</v>
      </c>
      <c r="AH27" s="8">
        <f>IF('Assumptions &amp; Results'!$C$14=1,'Assumptions &amp; Results'!AI102*AH10,0)</f>
        <v>0</v>
      </c>
      <c r="AI27" s="8">
        <f>IF('Assumptions &amp; Results'!$C$14=1,'Assumptions &amp; Results'!AJ102*AI10,0)</f>
        <v>0</v>
      </c>
      <c r="AJ27" s="125">
        <f t="shared" si="4"/>
        <v>0</v>
      </c>
    </row>
    <row r="28" spans="1:36" ht="18" x14ac:dyDescent="0.35">
      <c r="A28" t="s">
        <v>293</v>
      </c>
      <c r="B28" t="s">
        <v>99</v>
      </c>
      <c r="C28" s="27">
        <f>C9*'Assumptions &amp; Results'!D101</f>
        <v>0</v>
      </c>
      <c r="D28" s="27">
        <f>D9*'Assumptions &amp; Results'!E101</f>
        <v>0</v>
      </c>
      <c r="E28" s="27">
        <f>E9*'Assumptions &amp; Results'!F101</f>
        <v>0</v>
      </c>
      <c r="F28" s="27">
        <f>F9*'Assumptions &amp; Results'!G101</f>
        <v>0</v>
      </c>
      <c r="G28" s="27">
        <f>G9*'Assumptions &amp; Results'!H101</f>
        <v>0.48180000000000001</v>
      </c>
      <c r="H28" s="27">
        <f>H9*'Assumptions &amp; Results'!I101</f>
        <v>0.96360000000000001</v>
      </c>
      <c r="I28" s="27">
        <f>I9*'Assumptions &amp; Results'!J101</f>
        <v>0.96360000000000001</v>
      </c>
      <c r="J28" s="27">
        <f>J9*'Assumptions &amp; Results'!K101</f>
        <v>0.96360000000000001</v>
      </c>
      <c r="K28" s="27">
        <f>K9*'Assumptions &amp; Results'!L101</f>
        <v>0.96360000000000001</v>
      </c>
      <c r="L28" s="27">
        <f>L9*'Assumptions &amp; Results'!M101</f>
        <v>0.96360000000000001</v>
      </c>
      <c r="M28" s="27">
        <f>M9*'Assumptions &amp; Results'!N101</f>
        <v>0.96360000000000001</v>
      </c>
      <c r="N28" s="27">
        <f>N9*'Assumptions &amp; Results'!O101</f>
        <v>0.96360000000000001</v>
      </c>
      <c r="O28" s="27">
        <f>O9*'Assumptions &amp; Results'!P101</f>
        <v>0.96360000000000001</v>
      </c>
      <c r="P28" s="27">
        <f>P9*'Assumptions &amp; Results'!Q101</f>
        <v>0.96360000000000001</v>
      </c>
      <c r="Q28" s="27">
        <f>Q9*'Assumptions &amp; Results'!R101</f>
        <v>0.96360000000000001</v>
      </c>
      <c r="R28" s="27">
        <f>R9*'Assumptions &amp; Results'!S101</f>
        <v>0.96360000000000001</v>
      </c>
      <c r="S28" s="27">
        <f>S9*'Assumptions &amp; Results'!T101</f>
        <v>0.96360000000000001</v>
      </c>
      <c r="T28" s="27">
        <f>T9*'Assumptions &amp; Results'!U101</f>
        <v>0.96360000000000001</v>
      </c>
      <c r="U28" s="27">
        <f>U9*'Assumptions &amp; Results'!V101</f>
        <v>0.96360000000000001</v>
      </c>
      <c r="V28" s="27">
        <f>V9*'Assumptions &amp; Results'!W101</f>
        <v>0.96360000000000001</v>
      </c>
      <c r="W28" s="27">
        <f>W9*'Assumptions &amp; Results'!X101</f>
        <v>0.96360000000000001</v>
      </c>
      <c r="X28" s="27">
        <f>X9*'Assumptions &amp; Results'!Y101</f>
        <v>0.96360000000000001</v>
      </c>
      <c r="Y28" s="27">
        <f>Y9*'Assumptions &amp; Results'!Z101</f>
        <v>0.96360000000000001</v>
      </c>
      <c r="Z28" s="27">
        <f>Z9*'Assumptions &amp; Results'!AA101</f>
        <v>0.96360000000000001</v>
      </c>
      <c r="AA28" s="27">
        <f>AA9*'Assumptions &amp; Results'!AB101</f>
        <v>0.96360000000000001</v>
      </c>
      <c r="AB28" s="27">
        <f>AB9*'Assumptions &amp; Results'!AC101</f>
        <v>0.96360000000000001</v>
      </c>
      <c r="AC28" s="27">
        <f>AC9*'Assumptions &amp; Results'!AD101</f>
        <v>0.96360000000000001</v>
      </c>
      <c r="AD28" s="27">
        <f>AD9*'Assumptions &amp; Results'!AE101</f>
        <v>0.96360000000000001</v>
      </c>
      <c r="AE28" s="27">
        <f>AE9*'Assumptions &amp; Results'!AF101</f>
        <v>0.96360000000000001</v>
      </c>
      <c r="AF28" s="27">
        <f>AF9*'Assumptions &amp; Results'!AG101</f>
        <v>0.96360000000000001</v>
      </c>
      <c r="AG28" s="27">
        <f>AG9*'Assumptions &amp; Results'!AH101</f>
        <v>0.96360000000000001</v>
      </c>
      <c r="AH28" s="27">
        <f>AH9*'Assumptions &amp; Results'!AI101</f>
        <v>0.96360000000000001</v>
      </c>
      <c r="AI28" s="27">
        <f>AI9*'Assumptions &amp; Results'!AJ101</f>
        <v>0.96360000000000001</v>
      </c>
      <c r="AJ28" s="126">
        <f t="shared" si="4"/>
        <v>27.462599999999991</v>
      </c>
    </row>
    <row r="29" spans="1:36" x14ac:dyDescent="0.2">
      <c r="A29" s="4" t="s">
        <v>294</v>
      </c>
      <c r="B29" t="s">
        <v>99</v>
      </c>
      <c r="C29" s="8">
        <f>SUM(C23:C28)</f>
        <v>0</v>
      </c>
      <c r="D29" s="8">
        <f t="shared" ref="D29:AI29" si="5">SUM(D23:D28)</f>
        <v>0</v>
      </c>
      <c r="E29" s="8">
        <f t="shared" si="5"/>
        <v>0</v>
      </c>
      <c r="F29" s="8">
        <f t="shared" si="5"/>
        <v>0</v>
      </c>
      <c r="G29" s="8">
        <f t="shared" si="5"/>
        <v>1496.7719250000002</v>
      </c>
      <c r="H29" s="8">
        <f t="shared" si="5"/>
        <v>2993.5438500000005</v>
      </c>
      <c r="I29" s="8">
        <f t="shared" si="5"/>
        <v>2993.5438500000005</v>
      </c>
      <c r="J29" s="8">
        <f t="shared" si="5"/>
        <v>2760.486650625</v>
      </c>
      <c r="K29" s="8">
        <f t="shared" si="5"/>
        <v>2993.5438500000005</v>
      </c>
      <c r="L29" s="8">
        <f t="shared" si="5"/>
        <v>2993.5438500000005</v>
      </c>
      <c r="M29" s="8">
        <f t="shared" si="5"/>
        <v>2993.5438500000005</v>
      </c>
      <c r="N29" s="8">
        <f t="shared" si="5"/>
        <v>2993.5438500000005</v>
      </c>
      <c r="O29" s="8">
        <f t="shared" si="5"/>
        <v>2760.486650625</v>
      </c>
      <c r="P29" s="8">
        <f t="shared" si="5"/>
        <v>2993.5438500000005</v>
      </c>
      <c r="Q29" s="8">
        <f t="shared" si="5"/>
        <v>2993.5438500000005</v>
      </c>
      <c r="R29" s="8">
        <f t="shared" si="5"/>
        <v>2993.5438500000005</v>
      </c>
      <c r="S29" s="8">
        <f t="shared" si="5"/>
        <v>2993.5438500000005</v>
      </c>
      <c r="T29" s="8">
        <f t="shared" si="5"/>
        <v>2760.486650625</v>
      </c>
      <c r="U29" s="8">
        <f t="shared" si="5"/>
        <v>2993.5438500000005</v>
      </c>
      <c r="V29" s="8">
        <f t="shared" si="5"/>
        <v>2993.5438500000005</v>
      </c>
      <c r="W29" s="8">
        <f t="shared" si="5"/>
        <v>2993.5438500000005</v>
      </c>
      <c r="X29" s="8">
        <f t="shared" si="5"/>
        <v>2993.5438500000005</v>
      </c>
      <c r="Y29" s="8">
        <f t="shared" si="5"/>
        <v>2760.486650625</v>
      </c>
      <c r="Z29" s="8">
        <f t="shared" si="5"/>
        <v>2993.5438500000005</v>
      </c>
      <c r="AA29" s="8">
        <f t="shared" si="5"/>
        <v>2993.5438500000005</v>
      </c>
      <c r="AB29" s="8">
        <f t="shared" si="5"/>
        <v>2993.5438500000005</v>
      </c>
      <c r="AC29" s="8">
        <f t="shared" si="5"/>
        <v>2993.5438500000005</v>
      </c>
      <c r="AD29" s="8">
        <f t="shared" si="5"/>
        <v>2760.486650625</v>
      </c>
      <c r="AE29" s="8">
        <f t="shared" si="5"/>
        <v>2993.5438500000005</v>
      </c>
      <c r="AF29" s="8">
        <f t="shared" si="5"/>
        <v>2993.5438500000005</v>
      </c>
      <c r="AG29" s="8">
        <f t="shared" si="5"/>
        <v>3293.5438500000005</v>
      </c>
      <c r="AH29" s="8">
        <f t="shared" si="5"/>
        <v>3293.5438500000005</v>
      </c>
      <c r="AI29" s="8">
        <f t="shared" si="5"/>
        <v>3593.5438500000005</v>
      </c>
      <c r="AJ29" s="125">
        <f t="shared" si="4"/>
        <v>85350.713728125033</v>
      </c>
    </row>
    <row r="30" spans="1:36" x14ac:dyDescent="0.2">
      <c r="A30" s="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125"/>
    </row>
    <row r="31" spans="1:36" s="69" customFormat="1" x14ac:dyDescent="0.2">
      <c r="A31" s="98" t="s">
        <v>295</v>
      </c>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131"/>
    </row>
    <row r="32" spans="1:36" x14ac:dyDescent="0.2">
      <c r="A32" s="2" t="s">
        <v>296</v>
      </c>
      <c r="B32" t="s">
        <v>99</v>
      </c>
      <c r="C32" s="8">
        <f>'Field 1 Fiscal'!C26</f>
        <v>0</v>
      </c>
      <c r="D32" s="8">
        <f>'Field 1 Fiscal'!D26</f>
        <v>0</v>
      </c>
      <c r="E32" s="8">
        <f>'Field 1 Fiscal'!E26</f>
        <v>0</v>
      </c>
      <c r="F32" s="8">
        <f>'Field 1 Fiscal'!F26</f>
        <v>0</v>
      </c>
      <c r="G32" s="8">
        <f>'Field 1 Fiscal'!G26</f>
        <v>70.169653125000011</v>
      </c>
      <c r="H32" s="8">
        <f>'Field 1 Fiscal'!H26</f>
        <v>140.33930625000002</v>
      </c>
      <c r="I32" s="8">
        <f>'Field 1 Fiscal'!I26</f>
        <v>140.33930625000002</v>
      </c>
      <c r="J32" s="8">
        <f>'Field 1 Fiscal'!J26</f>
        <v>133.36750968749999</v>
      </c>
      <c r="K32" s="8">
        <f>'Field 1 Fiscal'!K26</f>
        <v>140.33930625000002</v>
      </c>
      <c r="L32" s="8">
        <f>'Field 1 Fiscal'!L26</f>
        <v>140.33930625000002</v>
      </c>
      <c r="M32" s="8">
        <f>'Field 1 Fiscal'!M26</f>
        <v>140.33930625000002</v>
      </c>
      <c r="N32" s="8">
        <f>'Field 1 Fiscal'!N26</f>
        <v>140.33930625000002</v>
      </c>
      <c r="O32" s="8">
        <f>'Field 1 Fiscal'!O26</f>
        <v>133.36750968749999</v>
      </c>
      <c r="P32" s="8">
        <f>'Field 1 Fiscal'!P26</f>
        <v>140.33930625000002</v>
      </c>
      <c r="Q32" s="8">
        <f>'Field 1 Fiscal'!Q26</f>
        <v>140.33930625000002</v>
      </c>
      <c r="R32" s="8">
        <f>'Field 1 Fiscal'!R26</f>
        <v>140.33930625000002</v>
      </c>
      <c r="S32" s="8">
        <f>'Field 1 Fiscal'!S26</f>
        <v>140.33930625000002</v>
      </c>
      <c r="T32" s="8">
        <f>'Field 1 Fiscal'!T26</f>
        <v>133.36750968749999</v>
      </c>
      <c r="U32" s="8">
        <f>'Field 1 Fiscal'!U26</f>
        <v>140.33930625000002</v>
      </c>
      <c r="V32" s="8">
        <f>'Field 1 Fiscal'!V26</f>
        <v>140.33930625000002</v>
      </c>
      <c r="W32" s="8">
        <f>'Field 1 Fiscal'!W26</f>
        <v>140.33930625000002</v>
      </c>
      <c r="X32" s="8">
        <f>'Field 1 Fiscal'!X26</f>
        <v>140.33930625000002</v>
      </c>
      <c r="Y32" s="8">
        <f>'Field 1 Fiscal'!Y26</f>
        <v>133.36750968749999</v>
      </c>
      <c r="Z32" s="8">
        <f>'Field 1 Fiscal'!Z26</f>
        <v>140.33930625000002</v>
      </c>
      <c r="AA32" s="8">
        <f>'Field 1 Fiscal'!AA26</f>
        <v>140.33930625000002</v>
      </c>
      <c r="AB32" s="8">
        <f>'Field 1 Fiscal'!AB26</f>
        <v>140.33930625000002</v>
      </c>
      <c r="AC32" s="8">
        <f>'Field 1 Fiscal'!AC26</f>
        <v>140.33930625000002</v>
      </c>
      <c r="AD32" s="8">
        <f>'Field 1 Fiscal'!AD26</f>
        <v>133.36750968749999</v>
      </c>
      <c r="AE32" s="8">
        <f>'Field 1 Fiscal'!AE26</f>
        <v>140.33930625000002</v>
      </c>
      <c r="AF32" s="8">
        <f>'Field 1 Fiscal'!AF26</f>
        <v>140.33930625000002</v>
      </c>
      <c r="AG32" s="8">
        <f>'Field 1 Fiscal'!AG26</f>
        <v>140.33930625000002</v>
      </c>
      <c r="AH32" s="8">
        <f>'Field 1 Fiscal'!AH26</f>
        <v>140.33930625000002</v>
      </c>
      <c r="AI32" s="8">
        <f>'Field 1 Fiscal'!AI26</f>
        <v>140.33930625000002</v>
      </c>
      <c r="AJ32" s="125">
        <f>SUM(C32:AI32)</f>
        <v>3964.8112453124991</v>
      </c>
    </row>
    <row r="33" spans="1:36" x14ac:dyDescent="0.2">
      <c r="A33" t="s">
        <v>263</v>
      </c>
      <c r="B33" t="s">
        <v>99</v>
      </c>
      <c r="C33" s="8">
        <f>'Field 1 Fiscal'!C45</f>
        <v>0</v>
      </c>
      <c r="D33" s="8">
        <f>'Field 1 Fiscal'!D45</f>
        <v>0</v>
      </c>
      <c r="E33" s="8">
        <f>'Field 1 Fiscal'!E45</f>
        <v>0</v>
      </c>
      <c r="F33" s="8">
        <f>'Field 1 Fiscal'!F45</f>
        <v>0</v>
      </c>
      <c r="G33" s="8">
        <f>'Field 1 Fiscal'!G45</f>
        <v>40.033815937500016</v>
      </c>
      <c r="H33" s="8">
        <f>'Field 1 Fiscal'!H45</f>
        <v>80.067631875000032</v>
      </c>
      <c r="I33" s="8">
        <f>'Field 1 Fiscal'!I45</f>
        <v>80.067631875000032</v>
      </c>
      <c r="J33" s="8">
        <f>'Field 1 Fiscal'!J45</f>
        <v>80.090871196875</v>
      </c>
      <c r="K33" s="8">
        <f>'Field 1 Fiscal'!K45</f>
        <v>160.13526375000006</v>
      </c>
      <c r="L33" s="8">
        <f>'Field 1 Fiscal'!L45</f>
        <v>160.13526375000006</v>
      </c>
      <c r="M33" s="8">
        <f>'Field 1 Fiscal'!M45</f>
        <v>160.13526375000006</v>
      </c>
      <c r="N33" s="8">
        <f>'Field 1 Fiscal'!N45</f>
        <v>227.85664060625041</v>
      </c>
      <c r="O33" s="8">
        <f>'Field 1 Fiscal'!O45</f>
        <v>505.52910168749992</v>
      </c>
      <c r="P33" s="8">
        <f>'Field 1 Fiscal'!P45</f>
        <v>505.32990750000022</v>
      </c>
      <c r="Q33" s="8">
        <f>'Field 1 Fiscal'!Q45</f>
        <v>505.32990750000022</v>
      </c>
      <c r="R33" s="8">
        <f>'Field 1 Fiscal'!R45</f>
        <v>505.32990750000022</v>
      </c>
      <c r="S33" s="8">
        <f>'Field 1 Fiscal'!S45</f>
        <v>842.21651250000036</v>
      </c>
      <c r="T33" s="8">
        <f>'Field 1 Fiscal'!T45</f>
        <v>842.54850281249992</v>
      </c>
      <c r="U33" s="8">
        <f>'Field 1 Fiscal'!U45</f>
        <v>842.21651250000036</v>
      </c>
      <c r="V33" s="8">
        <f>'Field 1 Fiscal'!V45</f>
        <v>842.21651250000036</v>
      </c>
      <c r="W33" s="8">
        <f>'Field 1 Fiscal'!W45</f>
        <v>842.21651250000036</v>
      </c>
      <c r="X33" s="8">
        <f>'Field 1 Fiscal'!X45</f>
        <v>842.21651250000036</v>
      </c>
      <c r="Y33" s="8">
        <f>'Field 1 Fiscal'!Y45</f>
        <v>1011.0582033749998</v>
      </c>
      <c r="Z33" s="8">
        <f>'Field 1 Fiscal'!Z45</f>
        <v>1010.6598150000004</v>
      </c>
      <c r="AA33" s="8">
        <f>'Field 1 Fiscal'!AA45</f>
        <v>1010.6598150000004</v>
      </c>
      <c r="AB33" s="8">
        <f>'Field 1 Fiscal'!AB45</f>
        <v>1010.6598150000004</v>
      </c>
      <c r="AC33" s="8">
        <f>'Field 1 Fiscal'!AC45</f>
        <v>1010.6598150000004</v>
      </c>
      <c r="AD33" s="8">
        <f>'Field 1 Fiscal'!AD45</f>
        <v>1011.0582033749998</v>
      </c>
      <c r="AE33" s="8">
        <f>'Field 1 Fiscal'!AE45</f>
        <v>1010.6598150000004</v>
      </c>
      <c r="AF33" s="8">
        <f>'Field 1 Fiscal'!AF45</f>
        <v>1010.6598150000004</v>
      </c>
      <c r="AG33" s="8">
        <f>'Field 1 Fiscal'!AG45</f>
        <v>830.65981500000044</v>
      </c>
      <c r="AH33" s="8">
        <f>'Field 1 Fiscal'!AH45</f>
        <v>830.65981500000044</v>
      </c>
      <c r="AI33" s="8">
        <f>'Field 1 Fiscal'!AI45</f>
        <v>650.65981500000044</v>
      </c>
      <c r="AJ33" s="125">
        <f>SUM(C33:AI33)</f>
        <v>18461.727013990629</v>
      </c>
    </row>
    <row r="34" spans="1:36" ht="18" x14ac:dyDescent="0.35">
      <c r="A34" t="s">
        <v>268</v>
      </c>
      <c r="B34" t="s">
        <v>99</v>
      </c>
      <c r="C34" s="27">
        <f>'Field 1 Fiscal'!C51</f>
        <v>0</v>
      </c>
      <c r="D34" s="27">
        <f>'Field 1 Fiscal'!D51</f>
        <v>0</v>
      </c>
      <c r="E34" s="27">
        <f>'Field 1 Fiscal'!E51</f>
        <v>0</v>
      </c>
      <c r="F34" s="27">
        <f>'Field 1 Fiscal'!F51</f>
        <v>0</v>
      </c>
      <c r="G34" s="27">
        <f>'Field 1 Fiscal'!G51</f>
        <v>0</v>
      </c>
      <c r="H34" s="27">
        <f>'Field 1 Fiscal'!H51</f>
        <v>0</v>
      </c>
      <c r="I34" s="27">
        <f>'Field 1 Fiscal'!I51</f>
        <v>0</v>
      </c>
      <c r="J34" s="27">
        <f>'Field 1 Fiscal'!J51</f>
        <v>0</v>
      </c>
      <c r="K34" s="27">
        <f>'Field 1 Fiscal'!K51</f>
        <v>72.211935017000656</v>
      </c>
      <c r="L34" s="27">
        <f>'Field 1 Fiscal'!L51</f>
        <v>442.86670560000027</v>
      </c>
      <c r="M34" s="27">
        <f>'Field 1 Fiscal'!M51</f>
        <v>442.86670560000027</v>
      </c>
      <c r="N34" s="27">
        <f>'Field 1 Fiscal'!N51</f>
        <v>421.19586500600008</v>
      </c>
      <c r="O34" s="27">
        <f>'Field 1 Fiscal'!O51</f>
        <v>334.78412616000003</v>
      </c>
      <c r="P34" s="27">
        <f>'Field 1 Fiscal'!P51</f>
        <v>332.40441960000021</v>
      </c>
      <c r="Q34" s="27">
        <f>'Field 1 Fiscal'!Q51</f>
        <v>332.40441960000021</v>
      </c>
      <c r="R34" s="27">
        <f>'Field 1 Fiscal'!R51</f>
        <v>332.40441960000021</v>
      </c>
      <c r="S34" s="27">
        <f>'Field 1 Fiscal'!S51</f>
        <v>224.60070600000012</v>
      </c>
      <c r="T34" s="27">
        <f>'Field 1 Fiscal'!T51</f>
        <v>226.93791780000001</v>
      </c>
      <c r="U34" s="27">
        <f>'Field 1 Fiscal'!U51</f>
        <v>224.60070600000012</v>
      </c>
      <c r="V34" s="27">
        <f>'Field 1 Fiscal'!V51</f>
        <v>224.60070600000012</v>
      </c>
      <c r="W34" s="27">
        <f>'Field 1 Fiscal'!W51</f>
        <v>224.60070600000012</v>
      </c>
      <c r="X34" s="27">
        <f>'Field 1 Fiscal'!X51</f>
        <v>224.60070600000012</v>
      </c>
      <c r="Y34" s="27">
        <f>'Field 1 Fiscal'!Y51</f>
        <v>173.01481362000007</v>
      </c>
      <c r="Z34" s="27">
        <f>'Field 1 Fiscal'!Z51</f>
        <v>170.69884920000007</v>
      </c>
      <c r="AA34" s="27">
        <f>'Field 1 Fiscal'!AA51</f>
        <v>170.69884920000007</v>
      </c>
      <c r="AB34" s="27">
        <f>'Field 1 Fiscal'!AB51</f>
        <v>170.69884920000007</v>
      </c>
      <c r="AC34" s="27">
        <f>'Field 1 Fiscal'!AC51</f>
        <v>170.69884920000007</v>
      </c>
      <c r="AD34" s="27">
        <f>'Field 1 Fiscal'!AD51</f>
        <v>173.01481362000007</v>
      </c>
      <c r="AE34" s="27">
        <f>'Field 1 Fiscal'!AE51</f>
        <v>170.69884920000007</v>
      </c>
      <c r="AF34" s="27">
        <f>'Field 1 Fiscal'!AF51</f>
        <v>170.69884920000007</v>
      </c>
      <c r="AG34" s="27">
        <f>'Field 1 Fiscal'!AG51</f>
        <v>132.29884920000009</v>
      </c>
      <c r="AH34" s="27">
        <f>'Field 1 Fiscal'!AH51</f>
        <v>132.29884920000009</v>
      </c>
      <c r="AI34" s="27">
        <f>'Field 1 Fiscal'!AI51</f>
        <v>93.898849200000072</v>
      </c>
      <c r="AJ34" s="126">
        <f>SUM(C34:AI34)</f>
        <v>5789.7993140230046</v>
      </c>
    </row>
    <row r="35" spans="1:36" s="2" customFormat="1" x14ac:dyDescent="0.2">
      <c r="A35" s="140" t="s">
        <v>297</v>
      </c>
      <c r="B35" s="2" t="s">
        <v>99</v>
      </c>
      <c r="C35" s="141">
        <f>SUM(C32:C34)</f>
        <v>0</v>
      </c>
      <c r="D35" s="141">
        <f t="shared" ref="D35:AI35" si="6">SUM(D32:D34)</f>
        <v>0</v>
      </c>
      <c r="E35" s="141">
        <f t="shared" si="6"/>
        <v>0</v>
      </c>
      <c r="F35" s="141">
        <f t="shared" si="6"/>
        <v>0</v>
      </c>
      <c r="G35" s="141">
        <f t="shared" si="6"/>
        <v>110.20346906250003</v>
      </c>
      <c r="H35" s="141">
        <f t="shared" si="6"/>
        <v>220.40693812500007</v>
      </c>
      <c r="I35" s="141">
        <f t="shared" si="6"/>
        <v>220.40693812500007</v>
      </c>
      <c r="J35" s="141">
        <f t="shared" si="6"/>
        <v>213.458380884375</v>
      </c>
      <c r="K35" s="141">
        <f t="shared" si="6"/>
        <v>372.68650501700074</v>
      </c>
      <c r="L35" s="141">
        <f t="shared" si="6"/>
        <v>743.34127560000036</v>
      </c>
      <c r="M35" s="141">
        <f t="shared" si="6"/>
        <v>743.34127560000036</v>
      </c>
      <c r="N35" s="141">
        <f t="shared" si="6"/>
        <v>789.39181186225051</v>
      </c>
      <c r="O35" s="141">
        <f t="shared" si="6"/>
        <v>973.68073753499993</v>
      </c>
      <c r="P35" s="141">
        <f t="shared" si="6"/>
        <v>978.07363335000048</v>
      </c>
      <c r="Q35" s="141">
        <f t="shared" si="6"/>
        <v>978.07363335000048</v>
      </c>
      <c r="R35" s="141">
        <f t="shared" si="6"/>
        <v>978.07363335000048</v>
      </c>
      <c r="S35" s="141">
        <f t="shared" si="6"/>
        <v>1207.1565247500005</v>
      </c>
      <c r="T35" s="141">
        <f t="shared" si="6"/>
        <v>1202.8539302999998</v>
      </c>
      <c r="U35" s="141">
        <f t="shared" si="6"/>
        <v>1207.1565247500005</v>
      </c>
      <c r="V35" s="141">
        <f t="shared" si="6"/>
        <v>1207.1565247500005</v>
      </c>
      <c r="W35" s="141">
        <f t="shared" si="6"/>
        <v>1207.1565247500005</v>
      </c>
      <c r="X35" s="141">
        <f t="shared" si="6"/>
        <v>1207.1565247500005</v>
      </c>
      <c r="Y35" s="141">
        <f t="shared" si="6"/>
        <v>1317.4405266824999</v>
      </c>
      <c r="Z35" s="141">
        <f t="shared" si="6"/>
        <v>1321.6979704500004</v>
      </c>
      <c r="AA35" s="141">
        <f t="shared" si="6"/>
        <v>1321.6979704500004</v>
      </c>
      <c r="AB35" s="141">
        <f t="shared" si="6"/>
        <v>1321.6979704500004</v>
      </c>
      <c r="AC35" s="141">
        <f t="shared" si="6"/>
        <v>1321.6979704500004</v>
      </c>
      <c r="AD35" s="141">
        <f t="shared" si="6"/>
        <v>1317.4405266824999</v>
      </c>
      <c r="AE35" s="141">
        <f t="shared" si="6"/>
        <v>1321.6979704500004</v>
      </c>
      <c r="AF35" s="141">
        <f t="shared" si="6"/>
        <v>1321.6979704500004</v>
      </c>
      <c r="AG35" s="141">
        <f t="shared" si="6"/>
        <v>1103.2979704500005</v>
      </c>
      <c r="AH35" s="141">
        <f t="shared" si="6"/>
        <v>1103.2979704500005</v>
      </c>
      <c r="AI35" s="141">
        <f t="shared" si="6"/>
        <v>884.89797045000057</v>
      </c>
      <c r="AJ35" s="142">
        <f>SUM(C35:AI35)</f>
        <v>28216.337573326135</v>
      </c>
    </row>
    <row r="36" spans="1:36" x14ac:dyDescent="0.2">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125"/>
    </row>
    <row r="37" spans="1:36" s="69" customFormat="1" x14ac:dyDescent="0.2">
      <c r="A37" s="74" t="s">
        <v>298</v>
      </c>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131"/>
    </row>
    <row r="38" spans="1:36" ht="15.95" thickBot="1" x14ac:dyDescent="0.25">
      <c r="A38" t="s">
        <v>299</v>
      </c>
      <c r="B38" s="51" t="s">
        <v>99</v>
      </c>
      <c r="C38" s="8">
        <f t="shared" ref="C38:AI38" si="7">C20-C4-C29-C35</f>
        <v>-200</v>
      </c>
      <c r="D38" s="8">
        <f t="shared" si="7"/>
        <v>-420</v>
      </c>
      <c r="E38" s="8">
        <f t="shared" si="7"/>
        <v>-850</v>
      </c>
      <c r="F38" s="8">
        <f t="shared" si="7"/>
        <v>-1900</v>
      </c>
      <c r="G38" s="8">
        <f t="shared" si="7"/>
        <v>-917.9869565624997</v>
      </c>
      <c r="H38" s="8">
        <f t="shared" si="7"/>
        <v>1194.0260868750006</v>
      </c>
      <c r="I38" s="8">
        <f t="shared" si="7"/>
        <v>1464.0260868750006</v>
      </c>
      <c r="J38" s="8">
        <f t="shared" si="7"/>
        <v>1471.6386247406249</v>
      </c>
      <c r="K38" s="8">
        <f t="shared" si="7"/>
        <v>1311.7465199829999</v>
      </c>
      <c r="L38" s="8">
        <f t="shared" si="7"/>
        <v>941.09174940000037</v>
      </c>
      <c r="M38" s="8">
        <f t="shared" si="7"/>
        <v>941.09174940000037</v>
      </c>
      <c r="N38" s="8">
        <f t="shared" si="7"/>
        <v>895.04121313775022</v>
      </c>
      <c r="O38" s="8">
        <f t="shared" si="7"/>
        <v>711.4162680899999</v>
      </c>
      <c r="P38" s="8">
        <f t="shared" si="7"/>
        <v>706.35939165000025</v>
      </c>
      <c r="Q38" s="8">
        <f t="shared" si="7"/>
        <v>706.35939165000025</v>
      </c>
      <c r="R38" s="8">
        <f t="shared" si="7"/>
        <v>706.35939165000025</v>
      </c>
      <c r="S38" s="8">
        <f t="shared" si="7"/>
        <v>477.27650025000025</v>
      </c>
      <c r="T38" s="8">
        <f t="shared" si="7"/>
        <v>482.24307532500006</v>
      </c>
      <c r="U38" s="8">
        <f t="shared" si="7"/>
        <v>477.27650025000025</v>
      </c>
      <c r="V38" s="8">
        <f t="shared" si="7"/>
        <v>477.27650025000025</v>
      </c>
      <c r="W38" s="8">
        <f t="shared" si="7"/>
        <v>477.27650025000025</v>
      </c>
      <c r="X38" s="8">
        <f t="shared" si="7"/>
        <v>477.27650025000025</v>
      </c>
      <c r="Y38" s="8">
        <f t="shared" si="7"/>
        <v>367.65647894249992</v>
      </c>
      <c r="Z38" s="8">
        <f t="shared" si="7"/>
        <v>362.73505455000031</v>
      </c>
      <c r="AA38" s="8">
        <f t="shared" si="7"/>
        <v>362.73505455000031</v>
      </c>
      <c r="AB38" s="8">
        <f t="shared" si="7"/>
        <v>362.73505455000031</v>
      </c>
      <c r="AC38" s="8">
        <f t="shared" si="7"/>
        <v>362.73505455000031</v>
      </c>
      <c r="AD38" s="8">
        <f t="shared" si="7"/>
        <v>367.65647894249992</v>
      </c>
      <c r="AE38" s="8">
        <f t="shared" si="7"/>
        <v>362.73505455000031</v>
      </c>
      <c r="AF38" s="8">
        <f t="shared" si="7"/>
        <v>362.73505455000031</v>
      </c>
      <c r="AG38" s="8">
        <f t="shared" si="7"/>
        <v>281.13505455000018</v>
      </c>
      <c r="AH38" s="8">
        <f t="shared" si="7"/>
        <v>281.13505455000018</v>
      </c>
      <c r="AI38" s="8">
        <f t="shared" si="7"/>
        <v>199.53505455000015</v>
      </c>
      <c r="AJ38" s="125">
        <f>SUM(C38:AI38)</f>
        <v>13303.323542298887</v>
      </c>
    </row>
    <row r="39" spans="1:36" ht="15.95" thickBot="1" x14ac:dyDescent="0.25">
      <c r="A39" t="s">
        <v>300</v>
      </c>
      <c r="B39" s="7">
        <f>'Assumptions &amp; Results'!C154</f>
        <v>0.1</v>
      </c>
      <c r="C39" s="367">
        <f>NPV(B39,C38:AI38)</f>
        <v>2054.0542502466083</v>
      </c>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125"/>
    </row>
    <row r="40" spans="1:36" ht="15.95" thickBot="1" x14ac:dyDescent="0.25">
      <c r="A40" t="s">
        <v>301</v>
      </c>
      <c r="B40" s="7"/>
      <c r="C40" s="368">
        <f>IRR(C38:AI38)</f>
        <v>0.18780377659573078</v>
      </c>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125"/>
    </row>
    <row r="41" spans="1:36" x14ac:dyDescent="0.2">
      <c r="B41" s="7"/>
      <c r="C41" s="17"/>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125"/>
    </row>
    <row r="42" spans="1:36" s="69" customFormat="1" x14ac:dyDescent="0.2">
      <c r="A42" s="74" t="s">
        <v>302</v>
      </c>
      <c r="AJ42" s="132"/>
    </row>
    <row r="43" spans="1:36" x14ac:dyDescent="0.2">
      <c r="A43" t="s">
        <v>303</v>
      </c>
      <c r="B43" t="s">
        <v>99</v>
      </c>
      <c r="C43" s="10">
        <f t="shared" ref="C43:AI43" si="8">C20-C4-C29</f>
        <v>-200</v>
      </c>
      <c r="D43" s="10">
        <f t="shared" si="8"/>
        <v>-420</v>
      </c>
      <c r="E43" s="10">
        <f t="shared" si="8"/>
        <v>-850</v>
      </c>
      <c r="F43" s="10">
        <f t="shared" si="8"/>
        <v>-1900</v>
      </c>
      <c r="G43" s="10">
        <f t="shared" si="8"/>
        <v>-807.78348749999964</v>
      </c>
      <c r="H43" s="10">
        <f t="shared" si="8"/>
        <v>1414.4330250000007</v>
      </c>
      <c r="I43" s="10">
        <f t="shared" si="8"/>
        <v>1684.4330250000007</v>
      </c>
      <c r="J43" s="10">
        <f t="shared" si="8"/>
        <v>1685.0970056249998</v>
      </c>
      <c r="K43" s="10">
        <f t="shared" si="8"/>
        <v>1684.4330250000007</v>
      </c>
      <c r="L43" s="10">
        <f t="shared" si="8"/>
        <v>1684.4330250000007</v>
      </c>
      <c r="M43" s="10">
        <f t="shared" si="8"/>
        <v>1684.4330250000007</v>
      </c>
      <c r="N43" s="10">
        <f t="shared" si="8"/>
        <v>1684.4330250000007</v>
      </c>
      <c r="O43" s="10">
        <f t="shared" si="8"/>
        <v>1685.0970056249998</v>
      </c>
      <c r="P43" s="10">
        <f t="shared" si="8"/>
        <v>1684.4330250000007</v>
      </c>
      <c r="Q43" s="10">
        <f t="shared" si="8"/>
        <v>1684.4330250000007</v>
      </c>
      <c r="R43" s="10">
        <f t="shared" si="8"/>
        <v>1684.4330250000007</v>
      </c>
      <c r="S43" s="10">
        <f t="shared" si="8"/>
        <v>1684.4330250000007</v>
      </c>
      <c r="T43" s="10">
        <f t="shared" si="8"/>
        <v>1685.0970056249998</v>
      </c>
      <c r="U43" s="10">
        <f t="shared" si="8"/>
        <v>1684.4330250000007</v>
      </c>
      <c r="V43" s="10">
        <f t="shared" si="8"/>
        <v>1684.4330250000007</v>
      </c>
      <c r="W43" s="10">
        <f t="shared" si="8"/>
        <v>1684.4330250000007</v>
      </c>
      <c r="X43" s="10">
        <f t="shared" si="8"/>
        <v>1684.4330250000007</v>
      </c>
      <c r="Y43" s="10">
        <f t="shared" si="8"/>
        <v>1685.0970056249998</v>
      </c>
      <c r="Z43" s="10">
        <f t="shared" si="8"/>
        <v>1684.4330250000007</v>
      </c>
      <c r="AA43" s="10">
        <f t="shared" si="8"/>
        <v>1684.4330250000007</v>
      </c>
      <c r="AB43" s="10">
        <f t="shared" si="8"/>
        <v>1684.4330250000007</v>
      </c>
      <c r="AC43" s="10">
        <f t="shared" si="8"/>
        <v>1684.4330250000007</v>
      </c>
      <c r="AD43" s="10">
        <f t="shared" si="8"/>
        <v>1685.0970056249998</v>
      </c>
      <c r="AE43" s="10">
        <f t="shared" si="8"/>
        <v>1684.4330250000007</v>
      </c>
      <c r="AF43" s="10">
        <f t="shared" si="8"/>
        <v>1684.4330250000007</v>
      </c>
      <c r="AG43" s="10">
        <f t="shared" si="8"/>
        <v>1384.4330250000007</v>
      </c>
      <c r="AH43" s="10">
        <f t="shared" si="8"/>
        <v>1384.4330250000007</v>
      </c>
      <c r="AI43" s="10">
        <f t="shared" si="8"/>
        <v>1084.4330250000007</v>
      </c>
      <c r="AJ43" s="125">
        <f>SUM(C43:AI43)</f>
        <v>41519.661115625015</v>
      </c>
    </row>
    <row r="44" spans="1:36" x14ac:dyDescent="0.2">
      <c r="A44" t="s">
        <v>304</v>
      </c>
      <c r="B44" t="s">
        <v>99</v>
      </c>
      <c r="C44" s="10">
        <f>C35</f>
        <v>0</v>
      </c>
      <c r="D44" s="10">
        <f t="shared" ref="D44:AI44" si="9">D35</f>
        <v>0</v>
      </c>
      <c r="E44" s="10">
        <f t="shared" si="9"/>
        <v>0</v>
      </c>
      <c r="F44" s="10">
        <f t="shared" si="9"/>
        <v>0</v>
      </c>
      <c r="G44" s="10">
        <f t="shared" si="9"/>
        <v>110.20346906250003</v>
      </c>
      <c r="H44" s="10">
        <f t="shared" si="9"/>
        <v>220.40693812500007</v>
      </c>
      <c r="I44" s="10">
        <f t="shared" si="9"/>
        <v>220.40693812500007</v>
      </c>
      <c r="J44" s="10">
        <f t="shared" si="9"/>
        <v>213.458380884375</v>
      </c>
      <c r="K44" s="10">
        <f t="shared" si="9"/>
        <v>372.68650501700074</v>
      </c>
      <c r="L44" s="10">
        <f t="shared" si="9"/>
        <v>743.34127560000036</v>
      </c>
      <c r="M44" s="10">
        <f t="shared" si="9"/>
        <v>743.34127560000036</v>
      </c>
      <c r="N44" s="10">
        <f t="shared" si="9"/>
        <v>789.39181186225051</v>
      </c>
      <c r="O44" s="10">
        <f t="shared" si="9"/>
        <v>973.68073753499993</v>
      </c>
      <c r="P44" s="10">
        <f t="shared" si="9"/>
        <v>978.07363335000048</v>
      </c>
      <c r="Q44" s="10">
        <f t="shared" si="9"/>
        <v>978.07363335000048</v>
      </c>
      <c r="R44" s="10">
        <f t="shared" si="9"/>
        <v>978.07363335000048</v>
      </c>
      <c r="S44" s="10">
        <f t="shared" si="9"/>
        <v>1207.1565247500005</v>
      </c>
      <c r="T44" s="10">
        <f t="shared" si="9"/>
        <v>1202.8539302999998</v>
      </c>
      <c r="U44" s="10">
        <f t="shared" si="9"/>
        <v>1207.1565247500005</v>
      </c>
      <c r="V44" s="10">
        <f t="shared" si="9"/>
        <v>1207.1565247500005</v>
      </c>
      <c r="W44" s="10">
        <f t="shared" si="9"/>
        <v>1207.1565247500005</v>
      </c>
      <c r="X44" s="10">
        <f t="shared" si="9"/>
        <v>1207.1565247500005</v>
      </c>
      <c r="Y44" s="10">
        <f t="shared" si="9"/>
        <v>1317.4405266824999</v>
      </c>
      <c r="Z44" s="10">
        <f t="shared" si="9"/>
        <v>1321.6979704500004</v>
      </c>
      <c r="AA44" s="10">
        <f t="shared" si="9"/>
        <v>1321.6979704500004</v>
      </c>
      <c r="AB44" s="10">
        <f t="shared" si="9"/>
        <v>1321.6979704500004</v>
      </c>
      <c r="AC44" s="10">
        <f t="shared" si="9"/>
        <v>1321.6979704500004</v>
      </c>
      <c r="AD44" s="10">
        <f t="shared" si="9"/>
        <v>1317.4405266824999</v>
      </c>
      <c r="AE44" s="10">
        <f t="shared" si="9"/>
        <v>1321.6979704500004</v>
      </c>
      <c r="AF44" s="10">
        <f t="shared" si="9"/>
        <v>1321.6979704500004</v>
      </c>
      <c r="AG44" s="10">
        <f t="shared" si="9"/>
        <v>1103.2979704500005</v>
      </c>
      <c r="AH44" s="10">
        <f t="shared" si="9"/>
        <v>1103.2979704500005</v>
      </c>
      <c r="AI44" s="10">
        <f t="shared" si="9"/>
        <v>884.89797045000057</v>
      </c>
      <c r="AJ44" s="125">
        <f>SUM(C44:AI44)</f>
        <v>28216.337573326135</v>
      </c>
    </row>
    <row r="45" spans="1:36" ht="15.95" thickBot="1" x14ac:dyDescent="0.25">
      <c r="A45" t="s">
        <v>305</v>
      </c>
      <c r="B45" t="s">
        <v>69</v>
      </c>
      <c r="C45" s="7">
        <f>C44/C43</f>
        <v>0</v>
      </c>
      <c r="D45" s="7">
        <f t="shared" ref="D45:AJ45" si="10">D44/D43</f>
        <v>0</v>
      </c>
      <c r="E45" s="7">
        <f t="shared" si="10"/>
        <v>0</v>
      </c>
      <c r="F45" s="7">
        <f t="shared" si="10"/>
        <v>0</v>
      </c>
      <c r="G45" s="7">
        <f t="shared" si="10"/>
        <v>-0.13642698912250306</v>
      </c>
      <c r="H45" s="7">
        <f t="shared" si="10"/>
        <v>0.15582705877855188</v>
      </c>
      <c r="I45" s="7">
        <f t="shared" si="10"/>
        <v>0.13084933319031783</v>
      </c>
      <c r="J45" s="7">
        <f t="shared" si="10"/>
        <v>0.12667423903302447</v>
      </c>
      <c r="K45" s="7">
        <f t="shared" si="10"/>
        <v>0.22125338288056931</v>
      </c>
      <c r="L45" s="7">
        <f t="shared" si="10"/>
        <v>0.44130058278808681</v>
      </c>
      <c r="M45" s="7">
        <f t="shared" si="10"/>
        <v>0.44130058278808681</v>
      </c>
      <c r="N45" s="7">
        <f t="shared" si="10"/>
        <v>0.46863947699093</v>
      </c>
      <c r="O45" s="7">
        <f t="shared" si="10"/>
        <v>0.57781880466511382</v>
      </c>
      <c r="P45" s="7">
        <f t="shared" si="10"/>
        <v>0.58065451035074556</v>
      </c>
      <c r="Q45" s="7">
        <f t="shared" si="10"/>
        <v>0.58065451035074556</v>
      </c>
      <c r="R45" s="7">
        <f t="shared" si="10"/>
        <v>0.58065451035074556</v>
      </c>
      <c r="S45" s="7">
        <f t="shared" si="10"/>
        <v>0.71665451035074546</v>
      </c>
      <c r="T45" s="7">
        <f t="shared" si="10"/>
        <v>0.71381880466511372</v>
      </c>
      <c r="U45" s="7">
        <f t="shared" si="10"/>
        <v>0.71665451035074546</v>
      </c>
      <c r="V45" s="7">
        <f t="shared" si="10"/>
        <v>0.71665451035074546</v>
      </c>
      <c r="W45" s="7">
        <f t="shared" si="10"/>
        <v>0.71665451035074546</v>
      </c>
      <c r="X45" s="7">
        <f t="shared" si="10"/>
        <v>0.71665451035074546</v>
      </c>
      <c r="Y45" s="7">
        <f t="shared" si="10"/>
        <v>0.78181880466511378</v>
      </c>
      <c r="Z45" s="7">
        <f t="shared" si="10"/>
        <v>0.7846545103507454</v>
      </c>
      <c r="AA45" s="7">
        <f t="shared" si="10"/>
        <v>0.7846545103507454</v>
      </c>
      <c r="AB45" s="7">
        <f t="shared" si="10"/>
        <v>0.7846545103507454</v>
      </c>
      <c r="AC45" s="7">
        <f t="shared" si="10"/>
        <v>0.7846545103507454</v>
      </c>
      <c r="AD45" s="7">
        <f t="shared" si="10"/>
        <v>0.78181880466511378</v>
      </c>
      <c r="AE45" s="7">
        <f t="shared" si="10"/>
        <v>0.7846545103507454</v>
      </c>
      <c r="AF45" s="7">
        <f t="shared" si="10"/>
        <v>0.7846545103507454</v>
      </c>
      <c r="AG45" s="7">
        <f t="shared" si="10"/>
        <v>0.79693127116062545</v>
      </c>
      <c r="AH45" s="7">
        <f t="shared" si="10"/>
        <v>0.79693127116062545</v>
      </c>
      <c r="AI45" s="7">
        <f t="shared" si="10"/>
        <v>0.8160005736177206</v>
      </c>
      <c r="AJ45" s="133">
        <f t="shared" si="10"/>
        <v>0.67958978505986734</v>
      </c>
    </row>
    <row r="46" spans="1:36" ht="15.95" thickBot="1" x14ac:dyDescent="0.25">
      <c r="A46" t="s">
        <v>306</v>
      </c>
      <c r="C46" s="367">
        <f>AJ44</f>
        <v>28216.337573326135</v>
      </c>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133"/>
    </row>
    <row r="47" spans="1:36" ht="15.95" thickBot="1" x14ac:dyDescent="0.25">
      <c r="A47" t="s">
        <v>307</v>
      </c>
      <c r="B47" s="201">
        <f>'Assumptions &amp; Results'!C154</f>
        <v>0.1</v>
      </c>
      <c r="C47" s="367">
        <f>NPV(B47,C44:AI44)</f>
        <v>4505.5098029897563</v>
      </c>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133"/>
    </row>
    <row r="48" spans="1:36" ht="15.95" thickBot="1" x14ac:dyDescent="0.25">
      <c r="A48" t="s">
        <v>308</v>
      </c>
      <c r="C48" s="369">
        <f>AJ44/AJ43</f>
        <v>0.67958978505986734</v>
      </c>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133"/>
    </row>
    <row r="49" spans="1:36" ht="15.95" thickBot="1" x14ac:dyDescent="0.25">
      <c r="A49" t="s">
        <v>309</v>
      </c>
      <c r="C49" s="369">
        <f>(NPV('Assumptions &amp; Results'!C154,'Field 1 Investor'!C44:AI44))/(NPV('Assumptions &amp; Results'!C154,'Field 1 Investor'!C43:AI43))</f>
        <v>0.68686116431271416</v>
      </c>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133"/>
    </row>
    <row r="51" spans="1:36" x14ac:dyDescent="0.2">
      <c r="A51" s="18" t="s">
        <v>310</v>
      </c>
    </row>
    <row r="52" spans="1:36" x14ac:dyDescent="0.2">
      <c r="A52" s="18" t="s">
        <v>311</v>
      </c>
    </row>
    <row r="53" spans="1:36" x14ac:dyDescent="0.2">
      <c r="A53" s="18" t="s">
        <v>312</v>
      </c>
    </row>
    <row r="54" spans="1:36" x14ac:dyDescent="0.2">
      <c r="A54" s="18" t="s">
        <v>313</v>
      </c>
      <c r="C54" s="319"/>
    </row>
    <row r="55" spans="1:36" x14ac:dyDescent="0.2">
      <c r="A55" s="18" t="s">
        <v>314</v>
      </c>
    </row>
    <row r="56" spans="1:36" x14ac:dyDescent="0.2">
      <c r="A56" s="18"/>
    </row>
    <row r="57" spans="1:36" x14ac:dyDescent="0.2">
      <c r="A57" s="320" t="s">
        <v>519</v>
      </c>
      <c r="B57" s="321"/>
      <c r="C57" s="321"/>
      <c r="D57" s="321"/>
      <c r="E57" s="321"/>
      <c r="F57" s="321"/>
      <c r="G57" s="321"/>
      <c r="H57" s="321"/>
      <c r="I57" s="321"/>
      <c r="J57" s="321"/>
      <c r="K57" s="321"/>
      <c r="L57" s="321"/>
      <c r="M57" s="321"/>
      <c r="N57" s="321"/>
      <c r="O57" s="321"/>
      <c r="P57" s="321"/>
      <c r="Q57" s="321"/>
      <c r="R57" s="321"/>
      <c r="S57" s="321"/>
      <c r="T57" s="321"/>
      <c r="U57" s="321"/>
      <c r="V57" s="321"/>
      <c r="W57" s="321"/>
      <c r="X57" s="321"/>
      <c r="Y57" s="321"/>
      <c r="Z57" s="321"/>
      <c r="AA57" s="321"/>
      <c r="AB57" s="321"/>
      <c r="AC57" s="321"/>
      <c r="AD57" s="321"/>
      <c r="AE57" s="321"/>
      <c r="AF57" s="321"/>
      <c r="AG57" s="321"/>
      <c r="AH57" s="321"/>
      <c r="AI57" s="321"/>
      <c r="AJ57" s="322"/>
    </row>
    <row r="58" spans="1:36" x14ac:dyDescent="0.2">
      <c r="A58" s="2" t="s">
        <v>456</v>
      </c>
      <c r="B58" t="s">
        <v>99</v>
      </c>
      <c r="C58" s="8">
        <f>IF('Assumptions &amp; Results'!$C$167=1,'Assumptions &amp; Results'!$C$166*(C4),0)</f>
        <v>20</v>
      </c>
      <c r="D58" s="8">
        <f>IF('Assumptions &amp; Results'!$C$167=1,'Assumptions &amp; Results'!$C$166*(D4),0)</f>
        <v>42</v>
      </c>
      <c r="E58" s="8">
        <f>IF('Assumptions &amp; Results'!$C$167=1,'Assumptions &amp; Results'!$C$166*(E4),0)</f>
        <v>85</v>
      </c>
      <c r="F58" s="8">
        <f>IF('Assumptions &amp; Results'!$C$167=1,'Assumptions &amp; Results'!$C$166*(F4),0)</f>
        <v>190</v>
      </c>
      <c r="G58" s="8">
        <f>IF('Assumptions &amp; Results'!$C$167=1,'Assumptions &amp; Results'!$C$166*(G4),0)</f>
        <v>165</v>
      </c>
      <c r="H58" s="8">
        <f>IF('Assumptions &amp; Results'!$C$167=1,'Assumptions &amp; Results'!$C$166*(H4),0)</f>
        <v>27</v>
      </c>
      <c r="I58" s="8">
        <f>IF('Assumptions &amp; Results'!$C$167=1,'Assumptions &amp; Results'!$C$166*(I4),0)</f>
        <v>0</v>
      </c>
      <c r="J58" s="8">
        <f>IF('Assumptions &amp; Results'!$C$167=1,'Assumptions &amp; Results'!$C$166*(J4),0)</f>
        <v>0</v>
      </c>
      <c r="K58" s="8">
        <f>IF('Assumptions &amp; Results'!$C$167=1,'Assumptions &amp; Results'!$C$166*(K4),0)</f>
        <v>0</v>
      </c>
      <c r="L58" s="8">
        <f>IF('Assumptions &amp; Results'!$C$167=1,'Assumptions &amp; Results'!$C$166*(L4),0)</f>
        <v>0</v>
      </c>
      <c r="M58" s="8">
        <f>IF('Assumptions &amp; Results'!$C$167=1,'Assumptions &amp; Results'!$C$166*(M4),0)</f>
        <v>0</v>
      </c>
      <c r="N58" s="8">
        <f>IF('Assumptions &amp; Results'!$C$167=1,'Assumptions &amp; Results'!$C$166*(N4),0)</f>
        <v>0</v>
      </c>
      <c r="O58" s="8">
        <f>IF('Assumptions &amp; Results'!$C$167=1,'Assumptions &amp; Results'!$C$166*(O4),0)</f>
        <v>0</v>
      </c>
      <c r="P58" s="8">
        <f>IF('Assumptions &amp; Results'!$C$167=1,'Assumptions &amp; Results'!$C$166*(P4),0)</f>
        <v>0</v>
      </c>
      <c r="Q58" s="8">
        <f>IF('Assumptions &amp; Results'!$C$167=1,'Assumptions &amp; Results'!$C$166*(Q4),0)</f>
        <v>0</v>
      </c>
      <c r="R58" s="8">
        <f>IF('Assumptions &amp; Results'!$C$167=1,'Assumptions &amp; Results'!$C$166*(R4),0)</f>
        <v>0</v>
      </c>
      <c r="S58" s="8">
        <f>IF('Assumptions &amp; Results'!$C$167=1,'Assumptions &amp; Results'!$C$166*(S4),0)</f>
        <v>0</v>
      </c>
      <c r="T58" s="8">
        <f>IF('Assumptions &amp; Results'!$C$167=1,'Assumptions &amp; Results'!$C$166*(T4),0)</f>
        <v>0</v>
      </c>
      <c r="U58" s="8">
        <f>IF('Assumptions &amp; Results'!$C$167=1,'Assumptions &amp; Results'!$C$166*(U4),0)</f>
        <v>0</v>
      </c>
      <c r="V58" s="8">
        <f>IF('Assumptions &amp; Results'!$C$167=1,'Assumptions &amp; Results'!$C$166*(V4),0)</f>
        <v>0</v>
      </c>
      <c r="W58" s="8">
        <f>IF('Assumptions &amp; Results'!$C$167=1,'Assumptions &amp; Results'!$C$166*(W4),0)</f>
        <v>0</v>
      </c>
      <c r="X58" s="8">
        <f>IF('Assumptions &amp; Results'!$C$167=1,'Assumptions &amp; Results'!$C$166*(X4),0)</f>
        <v>0</v>
      </c>
      <c r="Y58" s="8">
        <f>IF('Assumptions &amp; Results'!$C$167=1,'Assumptions &amp; Results'!$C$166*(Y4),0)</f>
        <v>0</v>
      </c>
      <c r="Z58" s="8">
        <f>IF('Assumptions &amp; Results'!$C$167=1,'Assumptions &amp; Results'!$C$166*(Z4),0)</f>
        <v>0</v>
      </c>
      <c r="AA58" s="8">
        <f>IF('Assumptions &amp; Results'!$C$167=1,'Assumptions &amp; Results'!$C$166*(AA4),0)</f>
        <v>0</v>
      </c>
      <c r="AB58" s="8">
        <f>IF('Assumptions &amp; Results'!$C$167=1,'Assumptions &amp; Results'!$C$166*(AB4),0)</f>
        <v>0</v>
      </c>
      <c r="AC58" s="8">
        <f>IF('Assumptions &amp; Results'!$C$167=1,'Assumptions &amp; Results'!$C$166*(AC4),0)</f>
        <v>0</v>
      </c>
      <c r="AD58" s="8">
        <f>IF('Assumptions &amp; Results'!$C$167=1,'Assumptions &amp; Results'!$C$166*(AD4),0)</f>
        <v>0</v>
      </c>
      <c r="AE58" s="8">
        <f>IF('Assumptions &amp; Results'!$C$167=1,'Assumptions &amp; Results'!$C$166*(AE4),0)</f>
        <v>0</v>
      </c>
      <c r="AF58" s="8">
        <f>IF('Assumptions &amp; Results'!$C$167=1,'Assumptions &amp; Results'!$C$166*(AF4),0)</f>
        <v>0</v>
      </c>
      <c r="AG58" s="8">
        <f>IF('Assumptions &amp; Results'!$C$167=1,'Assumptions &amp; Results'!$C$166*(AG4),0)</f>
        <v>0</v>
      </c>
      <c r="AH58" s="8">
        <f>IF('Assumptions &amp; Results'!$C$167=1,'Assumptions &amp; Results'!$C$166*(AH4),0)</f>
        <v>0</v>
      </c>
      <c r="AI58" s="8">
        <f>IF('Assumptions &amp; Results'!$C$167=1,'Assumptions &amp; Results'!$C$166*(AI4),0)</f>
        <v>0</v>
      </c>
      <c r="AJ58" s="125">
        <f>SUM(C58:AI58)</f>
        <v>529</v>
      </c>
    </row>
    <row r="59" spans="1:36" x14ac:dyDescent="0.2">
      <c r="A59" s="16"/>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125"/>
    </row>
    <row r="60" spans="1:36" x14ac:dyDescent="0.2">
      <c r="A60" s="16" t="s">
        <v>507</v>
      </c>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125"/>
    </row>
    <row r="61" spans="1:36" x14ac:dyDescent="0.2">
      <c r="A61" t="s">
        <v>508</v>
      </c>
      <c r="B61" t="s">
        <v>99</v>
      </c>
      <c r="C61" s="10">
        <f>'Field 1 Fiscal'!C22</f>
        <v>0</v>
      </c>
      <c r="D61" s="10">
        <f>'Field 1 Fiscal'!D22</f>
        <v>0</v>
      </c>
      <c r="E61" s="10">
        <f>'Field 1 Fiscal'!E22</f>
        <v>0</v>
      </c>
      <c r="F61" s="10">
        <f>'Field 1 Fiscal'!F22</f>
        <v>0</v>
      </c>
      <c r="G61" s="10">
        <f>'Field 1 Fiscal'!G22</f>
        <v>743.48515312500024</v>
      </c>
      <c r="H61" s="10">
        <f>'Field 1 Fiscal'!H22</f>
        <v>1486.9703062500005</v>
      </c>
      <c r="I61" s="10">
        <f>'Field 1 Fiscal'!I22</f>
        <v>1486.9703062500005</v>
      </c>
      <c r="J61" s="10">
        <f>'Field 1 Fiscal'!J22</f>
        <v>1487.40189365625</v>
      </c>
      <c r="K61" s="10">
        <f>'Field 1 Fiscal'!K22</f>
        <v>1486.9703062500005</v>
      </c>
      <c r="L61" s="10">
        <f>'Field 1 Fiscal'!L22</f>
        <v>1486.9703062500005</v>
      </c>
      <c r="M61" s="10">
        <f>'Field 1 Fiscal'!M22</f>
        <v>1486.9703062500005</v>
      </c>
      <c r="N61" s="10">
        <f>'Field 1 Fiscal'!N22</f>
        <v>1148.3634219687488</v>
      </c>
      <c r="O61" s="10">
        <f>'Field 1 Fiscal'!O22</f>
        <v>603.21360000000004</v>
      </c>
      <c r="P61" s="10">
        <f>'Field 1 Fiscal'!P22</f>
        <v>603.21360000000004</v>
      </c>
      <c r="Q61" s="10">
        <f>'Field 1 Fiscal'!Q22</f>
        <v>603.21360000000004</v>
      </c>
      <c r="R61" s="10">
        <f>'Field 1 Fiscal'!R22</f>
        <v>603.21360000000004</v>
      </c>
      <c r="S61" s="10">
        <f>'Field 1 Fiscal'!S22</f>
        <v>603.21360000000004</v>
      </c>
      <c r="T61" s="10">
        <f>'Field 1 Fiscal'!T22</f>
        <v>603.21360000000004</v>
      </c>
      <c r="U61" s="10">
        <f>'Field 1 Fiscal'!U22</f>
        <v>603.21360000000004</v>
      </c>
      <c r="V61" s="10">
        <f>'Field 1 Fiscal'!V22</f>
        <v>603.21360000000004</v>
      </c>
      <c r="W61" s="10">
        <f>'Field 1 Fiscal'!W22</f>
        <v>603.21360000000004</v>
      </c>
      <c r="X61" s="10">
        <f>'Field 1 Fiscal'!X22</f>
        <v>603.21360000000004</v>
      </c>
      <c r="Y61" s="10">
        <f>'Field 1 Fiscal'!Y22</f>
        <v>603.21360000000004</v>
      </c>
      <c r="Z61" s="10">
        <f>'Field 1 Fiscal'!Z22</f>
        <v>603.21360000000004</v>
      </c>
      <c r="AA61" s="10">
        <f>'Field 1 Fiscal'!AA22</f>
        <v>603.21360000000004</v>
      </c>
      <c r="AB61" s="10">
        <f>'Field 1 Fiscal'!AB22</f>
        <v>603.21360000000004</v>
      </c>
      <c r="AC61" s="10">
        <f>'Field 1 Fiscal'!AC22</f>
        <v>603.21360000000004</v>
      </c>
      <c r="AD61" s="10">
        <f>'Field 1 Fiscal'!AD22</f>
        <v>603.21360000000004</v>
      </c>
      <c r="AE61" s="10">
        <f>'Field 1 Fiscal'!AE22</f>
        <v>603.21360000000004</v>
      </c>
      <c r="AF61" s="10">
        <f>'Field 1 Fiscal'!AF22</f>
        <v>603.21360000000004</v>
      </c>
      <c r="AG61" s="10">
        <f>'Field 1 Fiscal'!AG22</f>
        <v>903.21360000000004</v>
      </c>
      <c r="AH61" s="10">
        <f>'Field 1 Fiscal'!AH22</f>
        <v>903.21360000000004</v>
      </c>
      <c r="AI61" s="10">
        <f>'Field 1 Fiscal'!AI22</f>
        <v>1203.2136</v>
      </c>
      <c r="AJ61" s="135">
        <f t="shared" ref="AJ61:AJ62" si="11">SUM(C61:AI61)</f>
        <v>24681.587599999984</v>
      </c>
    </row>
    <row r="62" spans="1:36" x14ac:dyDescent="0.2">
      <c r="A62" t="s">
        <v>512</v>
      </c>
      <c r="B62" t="s">
        <v>99</v>
      </c>
      <c r="C62" s="12">
        <f>C61*'Assumptions &amp; Results'!$C$166</f>
        <v>0</v>
      </c>
      <c r="D62" s="12">
        <f>D61*'Assumptions &amp; Results'!$C$166</f>
        <v>0</v>
      </c>
      <c r="E62" s="12">
        <f>E61*'Assumptions &amp; Results'!$C$166</f>
        <v>0</v>
      </c>
      <c r="F62" s="12">
        <f>F61*'Assumptions &amp; Results'!$C$166</f>
        <v>0</v>
      </c>
      <c r="G62" s="12">
        <f>G61*'Assumptions &amp; Results'!$C$166</f>
        <v>74.348515312500027</v>
      </c>
      <c r="H62" s="12">
        <f>H61*'Assumptions &amp; Results'!$C$166</f>
        <v>148.69703062500005</v>
      </c>
      <c r="I62" s="12">
        <f>I61*'Assumptions &amp; Results'!$C$166</f>
        <v>148.69703062500005</v>
      </c>
      <c r="J62" s="12">
        <f>J61*'Assumptions &amp; Results'!$C$166</f>
        <v>148.74018936562501</v>
      </c>
      <c r="K62" s="12">
        <f>K61*'Assumptions &amp; Results'!$C$166</f>
        <v>148.69703062500005</v>
      </c>
      <c r="L62" s="12">
        <f>L61*'Assumptions &amp; Results'!$C$166</f>
        <v>148.69703062500005</v>
      </c>
      <c r="M62" s="12">
        <f>M61*'Assumptions &amp; Results'!$C$166</f>
        <v>148.69703062500005</v>
      </c>
      <c r="N62" s="12">
        <f>N61*'Assumptions &amp; Results'!$C$166</f>
        <v>114.83634219687488</v>
      </c>
      <c r="O62" s="12">
        <f>O61*'Assumptions &amp; Results'!$C$166</f>
        <v>60.321360000000006</v>
      </c>
      <c r="P62" s="12">
        <f>P61*'Assumptions &amp; Results'!$C$166</f>
        <v>60.321360000000006</v>
      </c>
      <c r="Q62" s="12">
        <f>Q61*'Assumptions &amp; Results'!$C$166</f>
        <v>60.321360000000006</v>
      </c>
      <c r="R62" s="12">
        <f>R61*'Assumptions &amp; Results'!$C$166</f>
        <v>60.321360000000006</v>
      </c>
      <c r="S62" s="12">
        <f>S61*'Assumptions &amp; Results'!$C$166</f>
        <v>60.321360000000006</v>
      </c>
      <c r="T62" s="12">
        <f>T61*'Assumptions &amp; Results'!$C$166</f>
        <v>60.321360000000006</v>
      </c>
      <c r="U62" s="12">
        <f>U61*'Assumptions &amp; Results'!$C$166</f>
        <v>60.321360000000006</v>
      </c>
      <c r="V62" s="12">
        <f>V61*'Assumptions &amp; Results'!$C$166</f>
        <v>60.321360000000006</v>
      </c>
      <c r="W62" s="12">
        <f>W61*'Assumptions &amp; Results'!$C$166</f>
        <v>60.321360000000006</v>
      </c>
      <c r="X62" s="12">
        <f>X61*'Assumptions &amp; Results'!$C$166</f>
        <v>60.321360000000006</v>
      </c>
      <c r="Y62" s="12">
        <f>Y61*'Assumptions &amp; Results'!$C$166</f>
        <v>60.321360000000006</v>
      </c>
      <c r="Z62" s="12">
        <f>Z61*'Assumptions &amp; Results'!$C$166</f>
        <v>60.321360000000006</v>
      </c>
      <c r="AA62" s="12">
        <f>AA61*'Assumptions &amp; Results'!$C$166</f>
        <v>60.321360000000006</v>
      </c>
      <c r="AB62" s="12">
        <f>AB61*'Assumptions &amp; Results'!$C$166</f>
        <v>60.321360000000006</v>
      </c>
      <c r="AC62" s="12">
        <f>AC61*'Assumptions &amp; Results'!$C$166</f>
        <v>60.321360000000006</v>
      </c>
      <c r="AD62" s="12">
        <f>AD61*'Assumptions &amp; Results'!$C$166</f>
        <v>60.321360000000006</v>
      </c>
      <c r="AE62" s="12">
        <f>AE61*'Assumptions &amp; Results'!$C$166</f>
        <v>60.321360000000006</v>
      </c>
      <c r="AF62" s="12">
        <f>AF61*'Assumptions &amp; Results'!$C$166</f>
        <v>60.321360000000006</v>
      </c>
      <c r="AG62" s="12">
        <f>AG61*'Assumptions &amp; Results'!$C$166</f>
        <v>90.321360000000013</v>
      </c>
      <c r="AH62" s="12">
        <f>AH61*'Assumptions &amp; Results'!$C$166</f>
        <v>90.321360000000013</v>
      </c>
      <c r="AI62" s="12">
        <f>AI61*'Assumptions &amp; Results'!$C$166</f>
        <v>120.32136000000001</v>
      </c>
      <c r="AJ62" s="135">
        <f t="shared" si="11"/>
        <v>2468.1587599999984</v>
      </c>
    </row>
    <row r="63" spans="1:36" x14ac:dyDescent="0.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318"/>
    </row>
    <row r="64" spans="1:36" x14ac:dyDescent="0.2">
      <c r="A64" t="s">
        <v>463</v>
      </c>
      <c r="B64" t="s">
        <v>99</v>
      </c>
      <c r="C64" s="22">
        <f>C58</f>
        <v>20</v>
      </c>
      <c r="D64" s="22">
        <f t="shared" ref="D64:AI64" si="12">D58</f>
        <v>42</v>
      </c>
      <c r="E64" s="22">
        <f t="shared" si="12"/>
        <v>85</v>
      </c>
      <c r="F64" s="22">
        <f t="shared" si="12"/>
        <v>190</v>
      </c>
      <c r="G64" s="22">
        <f t="shared" si="12"/>
        <v>165</v>
      </c>
      <c r="H64" s="22">
        <f t="shared" si="12"/>
        <v>27</v>
      </c>
      <c r="I64" s="22">
        <f t="shared" si="12"/>
        <v>0</v>
      </c>
      <c r="J64" s="22">
        <f t="shared" si="12"/>
        <v>0</v>
      </c>
      <c r="K64" s="22">
        <f t="shared" si="12"/>
        <v>0</v>
      </c>
      <c r="L64" s="22">
        <f t="shared" si="12"/>
        <v>0</v>
      </c>
      <c r="M64" s="22">
        <f t="shared" si="12"/>
        <v>0</v>
      </c>
      <c r="N64" s="22">
        <f t="shared" si="12"/>
        <v>0</v>
      </c>
      <c r="O64" s="22">
        <f t="shared" si="12"/>
        <v>0</v>
      </c>
      <c r="P64" s="22">
        <f t="shared" si="12"/>
        <v>0</v>
      </c>
      <c r="Q64" s="22">
        <f t="shared" si="12"/>
        <v>0</v>
      </c>
      <c r="R64" s="22">
        <f t="shared" si="12"/>
        <v>0</v>
      </c>
      <c r="S64" s="22">
        <f t="shared" si="12"/>
        <v>0</v>
      </c>
      <c r="T64" s="22">
        <f t="shared" si="12"/>
        <v>0</v>
      </c>
      <c r="U64" s="22">
        <f t="shared" si="12"/>
        <v>0</v>
      </c>
      <c r="V64" s="22">
        <f t="shared" si="12"/>
        <v>0</v>
      </c>
      <c r="W64" s="22">
        <f t="shared" si="12"/>
        <v>0</v>
      </c>
      <c r="X64" s="22">
        <f t="shared" si="12"/>
        <v>0</v>
      </c>
      <c r="Y64" s="22">
        <f t="shared" si="12"/>
        <v>0</v>
      </c>
      <c r="Z64" s="22">
        <f t="shared" si="12"/>
        <v>0</v>
      </c>
      <c r="AA64" s="22">
        <f t="shared" si="12"/>
        <v>0</v>
      </c>
      <c r="AB64" s="22">
        <f t="shared" si="12"/>
        <v>0</v>
      </c>
      <c r="AC64" s="22">
        <f t="shared" si="12"/>
        <v>0</v>
      </c>
      <c r="AD64" s="22">
        <f t="shared" si="12"/>
        <v>0</v>
      </c>
      <c r="AE64" s="22">
        <f t="shared" si="12"/>
        <v>0</v>
      </c>
      <c r="AF64" s="22">
        <f t="shared" si="12"/>
        <v>0</v>
      </c>
      <c r="AG64" s="22">
        <f t="shared" si="12"/>
        <v>0</v>
      </c>
      <c r="AH64" s="22">
        <f t="shared" si="12"/>
        <v>0</v>
      </c>
      <c r="AI64" s="22">
        <f t="shared" si="12"/>
        <v>0</v>
      </c>
      <c r="AJ64" s="135">
        <f>SUM(C64:AI64)</f>
        <v>529</v>
      </c>
    </row>
    <row r="65" spans="1:36" x14ac:dyDescent="0.2">
      <c r="A65" t="s">
        <v>473</v>
      </c>
      <c r="B65" t="s">
        <v>99</v>
      </c>
      <c r="C65" s="22">
        <f>'Assumptions &amp; Results'!$C$168*'Assumptions &amp; Results'!$C$90</f>
        <v>0</v>
      </c>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318"/>
    </row>
    <row r="66" spans="1:36" x14ac:dyDescent="0.2">
      <c r="A66" t="s">
        <v>464</v>
      </c>
      <c r="B66" t="s">
        <v>99</v>
      </c>
      <c r="C66" s="22">
        <f>C62</f>
        <v>0</v>
      </c>
      <c r="D66" s="22">
        <f t="shared" ref="D66:AI66" si="13">D62</f>
        <v>0</v>
      </c>
      <c r="E66" s="22">
        <f t="shared" si="13"/>
        <v>0</v>
      </c>
      <c r="F66" s="22">
        <f t="shared" si="13"/>
        <v>0</v>
      </c>
      <c r="G66" s="22">
        <f t="shared" si="13"/>
        <v>74.348515312500027</v>
      </c>
      <c r="H66" s="22">
        <f t="shared" si="13"/>
        <v>148.69703062500005</v>
      </c>
      <c r="I66" s="22">
        <f t="shared" si="13"/>
        <v>148.69703062500005</v>
      </c>
      <c r="J66" s="22">
        <f t="shared" si="13"/>
        <v>148.74018936562501</v>
      </c>
      <c r="K66" s="22">
        <f t="shared" si="13"/>
        <v>148.69703062500005</v>
      </c>
      <c r="L66" s="22">
        <f t="shared" si="13"/>
        <v>148.69703062500005</v>
      </c>
      <c r="M66" s="22">
        <f t="shared" si="13"/>
        <v>148.69703062500005</v>
      </c>
      <c r="N66" s="22">
        <f t="shared" si="13"/>
        <v>114.83634219687488</v>
      </c>
      <c r="O66" s="22">
        <f t="shared" si="13"/>
        <v>60.321360000000006</v>
      </c>
      <c r="P66" s="22">
        <f t="shared" si="13"/>
        <v>60.321360000000006</v>
      </c>
      <c r="Q66" s="22">
        <f t="shared" si="13"/>
        <v>60.321360000000006</v>
      </c>
      <c r="R66" s="22">
        <f t="shared" si="13"/>
        <v>60.321360000000006</v>
      </c>
      <c r="S66" s="22">
        <f t="shared" si="13"/>
        <v>60.321360000000006</v>
      </c>
      <c r="T66" s="22">
        <f t="shared" si="13"/>
        <v>60.321360000000006</v>
      </c>
      <c r="U66" s="22">
        <f t="shared" si="13"/>
        <v>60.321360000000006</v>
      </c>
      <c r="V66" s="22">
        <f t="shared" si="13"/>
        <v>60.321360000000006</v>
      </c>
      <c r="W66" s="22">
        <f t="shared" si="13"/>
        <v>60.321360000000006</v>
      </c>
      <c r="X66" s="22">
        <f t="shared" si="13"/>
        <v>60.321360000000006</v>
      </c>
      <c r="Y66" s="22">
        <f t="shared" si="13"/>
        <v>60.321360000000006</v>
      </c>
      <c r="Z66" s="22">
        <f t="shared" si="13"/>
        <v>60.321360000000006</v>
      </c>
      <c r="AA66" s="22">
        <f t="shared" si="13"/>
        <v>60.321360000000006</v>
      </c>
      <c r="AB66" s="22">
        <f t="shared" si="13"/>
        <v>60.321360000000006</v>
      </c>
      <c r="AC66" s="22">
        <f t="shared" si="13"/>
        <v>60.321360000000006</v>
      </c>
      <c r="AD66" s="22">
        <f t="shared" si="13"/>
        <v>60.321360000000006</v>
      </c>
      <c r="AE66" s="22">
        <f t="shared" si="13"/>
        <v>60.321360000000006</v>
      </c>
      <c r="AF66" s="22">
        <f t="shared" si="13"/>
        <v>60.321360000000006</v>
      </c>
      <c r="AG66" s="22">
        <f t="shared" si="13"/>
        <v>90.321360000000013</v>
      </c>
      <c r="AH66" s="22">
        <f t="shared" si="13"/>
        <v>90.321360000000013</v>
      </c>
      <c r="AI66" s="22">
        <f t="shared" si="13"/>
        <v>120.32136000000001</v>
      </c>
      <c r="AJ66" s="135">
        <f>SUM(C66:AI66)</f>
        <v>2468.1587599999984</v>
      </c>
    </row>
    <row r="67" spans="1:36" x14ac:dyDescent="0.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318"/>
    </row>
    <row r="68" spans="1:36" x14ac:dyDescent="0.2">
      <c r="A68" t="s">
        <v>459</v>
      </c>
      <c r="B68" t="s">
        <v>99</v>
      </c>
      <c r="C68" s="22">
        <f>MIN(C64,C66)</f>
        <v>0</v>
      </c>
      <c r="D68" s="22">
        <f>MIN(D66,C74)</f>
        <v>0</v>
      </c>
      <c r="E68" s="22">
        <f t="shared" ref="E68:AI68" si="14">MIN(E66,D74)</f>
        <v>0</v>
      </c>
      <c r="F68" s="22">
        <f t="shared" si="14"/>
        <v>0</v>
      </c>
      <c r="G68" s="22">
        <f t="shared" si="14"/>
        <v>74.348515312500027</v>
      </c>
      <c r="H68" s="22">
        <f t="shared" si="14"/>
        <v>148.69703062500005</v>
      </c>
      <c r="I68" s="22">
        <f t="shared" si="14"/>
        <v>148.69703062500005</v>
      </c>
      <c r="J68" s="22">
        <f t="shared" si="14"/>
        <v>148.74018936562501</v>
      </c>
      <c r="K68" s="22">
        <f t="shared" si="14"/>
        <v>148.69703062500005</v>
      </c>
      <c r="L68" s="22">
        <f t="shared" si="14"/>
        <v>11.130866810656171</v>
      </c>
      <c r="M68" s="22">
        <f t="shared" si="14"/>
        <v>0</v>
      </c>
      <c r="N68" s="22">
        <f t="shared" si="14"/>
        <v>0</v>
      </c>
      <c r="O68" s="22">
        <f t="shared" si="14"/>
        <v>0</v>
      </c>
      <c r="P68" s="22">
        <f t="shared" si="14"/>
        <v>0</v>
      </c>
      <c r="Q68" s="22">
        <f t="shared" si="14"/>
        <v>0</v>
      </c>
      <c r="R68" s="22">
        <f t="shared" si="14"/>
        <v>0</v>
      </c>
      <c r="S68" s="22">
        <f t="shared" si="14"/>
        <v>0</v>
      </c>
      <c r="T68" s="22">
        <f t="shared" si="14"/>
        <v>0</v>
      </c>
      <c r="U68" s="22">
        <f t="shared" si="14"/>
        <v>0</v>
      </c>
      <c r="V68" s="22">
        <f t="shared" si="14"/>
        <v>0</v>
      </c>
      <c r="W68" s="22">
        <f t="shared" si="14"/>
        <v>0</v>
      </c>
      <c r="X68" s="22">
        <f t="shared" si="14"/>
        <v>0</v>
      </c>
      <c r="Y68" s="22">
        <f t="shared" si="14"/>
        <v>0</v>
      </c>
      <c r="Z68" s="22">
        <f t="shared" si="14"/>
        <v>0</v>
      </c>
      <c r="AA68" s="22">
        <f t="shared" si="14"/>
        <v>0</v>
      </c>
      <c r="AB68" s="22">
        <f t="shared" si="14"/>
        <v>0</v>
      </c>
      <c r="AC68" s="22">
        <f t="shared" si="14"/>
        <v>0</v>
      </c>
      <c r="AD68" s="22">
        <f t="shared" si="14"/>
        <v>0</v>
      </c>
      <c r="AE68" s="22">
        <f t="shared" si="14"/>
        <v>0</v>
      </c>
      <c r="AF68" s="22">
        <f t="shared" si="14"/>
        <v>0</v>
      </c>
      <c r="AG68" s="22">
        <f t="shared" si="14"/>
        <v>0</v>
      </c>
      <c r="AH68" s="22">
        <f t="shared" si="14"/>
        <v>0</v>
      </c>
      <c r="AI68" s="22">
        <f t="shared" si="14"/>
        <v>0</v>
      </c>
      <c r="AJ68" s="135">
        <f>SUM(C68:AI68)</f>
        <v>680.31066336378137</v>
      </c>
    </row>
    <row r="69" spans="1:36" x14ac:dyDescent="0.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318"/>
    </row>
    <row r="70" spans="1:36" x14ac:dyDescent="0.2">
      <c r="A70" t="s">
        <v>513</v>
      </c>
      <c r="B70" t="s">
        <v>99</v>
      </c>
      <c r="C70" s="22">
        <f>C64-C68+C65</f>
        <v>20</v>
      </c>
      <c r="D70" s="22">
        <f>C74+D64-D68</f>
        <v>63.6</v>
      </c>
      <c r="E70" s="22">
        <f t="shared" ref="E70:AI70" si="15">D74+E64-E68</f>
        <v>153.68799999999999</v>
      </c>
      <c r="F70" s="22">
        <f t="shared" si="15"/>
        <v>355.98303999999996</v>
      </c>
      <c r="G70" s="22">
        <f t="shared" si="15"/>
        <v>475.11316788749991</v>
      </c>
      <c r="H70" s="22">
        <f t="shared" si="15"/>
        <v>391.42519069349987</v>
      </c>
      <c r="I70" s="22">
        <f t="shared" si="15"/>
        <v>274.04217532397979</v>
      </c>
      <c r="J70" s="22">
        <f t="shared" si="15"/>
        <v>147.22535998427318</v>
      </c>
      <c r="K70" s="22">
        <f t="shared" si="15"/>
        <v>10.306358158014973</v>
      </c>
      <c r="L70" s="22">
        <f t="shared" si="15"/>
        <v>0</v>
      </c>
      <c r="M70" s="22">
        <f t="shared" si="15"/>
        <v>0</v>
      </c>
      <c r="N70" s="22">
        <f t="shared" si="15"/>
        <v>0</v>
      </c>
      <c r="O70" s="22">
        <f t="shared" si="15"/>
        <v>0</v>
      </c>
      <c r="P70" s="22">
        <f t="shared" si="15"/>
        <v>0</v>
      </c>
      <c r="Q70" s="22">
        <f t="shared" si="15"/>
        <v>0</v>
      </c>
      <c r="R70" s="22">
        <f t="shared" si="15"/>
        <v>0</v>
      </c>
      <c r="S70" s="22">
        <f t="shared" si="15"/>
        <v>0</v>
      </c>
      <c r="T70" s="22">
        <f t="shared" si="15"/>
        <v>0</v>
      </c>
      <c r="U70" s="22">
        <f t="shared" si="15"/>
        <v>0</v>
      </c>
      <c r="V70" s="22">
        <f t="shared" si="15"/>
        <v>0</v>
      </c>
      <c r="W70" s="22">
        <f t="shared" si="15"/>
        <v>0</v>
      </c>
      <c r="X70" s="22">
        <f t="shared" si="15"/>
        <v>0</v>
      </c>
      <c r="Y70" s="22">
        <f t="shared" si="15"/>
        <v>0</v>
      </c>
      <c r="Z70" s="22">
        <f t="shared" si="15"/>
        <v>0</v>
      </c>
      <c r="AA70" s="22">
        <f t="shared" si="15"/>
        <v>0</v>
      </c>
      <c r="AB70" s="22">
        <f t="shared" si="15"/>
        <v>0</v>
      </c>
      <c r="AC70" s="22">
        <f t="shared" si="15"/>
        <v>0</v>
      </c>
      <c r="AD70" s="22">
        <f t="shared" si="15"/>
        <v>0</v>
      </c>
      <c r="AE70" s="22">
        <f t="shared" si="15"/>
        <v>0</v>
      </c>
      <c r="AF70" s="22">
        <f t="shared" si="15"/>
        <v>0</v>
      </c>
      <c r="AG70" s="22">
        <f t="shared" si="15"/>
        <v>0</v>
      </c>
      <c r="AH70" s="22">
        <f t="shared" si="15"/>
        <v>0</v>
      </c>
      <c r="AI70" s="22">
        <f t="shared" si="15"/>
        <v>0</v>
      </c>
      <c r="AJ70" s="135">
        <f>SUM(C70:AI70)</f>
        <v>1891.3832920472678</v>
      </c>
    </row>
    <row r="71" spans="1:36" x14ac:dyDescent="0.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318"/>
    </row>
    <row r="72" spans="1:36" x14ac:dyDescent="0.2">
      <c r="A72" t="s">
        <v>509</v>
      </c>
      <c r="B72" t="s">
        <v>99</v>
      </c>
      <c r="C72" s="22">
        <f>'Assumptions &amp; Results'!$C$169*'Assumptions &amp; Results'!$C$163*C70</f>
        <v>1.6</v>
      </c>
      <c r="D72" s="22">
        <f>'Assumptions &amp; Results'!$C$169*'Assumptions &amp; Results'!$C$163*D70</f>
        <v>5.0880000000000001</v>
      </c>
      <c r="E72" s="22">
        <f>'Assumptions &amp; Results'!$C$169*'Assumptions &amp; Results'!$C$163*E70</f>
        <v>12.29504</v>
      </c>
      <c r="F72" s="22">
        <f>'Assumptions &amp; Results'!$C$169*'Assumptions &amp; Results'!$C$163*F70</f>
        <v>28.478643199999997</v>
      </c>
      <c r="G72" s="22">
        <f>'Assumptions &amp; Results'!$C$169*'Assumptions &amp; Results'!$C$163*G70</f>
        <v>38.009053430999991</v>
      </c>
      <c r="H72" s="22">
        <f>'Assumptions &amp; Results'!$C$169*'Assumptions &amp; Results'!$C$163*H70</f>
        <v>31.31401525547999</v>
      </c>
      <c r="I72" s="22">
        <f>'Assumptions &amp; Results'!$C$169*'Assumptions &amp; Results'!$C$163*I70</f>
        <v>21.923374025918385</v>
      </c>
      <c r="J72" s="22">
        <f>'Assumptions &amp; Results'!$C$169*'Assumptions &amp; Results'!$C$163*J70</f>
        <v>11.778028798741856</v>
      </c>
      <c r="K72" s="22">
        <f>'Assumptions &amp; Results'!$C$169*'Assumptions &amp; Results'!$C$163*K70</f>
        <v>0.82450865264119788</v>
      </c>
      <c r="L72" s="22">
        <f>'Assumptions &amp; Results'!$C$169*'Assumptions &amp; Results'!$C$163*L70</f>
        <v>0</v>
      </c>
      <c r="M72" s="22">
        <f>'Assumptions &amp; Results'!$C$169*'Assumptions &amp; Results'!$C$163*M70</f>
        <v>0</v>
      </c>
      <c r="N72" s="22">
        <f>'Assumptions &amp; Results'!$C$169*'Assumptions &amp; Results'!$C$163*N70</f>
        <v>0</v>
      </c>
      <c r="O72" s="22">
        <f>'Assumptions &amp; Results'!$C$169*'Assumptions &amp; Results'!$C$163*O70</f>
        <v>0</v>
      </c>
      <c r="P72" s="22">
        <f>'Assumptions &amp; Results'!$C$169*'Assumptions &amp; Results'!$C$163*P70</f>
        <v>0</v>
      </c>
      <c r="Q72" s="22">
        <f>'Assumptions &amp; Results'!$C$169*'Assumptions &amp; Results'!$C$163*Q70</f>
        <v>0</v>
      </c>
      <c r="R72" s="22">
        <f>'Assumptions &amp; Results'!$C$169*'Assumptions &amp; Results'!$C$163*R70</f>
        <v>0</v>
      </c>
      <c r="S72" s="22">
        <f>'Assumptions &amp; Results'!$C$169*'Assumptions &amp; Results'!$C$163*S70</f>
        <v>0</v>
      </c>
      <c r="T72" s="22">
        <f>'Assumptions &amp; Results'!$C$169*'Assumptions &amp; Results'!$C$163*T70</f>
        <v>0</v>
      </c>
      <c r="U72" s="22">
        <f>'Assumptions &amp; Results'!$C$169*'Assumptions &amp; Results'!$C$163*U70</f>
        <v>0</v>
      </c>
      <c r="V72" s="22">
        <f>'Assumptions &amp; Results'!$C$169*'Assumptions &amp; Results'!$C$163*V70</f>
        <v>0</v>
      </c>
      <c r="W72" s="22">
        <f>'Assumptions &amp; Results'!$C$169*'Assumptions &amp; Results'!$C$163*W70</f>
        <v>0</v>
      </c>
      <c r="X72" s="22">
        <f>'Assumptions &amp; Results'!$C$169*'Assumptions &amp; Results'!$C$163*X70</f>
        <v>0</v>
      </c>
      <c r="Y72" s="22">
        <f>'Assumptions &amp; Results'!$C$169*'Assumptions &amp; Results'!$C$163*Y70</f>
        <v>0</v>
      </c>
      <c r="Z72" s="22">
        <f>'Assumptions &amp; Results'!$C$169*'Assumptions &amp; Results'!$C$163*Z70</f>
        <v>0</v>
      </c>
      <c r="AA72" s="22">
        <f>'Assumptions &amp; Results'!$C$169*'Assumptions &amp; Results'!$C$163*AA70</f>
        <v>0</v>
      </c>
      <c r="AB72" s="22">
        <f>'Assumptions &amp; Results'!$C$169*'Assumptions &amp; Results'!$C$163*AB70</f>
        <v>0</v>
      </c>
      <c r="AC72" s="22">
        <f>'Assumptions &amp; Results'!$C$169*'Assumptions &amp; Results'!$C$163*AC70</f>
        <v>0</v>
      </c>
      <c r="AD72" s="22">
        <f>'Assumptions &amp; Results'!$C$169*'Assumptions &amp; Results'!$C$163*AD70</f>
        <v>0</v>
      </c>
      <c r="AE72" s="22">
        <f>'Assumptions &amp; Results'!$C$169*'Assumptions &amp; Results'!$C$163*AE70</f>
        <v>0</v>
      </c>
      <c r="AF72" s="22">
        <f>'Assumptions &amp; Results'!$C$169*'Assumptions &amp; Results'!$C$163*AF70</f>
        <v>0</v>
      </c>
      <c r="AG72" s="22">
        <f>'Assumptions &amp; Results'!$C$169*'Assumptions &amp; Results'!$C$163*AG70</f>
        <v>0</v>
      </c>
      <c r="AH72" s="22">
        <f>'Assumptions &amp; Results'!$C$169*'Assumptions &amp; Results'!$C$163*AH70</f>
        <v>0</v>
      </c>
      <c r="AI72" s="22">
        <f>'Assumptions &amp; Results'!$C$169*'Assumptions &amp; Results'!$C$163*AI70</f>
        <v>0</v>
      </c>
      <c r="AJ72" s="135">
        <f>SUM(C72:AI72)</f>
        <v>151.3106633637814</v>
      </c>
    </row>
    <row r="73" spans="1:36" x14ac:dyDescent="0.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318"/>
    </row>
    <row r="74" spans="1:36" x14ac:dyDescent="0.2">
      <c r="A74" t="s">
        <v>466</v>
      </c>
      <c r="B74" t="s">
        <v>99</v>
      </c>
      <c r="C74" s="22">
        <f>C70+C72</f>
        <v>21.6</v>
      </c>
      <c r="D74" s="22">
        <f>D70+D72</f>
        <v>68.688000000000002</v>
      </c>
      <c r="E74" s="22">
        <f t="shared" ref="E74:AI74" si="16">E70+E72</f>
        <v>165.98303999999999</v>
      </c>
      <c r="F74" s="22">
        <f t="shared" si="16"/>
        <v>384.46168319999998</v>
      </c>
      <c r="G74" s="22">
        <f t="shared" si="16"/>
        <v>513.1222213184999</v>
      </c>
      <c r="H74" s="22">
        <f t="shared" si="16"/>
        <v>422.73920594897987</v>
      </c>
      <c r="I74" s="22">
        <f t="shared" si="16"/>
        <v>295.9655493498982</v>
      </c>
      <c r="J74" s="22">
        <f t="shared" si="16"/>
        <v>159.00338878301503</v>
      </c>
      <c r="K74" s="22">
        <f t="shared" si="16"/>
        <v>11.130866810656171</v>
      </c>
      <c r="L74" s="22">
        <f t="shared" si="16"/>
        <v>0</v>
      </c>
      <c r="M74" s="22">
        <f t="shared" si="16"/>
        <v>0</v>
      </c>
      <c r="N74" s="22">
        <f t="shared" si="16"/>
        <v>0</v>
      </c>
      <c r="O74" s="22">
        <f t="shared" si="16"/>
        <v>0</v>
      </c>
      <c r="P74" s="22">
        <f t="shared" si="16"/>
        <v>0</v>
      </c>
      <c r="Q74" s="22">
        <f t="shared" si="16"/>
        <v>0</v>
      </c>
      <c r="R74" s="22">
        <f t="shared" si="16"/>
        <v>0</v>
      </c>
      <c r="S74" s="22">
        <f t="shared" si="16"/>
        <v>0</v>
      </c>
      <c r="T74" s="22">
        <f t="shared" si="16"/>
        <v>0</v>
      </c>
      <c r="U74" s="22">
        <f t="shared" si="16"/>
        <v>0</v>
      </c>
      <c r="V74" s="22">
        <f t="shared" si="16"/>
        <v>0</v>
      </c>
      <c r="W74" s="22">
        <f t="shared" si="16"/>
        <v>0</v>
      </c>
      <c r="X74" s="22">
        <f t="shared" si="16"/>
        <v>0</v>
      </c>
      <c r="Y74" s="22">
        <f t="shared" si="16"/>
        <v>0</v>
      </c>
      <c r="Z74" s="22">
        <f t="shared" si="16"/>
        <v>0</v>
      </c>
      <c r="AA74" s="22">
        <f t="shared" si="16"/>
        <v>0</v>
      </c>
      <c r="AB74" s="22">
        <f t="shared" si="16"/>
        <v>0</v>
      </c>
      <c r="AC74" s="22">
        <f t="shared" si="16"/>
        <v>0</v>
      </c>
      <c r="AD74" s="22">
        <f t="shared" si="16"/>
        <v>0</v>
      </c>
      <c r="AE74" s="22">
        <f t="shared" si="16"/>
        <v>0</v>
      </c>
      <c r="AF74" s="22">
        <f t="shared" si="16"/>
        <v>0</v>
      </c>
      <c r="AG74" s="22">
        <f t="shared" si="16"/>
        <v>0</v>
      </c>
      <c r="AH74" s="22">
        <f t="shared" si="16"/>
        <v>0</v>
      </c>
      <c r="AI74" s="22">
        <f t="shared" si="16"/>
        <v>0</v>
      </c>
      <c r="AJ74" s="135">
        <f>SUM(C74:AI74)</f>
        <v>2042.693955411049</v>
      </c>
    </row>
    <row r="76" spans="1:36" x14ac:dyDescent="0.25">
      <c r="A76" t="s">
        <v>510</v>
      </c>
      <c r="B76" t="s">
        <v>99</v>
      </c>
      <c r="C76" s="10">
        <f t="shared" ref="C76:AI76" si="17">C38</f>
        <v>-200</v>
      </c>
      <c r="D76" s="10">
        <f t="shared" si="17"/>
        <v>-420</v>
      </c>
      <c r="E76" s="10">
        <f t="shared" si="17"/>
        <v>-850</v>
      </c>
      <c r="F76" s="10">
        <f t="shared" si="17"/>
        <v>-1900</v>
      </c>
      <c r="G76" s="10">
        <f t="shared" si="17"/>
        <v>-917.9869565624997</v>
      </c>
      <c r="H76" s="10">
        <f t="shared" si="17"/>
        <v>1194.0260868750006</v>
      </c>
      <c r="I76" s="10">
        <f t="shared" si="17"/>
        <v>1464.0260868750006</v>
      </c>
      <c r="J76" s="10">
        <f t="shared" si="17"/>
        <v>1471.6386247406249</v>
      </c>
      <c r="K76" s="10">
        <f t="shared" si="17"/>
        <v>1311.7465199829999</v>
      </c>
      <c r="L76" s="10">
        <f t="shared" si="17"/>
        <v>941.09174940000037</v>
      </c>
      <c r="M76" s="10">
        <f t="shared" si="17"/>
        <v>941.09174940000037</v>
      </c>
      <c r="N76" s="10">
        <f t="shared" si="17"/>
        <v>895.04121313775022</v>
      </c>
      <c r="O76" s="10">
        <f t="shared" si="17"/>
        <v>711.4162680899999</v>
      </c>
      <c r="P76" s="10">
        <f t="shared" si="17"/>
        <v>706.35939165000025</v>
      </c>
      <c r="Q76" s="10">
        <f t="shared" si="17"/>
        <v>706.35939165000025</v>
      </c>
      <c r="R76" s="10">
        <f t="shared" si="17"/>
        <v>706.35939165000025</v>
      </c>
      <c r="S76" s="10">
        <f t="shared" si="17"/>
        <v>477.27650025000025</v>
      </c>
      <c r="T76" s="10">
        <f t="shared" si="17"/>
        <v>482.24307532500006</v>
      </c>
      <c r="U76" s="10">
        <f t="shared" si="17"/>
        <v>477.27650025000025</v>
      </c>
      <c r="V76" s="10">
        <f t="shared" si="17"/>
        <v>477.27650025000025</v>
      </c>
      <c r="W76" s="10">
        <f t="shared" si="17"/>
        <v>477.27650025000025</v>
      </c>
      <c r="X76" s="10">
        <f t="shared" si="17"/>
        <v>477.27650025000025</v>
      </c>
      <c r="Y76" s="10">
        <f t="shared" si="17"/>
        <v>367.65647894249992</v>
      </c>
      <c r="Z76" s="10">
        <f t="shared" si="17"/>
        <v>362.73505455000031</v>
      </c>
      <c r="AA76" s="10">
        <f t="shared" si="17"/>
        <v>362.73505455000031</v>
      </c>
      <c r="AB76" s="10">
        <f t="shared" si="17"/>
        <v>362.73505455000031</v>
      </c>
      <c r="AC76" s="10">
        <f t="shared" si="17"/>
        <v>362.73505455000031</v>
      </c>
      <c r="AD76" s="10">
        <f t="shared" si="17"/>
        <v>367.65647894249992</v>
      </c>
      <c r="AE76" s="10">
        <f t="shared" si="17"/>
        <v>362.73505455000031</v>
      </c>
      <c r="AF76" s="10">
        <f t="shared" si="17"/>
        <v>362.73505455000031</v>
      </c>
      <c r="AG76" s="10">
        <f t="shared" si="17"/>
        <v>281.13505455000018</v>
      </c>
      <c r="AH76" s="10">
        <f t="shared" si="17"/>
        <v>281.13505455000018</v>
      </c>
      <c r="AI76" s="10">
        <f t="shared" si="17"/>
        <v>199.53505455000015</v>
      </c>
      <c r="AJ76" s="125">
        <f>SUM(C76:AI76)</f>
        <v>13303.323542298887</v>
      </c>
    </row>
    <row r="77" spans="1:36" ht="15.75" thickBot="1" x14ac:dyDescent="0.3">
      <c r="A77" t="s">
        <v>515</v>
      </c>
      <c r="B77" t="s">
        <v>99</v>
      </c>
      <c r="C77" s="10">
        <f>C76*(1-'Assumptions &amp; Results'!$C$166)</f>
        <v>-180</v>
      </c>
      <c r="D77" s="10">
        <f>D76*(1-'Assumptions &amp; Results'!$C$166)</f>
        <v>-378</v>
      </c>
      <c r="E77" s="10">
        <f>E76*(1-'Assumptions &amp; Results'!$C$166)</f>
        <v>-765</v>
      </c>
      <c r="F77" s="10">
        <f>F76*(1-'Assumptions &amp; Results'!$C$166)</f>
        <v>-1710</v>
      </c>
      <c r="G77" s="10">
        <f>G76*(1-'Assumptions &amp; Results'!$C$166)</f>
        <v>-826.18826090624975</v>
      </c>
      <c r="H77" s="10">
        <f>H76*(1-'Assumptions &amp; Results'!$C$166)</f>
        <v>1074.6234781875005</v>
      </c>
      <c r="I77" s="10">
        <f>I76*(1-'Assumptions &amp; Results'!$C$166)</f>
        <v>1317.6234781875005</v>
      </c>
      <c r="J77" s="10">
        <f>J76*(1-'Assumptions &amp; Results'!$C$166)</f>
        <v>1324.4747622665625</v>
      </c>
      <c r="K77" s="10">
        <f>K76*(1-'Assumptions &amp; Results'!$C$166)</f>
        <v>1180.5718679847</v>
      </c>
      <c r="L77" s="10">
        <f>L76*(1-'Assumptions &amp; Results'!$C$166)</f>
        <v>846.98257446000036</v>
      </c>
      <c r="M77" s="10">
        <f>M76*(1-'Assumptions &amp; Results'!$C$166)</f>
        <v>846.98257446000036</v>
      </c>
      <c r="N77" s="10">
        <f>N76*(1-'Assumptions &amp; Results'!$C$166)</f>
        <v>805.53709182397517</v>
      </c>
      <c r="O77" s="10">
        <f>O76*(1-'Assumptions &amp; Results'!$C$166)</f>
        <v>640.27464128099996</v>
      </c>
      <c r="P77" s="10">
        <f>P76*(1-'Assumptions &amp; Results'!$C$166)</f>
        <v>635.72345248500028</v>
      </c>
      <c r="Q77" s="10">
        <f>Q76*(1-'Assumptions &amp; Results'!$C$166)</f>
        <v>635.72345248500028</v>
      </c>
      <c r="R77" s="10">
        <f>R76*(1-'Assumptions &amp; Results'!$C$166)</f>
        <v>635.72345248500028</v>
      </c>
      <c r="S77" s="10">
        <f>S76*(1-'Assumptions &amp; Results'!$C$166)</f>
        <v>429.54885022500025</v>
      </c>
      <c r="T77" s="10">
        <f>T76*(1-'Assumptions &amp; Results'!$C$166)</f>
        <v>434.01876779250006</v>
      </c>
      <c r="U77" s="10">
        <f>U76*(1-'Assumptions &amp; Results'!$C$166)</f>
        <v>429.54885022500025</v>
      </c>
      <c r="V77" s="10">
        <f>V76*(1-'Assumptions &amp; Results'!$C$166)</f>
        <v>429.54885022500025</v>
      </c>
      <c r="W77" s="10">
        <f>W76*(1-'Assumptions &amp; Results'!$C$166)</f>
        <v>429.54885022500025</v>
      </c>
      <c r="X77" s="10">
        <f>X76*(1-'Assumptions &amp; Results'!$C$166)</f>
        <v>429.54885022500025</v>
      </c>
      <c r="Y77" s="10">
        <f>Y76*(1-'Assumptions &amp; Results'!$C$166)</f>
        <v>330.89083104824994</v>
      </c>
      <c r="Z77" s="10">
        <f>Z76*(1-'Assumptions &amp; Results'!$C$166)</f>
        <v>326.46154909500029</v>
      </c>
      <c r="AA77" s="10">
        <f>AA76*(1-'Assumptions &amp; Results'!$C$166)</f>
        <v>326.46154909500029</v>
      </c>
      <c r="AB77" s="10">
        <f>AB76*(1-'Assumptions &amp; Results'!$C$166)</f>
        <v>326.46154909500029</v>
      </c>
      <c r="AC77" s="10">
        <f>AC76*(1-'Assumptions &amp; Results'!$C$166)</f>
        <v>326.46154909500029</v>
      </c>
      <c r="AD77" s="10">
        <f>AD76*(1-'Assumptions &amp; Results'!$C$166)</f>
        <v>330.89083104824994</v>
      </c>
      <c r="AE77" s="10">
        <f>AE76*(1-'Assumptions &amp; Results'!$C$166)</f>
        <v>326.46154909500029</v>
      </c>
      <c r="AF77" s="10">
        <f>AF76*(1-'Assumptions &amp; Results'!$C$166)</f>
        <v>326.46154909500029</v>
      </c>
      <c r="AG77" s="10">
        <f>AG76*(1-'Assumptions &amp; Results'!$C$166)</f>
        <v>253.02154909500015</v>
      </c>
      <c r="AH77" s="10">
        <f>AH76*(1-'Assumptions &amp; Results'!$C$166)</f>
        <v>253.02154909500015</v>
      </c>
      <c r="AI77" s="10">
        <f>AI76*(1-'Assumptions &amp; Results'!$C$166)</f>
        <v>179.58154909500016</v>
      </c>
      <c r="AJ77" s="125">
        <f t="shared" ref="AJ77:AJ82" si="18">SUM(C77:AI77)</f>
        <v>11972.991188068991</v>
      </c>
    </row>
    <row r="78" spans="1:36" ht="15.75" thickBot="1" x14ac:dyDescent="0.3">
      <c r="A78" s="370" t="s">
        <v>300</v>
      </c>
      <c r="B78" s="371">
        <f>'Assumptions &amp; Results'!C154</f>
        <v>0.1</v>
      </c>
      <c r="C78" s="372">
        <f>NPV(B78,C77:AI77)</f>
        <v>1848.6488252219465</v>
      </c>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25"/>
    </row>
    <row r="79" spans="1:36" ht="15.75" thickBot="1" x14ac:dyDescent="0.3">
      <c r="A79" s="370" t="s">
        <v>516</v>
      </c>
      <c r="B79" s="370"/>
      <c r="C79" s="373">
        <f>IRR(C77:AI77)</f>
        <v>0.187803776595731</v>
      </c>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25"/>
    </row>
    <row r="80" spans="1:36" x14ac:dyDescent="0.25">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25"/>
    </row>
    <row r="81" spans="1:36" x14ac:dyDescent="0.25">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25"/>
    </row>
    <row r="82" spans="1:36" ht="15.75" thickBot="1" x14ac:dyDescent="0.3">
      <c r="A82" s="2" t="s">
        <v>514</v>
      </c>
      <c r="B82" t="s">
        <v>99</v>
      </c>
      <c r="C82" s="10">
        <f t="shared" ref="C82:AI82" si="19">C77-C58+C68</f>
        <v>-200</v>
      </c>
      <c r="D82" s="10">
        <f t="shared" si="19"/>
        <v>-420</v>
      </c>
      <c r="E82" s="10">
        <f t="shared" si="19"/>
        <v>-850</v>
      </c>
      <c r="F82" s="10">
        <f t="shared" si="19"/>
        <v>-1900</v>
      </c>
      <c r="G82" s="10">
        <f t="shared" si="19"/>
        <v>-916.83974559374974</v>
      </c>
      <c r="H82" s="10">
        <f t="shared" si="19"/>
        <v>1196.3205088125005</v>
      </c>
      <c r="I82" s="10">
        <f t="shared" si="19"/>
        <v>1466.3205088125005</v>
      </c>
      <c r="J82" s="10">
        <f t="shared" si="19"/>
        <v>1473.2149516321874</v>
      </c>
      <c r="K82" s="10">
        <f t="shared" si="19"/>
        <v>1329.2688986097</v>
      </c>
      <c r="L82" s="10">
        <f t="shared" si="19"/>
        <v>858.11344127065649</v>
      </c>
      <c r="M82" s="10">
        <f t="shared" si="19"/>
        <v>846.98257446000036</v>
      </c>
      <c r="N82" s="10">
        <f t="shared" si="19"/>
        <v>805.53709182397517</v>
      </c>
      <c r="O82" s="10">
        <f t="shared" si="19"/>
        <v>640.27464128099996</v>
      </c>
      <c r="P82" s="10">
        <f t="shared" si="19"/>
        <v>635.72345248500028</v>
      </c>
      <c r="Q82" s="10">
        <f t="shared" si="19"/>
        <v>635.72345248500028</v>
      </c>
      <c r="R82" s="10">
        <f t="shared" si="19"/>
        <v>635.72345248500028</v>
      </c>
      <c r="S82" s="10">
        <f t="shared" si="19"/>
        <v>429.54885022500025</v>
      </c>
      <c r="T82" s="10">
        <f t="shared" si="19"/>
        <v>434.01876779250006</v>
      </c>
      <c r="U82" s="10">
        <f t="shared" si="19"/>
        <v>429.54885022500025</v>
      </c>
      <c r="V82" s="10">
        <f t="shared" si="19"/>
        <v>429.54885022500025</v>
      </c>
      <c r="W82" s="10">
        <f t="shared" si="19"/>
        <v>429.54885022500025</v>
      </c>
      <c r="X82" s="10">
        <f t="shared" si="19"/>
        <v>429.54885022500025</v>
      </c>
      <c r="Y82" s="10">
        <f t="shared" si="19"/>
        <v>330.89083104824994</v>
      </c>
      <c r="Z82" s="10">
        <f t="shared" si="19"/>
        <v>326.46154909500029</v>
      </c>
      <c r="AA82" s="10">
        <f t="shared" si="19"/>
        <v>326.46154909500029</v>
      </c>
      <c r="AB82" s="10">
        <f t="shared" si="19"/>
        <v>326.46154909500029</v>
      </c>
      <c r="AC82" s="10">
        <f t="shared" si="19"/>
        <v>326.46154909500029</v>
      </c>
      <c r="AD82" s="10">
        <f t="shared" si="19"/>
        <v>330.89083104824994</v>
      </c>
      <c r="AE82" s="10">
        <f t="shared" si="19"/>
        <v>326.46154909500029</v>
      </c>
      <c r="AF82" s="10">
        <f t="shared" si="19"/>
        <v>326.46154909500029</v>
      </c>
      <c r="AG82" s="10">
        <f t="shared" si="19"/>
        <v>253.02154909500015</v>
      </c>
      <c r="AH82" s="10">
        <f t="shared" si="19"/>
        <v>253.02154909500015</v>
      </c>
      <c r="AI82" s="10">
        <f t="shared" si="19"/>
        <v>179.58154909500016</v>
      </c>
      <c r="AJ82" s="125">
        <f t="shared" si="18"/>
        <v>12124.30185143277</v>
      </c>
    </row>
    <row r="83" spans="1:36" ht="15.75" thickBot="1" x14ac:dyDescent="0.3">
      <c r="A83" s="370" t="s">
        <v>300</v>
      </c>
      <c r="B83" s="371">
        <f>'Assumptions &amp; Results'!C154</f>
        <v>0.1</v>
      </c>
      <c r="C83" s="372">
        <f>NPV(B83,C82:AI82)</f>
        <v>1827.5762820321886</v>
      </c>
    </row>
    <row r="84" spans="1:36" ht="15.75" thickBot="1" x14ac:dyDescent="0.3">
      <c r="A84" s="370" t="s">
        <v>511</v>
      </c>
      <c r="B84" s="370"/>
      <c r="C84" s="373">
        <f>IRR(C82:AI82)</f>
        <v>0.18148178802396298</v>
      </c>
    </row>
    <row r="86" spans="1:36" x14ac:dyDescent="0.25">
      <c r="C86" s="406"/>
    </row>
  </sheetData>
  <pageMargins left="0.7" right="0.7" top="0.75" bottom="0.75" header="0.3" footer="0.3"/>
  <pageSetup orientation="portrait" horizontalDpi="4294967292" verticalDpi="42949672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FF0000"/>
  </sheetPr>
  <dimension ref="A1:AK49"/>
  <sheetViews>
    <sheetView workbookViewId="0">
      <pane xSplit="1" topLeftCell="B1" activePane="topRight" state="frozen"/>
      <selection activeCell="AI51" sqref="AI51"/>
      <selection pane="topRight"/>
    </sheetView>
  </sheetViews>
  <sheetFormatPr defaultColWidth="8.85546875" defaultRowHeight="15" x14ac:dyDescent="0.25"/>
  <cols>
    <col min="1" max="1" width="43.28515625" customWidth="1"/>
    <col min="2" max="2" width="12.140625" customWidth="1"/>
    <col min="6" max="6" width="11.42578125" customWidth="1"/>
    <col min="36" max="36" width="10.140625" style="124" customWidth="1"/>
  </cols>
  <sheetData>
    <row r="1" spans="1:36" s="69" customFormat="1" ht="21" x14ac:dyDescent="0.25">
      <c r="A1" s="197" t="s">
        <v>315</v>
      </c>
      <c r="AJ1" s="122"/>
    </row>
    <row r="2" spans="1:36" ht="15.95" thickBot="1" x14ac:dyDescent="0.25">
      <c r="B2" s="1" t="s">
        <v>222</v>
      </c>
      <c r="C2" s="1">
        <f>'Assumptions &amp; Results'!D2</f>
        <v>2017</v>
      </c>
      <c r="D2" s="1">
        <f>'Assumptions &amp; Results'!E2</f>
        <v>2018</v>
      </c>
      <c r="E2" s="1">
        <f>'Assumptions &amp; Results'!F2</f>
        <v>2019</v>
      </c>
      <c r="F2" s="1">
        <f>'Assumptions &amp; Results'!G2</f>
        <v>2020</v>
      </c>
      <c r="G2" s="1">
        <f>'Assumptions &amp; Results'!H2</f>
        <v>2021</v>
      </c>
      <c r="H2" s="1">
        <f>'Assumptions &amp; Results'!I2</f>
        <v>2022</v>
      </c>
      <c r="I2" s="1">
        <f>'Assumptions &amp; Results'!J2</f>
        <v>2023</v>
      </c>
      <c r="J2" s="1">
        <f>'Assumptions &amp; Results'!K2</f>
        <v>2024</v>
      </c>
      <c r="K2" s="1">
        <f>'Assumptions &amp; Results'!L2</f>
        <v>2025</v>
      </c>
      <c r="L2" s="1">
        <f>'Assumptions &amp; Results'!M2</f>
        <v>2026</v>
      </c>
      <c r="M2" s="1">
        <f>'Assumptions &amp; Results'!N2</f>
        <v>2027</v>
      </c>
      <c r="N2" s="1">
        <f>'Assumptions &amp; Results'!O2</f>
        <v>2028</v>
      </c>
      <c r="O2" s="1">
        <f>'Assumptions &amp; Results'!P2</f>
        <v>2029</v>
      </c>
      <c r="P2" s="1">
        <f>'Assumptions &amp; Results'!Q2</f>
        <v>2030</v>
      </c>
      <c r="Q2" s="1">
        <f>'Assumptions &amp; Results'!R2</f>
        <v>2031</v>
      </c>
      <c r="R2" s="1">
        <f>'Assumptions &amp; Results'!S2</f>
        <v>2032</v>
      </c>
      <c r="S2" s="1">
        <f>'Assumptions &amp; Results'!T2</f>
        <v>2033</v>
      </c>
      <c r="T2" s="1">
        <f>'Assumptions &amp; Results'!U2</f>
        <v>2034</v>
      </c>
      <c r="U2" s="1">
        <f>'Assumptions &amp; Results'!V2</f>
        <v>2035</v>
      </c>
      <c r="V2" s="1">
        <f>'Assumptions &amp; Results'!W2</f>
        <v>2036</v>
      </c>
      <c r="W2" s="1">
        <f>'Assumptions &amp; Results'!X2</f>
        <v>2037</v>
      </c>
      <c r="X2" s="1">
        <f>'Assumptions &amp; Results'!Y2</f>
        <v>2038</v>
      </c>
      <c r="Y2" s="1">
        <f>'Assumptions &amp; Results'!Z2</f>
        <v>2039</v>
      </c>
      <c r="Z2" s="1">
        <f>'Assumptions &amp; Results'!AA2</f>
        <v>2040</v>
      </c>
      <c r="AA2" s="1">
        <f>'Assumptions &amp; Results'!AB2</f>
        <v>2041</v>
      </c>
      <c r="AB2" s="1">
        <f>'Assumptions &amp; Results'!AC2</f>
        <v>2042</v>
      </c>
      <c r="AC2" s="1">
        <f>'Assumptions &amp; Results'!AD2</f>
        <v>2043</v>
      </c>
      <c r="AD2" s="1">
        <f>'Assumptions &amp; Results'!AE2</f>
        <v>2044</v>
      </c>
      <c r="AE2" s="1">
        <f>'Assumptions &amp; Results'!AF2</f>
        <v>2045</v>
      </c>
      <c r="AF2" s="1">
        <f>'Assumptions &amp; Results'!AG2</f>
        <v>2046</v>
      </c>
      <c r="AG2" s="1">
        <f>'Assumptions &amp; Results'!AH2</f>
        <v>2047</v>
      </c>
      <c r="AH2" s="1">
        <f>'Assumptions &amp; Results'!AI2</f>
        <v>2048</v>
      </c>
      <c r="AI2" s="1">
        <f>'Assumptions &amp; Results'!AJ2</f>
        <v>2049</v>
      </c>
      <c r="AJ2" s="123" t="s">
        <v>63</v>
      </c>
    </row>
    <row r="3" spans="1:36" ht="15.95" thickBot="1" x14ac:dyDescent="0.25">
      <c r="A3" t="s">
        <v>223</v>
      </c>
      <c r="B3" t="str">
        <f>'Assumptions &amp; Results'!B119</f>
        <v>Straight Line</v>
      </c>
      <c r="C3" s="34">
        <f>'Assumptions &amp; Results'!$C$119</f>
        <v>4</v>
      </c>
    </row>
    <row r="4" spans="1:36" x14ac:dyDescent="0.2">
      <c r="C4" s="38"/>
    </row>
    <row r="5" spans="1:36" x14ac:dyDescent="0.2">
      <c r="A5" t="s">
        <v>224</v>
      </c>
      <c r="B5" t="str">
        <f>'Assumptions &amp; Results'!B40</f>
        <v>$MM</v>
      </c>
      <c r="C5">
        <v>0</v>
      </c>
      <c r="D5" s="8">
        <f>'Assumptions &amp; Results'!D49</f>
        <v>200</v>
      </c>
      <c r="E5" s="8">
        <f>'Assumptions &amp; Results'!E49</f>
        <v>420</v>
      </c>
      <c r="F5" s="8">
        <f>'Assumptions &amp; Results'!F49</f>
        <v>850</v>
      </c>
      <c r="G5" s="8">
        <f>'Assumptions &amp; Results'!G49</f>
        <v>1900</v>
      </c>
      <c r="H5" s="8">
        <f>'Assumptions &amp; Results'!H49</f>
        <v>1650</v>
      </c>
      <c r="I5" s="8">
        <f>'Assumptions &amp; Results'!I49</f>
        <v>270</v>
      </c>
      <c r="J5" s="8">
        <f>'Assumptions &amp; Results'!J49</f>
        <v>0</v>
      </c>
      <c r="K5" s="8">
        <f>'Assumptions &amp; Results'!K49</f>
        <v>0</v>
      </c>
      <c r="L5" s="8">
        <f>'Assumptions &amp; Results'!L49</f>
        <v>0</v>
      </c>
      <c r="M5" s="8">
        <f>'Assumptions &amp; Results'!M49</f>
        <v>0</v>
      </c>
      <c r="N5" s="8">
        <f>'Assumptions &amp; Results'!N49</f>
        <v>0</v>
      </c>
      <c r="O5" s="8">
        <f>'Assumptions &amp; Results'!O49</f>
        <v>0</v>
      </c>
      <c r="P5" s="8">
        <f>'Assumptions &amp; Results'!P49</f>
        <v>0</v>
      </c>
      <c r="Q5" s="8">
        <f>'Assumptions &amp; Results'!Q49</f>
        <v>0</v>
      </c>
      <c r="R5" s="8">
        <f>'Assumptions &amp; Results'!R49</f>
        <v>0</v>
      </c>
      <c r="S5" s="8">
        <f>'Assumptions &amp; Results'!S49</f>
        <v>0</v>
      </c>
      <c r="T5" s="8">
        <f>'Assumptions &amp; Results'!T49</f>
        <v>0</v>
      </c>
      <c r="U5" s="8">
        <f>'Assumptions &amp; Results'!U49</f>
        <v>0</v>
      </c>
      <c r="V5" s="8">
        <f>'Assumptions &amp; Results'!V49</f>
        <v>0</v>
      </c>
      <c r="W5" s="8">
        <f>'Assumptions &amp; Results'!W49</f>
        <v>0</v>
      </c>
      <c r="X5" s="8">
        <f>'Assumptions &amp; Results'!X49</f>
        <v>0</v>
      </c>
      <c r="Y5" s="8">
        <f>'Assumptions &amp; Results'!Y49</f>
        <v>0</v>
      </c>
      <c r="Z5" s="8">
        <f>'Assumptions &amp; Results'!Z49</f>
        <v>0</v>
      </c>
      <c r="AA5" s="8">
        <f>'Assumptions &amp; Results'!AA49</f>
        <v>0</v>
      </c>
      <c r="AB5" s="8">
        <f>'Assumptions &amp; Results'!AB49</f>
        <v>0</v>
      </c>
      <c r="AC5" s="8">
        <f>'Assumptions &amp; Results'!AC49</f>
        <v>0</v>
      </c>
      <c r="AD5" s="8">
        <f>'Assumptions &amp; Results'!AD49</f>
        <v>0</v>
      </c>
      <c r="AE5" s="8">
        <f>'Assumptions &amp; Results'!AE49</f>
        <v>0</v>
      </c>
      <c r="AF5" s="8">
        <f>'Assumptions &amp; Results'!AF49</f>
        <v>0</v>
      </c>
      <c r="AG5" s="8">
        <f>'Assumptions &amp; Results'!AG49</f>
        <v>0</v>
      </c>
      <c r="AH5" s="8">
        <f>'Assumptions &amp; Results'!AH49</f>
        <v>0</v>
      </c>
      <c r="AI5" s="8">
        <f>'Assumptions &amp; Results'!AI49</f>
        <v>0</v>
      </c>
      <c r="AJ5" s="125">
        <f>SUM(C5:AI5)</f>
        <v>5290</v>
      </c>
    </row>
    <row r="6" spans="1:36" x14ac:dyDescent="0.2">
      <c r="A6" s="4"/>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125"/>
    </row>
    <row r="7" spans="1:36" x14ac:dyDescent="0.2">
      <c r="C7" s="38"/>
    </row>
    <row r="8" spans="1:36" x14ac:dyDescent="0.2">
      <c r="A8" s="1" t="s">
        <v>225</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125"/>
    </row>
    <row r="9" spans="1:36" x14ac:dyDescent="0.2">
      <c r="A9" t="s">
        <v>33</v>
      </c>
      <c r="B9" t="s">
        <v>99</v>
      </c>
      <c r="C9" s="8">
        <f>'Gas PL'!C8*'Assumptions &amp; Results'!$C$69</f>
        <v>0</v>
      </c>
      <c r="D9" s="8">
        <f>'Gas PL'!D8*'Assumptions &amp; Results'!$C$69</f>
        <v>0</v>
      </c>
      <c r="E9" s="8">
        <f>'Gas PL'!E8*'Assumptions &amp; Results'!$C$69</f>
        <v>0</v>
      </c>
      <c r="F9" s="8">
        <f>'Gas PL'!F8*'Assumptions &amp; Results'!$C$69</f>
        <v>0</v>
      </c>
      <c r="G9" s="8">
        <f>'Gas PL'!G8*'Assumptions &amp; Results'!$C$69</f>
        <v>0</v>
      </c>
      <c r="H9" s="8">
        <f>'Gas PL'!H8*'Assumptions &amp; Results'!$C$69</f>
        <v>0</v>
      </c>
      <c r="I9" s="8">
        <f>'Gas PL'!I8*'Assumptions &amp; Results'!$C$69</f>
        <v>0</v>
      </c>
      <c r="J9" s="8">
        <f>'Gas PL'!J8*'Assumptions &amp; Results'!$C$69</f>
        <v>0</v>
      </c>
      <c r="K9" s="8">
        <f>'Gas PL'!K8*'Assumptions &amp; Results'!$C$69</f>
        <v>0</v>
      </c>
      <c r="L9" s="8">
        <f>'Gas PL'!L8*'Assumptions &amp; Results'!$C$69</f>
        <v>0</v>
      </c>
      <c r="M9" s="8">
        <f>'Gas PL'!M8*'Assumptions &amp; Results'!$C$69</f>
        <v>0</v>
      </c>
      <c r="N9" s="8">
        <f>'Gas PL'!N8*'Assumptions &amp; Results'!$C$69</f>
        <v>0</v>
      </c>
      <c r="O9" s="8">
        <f>'Gas PL'!O8*'Assumptions &amp; Results'!$C$69</f>
        <v>0</v>
      </c>
      <c r="P9" s="8">
        <f>'Gas PL'!P8*'Assumptions &amp; Results'!$C$69</f>
        <v>0</v>
      </c>
      <c r="Q9" s="8">
        <f>'Gas PL'!Q8*'Assumptions &amp; Results'!$C$69</f>
        <v>0</v>
      </c>
      <c r="R9" s="8">
        <f>'Gas PL'!R8*'Assumptions &amp; Results'!$C$69</f>
        <v>0</v>
      </c>
      <c r="S9" s="8">
        <f>'Gas PL'!S8*'Assumptions &amp; Results'!$C$69</f>
        <v>0</v>
      </c>
      <c r="T9" s="8">
        <f>'Gas PL'!T8*'Assumptions &amp; Results'!$C$69</f>
        <v>0</v>
      </c>
      <c r="U9" s="8">
        <f>'Gas PL'!U8*'Assumptions &amp; Results'!$C$69</f>
        <v>0</v>
      </c>
      <c r="V9" s="8">
        <f>'Gas PL'!V8*'Assumptions &amp; Results'!$C$69</f>
        <v>0</v>
      </c>
      <c r="W9" s="8">
        <f>'Gas PL'!W8*'Assumptions &amp; Results'!$C$69</f>
        <v>0</v>
      </c>
      <c r="X9" s="8">
        <f>'Gas PL'!X8*'Assumptions &amp; Results'!$C$69</f>
        <v>0</v>
      </c>
      <c r="Y9" s="8">
        <f>'Gas PL'!Y8*'Assumptions &amp; Results'!$C$69</f>
        <v>0</v>
      </c>
      <c r="Z9" s="8">
        <f>'Gas PL'!Z8*'Assumptions &amp; Results'!$C$69</f>
        <v>0</v>
      </c>
      <c r="AA9" s="8">
        <f>'Gas PL'!AA8*'Assumptions &amp; Results'!$C$69</f>
        <v>0</v>
      </c>
      <c r="AB9" s="8">
        <f>'Gas PL'!AB8*'Assumptions &amp; Results'!$C$69</f>
        <v>0</v>
      </c>
      <c r="AC9" s="8">
        <f>'Gas PL'!AC8*'Assumptions &amp; Results'!$C$69</f>
        <v>0</v>
      </c>
      <c r="AD9" s="8">
        <f>'Gas PL'!AD8*'Assumptions &amp; Results'!$C$69</f>
        <v>0</v>
      </c>
      <c r="AE9" s="8">
        <f>'Gas PL'!AE8*'Assumptions &amp; Results'!$C$69</f>
        <v>0</v>
      </c>
      <c r="AF9" s="8">
        <f>'Gas PL'!AF8*'Assumptions &amp; Results'!$C$69</f>
        <v>0</v>
      </c>
      <c r="AG9" s="8">
        <f>'Gas PL'!AG8*'Assumptions &amp; Results'!$C$69</f>
        <v>0</v>
      </c>
      <c r="AH9" s="8">
        <f>'Gas PL'!AH8*'Assumptions &amp; Results'!$C$69</f>
        <v>0</v>
      </c>
      <c r="AI9" s="8">
        <f>'Gas PL'!AI8*'Assumptions &amp; Results'!$C$69</f>
        <v>0</v>
      </c>
      <c r="AJ9" s="125">
        <f>SUM(C9:AI9)</f>
        <v>0</v>
      </c>
    </row>
    <row r="10" spans="1:36" ht="18" x14ac:dyDescent="0.35">
      <c r="A10" t="s">
        <v>226</v>
      </c>
      <c r="B10" t="s">
        <v>99</v>
      </c>
      <c r="C10" s="27">
        <f>'LNG Equity '!C6*'Assumptions &amp; Results'!$C$91</f>
        <v>0</v>
      </c>
      <c r="D10" s="27">
        <f>'LNG Equity '!D6*'Assumptions &amp; Results'!$C$91</f>
        <v>0</v>
      </c>
      <c r="E10" s="27">
        <f>'LNG Equity '!E6*'Assumptions &amp; Results'!$C$91</f>
        <v>0</v>
      </c>
      <c r="F10" s="27">
        <f>'LNG Equity '!F6*'Assumptions &amp; Results'!$C$91</f>
        <v>0</v>
      </c>
      <c r="G10" s="27">
        <f>'LNG Equity '!G6*'Assumptions &amp; Results'!$C$91</f>
        <v>0</v>
      </c>
      <c r="H10" s="27">
        <f>'LNG Equity '!H6*'Assumptions &amp; Results'!$C$91</f>
        <v>0</v>
      </c>
      <c r="I10" s="27">
        <f>'LNG Equity '!I6*'Assumptions &amp; Results'!$C$91</f>
        <v>0</v>
      </c>
      <c r="J10" s="27">
        <f>'LNG Equity '!J6*'Assumptions &amp; Results'!$C$91</f>
        <v>0</v>
      </c>
      <c r="K10" s="27">
        <f>'LNG Equity '!K6*'Assumptions &amp; Results'!$C$91</f>
        <v>0</v>
      </c>
      <c r="L10" s="27">
        <f>'LNG Equity '!L6*'Assumptions &amp; Results'!$C$91</f>
        <v>0</v>
      </c>
      <c r="M10" s="27">
        <f>'LNG Equity '!M6*'Assumptions &amp; Results'!$C$91</f>
        <v>0</v>
      </c>
      <c r="N10" s="27">
        <f>'LNG Equity '!N6*'Assumptions &amp; Results'!$C$91</f>
        <v>0</v>
      </c>
      <c r="O10" s="27">
        <f>'LNG Equity '!O6*'Assumptions &amp; Results'!$C$91</f>
        <v>0</v>
      </c>
      <c r="P10" s="27">
        <f>'LNG Equity '!P6*'Assumptions &amp; Results'!$C$91</f>
        <v>0</v>
      </c>
      <c r="Q10" s="27">
        <f>'LNG Equity '!Q6*'Assumptions &amp; Results'!$C$91</f>
        <v>0</v>
      </c>
      <c r="R10" s="27">
        <f>'LNG Equity '!R6*'Assumptions &amp; Results'!$C$91</f>
        <v>0</v>
      </c>
      <c r="S10" s="27">
        <f>'LNG Equity '!S6*'Assumptions &amp; Results'!$C$91</f>
        <v>0</v>
      </c>
      <c r="T10" s="27">
        <f>'LNG Equity '!T6*'Assumptions &amp; Results'!$C$91</f>
        <v>0</v>
      </c>
      <c r="U10" s="27">
        <f>'LNG Equity '!U6*'Assumptions &amp; Results'!$C$91</f>
        <v>0</v>
      </c>
      <c r="V10" s="27">
        <f>'LNG Equity '!V6*'Assumptions &amp; Results'!$C$91</f>
        <v>0</v>
      </c>
      <c r="W10" s="27">
        <f>'LNG Equity '!W6*'Assumptions &amp; Results'!$C$91</f>
        <v>0</v>
      </c>
      <c r="X10" s="27">
        <f>'LNG Equity '!X6*'Assumptions &amp; Results'!$C$91</f>
        <v>0</v>
      </c>
      <c r="Y10" s="27">
        <f>'LNG Equity '!Y6*'Assumptions &amp; Results'!$C$91</f>
        <v>0</v>
      </c>
      <c r="Z10" s="27">
        <f>'LNG Equity '!Z6*'Assumptions &amp; Results'!$C$91</f>
        <v>0</v>
      </c>
      <c r="AA10" s="27">
        <f>'LNG Equity '!AA6*'Assumptions &amp; Results'!$C$91</f>
        <v>0</v>
      </c>
      <c r="AB10" s="27">
        <f>'LNG Equity '!AB6*'Assumptions &amp; Results'!$C$91</f>
        <v>0</v>
      </c>
      <c r="AC10" s="27">
        <f>'LNG Equity '!AC6*'Assumptions &amp; Results'!$C$91</f>
        <v>0</v>
      </c>
      <c r="AD10" s="27">
        <f>'LNG Equity '!AD6*'Assumptions &amp; Results'!$C$91</f>
        <v>0</v>
      </c>
      <c r="AE10" s="27">
        <f>'LNG Equity '!AE6*'Assumptions &amp; Results'!$C$91</f>
        <v>0</v>
      </c>
      <c r="AF10" s="27">
        <f>'LNG Equity '!AF6*'Assumptions &amp; Results'!$C$91</f>
        <v>0</v>
      </c>
      <c r="AG10" s="27">
        <f>'LNG Equity '!AG6*'Assumptions &amp; Results'!$C$91</f>
        <v>0</v>
      </c>
      <c r="AH10" s="27">
        <f>'LNG Equity '!AH6*'Assumptions &amp; Results'!$C$91</f>
        <v>0</v>
      </c>
      <c r="AI10" s="27">
        <f>'LNG Equity '!AI6*'Assumptions &amp; Results'!$C$91</f>
        <v>0</v>
      </c>
      <c r="AJ10" s="126">
        <f>SUM(C10:AI10)</f>
        <v>0</v>
      </c>
    </row>
    <row r="11" spans="1:36" s="79" customFormat="1" x14ac:dyDescent="0.2">
      <c r="A11" s="79" t="s">
        <v>227</v>
      </c>
      <c r="B11" s="79" t="s">
        <v>99</v>
      </c>
      <c r="C11" s="84">
        <f t="shared" ref="C11:AH11" si="0">D5+C9+C10</f>
        <v>200</v>
      </c>
      <c r="D11" s="84">
        <f t="shared" si="0"/>
        <v>420</v>
      </c>
      <c r="E11" s="84">
        <f t="shared" si="0"/>
        <v>850</v>
      </c>
      <c r="F11" s="84">
        <f t="shared" si="0"/>
        <v>1900</v>
      </c>
      <c r="G11" s="84">
        <f t="shared" si="0"/>
        <v>1650</v>
      </c>
      <c r="H11" s="84">
        <f t="shared" si="0"/>
        <v>270</v>
      </c>
      <c r="I11" s="84">
        <f t="shared" si="0"/>
        <v>0</v>
      </c>
      <c r="J11" s="84">
        <f t="shared" si="0"/>
        <v>0</v>
      </c>
      <c r="K11" s="84">
        <f t="shared" si="0"/>
        <v>0</v>
      </c>
      <c r="L11" s="84">
        <f t="shared" si="0"/>
        <v>0</v>
      </c>
      <c r="M11" s="84">
        <f t="shared" si="0"/>
        <v>0</v>
      </c>
      <c r="N11" s="84">
        <f t="shared" si="0"/>
        <v>0</v>
      </c>
      <c r="O11" s="84">
        <f t="shared" si="0"/>
        <v>0</v>
      </c>
      <c r="P11" s="84">
        <f t="shared" si="0"/>
        <v>0</v>
      </c>
      <c r="Q11" s="84">
        <f t="shared" si="0"/>
        <v>0</v>
      </c>
      <c r="R11" s="84">
        <f t="shared" si="0"/>
        <v>0</v>
      </c>
      <c r="S11" s="84">
        <f t="shared" si="0"/>
        <v>0</v>
      </c>
      <c r="T11" s="84">
        <f t="shared" si="0"/>
        <v>0</v>
      </c>
      <c r="U11" s="84">
        <f t="shared" si="0"/>
        <v>0</v>
      </c>
      <c r="V11" s="84">
        <f t="shared" si="0"/>
        <v>0</v>
      </c>
      <c r="W11" s="84">
        <f t="shared" si="0"/>
        <v>0</v>
      </c>
      <c r="X11" s="84">
        <f t="shared" si="0"/>
        <v>0</v>
      </c>
      <c r="Y11" s="84">
        <f t="shared" si="0"/>
        <v>0</v>
      </c>
      <c r="Z11" s="84">
        <f t="shared" si="0"/>
        <v>0</v>
      </c>
      <c r="AA11" s="84">
        <f t="shared" si="0"/>
        <v>0</v>
      </c>
      <c r="AB11" s="84">
        <f t="shared" si="0"/>
        <v>0</v>
      </c>
      <c r="AC11" s="84">
        <f t="shared" si="0"/>
        <v>0</v>
      </c>
      <c r="AD11" s="84">
        <f t="shared" si="0"/>
        <v>0</v>
      </c>
      <c r="AE11" s="84">
        <f t="shared" si="0"/>
        <v>0</v>
      </c>
      <c r="AF11" s="84">
        <f t="shared" si="0"/>
        <v>0</v>
      </c>
      <c r="AG11" s="84">
        <f t="shared" si="0"/>
        <v>0</v>
      </c>
      <c r="AH11" s="84">
        <f t="shared" si="0"/>
        <v>0</v>
      </c>
      <c r="AI11" s="84">
        <f>AI5+AI9+AI10</f>
        <v>0</v>
      </c>
      <c r="AJ11" s="127">
        <f>AJ5+AJ9+AJ10</f>
        <v>5290</v>
      </c>
    </row>
    <row r="12" spans="1:36" x14ac:dyDescent="0.2">
      <c r="A12" t="s">
        <v>228</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125"/>
    </row>
    <row r="13" spans="1:36" x14ac:dyDescent="0.2">
      <c r="A13" s="4"/>
    </row>
    <row r="14" spans="1:36" x14ac:dyDescent="0.2">
      <c r="B14" s="1" t="s">
        <v>229</v>
      </c>
    </row>
    <row r="15" spans="1:36" x14ac:dyDescent="0.2">
      <c r="A15" t="s">
        <v>230</v>
      </c>
      <c r="B15">
        <f>C2</f>
        <v>2017</v>
      </c>
      <c r="C15" s="8">
        <f>IF(C$2-$B15-$C$3&lt;0,SLN($C11,0,$C$3),0)</f>
        <v>50</v>
      </c>
      <c r="D15" s="8">
        <f>IF(D$2-$B15-$C$3&lt;0,SLN($C11,0,$C$3),0)</f>
        <v>50</v>
      </c>
      <c r="E15" s="8">
        <f t="shared" ref="E15:AI15" si="1">IF(E$2-$B15-$C$3&lt;0,SLN($C$11,0,$C$3),0)</f>
        <v>50</v>
      </c>
      <c r="F15" s="8">
        <f t="shared" si="1"/>
        <v>50</v>
      </c>
      <c r="G15" s="8">
        <f t="shared" si="1"/>
        <v>0</v>
      </c>
      <c r="H15" s="8">
        <f t="shared" si="1"/>
        <v>0</v>
      </c>
      <c r="I15" s="8">
        <f t="shared" si="1"/>
        <v>0</v>
      </c>
      <c r="J15" s="8">
        <f t="shared" si="1"/>
        <v>0</v>
      </c>
      <c r="K15" s="8">
        <f t="shared" si="1"/>
        <v>0</v>
      </c>
      <c r="L15" s="8">
        <f t="shared" si="1"/>
        <v>0</v>
      </c>
      <c r="M15" s="8">
        <f t="shared" si="1"/>
        <v>0</v>
      </c>
      <c r="N15" s="8">
        <f t="shared" si="1"/>
        <v>0</v>
      </c>
      <c r="O15" s="8">
        <f t="shared" si="1"/>
        <v>0</v>
      </c>
      <c r="P15" s="8">
        <f t="shared" si="1"/>
        <v>0</v>
      </c>
      <c r="Q15" s="8">
        <f t="shared" si="1"/>
        <v>0</v>
      </c>
      <c r="R15" s="8">
        <f t="shared" si="1"/>
        <v>0</v>
      </c>
      <c r="S15" s="8">
        <f t="shared" si="1"/>
        <v>0</v>
      </c>
      <c r="T15" s="8">
        <f t="shared" si="1"/>
        <v>0</v>
      </c>
      <c r="U15" s="8">
        <f t="shared" si="1"/>
        <v>0</v>
      </c>
      <c r="V15" s="8">
        <f t="shared" si="1"/>
        <v>0</v>
      </c>
      <c r="W15" s="8">
        <f t="shared" si="1"/>
        <v>0</v>
      </c>
      <c r="X15" s="8">
        <f t="shared" si="1"/>
        <v>0</v>
      </c>
      <c r="Y15" s="8">
        <f t="shared" si="1"/>
        <v>0</v>
      </c>
      <c r="Z15" s="8">
        <f t="shared" si="1"/>
        <v>0</v>
      </c>
      <c r="AA15" s="8">
        <f t="shared" si="1"/>
        <v>0</v>
      </c>
      <c r="AB15" s="8">
        <f t="shared" si="1"/>
        <v>0</v>
      </c>
      <c r="AC15" s="8">
        <f t="shared" si="1"/>
        <v>0</v>
      </c>
      <c r="AD15" s="8">
        <f t="shared" si="1"/>
        <v>0</v>
      </c>
      <c r="AE15" s="8">
        <f t="shared" si="1"/>
        <v>0</v>
      </c>
      <c r="AF15" s="8">
        <f t="shared" si="1"/>
        <v>0</v>
      </c>
      <c r="AG15" s="8">
        <f t="shared" si="1"/>
        <v>0</v>
      </c>
      <c r="AH15" s="8">
        <f t="shared" si="1"/>
        <v>0</v>
      </c>
      <c r="AI15" s="8">
        <f t="shared" si="1"/>
        <v>0</v>
      </c>
      <c r="AJ15" s="125">
        <f t="shared" ref="AJ15:AJ47" si="2">SUM(C15:AI15)</f>
        <v>200</v>
      </c>
    </row>
    <row r="16" spans="1:36" x14ac:dyDescent="0.2">
      <c r="B16">
        <f>D2</f>
        <v>2018</v>
      </c>
      <c r="C16" s="8"/>
      <c r="D16" s="8">
        <f t="shared" ref="D16:AI16" si="3">IF(D$2-$B16-$C$3&lt;0,SLN($D$11,0,$C$3),0)</f>
        <v>105</v>
      </c>
      <c r="E16" s="8">
        <f t="shared" si="3"/>
        <v>105</v>
      </c>
      <c r="F16" s="8">
        <f t="shared" si="3"/>
        <v>105</v>
      </c>
      <c r="G16" s="8">
        <f t="shared" si="3"/>
        <v>105</v>
      </c>
      <c r="H16" s="8">
        <f t="shared" si="3"/>
        <v>0</v>
      </c>
      <c r="I16" s="8">
        <f t="shared" si="3"/>
        <v>0</v>
      </c>
      <c r="J16" s="8">
        <f t="shared" si="3"/>
        <v>0</v>
      </c>
      <c r="K16" s="8">
        <f t="shared" si="3"/>
        <v>0</v>
      </c>
      <c r="L16" s="8">
        <f t="shared" si="3"/>
        <v>0</v>
      </c>
      <c r="M16" s="8">
        <f t="shared" si="3"/>
        <v>0</v>
      </c>
      <c r="N16" s="8">
        <f t="shared" si="3"/>
        <v>0</v>
      </c>
      <c r="O16" s="8">
        <f t="shared" si="3"/>
        <v>0</v>
      </c>
      <c r="P16" s="8">
        <f t="shared" si="3"/>
        <v>0</v>
      </c>
      <c r="Q16" s="8">
        <f t="shared" si="3"/>
        <v>0</v>
      </c>
      <c r="R16" s="8">
        <f t="shared" si="3"/>
        <v>0</v>
      </c>
      <c r="S16" s="8">
        <f t="shared" si="3"/>
        <v>0</v>
      </c>
      <c r="T16" s="8">
        <f t="shared" si="3"/>
        <v>0</v>
      </c>
      <c r="U16" s="8">
        <f t="shared" si="3"/>
        <v>0</v>
      </c>
      <c r="V16" s="8">
        <f t="shared" si="3"/>
        <v>0</v>
      </c>
      <c r="W16" s="8">
        <f t="shared" si="3"/>
        <v>0</v>
      </c>
      <c r="X16" s="8">
        <f t="shared" si="3"/>
        <v>0</v>
      </c>
      <c r="Y16" s="8">
        <f t="shared" si="3"/>
        <v>0</v>
      </c>
      <c r="Z16" s="8">
        <f t="shared" si="3"/>
        <v>0</v>
      </c>
      <c r="AA16" s="8">
        <f t="shared" si="3"/>
        <v>0</v>
      </c>
      <c r="AB16" s="8">
        <f t="shared" si="3"/>
        <v>0</v>
      </c>
      <c r="AC16" s="8">
        <f t="shared" si="3"/>
        <v>0</v>
      </c>
      <c r="AD16" s="8">
        <f t="shared" si="3"/>
        <v>0</v>
      </c>
      <c r="AE16" s="8">
        <f t="shared" si="3"/>
        <v>0</v>
      </c>
      <c r="AF16" s="8">
        <f t="shared" si="3"/>
        <v>0</v>
      </c>
      <c r="AG16" s="8">
        <f t="shared" si="3"/>
        <v>0</v>
      </c>
      <c r="AH16" s="8">
        <f t="shared" si="3"/>
        <v>0</v>
      </c>
      <c r="AI16" s="8">
        <f t="shared" si="3"/>
        <v>0</v>
      </c>
      <c r="AJ16" s="125">
        <f t="shared" si="2"/>
        <v>420</v>
      </c>
    </row>
    <row r="17" spans="2:36" x14ac:dyDescent="0.2">
      <c r="B17">
        <f>E2</f>
        <v>2019</v>
      </c>
      <c r="C17" s="8"/>
      <c r="D17" s="8"/>
      <c r="E17" s="8">
        <f t="shared" ref="E17:AI17" si="4">IF(E$2-$B17-$C$3&lt;0,SLN($E$11,0,$C$3),0)</f>
        <v>212.5</v>
      </c>
      <c r="F17" s="8">
        <f t="shared" si="4"/>
        <v>212.5</v>
      </c>
      <c r="G17" s="8">
        <f t="shared" si="4"/>
        <v>212.5</v>
      </c>
      <c r="H17" s="8">
        <f t="shared" si="4"/>
        <v>212.5</v>
      </c>
      <c r="I17" s="8">
        <f t="shared" si="4"/>
        <v>0</v>
      </c>
      <c r="J17" s="8">
        <f t="shared" si="4"/>
        <v>0</v>
      </c>
      <c r="K17" s="8">
        <f t="shared" si="4"/>
        <v>0</v>
      </c>
      <c r="L17" s="8">
        <f t="shared" si="4"/>
        <v>0</v>
      </c>
      <c r="M17" s="8">
        <f t="shared" si="4"/>
        <v>0</v>
      </c>
      <c r="N17" s="8">
        <f t="shared" si="4"/>
        <v>0</v>
      </c>
      <c r="O17" s="8">
        <f t="shared" si="4"/>
        <v>0</v>
      </c>
      <c r="P17" s="8">
        <f t="shared" si="4"/>
        <v>0</v>
      </c>
      <c r="Q17" s="8">
        <f t="shared" si="4"/>
        <v>0</v>
      </c>
      <c r="R17" s="8">
        <f t="shared" si="4"/>
        <v>0</v>
      </c>
      <c r="S17" s="8">
        <f t="shared" si="4"/>
        <v>0</v>
      </c>
      <c r="T17" s="8">
        <f t="shared" si="4"/>
        <v>0</v>
      </c>
      <c r="U17" s="8">
        <f t="shared" si="4"/>
        <v>0</v>
      </c>
      <c r="V17" s="8">
        <f t="shared" si="4"/>
        <v>0</v>
      </c>
      <c r="W17" s="8">
        <f t="shared" si="4"/>
        <v>0</v>
      </c>
      <c r="X17" s="8">
        <f t="shared" si="4"/>
        <v>0</v>
      </c>
      <c r="Y17" s="8">
        <f t="shared" si="4"/>
        <v>0</v>
      </c>
      <c r="Z17" s="8">
        <f t="shared" si="4"/>
        <v>0</v>
      </c>
      <c r="AA17" s="8">
        <f t="shared" si="4"/>
        <v>0</v>
      </c>
      <c r="AB17" s="8">
        <f t="shared" si="4"/>
        <v>0</v>
      </c>
      <c r="AC17" s="8">
        <f t="shared" si="4"/>
        <v>0</v>
      </c>
      <c r="AD17" s="8">
        <f t="shared" si="4"/>
        <v>0</v>
      </c>
      <c r="AE17" s="8">
        <f t="shared" si="4"/>
        <v>0</v>
      </c>
      <c r="AF17" s="8">
        <f t="shared" si="4"/>
        <v>0</v>
      </c>
      <c r="AG17" s="8">
        <f t="shared" si="4"/>
        <v>0</v>
      </c>
      <c r="AH17" s="8">
        <f t="shared" si="4"/>
        <v>0</v>
      </c>
      <c r="AI17" s="8">
        <f t="shared" si="4"/>
        <v>0</v>
      </c>
      <c r="AJ17" s="125">
        <f t="shared" si="2"/>
        <v>850</v>
      </c>
    </row>
    <row r="18" spans="2:36" x14ac:dyDescent="0.2">
      <c r="B18">
        <f>F2</f>
        <v>2020</v>
      </c>
      <c r="C18" s="8"/>
      <c r="D18" s="8"/>
      <c r="E18" s="8"/>
      <c r="F18" s="8">
        <f t="shared" ref="F18:AI18" si="5">IF(F$2-$B18-$C$3&lt;0,SLN($F$11,0,$C$3),0)</f>
        <v>475</v>
      </c>
      <c r="G18" s="8">
        <f t="shared" si="5"/>
        <v>475</v>
      </c>
      <c r="H18" s="8">
        <f t="shared" si="5"/>
        <v>475</v>
      </c>
      <c r="I18" s="8">
        <f t="shared" si="5"/>
        <v>475</v>
      </c>
      <c r="J18" s="8">
        <f t="shared" si="5"/>
        <v>0</v>
      </c>
      <c r="K18" s="8">
        <f t="shared" si="5"/>
        <v>0</v>
      </c>
      <c r="L18" s="8">
        <f t="shared" si="5"/>
        <v>0</v>
      </c>
      <c r="M18" s="8">
        <f t="shared" si="5"/>
        <v>0</v>
      </c>
      <c r="N18" s="8">
        <f t="shared" si="5"/>
        <v>0</v>
      </c>
      <c r="O18" s="8">
        <f t="shared" si="5"/>
        <v>0</v>
      </c>
      <c r="P18" s="8">
        <f t="shared" si="5"/>
        <v>0</v>
      </c>
      <c r="Q18" s="8">
        <f t="shared" si="5"/>
        <v>0</v>
      </c>
      <c r="R18" s="8">
        <f t="shared" si="5"/>
        <v>0</v>
      </c>
      <c r="S18" s="8">
        <f t="shared" si="5"/>
        <v>0</v>
      </c>
      <c r="T18" s="8">
        <f t="shared" si="5"/>
        <v>0</v>
      </c>
      <c r="U18" s="8">
        <f t="shared" si="5"/>
        <v>0</v>
      </c>
      <c r="V18" s="8">
        <f t="shared" si="5"/>
        <v>0</v>
      </c>
      <c r="W18" s="8">
        <f t="shared" si="5"/>
        <v>0</v>
      </c>
      <c r="X18" s="8">
        <f t="shared" si="5"/>
        <v>0</v>
      </c>
      <c r="Y18" s="8">
        <f t="shared" si="5"/>
        <v>0</v>
      </c>
      <c r="Z18" s="8">
        <f t="shared" si="5"/>
        <v>0</v>
      </c>
      <c r="AA18" s="8">
        <f t="shared" si="5"/>
        <v>0</v>
      </c>
      <c r="AB18" s="8">
        <f t="shared" si="5"/>
        <v>0</v>
      </c>
      <c r="AC18" s="8">
        <f t="shared" si="5"/>
        <v>0</v>
      </c>
      <c r="AD18" s="8">
        <f t="shared" si="5"/>
        <v>0</v>
      </c>
      <c r="AE18" s="8">
        <f t="shared" si="5"/>
        <v>0</v>
      </c>
      <c r="AF18" s="8">
        <f t="shared" si="5"/>
        <v>0</v>
      </c>
      <c r="AG18" s="8">
        <f t="shared" si="5"/>
        <v>0</v>
      </c>
      <c r="AH18" s="8">
        <f t="shared" si="5"/>
        <v>0</v>
      </c>
      <c r="AI18" s="8">
        <f t="shared" si="5"/>
        <v>0</v>
      </c>
      <c r="AJ18" s="125">
        <f t="shared" si="2"/>
        <v>1900</v>
      </c>
    </row>
    <row r="19" spans="2:36" x14ac:dyDescent="0.2">
      <c r="B19">
        <f>G2</f>
        <v>2021</v>
      </c>
      <c r="C19" s="8"/>
      <c r="D19" s="8"/>
      <c r="E19" s="8"/>
      <c r="F19" s="8"/>
      <c r="G19" s="8">
        <f t="shared" ref="G19:AI19" si="6">IF(G$2-$B19-$C$3&lt;0,SLN($G$11,0,$C$3),0)</f>
        <v>412.5</v>
      </c>
      <c r="H19" s="8">
        <f t="shared" si="6"/>
        <v>412.5</v>
      </c>
      <c r="I19" s="8">
        <f t="shared" si="6"/>
        <v>412.5</v>
      </c>
      <c r="J19" s="8">
        <f t="shared" si="6"/>
        <v>412.5</v>
      </c>
      <c r="K19" s="8">
        <f t="shared" si="6"/>
        <v>0</v>
      </c>
      <c r="L19" s="8">
        <f t="shared" si="6"/>
        <v>0</v>
      </c>
      <c r="M19" s="8">
        <f t="shared" si="6"/>
        <v>0</v>
      </c>
      <c r="N19" s="8">
        <f t="shared" si="6"/>
        <v>0</v>
      </c>
      <c r="O19" s="8">
        <f t="shared" si="6"/>
        <v>0</v>
      </c>
      <c r="P19" s="8">
        <f t="shared" si="6"/>
        <v>0</v>
      </c>
      <c r="Q19" s="8">
        <f t="shared" si="6"/>
        <v>0</v>
      </c>
      <c r="R19" s="8">
        <f t="shared" si="6"/>
        <v>0</v>
      </c>
      <c r="S19" s="8">
        <f t="shared" si="6"/>
        <v>0</v>
      </c>
      <c r="T19" s="8">
        <f t="shared" si="6"/>
        <v>0</v>
      </c>
      <c r="U19" s="8">
        <f t="shared" si="6"/>
        <v>0</v>
      </c>
      <c r="V19" s="8">
        <f t="shared" si="6"/>
        <v>0</v>
      </c>
      <c r="W19" s="8">
        <f t="shared" si="6"/>
        <v>0</v>
      </c>
      <c r="X19" s="8">
        <f t="shared" si="6"/>
        <v>0</v>
      </c>
      <c r="Y19" s="8">
        <f t="shared" si="6"/>
        <v>0</v>
      </c>
      <c r="Z19" s="8">
        <f t="shared" si="6"/>
        <v>0</v>
      </c>
      <c r="AA19" s="8">
        <f t="shared" si="6"/>
        <v>0</v>
      </c>
      <c r="AB19" s="8">
        <f t="shared" si="6"/>
        <v>0</v>
      </c>
      <c r="AC19" s="8">
        <f t="shared" si="6"/>
        <v>0</v>
      </c>
      <c r="AD19" s="8">
        <f t="shared" si="6"/>
        <v>0</v>
      </c>
      <c r="AE19" s="8">
        <f t="shared" si="6"/>
        <v>0</v>
      </c>
      <c r="AF19" s="8">
        <f t="shared" si="6"/>
        <v>0</v>
      </c>
      <c r="AG19" s="8">
        <f t="shared" si="6"/>
        <v>0</v>
      </c>
      <c r="AH19" s="8">
        <f t="shared" si="6"/>
        <v>0</v>
      </c>
      <c r="AI19" s="8">
        <f t="shared" si="6"/>
        <v>0</v>
      </c>
      <c r="AJ19" s="125">
        <f t="shared" si="2"/>
        <v>1650</v>
      </c>
    </row>
    <row r="20" spans="2:36" x14ac:dyDescent="0.2">
      <c r="B20">
        <f>H2</f>
        <v>2022</v>
      </c>
      <c r="C20" s="8"/>
      <c r="D20" s="8"/>
      <c r="E20" s="8"/>
      <c r="F20" s="8"/>
      <c r="G20" s="8"/>
      <c r="H20" s="8">
        <f t="shared" ref="H20:AI20" si="7">IF(H$2-$B20-$C$3&lt;0,SLN($H$11,0,$C$3),0)</f>
        <v>67.5</v>
      </c>
      <c r="I20" s="8">
        <f t="shared" si="7"/>
        <v>67.5</v>
      </c>
      <c r="J20" s="8">
        <f t="shared" si="7"/>
        <v>67.5</v>
      </c>
      <c r="K20" s="8">
        <f t="shared" si="7"/>
        <v>67.5</v>
      </c>
      <c r="L20" s="8">
        <f t="shared" si="7"/>
        <v>0</v>
      </c>
      <c r="M20" s="8">
        <f t="shared" si="7"/>
        <v>0</v>
      </c>
      <c r="N20" s="8">
        <f t="shared" si="7"/>
        <v>0</v>
      </c>
      <c r="O20" s="8">
        <f t="shared" si="7"/>
        <v>0</v>
      </c>
      <c r="P20" s="8">
        <f t="shared" si="7"/>
        <v>0</v>
      </c>
      <c r="Q20" s="8">
        <f t="shared" si="7"/>
        <v>0</v>
      </c>
      <c r="R20" s="8">
        <f t="shared" si="7"/>
        <v>0</v>
      </c>
      <c r="S20" s="8">
        <f t="shared" si="7"/>
        <v>0</v>
      </c>
      <c r="T20" s="8">
        <f t="shared" si="7"/>
        <v>0</v>
      </c>
      <c r="U20" s="8">
        <f t="shared" si="7"/>
        <v>0</v>
      </c>
      <c r="V20" s="8">
        <f t="shared" si="7"/>
        <v>0</v>
      </c>
      <c r="W20" s="8">
        <f t="shared" si="7"/>
        <v>0</v>
      </c>
      <c r="X20" s="8">
        <f t="shared" si="7"/>
        <v>0</v>
      </c>
      <c r="Y20" s="8">
        <f t="shared" si="7"/>
        <v>0</v>
      </c>
      <c r="Z20" s="8">
        <f t="shared" si="7"/>
        <v>0</v>
      </c>
      <c r="AA20" s="8">
        <f t="shared" si="7"/>
        <v>0</v>
      </c>
      <c r="AB20" s="8">
        <f t="shared" si="7"/>
        <v>0</v>
      </c>
      <c r="AC20" s="8">
        <f t="shared" si="7"/>
        <v>0</v>
      </c>
      <c r="AD20" s="8">
        <f t="shared" si="7"/>
        <v>0</v>
      </c>
      <c r="AE20" s="8">
        <f t="shared" si="7"/>
        <v>0</v>
      </c>
      <c r="AF20" s="8">
        <f t="shared" si="7"/>
        <v>0</v>
      </c>
      <c r="AG20" s="8">
        <f t="shared" si="7"/>
        <v>0</v>
      </c>
      <c r="AH20" s="8">
        <f t="shared" si="7"/>
        <v>0</v>
      </c>
      <c r="AI20" s="8">
        <f t="shared" si="7"/>
        <v>0</v>
      </c>
      <c r="AJ20" s="125">
        <f t="shared" si="2"/>
        <v>270</v>
      </c>
    </row>
    <row r="21" spans="2:36" x14ac:dyDescent="0.2">
      <c r="B21">
        <f>I2</f>
        <v>2023</v>
      </c>
      <c r="C21" s="8"/>
      <c r="D21" s="8"/>
      <c r="E21" s="8"/>
      <c r="F21" s="8"/>
      <c r="G21" s="8"/>
      <c r="H21" s="8"/>
      <c r="I21" s="8">
        <f t="shared" ref="I21:AI21" si="8">IF(I$2-$B21-$C$3&lt;0,SLN($I$11,0,$C$3),0)</f>
        <v>0</v>
      </c>
      <c r="J21" s="8">
        <f t="shared" si="8"/>
        <v>0</v>
      </c>
      <c r="K21" s="8">
        <f t="shared" si="8"/>
        <v>0</v>
      </c>
      <c r="L21" s="8">
        <f t="shared" si="8"/>
        <v>0</v>
      </c>
      <c r="M21" s="8">
        <f t="shared" si="8"/>
        <v>0</v>
      </c>
      <c r="N21" s="8">
        <f t="shared" si="8"/>
        <v>0</v>
      </c>
      <c r="O21" s="8">
        <f t="shared" si="8"/>
        <v>0</v>
      </c>
      <c r="P21" s="8">
        <f t="shared" si="8"/>
        <v>0</v>
      </c>
      <c r="Q21" s="8">
        <f t="shared" si="8"/>
        <v>0</v>
      </c>
      <c r="R21" s="8">
        <f t="shared" si="8"/>
        <v>0</v>
      </c>
      <c r="S21" s="8">
        <f t="shared" si="8"/>
        <v>0</v>
      </c>
      <c r="T21" s="8">
        <f t="shared" si="8"/>
        <v>0</v>
      </c>
      <c r="U21" s="8">
        <f t="shared" si="8"/>
        <v>0</v>
      </c>
      <c r="V21" s="8">
        <f t="shared" si="8"/>
        <v>0</v>
      </c>
      <c r="W21" s="8">
        <f t="shared" si="8"/>
        <v>0</v>
      </c>
      <c r="X21" s="8">
        <f t="shared" si="8"/>
        <v>0</v>
      </c>
      <c r="Y21" s="8">
        <f t="shared" si="8"/>
        <v>0</v>
      </c>
      <c r="Z21" s="8">
        <f t="shared" si="8"/>
        <v>0</v>
      </c>
      <c r="AA21" s="8">
        <f t="shared" si="8"/>
        <v>0</v>
      </c>
      <c r="AB21" s="8">
        <f t="shared" si="8"/>
        <v>0</v>
      </c>
      <c r="AC21" s="8">
        <f t="shared" si="8"/>
        <v>0</v>
      </c>
      <c r="AD21" s="8">
        <f t="shared" si="8"/>
        <v>0</v>
      </c>
      <c r="AE21" s="8">
        <f t="shared" si="8"/>
        <v>0</v>
      </c>
      <c r="AF21" s="8">
        <f t="shared" si="8"/>
        <v>0</v>
      </c>
      <c r="AG21" s="8">
        <f t="shared" si="8"/>
        <v>0</v>
      </c>
      <c r="AH21" s="8">
        <f t="shared" si="8"/>
        <v>0</v>
      </c>
      <c r="AI21" s="8">
        <f t="shared" si="8"/>
        <v>0</v>
      </c>
      <c r="AJ21" s="125">
        <f t="shared" si="2"/>
        <v>0</v>
      </c>
    </row>
    <row r="22" spans="2:36" x14ac:dyDescent="0.2">
      <c r="B22">
        <f>J2</f>
        <v>2024</v>
      </c>
      <c r="C22" s="8"/>
      <c r="D22" s="8"/>
      <c r="E22" s="8"/>
      <c r="F22" s="8"/>
      <c r="G22" s="8"/>
      <c r="H22" s="8"/>
      <c r="I22" s="8"/>
      <c r="J22" s="8">
        <f t="shared" ref="J22:AI22" si="9">IF(J$2-$B22-$C$3&lt;0,SLN($J$11,0,$C$3),0)</f>
        <v>0</v>
      </c>
      <c r="K22" s="8">
        <f t="shared" si="9"/>
        <v>0</v>
      </c>
      <c r="L22" s="8">
        <f t="shared" si="9"/>
        <v>0</v>
      </c>
      <c r="M22" s="8">
        <f t="shared" si="9"/>
        <v>0</v>
      </c>
      <c r="N22" s="8">
        <f t="shared" si="9"/>
        <v>0</v>
      </c>
      <c r="O22" s="8">
        <f t="shared" si="9"/>
        <v>0</v>
      </c>
      <c r="P22" s="8">
        <f t="shared" si="9"/>
        <v>0</v>
      </c>
      <c r="Q22" s="8">
        <f t="shared" si="9"/>
        <v>0</v>
      </c>
      <c r="R22" s="8">
        <f t="shared" si="9"/>
        <v>0</v>
      </c>
      <c r="S22" s="8">
        <f t="shared" si="9"/>
        <v>0</v>
      </c>
      <c r="T22" s="8">
        <f t="shared" si="9"/>
        <v>0</v>
      </c>
      <c r="U22" s="8">
        <f t="shared" si="9"/>
        <v>0</v>
      </c>
      <c r="V22" s="8">
        <f t="shared" si="9"/>
        <v>0</v>
      </c>
      <c r="W22" s="8">
        <f t="shared" si="9"/>
        <v>0</v>
      </c>
      <c r="X22" s="8">
        <f t="shared" si="9"/>
        <v>0</v>
      </c>
      <c r="Y22" s="8">
        <f t="shared" si="9"/>
        <v>0</v>
      </c>
      <c r="Z22" s="8">
        <f t="shared" si="9"/>
        <v>0</v>
      </c>
      <c r="AA22" s="8">
        <f t="shared" si="9"/>
        <v>0</v>
      </c>
      <c r="AB22" s="8">
        <f t="shared" si="9"/>
        <v>0</v>
      </c>
      <c r="AC22" s="8">
        <f t="shared" si="9"/>
        <v>0</v>
      </c>
      <c r="AD22" s="8">
        <f t="shared" si="9"/>
        <v>0</v>
      </c>
      <c r="AE22" s="8">
        <f t="shared" si="9"/>
        <v>0</v>
      </c>
      <c r="AF22" s="8">
        <f t="shared" si="9"/>
        <v>0</v>
      </c>
      <c r="AG22" s="8">
        <f t="shared" si="9"/>
        <v>0</v>
      </c>
      <c r="AH22" s="8">
        <f t="shared" si="9"/>
        <v>0</v>
      </c>
      <c r="AI22" s="8">
        <f t="shared" si="9"/>
        <v>0</v>
      </c>
      <c r="AJ22" s="125">
        <f t="shared" si="2"/>
        <v>0</v>
      </c>
    </row>
    <row r="23" spans="2:36" x14ac:dyDescent="0.2">
      <c r="B23">
        <f>K2</f>
        <v>2025</v>
      </c>
      <c r="C23" s="8"/>
      <c r="D23" s="8"/>
      <c r="E23" s="8"/>
      <c r="F23" s="8"/>
      <c r="G23" s="8"/>
      <c r="H23" s="8"/>
      <c r="I23" s="8"/>
      <c r="J23" s="8"/>
      <c r="K23" s="8">
        <f t="shared" ref="K23:AI23" si="10">IF(K$2-$B23-$C$3&lt;0,SLN($K$11,0,$C$3),0)</f>
        <v>0</v>
      </c>
      <c r="L23" s="8">
        <f t="shared" si="10"/>
        <v>0</v>
      </c>
      <c r="M23" s="8">
        <f t="shared" si="10"/>
        <v>0</v>
      </c>
      <c r="N23" s="8">
        <f t="shared" si="10"/>
        <v>0</v>
      </c>
      <c r="O23" s="8">
        <f t="shared" si="10"/>
        <v>0</v>
      </c>
      <c r="P23" s="8">
        <f t="shared" si="10"/>
        <v>0</v>
      </c>
      <c r="Q23" s="8">
        <f t="shared" si="10"/>
        <v>0</v>
      </c>
      <c r="R23" s="8">
        <f t="shared" si="10"/>
        <v>0</v>
      </c>
      <c r="S23" s="8">
        <f t="shared" si="10"/>
        <v>0</v>
      </c>
      <c r="T23" s="8">
        <f t="shared" si="10"/>
        <v>0</v>
      </c>
      <c r="U23" s="8">
        <f t="shared" si="10"/>
        <v>0</v>
      </c>
      <c r="V23" s="8">
        <f t="shared" si="10"/>
        <v>0</v>
      </c>
      <c r="W23" s="8">
        <f t="shared" si="10"/>
        <v>0</v>
      </c>
      <c r="X23" s="8">
        <f t="shared" si="10"/>
        <v>0</v>
      </c>
      <c r="Y23" s="8">
        <f t="shared" si="10"/>
        <v>0</v>
      </c>
      <c r="Z23" s="8">
        <f t="shared" si="10"/>
        <v>0</v>
      </c>
      <c r="AA23" s="8">
        <f t="shared" si="10"/>
        <v>0</v>
      </c>
      <c r="AB23" s="8">
        <f t="shared" si="10"/>
        <v>0</v>
      </c>
      <c r="AC23" s="8">
        <f t="shared" si="10"/>
        <v>0</v>
      </c>
      <c r="AD23" s="8">
        <f t="shared" si="10"/>
        <v>0</v>
      </c>
      <c r="AE23" s="8">
        <f t="shared" si="10"/>
        <v>0</v>
      </c>
      <c r="AF23" s="8">
        <f t="shared" si="10"/>
        <v>0</v>
      </c>
      <c r="AG23" s="8">
        <f t="shared" si="10"/>
        <v>0</v>
      </c>
      <c r="AH23" s="8">
        <f t="shared" si="10"/>
        <v>0</v>
      </c>
      <c r="AI23" s="8">
        <f t="shared" si="10"/>
        <v>0</v>
      </c>
      <c r="AJ23" s="125">
        <f t="shared" si="2"/>
        <v>0</v>
      </c>
    </row>
    <row r="24" spans="2:36" x14ac:dyDescent="0.2">
      <c r="B24">
        <f>L2</f>
        <v>2026</v>
      </c>
      <c r="C24" s="8"/>
      <c r="D24" s="8"/>
      <c r="E24" s="8"/>
      <c r="F24" s="8"/>
      <c r="G24" s="8"/>
      <c r="H24" s="8"/>
      <c r="I24" s="8"/>
      <c r="J24" s="8"/>
      <c r="K24" s="8"/>
      <c r="L24" s="8">
        <f t="shared" ref="L24:AI24" si="11">IF(L$2-$B24-$C$3&lt;0,SLN($L$11,0,$C$3),0)</f>
        <v>0</v>
      </c>
      <c r="M24" s="8">
        <f t="shared" si="11"/>
        <v>0</v>
      </c>
      <c r="N24" s="8">
        <f t="shared" si="11"/>
        <v>0</v>
      </c>
      <c r="O24" s="8">
        <f t="shared" si="11"/>
        <v>0</v>
      </c>
      <c r="P24" s="8">
        <f t="shared" si="11"/>
        <v>0</v>
      </c>
      <c r="Q24" s="8">
        <f t="shared" si="11"/>
        <v>0</v>
      </c>
      <c r="R24" s="8">
        <f t="shared" si="11"/>
        <v>0</v>
      </c>
      <c r="S24" s="8">
        <f t="shared" si="11"/>
        <v>0</v>
      </c>
      <c r="T24" s="8">
        <f t="shared" si="11"/>
        <v>0</v>
      </c>
      <c r="U24" s="8">
        <f t="shared" si="11"/>
        <v>0</v>
      </c>
      <c r="V24" s="8">
        <f t="shared" si="11"/>
        <v>0</v>
      </c>
      <c r="W24" s="8">
        <f t="shared" si="11"/>
        <v>0</v>
      </c>
      <c r="X24" s="8">
        <f t="shared" si="11"/>
        <v>0</v>
      </c>
      <c r="Y24" s="8">
        <f t="shared" si="11"/>
        <v>0</v>
      </c>
      <c r="Z24" s="8">
        <f t="shared" si="11"/>
        <v>0</v>
      </c>
      <c r="AA24" s="8">
        <f t="shared" si="11"/>
        <v>0</v>
      </c>
      <c r="AB24" s="8">
        <f t="shared" si="11"/>
        <v>0</v>
      </c>
      <c r="AC24" s="8">
        <f t="shared" si="11"/>
        <v>0</v>
      </c>
      <c r="AD24" s="8">
        <f t="shared" si="11"/>
        <v>0</v>
      </c>
      <c r="AE24" s="8">
        <f t="shared" si="11"/>
        <v>0</v>
      </c>
      <c r="AF24" s="8">
        <f t="shared" si="11"/>
        <v>0</v>
      </c>
      <c r="AG24" s="8">
        <f t="shared" si="11"/>
        <v>0</v>
      </c>
      <c r="AH24" s="8">
        <f t="shared" si="11"/>
        <v>0</v>
      </c>
      <c r="AI24" s="8">
        <f t="shared" si="11"/>
        <v>0</v>
      </c>
      <c r="AJ24" s="125">
        <f t="shared" si="2"/>
        <v>0</v>
      </c>
    </row>
    <row r="25" spans="2:36" x14ac:dyDescent="0.2">
      <c r="B25">
        <f>M2</f>
        <v>2027</v>
      </c>
      <c r="C25" s="8"/>
      <c r="D25" s="8"/>
      <c r="E25" s="8"/>
      <c r="F25" s="8"/>
      <c r="G25" s="8"/>
      <c r="H25" s="8"/>
      <c r="I25" s="8"/>
      <c r="J25" s="8"/>
      <c r="K25" s="8"/>
      <c r="L25" s="8"/>
      <c r="M25" s="8">
        <f t="shared" ref="M25:AI25" si="12">IF(M$2-$B25-$C$3&lt;0,SLN($M$11,0,$C$3),0)</f>
        <v>0</v>
      </c>
      <c r="N25" s="8">
        <f t="shared" si="12"/>
        <v>0</v>
      </c>
      <c r="O25" s="8">
        <f t="shared" si="12"/>
        <v>0</v>
      </c>
      <c r="P25" s="8">
        <f t="shared" si="12"/>
        <v>0</v>
      </c>
      <c r="Q25" s="8">
        <f t="shared" si="12"/>
        <v>0</v>
      </c>
      <c r="R25" s="8">
        <f t="shared" si="12"/>
        <v>0</v>
      </c>
      <c r="S25" s="8">
        <f t="shared" si="12"/>
        <v>0</v>
      </c>
      <c r="T25" s="8">
        <f t="shared" si="12"/>
        <v>0</v>
      </c>
      <c r="U25" s="8">
        <f t="shared" si="12"/>
        <v>0</v>
      </c>
      <c r="V25" s="8">
        <f t="shared" si="12"/>
        <v>0</v>
      </c>
      <c r="W25" s="8">
        <f t="shared" si="12"/>
        <v>0</v>
      </c>
      <c r="X25" s="8">
        <f t="shared" si="12"/>
        <v>0</v>
      </c>
      <c r="Y25" s="8">
        <f t="shared" si="12"/>
        <v>0</v>
      </c>
      <c r="Z25" s="8">
        <f t="shared" si="12"/>
        <v>0</v>
      </c>
      <c r="AA25" s="8">
        <f t="shared" si="12"/>
        <v>0</v>
      </c>
      <c r="AB25" s="8">
        <f t="shared" si="12"/>
        <v>0</v>
      </c>
      <c r="AC25" s="8">
        <f t="shared" si="12"/>
        <v>0</v>
      </c>
      <c r="AD25" s="8">
        <f t="shared" si="12"/>
        <v>0</v>
      </c>
      <c r="AE25" s="8">
        <f t="shared" si="12"/>
        <v>0</v>
      </c>
      <c r="AF25" s="8">
        <f t="shared" si="12"/>
        <v>0</v>
      </c>
      <c r="AG25" s="8">
        <f t="shared" si="12"/>
        <v>0</v>
      </c>
      <c r="AH25" s="8">
        <f t="shared" si="12"/>
        <v>0</v>
      </c>
      <c r="AI25" s="8">
        <f t="shared" si="12"/>
        <v>0</v>
      </c>
      <c r="AJ25" s="125">
        <f t="shared" si="2"/>
        <v>0</v>
      </c>
    </row>
    <row r="26" spans="2:36" x14ac:dyDescent="0.2">
      <c r="B26">
        <f>N2</f>
        <v>2028</v>
      </c>
      <c r="C26" s="8"/>
      <c r="D26" s="8"/>
      <c r="E26" s="8"/>
      <c r="F26" s="8"/>
      <c r="G26" s="8"/>
      <c r="H26" s="8"/>
      <c r="I26" s="8"/>
      <c r="J26" s="8"/>
      <c r="K26" s="8"/>
      <c r="L26" s="8"/>
      <c r="M26" s="8"/>
      <c r="N26" s="8">
        <f t="shared" ref="N26:AI26" si="13">IF(N$2-$B26-$C$3&lt;0,SLN($N$11,0,$C$3),0)</f>
        <v>0</v>
      </c>
      <c r="O26" s="8">
        <f t="shared" si="13"/>
        <v>0</v>
      </c>
      <c r="P26" s="8">
        <f t="shared" si="13"/>
        <v>0</v>
      </c>
      <c r="Q26" s="8">
        <f t="shared" si="13"/>
        <v>0</v>
      </c>
      <c r="R26" s="8">
        <f t="shared" si="13"/>
        <v>0</v>
      </c>
      <c r="S26" s="8">
        <f t="shared" si="13"/>
        <v>0</v>
      </c>
      <c r="T26" s="8">
        <f t="shared" si="13"/>
        <v>0</v>
      </c>
      <c r="U26" s="8">
        <f t="shared" si="13"/>
        <v>0</v>
      </c>
      <c r="V26" s="8">
        <f t="shared" si="13"/>
        <v>0</v>
      </c>
      <c r="W26" s="8">
        <f t="shared" si="13"/>
        <v>0</v>
      </c>
      <c r="X26" s="8">
        <f t="shared" si="13"/>
        <v>0</v>
      </c>
      <c r="Y26" s="8">
        <f t="shared" si="13"/>
        <v>0</v>
      </c>
      <c r="Z26" s="8">
        <f t="shared" si="13"/>
        <v>0</v>
      </c>
      <c r="AA26" s="8">
        <f t="shared" si="13"/>
        <v>0</v>
      </c>
      <c r="AB26" s="8">
        <f t="shared" si="13"/>
        <v>0</v>
      </c>
      <c r="AC26" s="8">
        <f t="shared" si="13"/>
        <v>0</v>
      </c>
      <c r="AD26" s="8">
        <f t="shared" si="13"/>
        <v>0</v>
      </c>
      <c r="AE26" s="8">
        <f t="shared" si="13"/>
        <v>0</v>
      </c>
      <c r="AF26" s="8">
        <f t="shared" si="13"/>
        <v>0</v>
      </c>
      <c r="AG26" s="8">
        <f t="shared" si="13"/>
        <v>0</v>
      </c>
      <c r="AH26" s="8">
        <f t="shared" si="13"/>
        <v>0</v>
      </c>
      <c r="AI26" s="8">
        <f t="shared" si="13"/>
        <v>0</v>
      </c>
      <c r="AJ26" s="125">
        <f t="shared" si="2"/>
        <v>0</v>
      </c>
    </row>
    <row r="27" spans="2:36" x14ac:dyDescent="0.2">
      <c r="B27">
        <f>O2</f>
        <v>2029</v>
      </c>
      <c r="C27" s="8"/>
      <c r="D27" s="8"/>
      <c r="E27" s="8"/>
      <c r="F27" s="8"/>
      <c r="G27" s="8"/>
      <c r="H27" s="8"/>
      <c r="I27" s="8"/>
      <c r="J27" s="8"/>
      <c r="K27" s="8"/>
      <c r="L27" s="8"/>
      <c r="M27" s="8"/>
      <c r="N27" s="8"/>
      <c r="O27" s="8">
        <f t="shared" ref="O27:AI27" si="14">IF(O$2-$B27-$C$3&lt;0,SLN($O$11,0,$C$3),0)</f>
        <v>0</v>
      </c>
      <c r="P27" s="8">
        <f t="shared" si="14"/>
        <v>0</v>
      </c>
      <c r="Q27" s="8">
        <f t="shared" si="14"/>
        <v>0</v>
      </c>
      <c r="R27" s="8">
        <f t="shared" si="14"/>
        <v>0</v>
      </c>
      <c r="S27" s="8">
        <f t="shared" si="14"/>
        <v>0</v>
      </c>
      <c r="T27" s="8">
        <f t="shared" si="14"/>
        <v>0</v>
      </c>
      <c r="U27" s="8">
        <f t="shared" si="14"/>
        <v>0</v>
      </c>
      <c r="V27" s="8">
        <f t="shared" si="14"/>
        <v>0</v>
      </c>
      <c r="W27" s="8">
        <f t="shared" si="14"/>
        <v>0</v>
      </c>
      <c r="X27" s="8">
        <f t="shared" si="14"/>
        <v>0</v>
      </c>
      <c r="Y27" s="8">
        <f t="shared" si="14"/>
        <v>0</v>
      </c>
      <c r="Z27" s="8">
        <f t="shared" si="14"/>
        <v>0</v>
      </c>
      <c r="AA27" s="8">
        <f t="shared" si="14"/>
        <v>0</v>
      </c>
      <c r="AB27" s="8">
        <f t="shared" si="14"/>
        <v>0</v>
      </c>
      <c r="AC27" s="8">
        <f t="shared" si="14"/>
        <v>0</v>
      </c>
      <c r="AD27" s="8">
        <f t="shared" si="14"/>
        <v>0</v>
      </c>
      <c r="AE27" s="8">
        <f t="shared" si="14"/>
        <v>0</v>
      </c>
      <c r="AF27" s="8">
        <f t="shared" si="14"/>
        <v>0</v>
      </c>
      <c r="AG27" s="8">
        <f t="shared" si="14"/>
        <v>0</v>
      </c>
      <c r="AH27" s="8">
        <f t="shared" si="14"/>
        <v>0</v>
      </c>
      <c r="AI27" s="8">
        <f t="shared" si="14"/>
        <v>0</v>
      </c>
      <c r="AJ27" s="125">
        <f t="shared" si="2"/>
        <v>0</v>
      </c>
    </row>
    <row r="28" spans="2:36" x14ac:dyDescent="0.2">
      <c r="B28">
        <f>P2</f>
        <v>2030</v>
      </c>
      <c r="C28" s="8"/>
      <c r="D28" s="8"/>
      <c r="E28" s="8"/>
      <c r="F28" s="8"/>
      <c r="G28" s="8"/>
      <c r="H28" s="8"/>
      <c r="I28" s="8"/>
      <c r="J28" s="8"/>
      <c r="K28" s="8"/>
      <c r="L28" s="8"/>
      <c r="M28" s="8"/>
      <c r="N28" s="8"/>
      <c r="O28" s="8"/>
      <c r="P28" s="8">
        <f t="shared" ref="P28:AI28" si="15">IF(P$2-$B28-$C$3&lt;0,SLN($P$11,0,$C$3),0)</f>
        <v>0</v>
      </c>
      <c r="Q28" s="8">
        <f t="shared" si="15"/>
        <v>0</v>
      </c>
      <c r="R28" s="8">
        <f t="shared" si="15"/>
        <v>0</v>
      </c>
      <c r="S28" s="8">
        <f t="shared" si="15"/>
        <v>0</v>
      </c>
      <c r="T28" s="8">
        <f t="shared" si="15"/>
        <v>0</v>
      </c>
      <c r="U28" s="8">
        <f t="shared" si="15"/>
        <v>0</v>
      </c>
      <c r="V28" s="8">
        <f t="shared" si="15"/>
        <v>0</v>
      </c>
      <c r="W28" s="8">
        <f t="shared" si="15"/>
        <v>0</v>
      </c>
      <c r="X28" s="8">
        <f t="shared" si="15"/>
        <v>0</v>
      </c>
      <c r="Y28" s="8">
        <f t="shared" si="15"/>
        <v>0</v>
      </c>
      <c r="Z28" s="8">
        <f t="shared" si="15"/>
        <v>0</v>
      </c>
      <c r="AA28" s="8">
        <f t="shared" si="15"/>
        <v>0</v>
      </c>
      <c r="AB28" s="8">
        <f t="shared" si="15"/>
        <v>0</v>
      </c>
      <c r="AC28" s="8">
        <f t="shared" si="15"/>
        <v>0</v>
      </c>
      <c r="AD28" s="8">
        <f t="shared" si="15"/>
        <v>0</v>
      </c>
      <c r="AE28" s="8">
        <f t="shared" si="15"/>
        <v>0</v>
      </c>
      <c r="AF28" s="8">
        <f t="shared" si="15"/>
        <v>0</v>
      </c>
      <c r="AG28" s="8">
        <f t="shared" si="15"/>
        <v>0</v>
      </c>
      <c r="AH28" s="8">
        <f t="shared" si="15"/>
        <v>0</v>
      </c>
      <c r="AI28" s="8">
        <f t="shared" si="15"/>
        <v>0</v>
      </c>
      <c r="AJ28" s="125">
        <f t="shared" si="2"/>
        <v>0</v>
      </c>
    </row>
    <row r="29" spans="2:36" x14ac:dyDescent="0.2">
      <c r="B29">
        <f>Q2</f>
        <v>2031</v>
      </c>
      <c r="C29" s="8"/>
      <c r="D29" s="8"/>
      <c r="E29" s="8"/>
      <c r="F29" s="8"/>
      <c r="G29" s="8"/>
      <c r="H29" s="8"/>
      <c r="I29" s="8"/>
      <c r="J29" s="8"/>
      <c r="K29" s="8"/>
      <c r="L29" s="8"/>
      <c r="M29" s="8"/>
      <c r="N29" s="8"/>
      <c r="O29" s="8"/>
      <c r="P29" s="8"/>
      <c r="Q29" s="8">
        <f t="shared" ref="Q29:AI29" si="16">IF(Q$2-$B29-$C$3&lt;0,SLN($Q$11,0,$C$3),0)</f>
        <v>0</v>
      </c>
      <c r="R29" s="8">
        <f t="shared" si="16"/>
        <v>0</v>
      </c>
      <c r="S29" s="8">
        <f t="shared" si="16"/>
        <v>0</v>
      </c>
      <c r="T29" s="8">
        <f t="shared" si="16"/>
        <v>0</v>
      </c>
      <c r="U29" s="8">
        <f t="shared" si="16"/>
        <v>0</v>
      </c>
      <c r="V29" s="8">
        <f t="shared" si="16"/>
        <v>0</v>
      </c>
      <c r="W29" s="8">
        <f t="shared" si="16"/>
        <v>0</v>
      </c>
      <c r="X29" s="8">
        <f t="shared" si="16"/>
        <v>0</v>
      </c>
      <c r="Y29" s="8">
        <f t="shared" si="16"/>
        <v>0</v>
      </c>
      <c r="Z29" s="8">
        <f t="shared" si="16"/>
        <v>0</v>
      </c>
      <c r="AA29" s="8">
        <f t="shared" si="16"/>
        <v>0</v>
      </c>
      <c r="AB29" s="8">
        <f t="shared" si="16"/>
        <v>0</v>
      </c>
      <c r="AC29" s="8">
        <f t="shared" si="16"/>
        <v>0</v>
      </c>
      <c r="AD29" s="8">
        <f t="shared" si="16"/>
        <v>0</v>
      </c>
      <c r="AE29" s="8">
        <f t="shared" si="16"/>
        <v>0</v>
      </c>
      <c r="AF29" s="8">
        <f t="shared" si="16"/>
        <v>0</v>
      </c>
      <c r="AG29" s="8">
        <f t="shared" si="16"/>
        <v>0</v>
      </c>
      <c r="AH29" s="8">
        <f t="shared" si="16"/>
        <v>0</v>
      </c>
      <c r="AI29" s="8">
        <f t="shared" si="16"/>
        <v>0</v>
      </c>
      <c r="AJ29" s="125">
        <f t="shared" si="2"/>
        <v>0</v>
      </c>
    </row>
    <row r="30" spans="2:36" x14ac:dyDescent="0.2">
      <c r="B30">
        <f>R2</f>
        <v>2032</v>
      </c>
      <c r="C30" s="8"/>
      <c r="D30" s="8"/>
      <c r="E30" s="8"/>
      <c r="F30" s="8"/>
      <c r="G30" s="8"/>
      <c r="H30" s="8"/>
      <c r="I30" s="8"/>
      <c r="J30" s="8"/>
      <c r="K30" s="8"/>
      <c r="L30" s="8"/>
      <c r="M30" s="8"/>
      <c r="N30" s="8"/>
      <c r="O30" s="8"/>
      <c r="P30" s="8"/>
      <c r="Q30" s="8"/>
      <c r="R30" s="8">
        <f t="shared" ref="R30:AI30" si="17">IF(R$2-$B30-$C$3&lt;0,SLN($R$11,0,$C$3),0)</f>
        <v>0</v>
      </c>
      <c r="S30" s="8">
        <f t="shared" si="17"/>
        <v>0</v>
      </c>
      <c r="T30" s="8">
        <f t="shared" si="17"/>
        <v>0</v>
      </c>
      <c r="U30" s="8">
        <f t="shared" si="17"/>
        <v>0</v>
      </c>
      <c r="V30" s="8">
        <f t="shared" si="17"/>
        <v>0</v>
      </c>
      <c r="W30" s="8">
        <f t="shared" si="17"/>
        <v>0</v>
      </c>
      <c r="X30" s="8">
        <f t="shared" si="17"/>
        <v>0</v>
      </c>
      <c r="Y30" s="8">
        <f t="shared" si="17"/>
        <v>0</v>
      </c>
      <c r="Z30" s="8">
        <f t="shared" si="17"/>
        <v>0</v>
      </c>
      <c r="AA30" s="8">
        <f t="shared" si="17"/>
        <v>0</v>
      </c>
      <c r="AB30" s="8">
        <f t="shared" si="17"/>
        <v>0</v>
      </c>
      <c r="AC30" s="8">
        <f t="shared" si="17"/>
        <v>0</v>
      </c>
      <c r="AD30" s="8">
        <f t="shared" si="17"/>
        <v>0</v>
      </c>
      <c r="AE30" s="8">
        <f t="shared" si="17"/>
        <v>0</v>
      </c>
      <c r="AF30" s="8">
        <f t="shared" si="17"/>
        <v>0</v>
      </c>
      <c r="AG30" s="8">
        <f t="shared" si="17"/>
        <v>0</v>
      </c>
      <c r="AH30" s="8">
        <f t="shared" si="17"/>
        <v>0</v>
      </c>
      <c r="AI30" s="8">
        <f t="shared" si="17"/>
        <v>0</v>
      </c>
      <c r="AJ30" s="125">
        <f t="shared" si="2"/>
        <v>0</v>
      </c>
    </row>
    <row r="31" spans="2:36" x14ac:dyDescent="0.2">
      <c r="B31">
        <f>S2</f>
        <v>2033</v>
      </c>
      <c r="C31" s="8"/>
      <c r="D31" s="8"/>
      <c r="E31" s="8"/>
      <c r="F31" s="8"/>
      <c r="G31" s="8"/>
      <c r="H31" s="8"/>
      <c r="I31" s="8"/>
      <c r="J31" s="8"/>
      <c r="K31" s="8"/>
      <c r="L31" s="8"/>
      <c r="M31" s="8"/>
      <c r="N31" s="8"/>
      <c r="O31" s="8"/>
      <c r="P31" s="8"/>
      <c r="Q31" s="8"/>
      <c r="R31" s="8"/>
      <c r="S31" s="8">
        <f t="shared" ref="S31:AI31" si="18">IF(S$2-$B31-$C$3&lt;0,SLN($S$11,0,$C$3),0)</f>
        <v>0</v>
      </c>
      <c r="T31" s="8">
        <f t="shared" si="18"/>
        <v>0</v>
      </c>
      <c r="U31" s="8">
        <f t="shared" si="18"/>
        <v>0</v>
      </c>
      <c r="V31" s="8">
        <f t="shared" si="18"/>
        <v>0</v>
      </c>
      <c r="W31" s="8">
        <f t="shared" si="18"/>
        <v>0</v>
      </c>
      <c r="X31" s="8">
        <f t="shared" si="18"/>
        <v>0</v>
      </c>
      <c r="Y31" s="8">
        <f t="shared" si="18"/>
        <v>0</v>
      </c>
      <c r="Z31" s="8">
        <f t="shared" si="18"/>
        <v>0</v>
      </c>
      <c r="AA31" s="8">
        <f t="shared" si="18"/>
        <v>0</v>
      </c>
      <c r="AB31" s="8">
        <f t="shared" si="18"/>
        <v>0</v>
      </c>
      <c r="AC31" s="8">
        <f t="shared" si="18"/>
        <v>0</v>
      </c>
      <c r="AD31" s="8">
        <f t="shared" si="18"/>
        <v>0</v>
      </c>
      <c r="AE31" s="8">
        <f t="shared" si="18"/>
        <v>0</v>
      </c>
      <c r="AF31" s="8">
        <f t="shared" si="18"/>
        <v>0</v>
      </c>
      <c r="AG31" s="8">
        <f t="shared" si="18"/>
        <v>0</v>
      </c>
      <c r="AH31" s="8">
        <f t="shared" si="18"/>
        <v>0</v>
      </c>
      <c r="AI31" s="8">
        <f t="shared" si="18"/>
        <v>0</v>
      </c>
      <c r="AJ31" s="125">
        <f t="shared" si="2"/>
        <v>0</v>
      </c>
    </row>
    <row r="32" spans="2:36" x14ac:dyDescent="0.2">
      <c r="B32">
        <f>T2</f>
        <v>2034</v>
      </c>
      <c r="C32" s="8"/>
      <c r="D32" s="8"/>
      <c r="E32" s="8"/>
      <c r="F32" s="8"/>
      <c r="G32" s="8"/>
      <c r="H32" s="8"/>
      <c r="I32" s="8"/>
      <c r="J32" s="8"/>
      <c r="K32" s="8"/>
      <c r="L32" s="8"/>
      <c r="M32" s="8"/>
      <c r="N32" s="8"/>
      <c r="O32" s="8"/>
      <c r="P32" s="8"/>
      <c r="Q32" s="8"/>
      <c r="R32" s="8"/>
      <c r="S32" s="8"/>
      <c r="T32" s="8">
        <f t="shared" ref="T32:AI32" si="19">IF(T$2-$B32-$C$3&lt;0,SLN($T$11,0,$C$3),0)</f>
        <v>0</v>
      </c>
      <c r="U32" s="8">
        <f t="shared" si="19"/>
        <v>0</v>
      </c>
      <c r="V32" s="8">
        <f t="shared" si="19"/>
        <v>0</v>
      </c>
      <c r="W32" s="8">
        <f t="shared" si="19"/>
        <v>0</v>
      </c>
      <c r="X32" s="8">
        <f t="shared" si="19"/>
        <v>0</v>
      </c>
      <c r="Y32" s="8">
        <f t="shared" si="19"/>
        <v>0</v>
      </c>
      <c r="Z32" s="8">
        <f t="shared" si="19"/>
        <v>0</v>
      </c>
      <c r="AA32" s="8">
        <f t="shared" si="19"/>
        <v>0</v>
      </c>
      <c r="AB32" s="8">
        <f t="shared" si="19"/>
        <v>0</v>
      </c>
      <c r="AC32" s="8">
        <f t="shared" si="19"/>
        <v>0</v>
      </c>
      <c r="AD32" s="8">
        <f t="shared" si="19"/>
        <v>0</v>
      </c>
      <c r="AE32" s="8">
        <f t="shared" si="19"/>
        <v>0</v>
      </c>
      <c r="AF32" s="8">
        <f t="shared" si="19"/>
        <v>0</v>
      </c>
      <c r="AG32" s="8">
        <f t="shared" si="19"/>
        <v>0</v>
      </c>
      <c r="AH32" s="8">
        <f t="shared" si="19"/>
        <v>0</v>
      </c>
      <c r="AI32" s="8">
        <f t="shared" si="19"/>
        <v>0</v>
      </c>
      <c r="AJ32" s="125">
        <f t="shared" si="2"/>
        <v>0</v>
      </c>
    </row>
    <row r="33" spans="1:37" x14ac:dyDescent="0.2">
      <c r="B33">
        <f>U2</f>
        <v>2035</v>
      </c>
      <c r="C33" s="8"/>
      <c r="D33" s="8"/>
      <c r="E33" s="8"/>
      <c r="F33" s="8"/>
      <c r="G33" s="8"/>
      <c r="H33" s="8"/>
      <c r="I33" s="8"/>
      <c r="J33" s="8"/>
      <c r="K33" s="8"/>
      <c r="L33" s="8"/>
      <c r="M33" s="8"/>
      <c r="N33" s="8"/>
      <c r="O33" s="8"/>
      <c r="P33" s="8"/>
      <c r="Q33" s="8"/>
      <c r="R33" s="8"/>
      <c r="S33" s="8"/>
      <c r="T33" s="8"/>
      <c r="U33" s="8">
        <f t="shared" ref="U33:AI33" si="20">IF(U$2-$B33-$C$3&lt;0,SLN($U$11,0,$C$3),0)</f>
        <v>0</v>
      </c>
      <c r="V33" s="8">
        <f t="shared" si="20"/>
        <v>0</v>
      </c>
      <c r="W33" s="8">
        <f t="shared" si="20"/>
        <v>0</v>
      </c>
      <c r="X33" s="8">
        <f t="shared" si="20"/>
        <v>0</v>
      </c>
      <c r="Y33" s="8">
        <f t="shared" si="20"/>
        <v>0</v>
      </c>
      <c r="Z33" s="8">
        <f t="shared" si="20"/>
        <v>0</v>
      </c>
      <c r="AA33" s="8">
        <f t="shared" si="20"/>
        <v>0</v>
      </c>
      <c r="AB33" s="8">
        <f t="shared" si="20"/>
        <v>0</v>
      </c>
      <c r="AC33" s="8">
        <f t="shared" si="20"/>
        <v>0</v>
      </c>
      <c r="AD33" s="8">
        <f t="shared" si="20"/>
        <v>0</v>
      </c>
      <c r="AE33" s="8">
        <f t="shared" si="20"/>
        <v>0</v>
      </c>
      <c r="AF33" s="8">
        <f t="shared" si="20"/>
        <v>0</v>
      </c>
      <c r="AG33" s="8">
        <f t="shared" si="20"/>
        <v>0</v>
      </c>
      <c r="AH33" s="8">
        <f t="shared" si="20"/>
        <v>0</v>
      </c>
      <c r="AI33" s="8">
        <f t="shared" si="20"/>
        <v>0</v>
      </c>
      <c r="AJ33" s="125">
        <f t="shared" si="2"/>
        <v>0</v>
      </c>
    </row>
    <row r="34" spans="1:37" x14ac:dyDescent="0.2">
      <c r="B34">
        <f>V2</f>
        <v>2036</v>
      </c>
      <c r="C34" s="8"/>
      <c r="D34" s="8"/>
      <c r="E34" s="8"/>
      <c r="F34" s="8"/>
      <c r="G34" s="8"/>
      <c r="H34" s="8"/>
      <c r="I34" s="8"/>
      <c r="J34" s="8"/>
      <c r="K34" s="8"/>
      <c r="L34" s="8"/>
      <c r="M34" s="8"/>
      <c r="N34" s="8"/>
      <c r="O34" s="8"/>
      <c r="P34" s="8"/>
      <c r="Q34" s="8"/>
      <c r="R34" s="8"/>
      <c r="S34" s="8"/>
      <c r="T34" s="8"/>
      <c r="U34" s="8"/>
      <c r="V34" s="8">
        <f t="shared" ref="V34:AI34" si="21">IF(V$2-$B34-$C$3&lt;0,SLN($V$11,0,$C$3),0)</f>
        <v>0</v>
      </c>
      <c r="W34" s="8">
        <f t="shared" si="21"/>
        <v>0</v>
      </c>
      <c r="X34" s="8">
        <f t="shared" si="21"/>
        <v>0</v>
      </c>
      <c r="Y34" s="8">
        <f t="shared" si="21"/>
        <v>0</v>
      </c>
      <c r="Z34" s="8">
        <f t="shared" si="21"/>
        <v>0</v>
      </c>
      <c r="AA34" s="8">
        <f t="shared" si="21"/>
        <v>0</v>
      </c>
      <c r="AB34" s="8">
        <f t="shared" si="21"/>
        <v>0</v>
      </c>
      <c r="AC34" s="8">
        <f t="shared" si="21"/>
        <v>0</v>
      </c>
      <c r="AD34" s="8">
        <f t="shared" si="21"/>
        <v>0</v>
      </c>
      <c r="AE34" s="8">
        <f t="shared" si="21"/>
        <v>0</v>
      </c>
      <c r="AF34" s="8">
        <f t="shared" si="21"/>
        <v>0</v>
      </c>
      <c r="AG34" s="8">
        <f t="shared" si="21"/>
        <v>0</v>
      </c>
      <c r="AH34" s="8">
        <f t="shared" si="21"/>
        <v>0</v>
      </c>
      <c r="AI34" s="8">
        <f t="shared" si="21"/>
        <v>0</v>
      </c>
      <c r="AJ34" s="125">
        <f t="shared" si="2"/>
        <v>0</v>
      </c>
    </row>
    <row r="35" spans="1:37" x14ac:dyDescent="0.2">
      <c r="B35">
        <f>W2</f>
        <v>2037</v>
      </c>
      <c r="C35" s="8"/>
      <c r="D35" s="8"/>
      <c r="E35" s="8"/>
      <c r="F35" s="8"/>
      <c r="G35" s="8"/>
      <c r="H35" s="8"/>
      <c r="I35" s="8"/>
      <c r="J35" s="8"/>
      <c r="K35" s="8"/>
      <c r="L35" s="8"/>
      <c r="M35" s="8"/>
      <c r="N35" s="8"/>
      <c r="O35" s="8"/>
      <c r="P35" s="8"/>
      <c r="Q35" s="8"/>
      <c r="R35" s="8"/>
      <c r="S35" s="8"/>
      <c r="T35" s="8"/>
      <c r="U35" s="8"/>
      <c r="V35" s="8"/>
      <c r="W35" s="8">
        <f t="shared" ref="W35:AI35" si="22">IF(W$2-$B35-$C$3&lt;0,SLN($W$11,0,$C$3),0)</f>
        <v>0</v>
      </c>
      <c r="X35" s="8">
        <f t="shared" si="22"/>
        <v>0</v>
      </c>
      <c r="Y35" s="8">
        <f t="shared" si="22"/>
        <v>0</v>
      </c>
      <c r="Z35" s="8">
        <f t="shared" si="22"/>
        <v>0</v>
      </c>
      <c r="AA35" s="8">
        <f t="shared" si="22"/>
        <v>0</v>
      </c>
      <c r="AB35" s="8">
        <f t="shared" si="22"/>
        <v>0</v>
      </c>
      <c r="AC35" s="8">
        <f t="shared" si="22"/>
        <v>0</v>
      </c>
      <c r="AD35" s="8">
        <f t="shared" si="22"/>
        <v>0</v>
      </c>
      <c r="AE35" s="8">
        <f t="shared" si="22"/>
        <v>0</v>
      </c>
      <c r="AF35" s="8">
        <f t="shared" si="22"/>
        <v>0</v>
      </c>
      <c r="AG35" s="8">
        <f t="shared" si="22"/>
        <v>0</v>
      </c>
      <c r="AH35" s="8">
        <f t="shared" si="22"/>
        <v>0</v>
      </c>
      <c r="AI35" s="8">
        <f t="shared" si="22"/>
        <v>0</v>
      </c>
      <c r="AJ35" s="125">
        <f t="shared" si="2"/>
        <v>0</v>
      </c>
    </row>
    <row r="36" spans="1:37" x14ac:dyDescent="0.2">
      <c r="B36">
        <f>X2</f>
        <v>2038</v>
      </c>
      <c r="C36" s="8"/>
      <c r="D36" s="8"/>
      <c r="E36" s="8"/>
      <c r="F36" s="8"/>
      <c r="G36" s="8"/>
      <c r="H36" s="8"/>
      <c r="I36" s="8"/>
      <c r="J36" s="8"/>
      <c r="K36" s="8"/>
      <c r="L36" s="8"/>
      <c r="M36" s="8"/>
      <c r="N36" s="8"/>
      <c r="O36" s="8"/>
      <c r="P36" s="8"/>
      <c r="Q36" s="8"/>
      <c r="R36" s="8"/>
      <c r="S36" s="8"/>
      <c r="T36" s="8"/>
      <c r="U36" s="8"/>
      <c r="V36" s="8"/>
      <c r="W36" s="8"/>
      <c r="X36" s="8">
        <f t="shared" ref="X36:AI36" si="23">IF(X$2-$B36-$C$3&lt;0,SLN($X$11,0,$C$3),0)</f>
        <v>0</v>
      </c>
      <c r="Y36" s="8">
        <f t="shared" si="23"/>
        <v>0</v>
      </c>
      <c r="Z36" s="8">
        <f t="shared" si="23"/>
        <v>0</v>
      </c>
      <c r="AA36" s="8">
        <f t="shared" si="23"/>
        <v>0</v>
      </c>
      <c r="AB36" s="8">
        <f t="shared" si="23"/>
        <v>0</v>
      </c>
      <c r="AC36" s="8">
        <f t="shared" si="23"/>
        <v>0</v>
      </c>
      <c r="AD36" s="8">
        <f t="shared" si="23"/>
        <v>0</v>
      </c>
      <c r="AE36" s="8">
        <f t="shared" si="23"/>
        <v>0</v>
      </c>
      <c r="AF36" s="8">
        <f t="shared" si="23"/>
        <v>0</v>
      </c>
      <c r="AG36" s="8">
        <f t="shared" si="23"/>
        <v>0</v>
      </c>
      <c r="AH36" s="8">
        <f t="shared" si="23"/>
        <v>0</v>
      </c>
      <c r="AI36" s="8">
        <f t="shared" si="23"/>
        <v>0</v>
      </c>
      <c r="AJ36" s="125">
        <f t="shared" si="2"/>
        <v>0</v>
      </c>
    </row>
    <row r="37" spans="1:37" x14ac:dyDescent="0.2">
      <c r="B37">
        <f>Y2</f>
        <v>2039</v>
      </c>
      <c r="C37" s="8"/>
      <c r="D37" s="8"/>
      <c r="E37" s="8"/>
      <c r="F37" s="8"/>
      <c r="G37" s="8"/>
      <c r="H37" s="8"/>
      <c r="I37" s="8"/>
      <c r="J37" s="8"/>
      <c r="K37" s="8"/>
      <c r="L37" s="8"/>
      <c r="M37" s="8"/>
      <c r="N37" s="8"/>
      <c r="O37" s="8"/>
      <c r="P37" s="8"/>
      <c r="Q37" s="8"/>
      <c r="R37" s="8"/>
      <c r="S37" s="8"/>
      <c r="T37" s="8"/>
      <c r="U37" s="8"/>
      <c r="V37" s="8"/>
      <c r="W37" s="8"/>
      <c r="X37" s="8"/>
      <c r="Y37" s="8">
        <f t="shared" ref="Y37:AI37" si="24">IF(Y$2-$B37-$C$3&lt;0,SLN($Y$11,0,$C$3),0)</f>
        <v>0</v>
      </c>
      <c r="Z37" s="8">
        <f t="shared" si="24"/>
        <v>0</v>
      </c>
      <c r="AA37" s="8">
        <f t="shared" si="24"/>
        <v>0</v>
      </c>
      <c r="AB37" s="8">
        <f t="shared" si="24"/>
        <v>0</v>
      </c>
      <c r="AC37" s="8">
        <f t="shared" si="24"/>
        <v>0</v>
      </c>
      <c r="AD37" s="8">
        <f t="shared" si="24"/>
        <v>0</v>
      </c>
      <c r="AE37" s="8">
        <f t="shared" si="24"/>
        <v>0</v>
      </c>
      <c r="AF37" s="8">
        <f t="shared" si="24"/>
        <v>0</v>
      </c>
      <c r="AG37" s="8">
        <f t="shared" si="24"/>
        <v>0</v>
      </c>
      <c r="AH37" s="8">
        <f t="shared" si="24"/>
        <v>0</v>
      </c>
      <c r="AI37" s="8">
        <f t="shared" si="24"/>
        <v>0</v>
      </c>
      <c r="AJ37" s="125">
        <f t="shared" si="2"/>
        <v>0</v>
      </c>
    </row>
    <row r="38" spans="1:37" x14ac:dyDescent="0.2">
      <c r="B38">
        <f>Z2</f>
        <v>2040</v>
      </c>
      <c r="C38" s="8"/>
      <c r="D38" s="8"/>
      <c r="E38" s="8"/>
      <c r="F38" s="8"/>
      <c r="G38" s="8"/>
      <c r="H38" s="8"/>
      <c r="I38" s="8"/>
      <c r="J38" s="8"/>
      <c r="K38" s="8"/>
      <c r="L38" s="8"/>
      <c r="M38" s="8"/>
      <c r="N38" s="8"/>
      <c r="O38" s="8"/>
      <c r="P38" s="8"/>
      <c r="Q38" s="8"/>
      <c r="R38" s="8"/>
      <c r="S38" s="8"/>
      <c r="T38" s="8"/>
      <c r="U38" s="8"/>
      <c r="V38" s="8"/>
      <c r="W38" s="8"/>
      <c r="X38" s="8"/>
      <c r="Y38" s="8"/>
      <c r="Z38" s="8">
        <f t="shared" ref="Z38:AI38" si="25">IF(Z$2-$B38-$C$3&lt;0,SLN($Z$11,0,$C$3),0)</f>
        <v>0</v>
      </c>
      <c r="AA38" s="8">
        <f t="shared" si="25"/>
        <v>0</v>
      </c>
      <c r="AB38" s="8">
        <f t="shared" si="25"/>
        <v>0</v>
      </c>
      <c r="AC38" s="8">
        <f t="shared" si="25"/>
        <v>0</v>
      </c>
      <c r="AD38" s="8">
        <f t="shared" si="25"/>
        <v>0</v>
      </c>
      <c r="AE38" s="8">
        <f t="shared" si="25"/>
        <v>0</v>
      </c>
      <c r="AF38" s="8">
        <f t="shared" si="25"/>
        <v>0</v>
      </c>
      <c r="AG38" s="8">
        <f t="shared" si="25"/>
        <v>0</v>
      </c>
      <c r="AH38" s="8">
        <f t="shared" si="25"/>
        <v>0</v>
      </c>
      <c r="AI38" s="8">
        <f t="shared" si="25"/>
        <v>0</v>
      </c>
      <c r="AJ38" s="125">
        <f t="shared" si="2"/>
        <v>0</v>
      </c>
    </row>
    <row r="39" spans="1:37" x14ac:dyDescent="0.2">
      <c r="B39">
        <f>AA2</f>
        <v>2041</v>
      </c>
      <c r="C39" s="8"/>
      <c r="D39" s="8"/>
      <c r="E39" s="8"/>
      <c r="F39" s="8"/>
      <c r="G39" s="8"/>
      <c r="H39" s="8"/>
      <c r="I39" s="8"/>
      <c r="J39" s="8"/>
      <c r="K39" s="8"/>
      <c r="L39" s="8"/>
      <c r="M39" s="8"/>
      <c r="N39" s="8"/>
      <c r="O39" s="8"/>
      <c r="P39" s="8"/>
      <c r="Q39" s="8"/>
      <c r="R39" s="8"/>
      <c r="S39" s="8"/>
      <c r="T39" s="8"/>
      <c r="U39" s="8"/>
      <c r="V39" s="8"/>
      <c r="W39" s="8"/>
      <c r="X39" s="8"/>
      <c r="Y39" s="8"/>
      <c r="Z39" s="8"/>
      <c r="AA39" s="8">
        <f t="shared" ref="AA39:AI39" si="26">IF(AA$2-$B39-$C$3&lt;0,SLN($AA$11,0,$C$3),0)</f>
        <v>0</v>
      </c>
      <c r="AB39" s="8">
        <f t="shared" si="26"/>
        <v>0</v>
      </c>
      <c r="AC39" s="8">
        <f t="shared" si="26"/>
        <v>0</v>
      </c>
      <c r="AD39" s="8">
        <f t="shared" si="26"/>
        <v>0</v>
      </c>
      <c r="AE39" s="8">
        <f t="shared" si="26"/>
        <v>0</v>
      </c>
      <c r="AF39" s="8">
        <f t="shared" si="26"/>
        <v>0</v>
      </c>
      <c r="AG39" s="8">
        <f t="shared" si="26"/>
        <v>0</v>
      </c>
      <c r="AH39" s="8">
        <f t="shared" si="26"/>
        <v>0</v>
      </c>
      <c r="AI39" s="8">
        <f t="shared" si="26"/>
        <v>0</v>
      </c>
      <c r="AJ39" s="125">
        <f t="shared" si="2"/>
        <v>0</v>
      </c>
    </row>
    <row r="40" spans="1:37" x14ac:dyDescent="0.2">
      <c r="B40">
        <f>AB2</f>
        <v>2042</v>
      </c>
      <c r="C40" s="8"/>
      <c r="D40" s="8"/>
      <c r="E40" s="8"/>
      <c r="F40" s="8"/>
      <c r="G40" s="8"/>
      <c r="H40" s="8"/>
      <c r="I40" s="8"/>
      <c r="J40" s="8"/>
      <c r="K40" s="8"/>
      <c r="L40" s="8"/>
      <c r="M40" s="8"/>
      <c r="N40" s="8"/>
      <c r="O40" s="8"/>
      <c r="P40" s="8"/>
      <c r="Q40" s="8"/>
      <c r="R40" s="8"/>
      <c r="S40" s="8"/>
      <c r="T40" s="8"/>
      <c r="U40" s="8"/>
      <c r="V40" s="8"/>
      <c r="W40" s="8"/>
      <c r="X40" s="8"/>
      <c r="Y40" s="8"/>
      <c r="Z40" s="8"/>
      <c r="AA40" s="8"/>
      <c r="AB40" s="8">
        <f t="shared" ref="AB40:AI40" si="27">IF(AB$2-$B40-$C$3&lt;0,SLN($AB$11,0,$C$3),0)</f>
        <v>0</v>
      </c>
      <c r="AC40" s="8">
        <f t="shared" si="27"/>
        <v>0</v>
      </c>
      <c r="AD40" s="8">
        <f t="shared" si="27"/>
        <v>0</v>
      </c>
      <c r="AE40" s="8">
        <f t="shared" si="27"/>
        <v>0</v>
      </c>
      <c r="AF40" s="8">
        <f t="shared" si="27"/>
        <v>0</v>
      </c>
      <c r="AG40" s="8">
        <f t="shared" si="27"/>
        <v>0</v>
      </c>
      <c r="AH40" s="8">
        <f t="shared" si="27"/>
        <v>0</v>
      </c>
      <c r="AI40" s="8">
        <f t="shared" si="27"/>
        <v>0</v>
      </c>
      <c r="AJ40" s="125">
        <f t="shared" si="2"/>
        <v>0</v>
      </c>
    </row>
    <row r="41" spans="1:37" x14ac:dyDescent="0.2">
      <c r="B41">
        <f>AC2</f>
        <v>2043</v>
      </c>
      <c r="C41" s="8"/>
      <c r="D41" s="8"/>
      <c r="E41" s="8"/>
      <c r="F41" s="8"/>
      <c r="G41" s="8"/>
      <c r="H41" s="8"/>
      <c r="I41" s="8"/>
      <c r="J41" s="8"/>
      <c r="K41" s="8"/>
      <c r="L41" s="8"/>
      <c r="M41" s="8"/>
      <c r="N41" s="8"/>
      <c r="O41" s="8"/>
      <c r="P41" s="8"/>
      <c r="Q41" s="8"/>
      <c r="R41" s="8"/>
      <c r="S41" s="8"/>
      <c r="T41" s="8"/>
      <c r="U41" s="8"/>
      <c r="V41" s="8"/>
      <c r="W41" s="8"/>
      <c r="X41" s="8"/>
      <c r="Y41" s="8"/>
      <c r="Z41" s="8"/>
      <c r="AA41" s="8"/>
      <c r="AB41" s="8"/>
      <c r="AC41" s="8">
        <f t="shared" ref="AC41:AI41" si="28">IF(AC$2-$B41-$C$3&lt;0,SLN($AC$11,0,$C$3),0)</f>
        <v>0</v>
      </c>
      <c r="AD41" s="8">
        <f t="shared" si="28"/>
        <v>0</v>
      </c>
      <c r="AE41" s="8">
        <f t="shared" si="28"/>
        <v>0</v>
      </c>
      <c r="AF41" s="8">
        <f t="shared" si="28"/>
        <v>0</v>
      </c>
      <c r="AG41" s="8">
        <f t="shared" si="28"/>
        <v>0</v>
      </c>
      <c r="AH41" s="8">
        <f t="shared" si="28"/>
        <v>0</v>
      </c>
      <c r="AI41" s="8">
        <f t="shared" si="28"/>
        <v>0</v>
      </c>
      <c r="AJ41" s="125">
        <f t="shared" si="2"/>
        <v>0</v>
      </c>
    </row>
    <row r="42" spans="1:37" x14ac:dyDescent="0.2">
      <c r="B42">
        <f>AD2</f>
        <v>2044</v>
      </c>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f t="shared" ref="AD42:AI42" si="29">IF(AD$2-$B42-$C$3&lt;0,SLN($AD$11,0,$C$3),0)</f>
        <v>0</v>
      </c>
      <c r="AE42" s="8">
        <f t="shared" si="29"/>
        <v>0</v>
      </c>
      <c r="AF42" s="8">
        <f t="shared" si="29"/>
        <v>0</v>
      </c>
      <c r="AG42" s="8">
        <f t="shared" si="29"/>
        <v>0</v>
      </c>
      <c r="AH42" s="8">
        <f t="shared" si="29"/>
        <v>0</v>
      </c>
      <c r="AI42" s="8">
        <f t="shared" si="29"/>
        <v>0</v>
      </c>
      <c r="AJ42" s="125">
        <f t="shared" si="2"/>
        <v>0</v>
      </c>
    </row>
    <row r="43" spans="1:37" x14ac:dyDescent="0.2">
      <c r="B43">
        <f>AE2</f>
        <v>2045</v>
      </c>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f>IF(AE$2-$B43-$C$3&lt;0,SLN($AE$11,0,$C$3),0)</f>
        <v>0</v>
      </c>
      <c r="AF43" s="8">
        <f>IF(AF$2-$B43-$C$3&lt;0,SLN($AE$11,0,$C$3),0)</f>
        <v>0</v>
      </c>
      <c r="AG43" s="8">
        <f>IF(AG$2-$B43-$C$3&lt;0,SLN($AE$11,0,$C$3),0)</f>
        <v>0</v>
      </c>
      <c r="AH43" s="8">
        <f>IF(AH$2-$B43-$C$3&lt;0,SLN($AE$11,0,$C$3),0)</f>
        <v>0</v>
      </c>
      <c r="AI43" s="8">
        <f>IF(AI$2-$B43-$C$3&lt;0,SLN($AE$11,0,$C$3),0)</f>
        <v>0</v>
      </c>
      <c r="AJ43" s="125">
        <f t="shared" si="2"/>
        <v>0</v>
      </c>
    </row>
    <row r="44" spans="1:37" x14ac:dyDescent="0.25">
      <c r="B44">
        <f>AF2</f>
        <v>2046</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f>IF(AF$2-$B44-$C$3&lt;0,SLN($AF$11,0,$C$3),0)</f>
        <v>0</v>
      </c>
      <c r="AG44" s="8">
        <f>IF(AG$2-$B44-$C$3&lt;0,SLN($AF$11,0,$C$3),0)</f>
        <v>0</v>
      </c>
      <c r="AH44" s="8">
        <f>IF(AH$2-$B44-$C$3&lt;0,SLN($AF$11,0,$C$3),0)</f>
        <v>0</v>
      </c>
      <c r="AI44" s="8">
        <f>IF(AI$2-$B44-$C$3&lt;0,SLN($AF$11,0,$C$3),0)</f>
        <v>0</v>
      </c>
      <c r="AJ44" s="125">
        <f t="shared" si="2"/>
        <v>0</v>
      </c>
    </row>
    <row r="45" spans="1:37" x14ac:dyDescent="0.25">
      <c r="B45">
        <f>AG2</f>
        <v>2047</v>
      </c>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f>IF(AG$2-$B45-$C$3&lt;0,SLN($AG$11,0,$C$3),0)</f>
        <v>0</v>
      </c>
      <c r="AH45" s="8">
        <f>IF(AH$2-$B45-$C$3&lt;0,SLN($AG$11,0,$C$3),0)</f>
        <v>0</v>
      </c>
      <c r="AI45" s="8">
        <f>IF(AI$2-$B45-$C$3&lt;0,SLN($AG$11,0,$C$3),0)</f>
        <v>0</v>
      </c>
      <c r="AJ45" s="125">
        <f t="shared" si="2"/>
        <v>0</v>
      </c>
    </row>
    <row r="46" spans="1:37" x14ac:dyDescent="0.25">
      <c r="B46">
        <f>AH2</f>
        <v>2048</v>
      </c>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f>IF(AH$2-$B46-$C$3&lt;0,SLN($AH$11,0,$C$3),0)</f>
        <v>0</v>
      </c>
      <c r="AI46" s="8">
        <f>IF(AI$2-$B46-$C$3&lt;0,SLN($AH$11,0,$C$3),0)</f>
        <v>0</v>
      </c>
      <c r="AJ46" s="125">
        <f t="shared" si="2"/>
        <v>0</v>
      </c>
    </row>
    <row r="47" spans="1:37" ht="15.75" thickBot="1" x14ac:dyDescent="0.3">
      <c r="B47">
        <f>AI2</f>
        <v>2049</v>
      </c>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f>IF(AI$2-$B47-$C$3&lt;0,SLN($AI$11,0,$C$3),0)</f>
        <v>0</v>
      </c>
      <c r="AJ47" s="128">
        <f t="shared" si="2"/>
        <v>0</v>
      </c>
    </row>
    <row r="48" spans="1:37" s="79" customFormat="1" ht="15.75" thickBot="1" x14ac:dyDescent="0.3">
      <c r="A48" s="105" t="s">
        <v>231</v>
      </c>
      <c r="C48" s="106">
        <f>SUM(C15:C47)</f>
        <v>50</v>
      </c>
      <c r="D48" s="107">
        <f t="shared" ref="D48:AJ48" si="30">SUM(D15:D47)</f>
        <v>155</v>
      </c>
      <c r="E48" s="107">
        <f t="shared" si="30"/>
        <v>367.5</v>
      </c>
      <c r="F48" s="107">
        <f t="shared" si="30"/>
        <v>842.5</v>
      </c>
      <c r="G48" s="107">
        <f t="shared" si="30"/>
        <v>1205</v>
      </c>
      <c r="H48" s="107">
        <f t="shared" si="30"/>
        <v>1167.5</v>
      </c>
      <c r="I48" s="107">
        <f t="shared" si="30"/>
        <v>955</v>
      </c>
      <c r="J48" s="107">
        <f t="shared" si="30"/>
        <v>480</v>
      </c>
      <c r="K48" s="107">
        <f t="shared" si="30"/>
        <v>67.5</v>
      </c>
      <c r="L48" s="107">
        <f t="shared" si="30"/>
        <v>0</v>
      </c>
      <c r="M48" s="107">
        <f t="shared" si="30"/>
        <v>0</v>
      </c>
      <c r="N48" s="107">
        <f t="shared" si="30"/>
        <v>0</v>
      </c>
      <c r="O48" s="107">
        <f t="shared" si="30"/>
        <v>0</v>
      </c>
      <c r="P48" s="107">
        <f t="shared" si="30"/>
        <v>0</v>
      </c>
      <c r="Q48" s="107">
        <f t="shared" si="30"/>
        <v>0</v>
      </c>
      <c r="R48" s="107">
        <f t="shared" si="30"/>
        <v>0</v>
      </c>
      <c r="S48" s="107">
        <f t="shared" si="30"/>
        <v>0</v>
      </c>
      <c r="T48" s="107">
        <f t="shared" si="30"/>
        <v>0</v>
      </c>
      <c r="U48" s="107">
        <f t="shared" si="30"/>
        <v>0</v>
      </c>
      <c r="V48" s="107">
        <f t="shared" si="30"/>
        <v>0</v>
      </c>
      <c r="W48" s="107">
        <f t="shared" si="30"/>
        <v>0</v>
      </c>
      <c r="X48" s="107">
        <f t="shared" si="30"/>
        <v>0</v>
      </c>
      <c r="Y48" s="107">
        <f t="shared" si="30"/>
        <v>0</v>
      </c>
      <c r="Z48" s="107">
        <f t="shared" si="30"/>
        <v>0</v>
      </c>
      <c r="AA48" s="107">
        <f t="shared" si="30"/>
        <v>0</v>
      </c>
      <c r="AB48" s="107">
        <f t="shared" si="30"/>
        <v>0</v>
      </c>
      <c r="AC48" s="107">
        <f t="shared" si="30"/>
        <v>0</v>
      </c>
      <c r="AD48" s="107">
        <f t="shared" si="30"/>
        <v>0</v>
      </c>
      <c r="AE48" s="107">
        <f t="shared" si="30"/>
        <v>0</v>
      </c>
      <c r="AF48" s="107">
        <f t="shared" si="30"/>
        <v>0</v>
      </c>
      <c r="AG48" s="107">
        <f t="shared" si="30"/>
        <v>0</v>
      </c>
      <c r="AH48" s="107">
        <f t="shared" si="30"/>
        <v>0</v>
      </c>
      <c r="AI48" s="107">
        <f t="shared" si="30"/>
        <v>0</v>
      </c>
      <c r="AJ48" s="129">
        <f t="shared" si="30"/>
        <v>5290</v>
      </c>
      <c r="AK48" s="108">
        <f>AJ48-AJ11</f>
        <v>0</v>
      </c>
    </row>
    <row r="49" spans="36:37" x14ac:dyDescent="0.25">
      <c r="AJ49" s="134" t="s">
        <v>232</v>
      </c>
      <c r="AK49" s="95" t="str">
        <f>IF(AK48=0,"VALID","ERROR")</f>
        <v>VALID</v>
      </c>
    </row>
  </sheetData>
  <pageMargins left="0.7" right="0.7" top="0.75" bottom="0.75" header="0.3" footer="0.3"/>
  <pageSetup orientation="portrait" horizontalDpi="4294967292" verticalDpi="429496729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FF0000"/>
  </sheetPr>
  <dimension ref="A1:AJ52"/>
  <sheetViews>
    <sheetView topLeftCell="A14" workbookViewId="0">
      <pane xSplit="1" topLeftCell="B1" activePane="topRight" state="frozen"/>
      <selection activeCell="C46" sqref="C46"/>
      <selection pane="topRight" activeCell="D30" sqref="D30"/>
    </sheetView>
  </sheetViews>
  <sheetFormatPr defaultColWidth="8.85546875" defaultRowHeight="15" x14ac:dyDescent="0.25"/>
  <cols>
    <col min="1" max="1" width="42" customWidth="1"/>
    <col min="3" max="3" width="11.85546875" customWidth="1"/>
    <col min="12" max="13" width="11.140625" customWidth="1"/>
    <col min="14" max="15" width="10.140625" customWidth="1"/>
    <col min="16" max="16" width="11.140625" customWidth="1"/>
    <col min="17" max="19" width="9.85546875" customWidth="1"/>
    <col min="20" max="20" width="9.28515625" customWidth="1"/>
    <col min="21" max="21" width="9.7109375" customWidth="1"/>
    <col min="22" max="22" width="9.42578125" customWidth="1"/>
    <col min="23" max="24" width="10.140625" customWidth="1"/>
    <col min="25" max="25" width="10.42578125" customWidth="1"/>
    <col min="26" max="26" width="10.140625" customWidth="1"/>
    <col min="27" max="27" width="10.7109375" customWidth="1"/>
    <col min="28" max="29" width="9.7109375" customWidth="1"/>
    <col min="30" max="30" width="10" customWidth="1"/>
    <col min="31" max="31" width="9.42578125" customWidth="1"/>
    <col min="32" max="32" width="9.85546875" customWidth="1"/>
    <col min="33" max="33" width="10.7109375" customWidth="1"/>
    <col min="34" max="34" width="9.28515625" customWidth="1"/>
    <col min="35" max="35" width="9.140625" customWidth="1"/>
    <col min="36" max="36" width="12.140625" style="124" customWidth="1"/>
  </cols>
  <sheetData>
    <row r="1" spans="1:36" s="69" customFormat="1" ht="21" x14ac:dyDescent="0.25">
      <c r="A1" s="197" t="s">
        <v>316</v>
      </c>
      <c r="D1" s="75"/>
      <c r="AJ1" s="122"/>
    </row>
    <row r="2" spans="1:36" s="69" customFormat="1" ht="21" x14ac:dyDescent="0.25">
      <c r="A2" s="197"/>
      <c r="C2" s="117" t="str">
        <f>IF('Assumptions &amp; Results'!$C$172=3,"INVALID","VALID")</f>
        <v>VALID</v>
      </c>
      <c r="D2" s="235" t="s">
        <v>570</v>
      </c>
      <c r="AJ2" s="132"/>
    </row>
    <row r="3" spans="1:36" x14ac:dyDescent="0.2">
      <c r="D3" s="1"/>
    </row>
    <row r="4" spans="1:36" x14ac:dyDescent="0.2">
      <c r="A4" s="28"/>
      <c r="B4" t="s">
        <v>234</v>
      </c>
      <c r="C4" s="1">
        <f>'Assumptions &amp; Results'!D2</f>
        <v>2017</v>
      </c>
      <c r="D4" s="1">
        <f>'Assumptions &amp; Results'!E2</f>
        <v>2018</v>
      </c>
      <c r="E4" s="1">
        <f>'Assumptions &amp; Results'!F2</f>
        <v>2019</v>
      </c>
      <c r="F4" s="1">
        <f>'Assumptions &amp; Results'!G2</f>
        <v>2020</v>
      </c>
      <c r="G4" s="1">
        <f>'Assumptions &amp; Results'!H2</f>
        <v>2021</v>
      </c>
      <c r="H4" s="1">
        <f>'Assumptions &amp; Results'!I2</f>
        <v>2022</v>
      </c>
      <c r="I4" s="1">
        <f>'Assumptions &amp; Results'!J2</f>
        <v>2023</v>
      </c>
      <c r="J4" s="1">
        <f>'Assumptions &amp; Results'!K2</f>
        <v>2024</v>
      </c>
      <c r="K4" s="1">
        <f>'Assumptions &amp; Results'!L2</f>
        <v>2025</v>
      </c>
      <c r="L4" s="1">
        <f>'Assumptions &amp; Results'!M2</f>
        <v>2026</v>
      </c>
      <c r="M4" s="1">
        <f>'Assumptions &amp; Results'!N2</f>
        <v>2027</v>
      </c>
      <c r="N4" s="1">
        <f>'Assumptions &amp; Results'!O2</f>
        <v>2028</v>
      </c>
      <c r="O4" s="1">
        <f>'Assumptions &amp; Results'!P2</f>
        <v>2029</v>
      </c>
      <c r="P4" s="1">
        <f>'Assumptions &amp; Results'!Q2</f>
        <v>2030</v>
      </c>
      <c r="Q4" s="1">
        <f>'Assumptions &amp; Results'!R2</f>
        <v>2031</v>
      </c>
      <c r="R4" s="1">
        <f>'Assumptions &amp; Results'!S2</f>
        <v>2032</v>
      </c>
      <c r="S4" s="1">
        <f>'Assumptions &amp; Results'!T2</f>
        <v>2033</v>
      </c>
      <c r="T4" s="1">
        <f>'Assumptions &amp; Results'!U2</f>
        <v>2034</v>
      </c>
      <c r="U4" s="1">
        <f>'Assumptions &amp; Results'!V2</f>
        <v>2035</v>
      </c>
      <c r="V4" s="1">
        <f>'Assumptions &amp; Results'!W2</f>
        <v>2036</v>
      </c>
      <c r="W4" s="1">
        <f>'Assumptions &amp; Results'!X2</f>
        <v>2037</v>
      </c>
      <c r="X4" s="1">
        <f>'Assumptions &amp; Results'!Y2</f>
        <v>2038</v>
      </c>
      <c r="Y4" s="1">
        <f>'Assumptions &amp; Results'!Z2</f>
        <v>2039</v>
      </c>
      <c r="Z4" s="1">
        <f>'Assumptions &amp; Results'!AA2</f>
        <v>2040</v>
      </c>
      <c r="AA4" s="1">
        <f>'Assumptions &amp; Results'!AB2</f>
        <v>2041</v>
      </c>
      <c r="AB4" s="1">
        <f>'Assumptions &amp; Results'!AC2</f>
        <v>2042</v>
      </c>
      <c r="AC4" s="1">
        <f>'Assumptions &amp; Results'!AD2</f>
        <v>2043</v>
      </c>
      <c r="AD4" s="1">
        <f>'Assumptions &amp; Results'!AE2</f>
        <v>2044</v>
      </c>
      <c r="AE4" s="1">
        <f>'Assumptions &amp; Results'!AF2</f>
        <v>2045</v>
      </c>
      <c r="AF4" s="1">
        <f>'Assumptions &amp; Results'!AG2</f>
        <v>2046</v>
      </c>
      <c r="AG4" s="1">
        <f>'Assumptions &amp; Results'!AH2</f>
        <v>2047</v>
      </c>
      <c r="AH4" s="1">
        <f>'Assumptions &amp; Results'!AI2</f>
        <v>2048</v>
      </c>
      <c r="AI4" s="1">
        <f>'Assumptions &amp; Results'!AJ2</f>
        <v>2049</v>
      </c>
      <c r="AJ4" s="130" t="s">
        <v>63</v>
      </c>
    </row>
    <row r="5" spans="1:36" x14ac:dyDescent="0.2">
      <c r="A5" s="30" t="str">
        <f>'Field 1 Investor'!A20</f>
        <v xml:space="preserve">   Total Revenues</v>
      </c>
      <c r="B5" s="31" t="s">
        <v>99</v>
      </c>
      <c r="C5" s="32">
        <f>'Field 2 Investor'!C20</f>
        <v>0</v>
      </c>
      <c r="D5" s="32">
        <f>'Field 2 Investor'!D20</f>
        <v>0</v>
      </c>
      <c r="E5" s="32">
        <f>'Field 2 Investor'!E20</f>
        <v>0</v>
      </c>
      <c r="F5" s="32">
        <f>'Field 2 Investor'!F20</f>
        <v>0</v>
      </c>
      <c r="G5" s="32">
        <f>'Field 2 Investor'!G20</f>
        <v>2338.9884375000006</v>
      </c>
      <c r="H5" s="32">
        <f>'Field 2 Investor'!H20</f>
        <v>4677.9768750000012</v>
      </c>
      <c r="I5" s="32">
        <f>'Field 2 Investor'!I20</f>
        <v>4677.9768750000012</v>
      </c>
      <c r="J5" s="32">
        <f>'Field 2 Investor'!J20</f>
        <v>4445.5836562499999</v>
      </c>
      <c r="K5" s="32">
        <f>'Field 2 Investor'!K20</f>
        <v>4677.9768750000012</v>
      </c>
      <c r="L5" s="32">
        <f>'Field 2 Investor'!L20</f>
        <v>4677.9768750000012</v>
      </c>
      <c r="M5" s="32">
        <f>'Field 2 Investor'!M20</f>
        <v>4677.9768750000012</v>
      </c>
      <c r="N5" s="32">
        <f>'Field 2 Investor'!N20</f>
        <v>4677.9768750000012</v>
      </c>
      <c r="O5" s="32">
        <f>'Field 2 Investor'!O20</f>
        <v>4445.5836562499999</v>
      </c>
      <c r="P5" s="32">
        <f>'Field 2 Investor'!P20</f>
        <v>4677.9768750000012</v>
      </c>
      <c r="Q5" s="32">
        <f>'Field 2 Investor'!Q20</f>
        <v>4677.9768750000012</v>
      </c>
      <c r="R5" s="32">
        <f>'Field 2 Investor'!R20</f>
        <v>4677.9768750000012</v>
      </c>
      <c r="S5" s="32">
        <f>'Field 2 Investor'!S20</f>
        <v>4677.9768750000012</v>
      </c>
      <c r="T5" s="32">
        <f>'Field 2 Investor'!T20</f>
        <v>4445.5836562499999</v>
      </c>
      <c r="U5" s="32">
        <f>'Field 2 Investor'!U20</f>
        <v>4677.9768750000012</v>
      </c>
      <c r="V5" s="32">
        <f>'Field 2 Investor'!V20</f>
        <v>4677.9768750000012</v>
      </c>
      <c r="W5" s="32">
        <f>'Field 2 Investor'!W20</f>
        <v>4677.9768750000012</v>
      </c>
      <c r="X5" s="32">
        <f>'Field 2 Investor'!X20</f>
        <v>4677.9768750000012</v>
      </c>
      <c r="Y5" s="32">
        <f>'Field 2 Investor'!Y20</f>
        <v>4445.5836562499999</v>
      </c>
      <c r="Z5" s="32">
        <f>'Field 2 Investor'!Z20</f>
        <v>4677.9768750000012</v>
      </c>
      <c r="AA5" s="32">
        <f>'Field 2 Investor'!AA20</f>
        <v>4677.9768750000012</v>
      </c>
      <c r="AB5" s="32">
        <f>'Field 2 Investor'!AB20</f>
        <v>4677.9768750000012</v>
      </c>
      <c r="AC5" s="32">
        <f>'Field 2 Investor'!AC20</f>
        <v>4677.9768750000012</v>
      </c>
      <c r="AD5" s="32">
        <f>'Field 2 Investor'!AD20</f>
        <v>4445.5836562499999</v>
      </c>
      <c r="AE5" s="32">
        <f>'Field 2 Investor'!AE20</f>
        <v>4677.9768750000012</v>
      </c>
      <c r="AF5" s="32">
        <f>'Field 2 Investor'!AF20</f>
        <v>4677.9768750000012</v>
      </c>
      <c r="AG5" s="32">
        <f>'Field 2 Investor'!AG20</f>
        <v>4677.9768750000012</v>
      </c>
      <c r="AH5" s="32">
        <f>'Field 2 Investor'!AH20</f>
        <v>4677.9768750000012</v>
      </c>
      <c r="AI5" s="32">
        <f>'Field 2 Investor'!AI20</f>
        <v>4677.9768750000012</v>
      </c>
      <c r="AJ5" s="125">
        <f>SUM(C5:AI5)</f>
        <v>132160.37484375009</v>
      </c>
    </row>
    <row r="6" spans="1:36" x14ac:dyDescent="0.2">
      <c r="A6" s="30" t="s">
        <v>235</v>
      </c>
      <c r="B6" s="31" t="s">
        <v>99</v>
      </c>
      <c r="C6" s="32">
        <f>'LNG Tolling'!C24</f>
        <v>0</v>
      </c>
      <c r="D6" s="32">
        <f>'LNG Tolling'!D24</f>
        <v>0</v>
      </c>
      <c r="E6" s="32">
        <f>'LNG Tolling'!E24</f>
        <v>0</v>
      </c>
      <c r="F6" s="32">
        <f>'LNG Tolling'!F24</f>
        <v>0</v>
      </c>
      <c r="G6" s="32">
        <f>'LNG Tolling'!G24</f>
        <v>1195.1651250000002</v>
      </c>
      <c r="H6" s="32">
        <f>'LNG Tolling'!H24</f>
        <v>2390.3302500000004</v>
      </c>
      <c r="I6" s="32">
        <f>'LNG Tolling'!I24</f>
        <v>2390.3302500000004</v>
      </c>
      <c r="J6" s="32">
        <f>'LNG Tolling'!J24</f>
        <v>2157.273050625</v>
      </c>
      <c r="K6" s="32">
        <f>'LNG Tolling'!K24</f>
        <v>2390.3302500000004</v>
      </c>
      <c r="L6" s="32">
        <f>'LNG Tolling'!L24</f>
        <v>2390.3302500000004</v>
      </c>
      <c r="M6" s="32">
        <f>'LNG Tolling'!M24</f>
        <v>2390.3302500000004</v>
      </c>
      <c r="N6" s="32">
        <f>'LNG Tolling'!N24</f>
        <v>2390.3302500000004</v>
      </c>
      <c r="O6" s="32">
        <f>'LNG Tolling'!O24</f>
        <v>2157.273050625</v>
      </c>
      <c r="P6" s="32">
        <f>'LNG Tolling'!P24</f>
        <v>2390.3302500000004</v>
      </c>
      <c r="Q6" s="32">
        <f>'LNG Tolling'!Q24</f>
        <v>2390.3302500000004</v>
      </c>
      <c r="R6" s="32">
        <f>'LNG Tolling'!R24</f>
        <v>2390.3302500000004</v>
      </c>
      <c r="S6" s="32">
        <f>'LNG Tolling'!S24</f>
        <v>2390.3302500000004</v>
      </c>
      <c r="T6" s="32">
        <f>'LNG Tolling'!T24</f>
        <v>2157.273050625</v>
      </c>
      <c r="U6" s="32">
        <f>'LNG Tolling'!U24</f>
        <v>2390.3302500000004</v>
      </c>
      <c r="V6" s="32">
        <f>'LNG Tolling'!V24</f>
        <v>2390.3302500000004</v>
      </c>
      <c r="W6" s="32">
        <f>'LNG Tolling'!W24</f>
        <v>2390.3302500000004</v>
      </c>
      <c r="X6" s="32">
        <f>'LNG Tolling'!X24</f>
        <v>2390.3302500000004</v>
      </c>
      <c r="Y6" s="32">
        <f>'LNG Tolling'!Y24</f>
        <v>2157.273050625</v>
      </c>
      <c r="Z6" s="32">
        <f>'LNG Tolling'!Z24</f>
        <v>2390.3302500000004</v>
      </c>
      <c r="AA6" s="32">
        <f>'LNG Tolling'!AA24</f>
        <v>2390.3302500000004</v>
      </c>
      <c r="AB6" s="32">
        <f>'LNG Tolling'!AB24</f>
        <v>2390.3302500000004</v>
      </c>
      <c r="AC6" s="32">
        <f>'LNG Tolling'!AC24</f>
        <v>2390.3302500000004</v>
      </c>
      <c r="AD6" s="32">
        <f>'LNG Tolling'!AD24</f>
        <v>2157.273050625</v>
      </c>
      <c r="AE6" s="32">
        <f>'LNG Tolling'!AE24</f>
        <v>2390.3302500000004</v>
      </c>
      <c r="AF6" s="32">
        <f>'LNG Tolling'!AF24</f>
        <v>2390.3302500000004</v>
      </c>
      <c r="AG6" s="32">
        <f>'LNG Tolling'!AG24</f>
        <v>2390.3302500000004</v>
      </c>
      <c r="AH6" s="32">
        <f>'LNG Tolling'!AH24</f>
        <v>2390.3302500000004</v>
      </c>
      <c r="AI6" s="32">
        <f>'LNG Tolling'!AI24</f>
        <v>2390.3302500000004</v>
      </c>
      <c r="AJ6" s="125">
        <f>SUM(C6:AI6)</f>
        <v>66959.12612812499</v>
      </c>
    </row>
    <row r="7" spans="1:36" x14ac:dyDescent="0.2">
      <c r="A7" s="30" t="s">
        <v>236</v>
      </c>
      <c r="B7" s="31" t="s">
        <v>99</v>
      </c>
      <c r="C7" s="32">
        <f>C5-C6</f>
        <v>0</v>
      </c>
      <c r="D7" s="32">
        <f t="shared" ref="D7:AI7" si="0">D5-D6</f>
        <v>0</v>
      </c>
      <c r="E7" s="32">
        <f t="shared" si="0"/>
        <v>0</v>
      </c>
      <c r="F7" s="32">
        <f t="shared" si="0"/>
        <v>0</v>
      </c>
      <c r="G7" s="32">
        <f t="shared" si="0"/>
        <v>1143.8233125000004</v>
      </c>
      <c r="H7" s="32">
        <f t="shared" si="0"/>
        <v>2287.6466250000008</v>
      </c>
      <c r="I7" s="32">
        <f t="shared" si="0"/>
        <v>2287.6466250000008</v>
      </c>
      <c r="J7" s="32">
        <f t="shared" si="0"/>
        <v>2288.3106056249999</v>
      </c>
      <c r="K7" s="32">
        <f t="shared" si="0"/>
        <v>2287.6466250000008</v>
      </c>
      <c r="L7" s="32">
        <f t="shared" si="0"/>
        <v>2287.6466250000008</v>
      </c>
      <c r="M7" s="32">
        <f t="shared" si="0"/>
        <v>2287.6466250000008</v>
      </c>
      <c r="N7" s="32">
        <f t="shared" si="0"/>
        <v>2287.6466250000008</v>
      </c>
      <c r="O7" s="32">
        <f t="shared" si="0"/>
        <v>2288.3106056249999</v>
      </c>
      <c r="P7" s="32">
        <f t="shared" si="0"/>
        <v>2287.6466250000008</v>
      </c>
      <c r="Q7" s="32">
        <f t="shared" si="0"/>
        <v>2287.6466250000008</v>
      </c>
      <c r="R7" s="32">
        <f t="shared" si="0"/>
        <v>2287.6466250000008</v>
      </c>
      <c r="S7" s="32">
        <f t="shared" si="0"/>
        <v>2287.6466250000008</v>
      </c>
      <c r="T7" s="32">
        <f t="shared" si="0"/>
        <v>2288.3106056249999</v>
      </c>
      <c r="U7" s="32">
        <f t="shared" si="0"/>
        <v>2287.6466250000008</v>
      </c>
      <c r="V7" s="32">
        <f t="shared" si="0"/>
        <v>2287.6466250000008</v>
      </c>
      <c r="W7" s="32">
        <f t="shared" si="0"/>
        <v>2287.6466250000008</v>
      </c>
      <c r="X7" s="32">
        <f t="shared" si="0"/>
        <v>2287.6466250000008</v>
      </c>
      <c r="Y7" s="32">
        <f t="shared" si="0"/>
        <v>2288.3106056249999</v>
      </c>
      <c r="Z7" s="32">
        <f t="shared" si="0"/>
        <v>2287.6466250000008</v>
      </c>
      <c r="AA7" s="32">
        <f t="shared" si="0"/>
        <v>2287.6466250000008</v>
      </c>
      <c r="AB7" s="32">
        <f t="shared" si="0"/>
        <v>2287.6466250000008</v>
      </c>
      <c r="AC7" s="32">
        <f t="shared" si="0"/>
        <v>2287.6466250000008</v>
      </c>
      <c r="AD7" s="32">
        <f t="shared" si="0"/>
        <v>2288.3106056249999</v>
      </c>
      <c r="AE7" s="32">
        <f t="shared" si="0"/>
        <v>2287.6466250000008</v>
      </c>
      <c r="AF7" s="32">
        <f t="shared" si="0"/>
        <v>2287.6466250000008</v>
      </c>
      <c r="AG7" s="32">
        <f t="shared" si="0"/>
        <v>2287.6466250000008</v>
      </c>
      <c r="AH7" s="32">
        <f t="shared" si="0"/>
        <v>2287.6466250000008</v>
      </c>
      <c r="AI7" s="32">
        <f t="shared" si="0"/>
        <v>2287.6466250000008</v>
      </c>
      <c r="AJ7" s="125">
        <f>SUM(C7:AI7)</f>
        <v>65201.248715625021</v>
      </c>
    </row>
    <row r="8" spans="1:36" x14ac:dyDescent="0.2">
      <c r="A8" s="30"/>
      <c r="B8" s="31"/>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125"/>
    </row>
    <row r="9" spans="1:36" x14ac:dyDescent="0.2">
      <c r="A9" s="31" t="s">
        <v>237</v>
      </c>
      <c r="B9" s="31" t="s">
        <v>99</v>
      </c>
      <c r="C9" s="33">
        <f>'Field 2 Investor'!C29-C6</f>
        <v>0</v>
      </c>
      <c r="D9" s="33">
        <f>'Field 2 Investor'!D29-D6</f>
        <v>0</v>
      </c>
      <c r="E9" s="33">
        <f>'Field 2 Investor'!E29-E6</f>
        <v>0</v>
      </c>
      <c r="F9" s="33">
        <f>'Field 2 Investor'!F29-F6</f>
        <v>0</v>
      </c>
      <c r="G9" s="33">
        <f>'Field 2 Investor'!G29-G6</f>
        <v>301.60680000000002</v>
      </c>
      <c r="H9" s="33">
        <f>'Field 2 Investor'!H29-H6</f>
        <v>603.21360000000004</v>
      </c>
      <c r="I9" s="33">
        <f>'Field 2 Investor'!I29-I6</f>
        <v>603.21360000000004</v>
      </c>
      <c r="J9" s="33">
        <f>'Field 2 Investor'!J29-J6</f>
        <v>603.21360000000004</v>
      </c>
      <c r="K9" s="33">
        <f>'Field 2 Investor'!K29-K6</f>
        <v>603.21360000000004</v>
      </c>
      <c r="L9" s="33">
        <f>'Field 2 Investor'!L29-L6</f>
        <v>603.21360000000004</v>
      </c>
      <c r="M9" s="33">
        <f>'Field 2 Investor'!M29-M6</f>
        <v>603.21360000000004</v>
      </c>
      <c r="N9" s="33">
        <f>'Field 2 Investor'!N29-N6</f>
        <v>603.21360000000004</v>
      </c>
      <c r="O9" s="33">
        <f>'Field 2 Investor'!O29-O6</f>
        <v>603.21360000000004</v>
      </c>
      <c r="P9" s="33">
        <f>'Field 2 Investor'!P29-P6</f>
        <v>603.21360000000004</v>
      </c>
      <c r="Q9" s="33">
        <f>'Field 2 Investor'!Q29-Q6</f>
        <v>603.21360000000004</v>
      </c>
      <c r="R9" s="33">
        <f>'Field 2 Investor'!R29-R6</f>
        <v>603.21360000000004</v>
      </c>
      <c r="S9" s="33">
        <f>'Field 2 Investor'!S29-S6</f>
        <v>603.21360000000004</v>
      </c>
      <c r="T9" s="33">
        <f>'Field 2 Investor'!T29-T6</f>
        <v>603.21360000000004</v>
      </c>
      <c r="U9" s="33">
        <f>'Field 2 Investor'!U29-U6</f>
        <v>603.21360000000004</v>
      </c>
      <c r="V9" s="33">
        <f>'Field 2 Investor'!V29-V6</f>
        <v>603.21360000000004</v>
      </c>
      <c r="W9" s="33">
        <f>'Field 2 Investor'!W29-W6</f>
        <v>603.21360000000004</v>
      </c>
      <c r="X9" s="33">
        <f>'Field 2 Investor'!X29-X6</f>
        <v>603.21360000000004</v>
      </c>
      <c r="Y9" s="33">
        <f>'Field 2 Investor'!Y29-Y6</f>
        <v>603.21360000000004</v>
      </c>
      <c r="Z9" s="33">
        <f>'Field 2 Investor'!Z29-Z6</f>
        <v>603.21360000000004</v>
      </c>
      <c r="AA9" s="33">
        <f>'Field 2 Investor'!AA29-AA6</f>
        <v>603.21360000000004</v>
      </c>
      <c r="AB9" s="33">
        <f>'Field 2 Investor'!AB29-AB6</f>
        <v>603.21360000000004</v>
      </c>
      <c r="AC9" s="33">
        <f>'Field 2 Investor'!AC29-AC6</f>
        <v>603.21360000000004</v>
      </c>
      <c r="AD9" s="33">
        <f>'Field 2 Investor'!AD29-AD6</f>
        <v>603.21360000000004</v>
      </c>
      <c r="AE9" s="33">
        <f>'Field 2 Investor'!AE29-AE6</f>
        <v>603.21360000000004</v>
      </c>
      <c r="AF9" s="33">
        <f>'Field 2 Investor'!AF29-AF6</f>
        <v>603.21360000000004</v>
      </c>
      <c r="AG9" s="33">
        <f>'Field 2 Investor'!AG29-AG6</f>
        <v>903.21360000000004</v>
      </c>
      <c r="AH9" s="33">
        <f>'Field 2 Investor'!AH29-AH6</f>
        <v>903.21360000000004</v>
      </c>
      <c r="AI9" s="33">
        <f>'Field 2 Investor'!AI29-AI6</f>
        <v>1203.2136</v>
      </c>
      <c r="AJ9" s="125">
        <f>SUM(C9:AI9)</f>
        <v>18391.587599999988</v>
      </c>
    </row>
    <row r="10" spans="1:36" x14ac:dyDescent="0.2">
      <c r="A10" s="31" t="s">
        <v>475</v>
      </c>
      <c r="B10" s="31" t="s">
        <v>99</v>
      </c>
      <c r="C10" s="33">
        <f>IF('Assumptions &amp; Results'!$C$127=1,'Financing for Fiscal Terms Only'!C10,0)</f>
        <v>0</v>
      </c>
      <c r="D10" s="33">
        <f>IF('Assumptions &amp; Results'!$C$127=1,'Financing for Fiscal Terms Only'!D10,0)</f>
        <v>0</v>
      </c>
      <c r="E10" s="33">
        <f>IF('Assumptions &amp; Results'!$C$127=1,'Financing for Fiscal Terms Only'!E10,0)</f>
        <v>0</v>
      </c>
      <c r="F10" s="33">
        <f>IF('Assumptions &amp; Results'!$C$127=1,'Financing for Fiscal Terms Only'!F10,0)</f>
        <v>0</v>
      </c>
      <c r="G10" s="33">
        <f>IF('Assumptions &amp; Results'!$C$127=1,'Financing for Fiscal Terms Only'!G10,0)</f>
        <v>0</v>
      </c>
      <c r="H10" s="33">
        <f>IF('Assumptions &amp; Results'!$C$127=1,'Financing for Fiscal Terms Only'!H10,0)</f>
        <v>0</v>
      </c>
      <c r="I10" s="33">
        <f>IF('Assumptions &amp; Results'!$C$127=1,'Financing for Fiscal Terms Only'!I10,0)</f>
        <v>0</v>
      </c>
      <c r="J10" s="33">
        <f>IF('Assumptions &amp; Results'!$C$127=1,'Financing for Fiscal Terms Only'!J10,0)</f>
        <v>0</v>
      </c>
      <c r="K10" s="33">
        <f>IF('Assumptions &amp; Results'!$C$127=1,'Financing for Fiscal Terms Only'!K10,0)</f>
        <v>0</v>
      </c>
      <c r="L10" s="33">
        <f>IF('Assumptions &amp; Results'!$C$127=1,'Financing for Fiscal Terms Only'!L10,0)</f>
        <v>0</v>
      </c>
      <c r="M10" s="33">
        <f>IF('Assumptions &amp; Results'!$C$127=1,'Financing for Fiscal Terms Only'!M10,0)</f>
        <v>0</v>
      </c>
      <c r="N10" s="33">
        <f>IF('Assumptions &amp; Results'!$C$127=1,'Financing for Fiscal Terms Only'!N10,0)</f>
        <v>0</v>
      </c>
      <c r="O10" s="33">
        <f>IF('Assumptions &amp; Results'!$C$127=1,'Financing for Fiscal Terms Only'!O10,0)</f>
        <v>0</v>
      </c>
      <c r="P10" s="33">
        <f>IF('Assumptions &amp; Results'!$C$127=1,'Financing for Fiscal Terms Only'!P10,0)</f>
        <v>0</v>
      </c>
      <c r="Q10" s="33">
        <f>IF('Assumptions &amp; Results'!$C$127=1,'Financing for Fiscal Terms Only'!Q10,0)</f>
        <v>0</v>
      </c>
      <c r="R10" s="33">
        <f>IF('Assumptions &amp; Results'!$C$127=1,'Financing for Fiscal Terms Only'!R10,0)</f>
        <v>0</v>
      </c>
      <c r="S10" s="33">
        <f>IF('Assumptions &amp; Results'!$C$127=1,'Financing for Fiscal Terms Only'!S10,0)</f>
        <v>0</v>
      </c>
      <c r="T10" s="33">
        <f>IF('Assumptions &amp; Results'!$C$127=1,'Financing for Fiscal Terms Only'!T10,0)</f>
        <v>0</v>
      </c>
      <c r="U10" s="33">
        <f>IF('Assumptions &amp; Results'!$C$127=1,'Financing for Fiscal Terms Only'!U10,0)</f>
        <v>0</v>
      </c>
      <c r="V10" s="33">
        <f>IF('Assumptions &amp; Results'!$C$127=1,'Financing for Fiscal Terms Only'!V10,0)</f>
        <v>0</v>
      </c>
      <c r="W10" s="33">
        <f>IF('Assumptions &amp; Results'!$C$127=1,'Financing for Fiscal Terms Only'!W10,0)</f>
        <v>0</v>
      </c>
      <c r="X10" s="33">
        <f>IF('Assumptions &amp; Results'!$C$127=1,'Financing for Fiscal Terms Only'!X10,0)</f>
        <v>0</v>
      </c>
      <c r="Y10" s="33">
        <f>IF('Assumptions &amp; Results'!$C$127=1,'Financing for Fiscal Terms Only'!Y10,0)</f>
        <v>0</v>
      </c>
      <c r="Z10" s="33">
        <f>IF('Assumptions &amp; Results'!$C$127=1,'Financing for Fiscal Terms Only'!Z10,0)</f>
        <v>0</v>
      </c>
      <c r="AA10" s="33">
        <f>IF('Assumptions &amp; Results'!$C$127=1,'Financing for Fiscal Terms Only'!AA10,0)</f>
        <v>0</v>
      </c>
      <c r="AB10" s="33">
        <f>IF('Assumptions &amp; Results'!$C$127=1,'Financing for Fiscal Terms Only'!AB10,0)</f>
        <v>0</v>
      </c>
      <c r="AC10" s="33">
        <f>IF('Assumptions &amp; Results'!$C$127=1,'Financing for Fiscal Terms Only'!AC10,0)</f>
        <v>0</v>
      </c>
      <c r="AD10" s="33">
        <f>IF('Assumptions &amp; Results'!$C$127=1,'Financing for Fiscal Terms Only'!AD10,0)</f>
        <v>0</v>
      </c>
      <c r="AE10" s="33">
        <f>IF('Assumptions &amp; Results'!$C$127=1,'Financing for Fiscal Terms Only'!AE10,0)</f>
        <v>0</v>
      </c>
      <c r="AF10" s="33">
        <f>IF('Assumptions &amp; Results'!$C$127=1,'Financing for Fiscal Terms Only'!AF10,0)</f>
        <v>0</v>
      </c>
      <c r="AG10" s="33">
        <f>IF('Assumptions &amp; Results'!$C$127=1,'Financing for Fiscal Terms Only'!AG10,0)</f>
        <v>0</v>
      </c>
      <c r="AH10" s="33">
        <f>IF('Assumptions &amp; Results'!$C$127=1,'Financing for Fiscal Terms Only'!AH10,0)</f>
        <v>0</v>
      </c>
      <c r="AI10" s="33">
        <f>IF('Assumptions &amp; Results'!$C$127=1,'Financing for Fiscal Terms Only'!AI10,0)</f>
        <v>0</v>
      </c>
      <c r="AJ10" s="125">
        <f>SUM(C10:AI10)</f>
        <v>0</v>
      </c>
    </row>
    <row r="11" spans="1:36" x14ac:dyDescent="0.2">
      <c r="A11" s="31"/>
      <c r="B11" s="31"/>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125"/>
    </row>
    <row r="12" spans="1:36" x14ac:dyDescent="0.2">
      <c r="A12" s="31" t="str">
        <f>'Field 1 Depr'!A11</f>
        <v>Capital Eligible for Upstream Depreciation*</v>
      </c>
      <c r="B12" s="31" t="s">
        <v>99</v>
      </c>
      <c r="C12" s="33">
        <f>'Field 2 Depr'!C11</f>
        <v>200</v>
      </c>
      <c r="D12" s="33">
        <f>'Field 2 Depr'!D11</f>
        <v>420</v>
      </c>
      <c r="E12" s="33">
        <f>'Field 2 Depr'!E11</f>
        <v>850</v>
      </c>
      <c r="F12" s="33">
        <f>'Field 2 Depr'!F11</f>
        <v>1900</v>
      </c>
      <c r="G12" s="33">
        <f>'Field 2 Depr'!G11</f>
        <v>1650</v>
      </c>
      <c r="H12" s="33">
        <f>'Field 2 Depr'!H11</f>
        <v>270</v>
      </c>
      <c r="I12" s="33">
        <f>'Field 2 Depr'!I11</f>
        <v>0</v>
      </c>
      <c r="J12" s="33">
        <f>'Field 2 Depr'!J11</f>
        <v>0</v>
      </c>
      <c r="K12" s="33">
        <f>'Field 2 Depr'!K11</f>
        <v>0</v>
      </c>
      <c r="L12" s="33">
        <f>'Field 2 Depr'!L11</f>
        <v>0</v>
      </c>
      <c r="M12" s="33">
        <f>'Field 2 Depr'!M11</f>
        <v>0</v>
      </c>
      <c r="N12" s="33">
        <f>'Field 2 Depr'!N11</f>
        <v>0</v>
      </c>
      <c r="O12" s="33">
        <f>'Field 2 Depr'!O11</f>
        <v>0</v>
      </c>
      <c r="P12" s="33">
        <f>'Field 2 Depr'!P11</f>
        <v>0</v>
      </c>
      <c r="Q12" s="33">
        <f>'Field 2 Depr'!Q11</f>
        <v>0</v>
      </c>
      <c r="R12" s="33">
        <f>'Field 2 Depr'!R11</f>
        <v>0</v>
      </c>
      <c r="S12" s="33">
        <f>'Field 2 Depr'!S11</f>
        <v>0</v>
      </c>
      <c r="T12" s="33">
        <f>'Field 2 Depr'!T11</f>
        <v>0</v>
      </c>
      <c r="U12" s="33">
        <f>'Field 2 Depr'!U11</f>
        <v>0</v>
      </c>
      <c r="V12" s="33">
        <f>'Field 2 Depr'!V11</f>
        <v>0</v>
      </c>
      <c r="W12" s="33">
        <f>'Field 2 Depr'!W11</f>
        <v>0</v>
      </c>
      <c r="X12" s="33">
        <f>'Field 2 Depr'!X11</f>
        <v>0</v>
      </c>
      <c r="Y12" s="33">
        <f>'Field 2 Depr'!Y11</f>
        <v>0</v>
      </c>
      <c r="Z12" s="33">
        <f>'Field 2 Depr'!Z11</f>
        <v>0</v>
      </c>
      <c r="AA12" s="33">
        <f>'Field 2 Depr'!AA11</f>
        <v>0</v>
      </c>
      <c r="AB12" s="33">
        <f>'Field 2 Depr'!AB11</f>
        <v>0</v>
      </c>
      <c r="AC12" s="33">
        <f>'Field 2 Depr'!AC11</f>
        <v>0</v>
      </c>
      <c r="AD12" s="33">
        <f>'Field 2 Depr'!AD11</f>
        <v>0</v>
      </c>
      <c r="AE12" s="33">
        <f>'Field 2 Depr'!AE11</f>
        <v>0</v>
      </c>
      <c r="AF12" s="33">
        <f>'Field 2 Depr'!AF11</f>
        <v>0</v>
      </c>
      <c r="AG12" s="33">
        <f>'Field 2 Depr'!AG11</f>
        <v>0</v>
      </c>
      <c r="AH12" s="33">
        <f>'Field 2 Depr'!AH11</f>
        <v>0</v>
      </c>
      <c r="AI12" s="33">
        <f>'Field 2 Depr'!AI11</f>
        <v>0</v>
      </c>
      <c r="AJ12" s="125">
        <f>SUM(C12:AI12)</f>
        <v>5290</v>
      </c>
    </row>
    <row r="13" spans="1:36" x14ac:dyDescent="0.2">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125"/>
    </row>
    <row r="14" spans="1:36" x14ac:dyDescent="0.2">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125"/>
    </row>
    <row r="15" spans="1:36" s="69" customFormat="1" x14ac:dyDescent="0.2">
      <c r="A15" s="74" t="s">
        <v>238</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131"/>
    </row>
    <row r="16" spans="1:36" x14ac:dyDescent="0.2">
      <c r="A16" t="s">
        <v>239</v>
      </c>
      <c r="B16" s="31" t="s">
        <v>99</v>
      </c>
      <c r="C16" s="8">
        <f>'Field 2 Depr'!C48</f>
        <v>50</v>
      </c>
      <c r="D16" s="8">
        <f>'Field 2 Depr'!D48</f>
        <v>155</v>
      </c>
      <c r="E16" s="8">
        <f>'Field 2 Depr'!E48</f>
        <v>367.5</v>
      </c>
      <c r="F16" s="8">
        <f>'Field 2 Depr'!F48</f>
        <v>842.5</v>
      </c>
      <c r="G16" s="8">
        <f>'Field 2 Depr'!G48</f>
        <v>1205</v>
      </c>
      <c r="H16" s="8">
        <f>'Field 2 Depr'!H48</f>
        <v>1167.5</v>
      </c>
      <c r="I16" s="8">
        <f>'Field 2 Depr'!I48</f>
        <v>955</v>
      </c>
      <c r="J16" s="8">
        <f>'Field 2 Depr'!J48</f>
        <v>480</v>
      </c>
      <c r="K16" s="8">
        <f>'Field 2 Depr'!K48</f>
        <v>67.5</v>
      </c>
      <c r="L16" s="8">
        <f>'Field 2 Depr'!L48</f>
        <v>0</v>
      </c>
      <c r="M16" s="8">
        <f>'Field 2 Depr'!M48</f>
        <v>0</v>
      </c>
      <c r="N16" s="8">
        <f>'Field 2 Depr'!N48</f>
        <v>0</v>
      </c>
      <c r="O16" s="8">
        <f>'Field 2 Depr'!O48</f>
        <v>0</v>
      </c>
      <c r="P16" s="8">
        <f>'Field 2 Depr'!P48</f>
        <v>0</v>
      </c>
      <c r="Q16" s="8">
        <f>'Field 2 Depr'!Q48</f>
        <v>0</v>
      </c>
      <c r="R16" s="8">
        <f>'Field 2 Depr'!R48</f>
        <v>0</v>
      </c>
      <c r="S16" s="8">
        <f>'Field 2 Depr'!S48</f>
        <v>0</v>
      </c>
      <c r="T16" s="8">
        <f>'Field 2 Depr'!T48</f>
        <v>0</v>
      </c>
      <c r="U16" s="8">
        <f>'Field 2 Depr'!U48</f>
        <v>0</v>
      </c>
      <c r="V16" s="8">
        <f>'Field 2 Depr'!V48</f>
        <v>0</v>
      </c>
      <c r="W16" s="8">
        <f>'Field 2 Depr'!W48</f>
        <v>0</v>
      </c>
      <c r="X16" s="8">
        <f>'Field 2 Depr'!X48</f>
        <v>0</v>
      </c>
      <c r="Y16" s="8">
        <f>'Field 2 Depr'!Y48</f>
        <v>0</v>
      </c>
      <c r="Z16" s="8">
        <f>'Field 2 Depr'!Z48</f>
        <v>0</v>
      </c>
      <c r="AA16" s="8">
        <f>'Field 2 Depr'!AA48</f>
        <v>0</v>
      </c>
      <c r="AB16" s="8">
        <f>'Field 2 Depr'!AB48</f>
        <v>0</v>
      </c>
      <c r="AC16" s="8">
        <f>'Field 2 Depr'!AC48</f>
        <v>0</v>
      </c>
      <c r="AD16" s="8">
        <f>'Field 2 Depr'!AD48</f>
        <v>0</v>
      </c>
      <c r="AE16" s="8">
        <f>'Field 2 Depr'!AE48</f>
        <v>0</v>
      </c>
      <c r="AF16" s="8">
        <f>'Field 2 Depr'!AF48</f>
        <v>0</v>
      </c>
      <c r="AG16" s="8">
        <f>'Field 2 Depr'!AG48</f>
        <v>0</v>
      </c>
      <c r="AH16" s="8">
        <f>'Field 2 Depr'!AH48</f>
        <v>0</v>
      </c>
      <c r="AI16" s="8">
        <f>'Field 2 Depr'!AI48</f>
        <v>0</v>
      </c>
      <c r="AJ16" s="125">
        <f t="shared" ref="AJ16:AJ22" si="1">SUM(C16:AI16)</f>
        <v>5290</v>
      </c>
    </row>
    <row r="17" spans="1:36" x14ac:dyDescent="0.2">
      <c r="A17" t="s">
        <v>240</v>
      </c>
      <c r="B17" s="31" t="s">
        <v>99</v>
      </c>
      <c r="C17" s="8">
        <f>'Assumptions &amp; Results'!C114</f>
        <v>1000</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125"/>
    </row>
    <row r="18" spans="1:36" x14ac:dyDescent="0.2">
      <c r="A18" t="s">
        <v>241</v>
      </c>
      <c r="B18" s="31" t="s">
        <v>99</v>
      </c>
      <c r="C18" s="8">
        <f>C9+C16+C17+C10</f>
        <v>1050</v>
      </c>
      <c r="D18" s="8">
        <f t="shared" ref="D18:AI18" si="2">D9+D16+D17+D10</f>
        <v>155</v>
      </c>
      <c r="E18" s="8">
        <f t="shared" si="2"/>
        <v>367.5</v>
      </c>
      <c r="F18" s="8">
        <f t="shared" si="2"/>
        <v>842.5</v>
      </c>
      <c r="G18" s="8">
        <f t="shared" si="2"/>
        <v>1506.6068</v>
      </c>
      <c r="H18" s="8">
        <f t="shared" si="2"/>
        <v>1770.7136</v>
      </c>
      <c r="I18" s="8">
        <f t="shared" si="2"/>
        <v>1558.2136</v>
      </c>
      <c r="J18" s="8">
        <f t="shared" si="2"/>
        <v>1083.2136</v>
      </c>
      <c r="K18" s="8">
        <f t="shared" si="2"/>
        <v>670.71360000000004</v>
      </c>
      <c r="L18" s="8">
        <f t="shared" si="2"/>
        <v>603.21360000000004</v>
      </c>
      <c r="M18" s="8">
        <f t="shared" si="2"/>
        <v>603.21360000000004</v>
      </c>
      <c r="N18" s="8">
        <f t="shared" si="2"/>
        <v>603.21360000000004</v>
      </c>
      <c r="O18" s="8">
        <f t="shared" si="2"/>
        <v>603.21360000000004</v>
      </c>
      <c r="P18" s="8">
        <f t="shared" si="2"/>
        <v>603.21360000000004</v>
      </c>
      <c r="Q18" s="8">
        <f t="shared" si="2"/>
        <v>603.21360000000004</v>
      </c>
      <c r="R18" s="8">
        <f t="shared" si="2"/>
        <v>603.21360000000004</v>
      </c>
      <c r="S18" s="8">
        <f t="shared" si="2"/>
        <v>603.21360000000004</v>
      </c>
      <c r="T18" s="8">
        <f t="shared" si="2"/>
        <v>603.21360000000004</v>
      </c>
      <c r="U18" s="8">
        <f t="shared" si="2"/>
        <v>603.21360000000004</v>
      </c>
      <c r="V18" s="8">
        <f t="shared" si="2"/>
        <v>603.21360000000004</v>
      </c>
      <c r="W18" s="8">
        <f t="shared" si="2"/>
        <v>603.21360000000004</v>
      </c>
      <c r="X18" s="8">
        <f t="shared" si="2"/>
        <v>603.21360000000004</v>
      </c>
      <c r="Y18" s="8">
        <f t="shared" si="2"/>
        <v>603.21360000000004</v>
      </c>
      <c r="Z18" s="8">
        <f t="shared" si="2"/>
        <v>603.21360000000004</v>
      </c>
      <c r="AA18" s="8">
        <f t="shared" si="2"/>
        <v>603.21360000000004</v>
      </c>
      <c r="AB18" s="8">
        <f t="shared" si="2"/>
        <v>603.21360000000004</v>
      </c>
      <c r="AC18" s="8">
        <f t="shared" si="2"/>
        <v>603.21360000000004</v>
      </c>
      <c r="AD18" s="8">
        <f t="shared" si="2"/>
        <v>603.21360000000004</v>
      </c>
      <c r="AE18" s="8">
        <f t="shared" si="2"/>
        <v>603.21360000000004</v>
      </c>
      <c r="AF18" s="8">
        <f t="shared" si="2"/>
        <v>603.21360000000004</v>
      </c>
      <c r="AG18" s="8">
        <f t="shared" si="2"/>
        <v>903.21360000000004</v>
      </c>
      <c r="AH18" s="8">
        <f t="shared" si="2"/>
        <v>903.21360000000004</v>
      </c>
      <c r="AI18" s="8">
        <f t="shared" si="2"/>
        <v>1203.2136</v>
      </c>
      <c r="AJ18" s="125">
        <f t="shared" si="1"/>
        <v>24681.587599999981</v>
      </c>
    </row>
    <row r="19" spans="1:36" x14ac:dyDescent="0.2">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125">
        <f t="shared" si="1"/>
        <v>0</v>
      </c>
    </row>
    <row r="20" spans="1:36" x14ac:dyDescent="0.2">
      <c r="A20" t="s">
        <v>242</v>
      </c>
      <c r="B20" s="31" t="s">
        <v>99</v>
      </c>
      <c r="C20" s="8">
        <f>'Assumptions &amp; Results'!$C$118*C7</f>
        <v>0</v>
      </c>
      <c r="D20" s="8">
        <f>'Assumptions &amp; Results'!$C$118*D7</f>
        <v>0</v>
      </c>
      <c r="E20" s="8">
        <f>'Assumptions &amp; Results'!$C$118*E7</f>
        <v>0</v>
      </c>
      <c r="F20" s="8">
        <f>'Assumptions &amp; Results'!$C$118*F7</f>
        <v>0</v>
      </c>
      <c r="G20" s="8">
        <f>'Assumptions &amp; Results'!$C$118*G7</f>
        <v>743.48515312500024</v>
      </c>
      <c r="H20" s="8">
        <f>'Assumptions &amp; Results'!$C$118*H7</f>
        <v>1486.9703062500005</v>
      </c>
      <c r="I20" s="8">
        <f>'Assumptions &amp; Results'!$C$118*I7</f>
        <v>1486.9703062500005</v>
      </c>
      <c r="J20" s="8">
        <f>'Assumptions &amp; Results'!$C$118*J7</f>
        <v>1487.40189365625</v>
      </c>
      <c r="K20" s="8">
        <f>'Assumptions &amp; Results'!$C$118*K7</f>
        <v>1486.9703062500005</v>
      </c>
      <c r="L20" s="8">
        <f>'Assumptions &amp; Results'!$C$118*L7</f>
        <v>1486.9703062500005</v>
      </c>
      <c r="M20" s="8">
        <f>'Assumptions &amp; Results'!$C$118*M7</f>
        <v>1486.9703062500005</v>
      </c>
      <c r="N20" s="8">
        <f>'Assumptions &amp; Results'!$C$118*N7</f>
        <v>1486.9703062500005</v>
      </c>
      <c r="O20" s="8">
        <f>'Assumptions &amp; Results'!$C$118*O7</f>
        <v>1487.40189365625</v>
      </c>
      <c r="P20" s="8">
        <f>'Assumptions &amp; Results'!$C$118*P7</f>
        <v>1486.9703062500005</v>
      </c>
      <c r="Q20" s="8">
        <f>'Assumptions &amp; Results'!$C$118*Q7</f>
        <v>1486.9703062500005</v>
      </c>
      <c r="R20" s="8">
        <f>'Assumptions &amp; Results'!$C$118*R7</f>
        <v>1486.9703062500005</v>
      </c>
      <c r="S20" s="8">
        <f>'Assumptions &amp; Results'!$C$118*S7</f>
        <v>1486.9703062500005</v>
      </c>
      <c r="T20" s="8">
        <f>'Assumptions &amp; Results'!$C$118*T7</f>
        <v>1487.40189365625</v>
      </c>
      <c r="U20" s="8">
        <f>'Assumptions &amp; Results'!$C$118*U7</f>
        <v>1486.9703062500005</v>
      </c>
      <c r="V20" s="8">
        <f>'Assumptions &amp; Results'!$C$118*V7</f>
        <v>1486.9703062500005</v>
      </c>
      <c r="W20" s="8">
        <f>'Assumptions &amp; Results'!$C$118*W7</f>
        <v>1486.9703062500005</v>
      </c>
      <c r="X20" s="8">
        <f>'Assumptions &amp; Results'!$C$118*X7</f>
        <v>1486.9703062500005</v>
      </c>
      <c r="Y20" s="8">
        <f>'Assumptions &amp; Results'!$C$118*Y7</f>
        <v>1487.40189365625</v>
      </c>
      <c r="Z20" s="8">
        <f>'Assumptions &amp; Results'!$C$118*Z7</f>
        <v>1486.9703062500005</v>
      </c>
      <c r="AA20" s="8">
        <f>'Assumptions &amp; Results'!$C$118*AA7</f>
        <v>1486.9703062500005</v>
      </c>
      <c r="AB20" s="8">
        <f>'Assumptions &amp; Results'!$C$118*AB7</f>
        <v>1486.9703062500005</v>
      </c>
      <c r="AC20" s="8">
        <f>'Assumptions &amp; Results'!$C$118*AC7</f>
        <v>1486.9703062500005</v>
      </c>
      <c r="AD20" s="8">
        <f>'Assumptions &amp; Results'!$C$118*AD7</f>
        <v>1487.40189365625</v>
      </c>
      <c r="AE20" s="8">
        <f>'Assumptions &amp; Results'!$C$118*AE7</f>
        <v>1486.9703062500005</v>
      </c>
      <c r="AF20" s="8">
        <f>'Assumptions &amp; Results'!$C$118*AF7</f>
        <v>1486.9703062500005</v>
      </c>
      <c r="AG20" s="8">
        <f>'Assumptions &amp; Results'!$C$118*AG7</f>
        <v>1486.9703062500005</v>
      </c>
      <c r="AH20" s="8">
        <f>'Assumptions &amp; Results'!$C$118*AH7</f>
        <v>1486.9703062500005</v>
      </c>
      <c r="AI20" s="8">
        <f>'Assumptions &amp; Results'!$C$118*AI7</f>
        <v>1486.9703062500005</v>
      </c>
      <c r="AJ20" s="125">
        <f t="shared" si="1"/>
        <v>42380.811665156252</v>
      </c>
    </row>
    <row r="21" spans="1:36" x14ac:dyDescent="0.2">
      <c r="A21" t="s">
        <v>243</v>
      </c>
      <c r="B21" s="31" t="s">
        <v>99</v>
      </c>
      <c r="C21" s="8">
        <f t="shared" ref="C21:AI21" si="3">MAX(C18-C20,0)</f>
        <v>1050</v>
      </c>
      <c r="D21" s="8">
        <f t="shared" si="3"/>
        <v>155</v>
      </c>
      <c r="E21" s="8">
        <f t="shared" si="3"/>
        <v>367.5</v>
      </c>
      <c r="F21" s="8">
        <f t="shared" si="3"/>
        <v>842.5</v>
      </c>
      <c r="G21" s="8">
        <f t="shared" si="3"/>
        <v>763.12164687499978</v>
      </c>
      <c r="H21" s="8">
        <f t="shared" si="3"/>
        <v>283.74329374999957</v>
      </c>
      <c r="I21" s="8">
        <f t="shared" si="3"/>
        <v>71.243293749999566</v>
      </c>
      <c r="J21" s="8">
        <f t="shared" si="3"/>
        <v>0</v>
      </c>
      <c r="K21" s="8">
        <f t="shared" si="3"/>
        <v>0</v>
      </c>
      <c r="L21" s="8">
        <f t="shared" si="3"/>
        <v>0</v>
      </c>
      <c r="M21" s="8">
        <f t="shared" si="3"/>
        <v>0</v>
      </c>
      <c r="N21" s="8">
        <f t="shared" si="3"/>
        <v>0</v>
      </c>
      <c r="O21" s="8">
        <f t="shared" si="3"/>
        <v>0</v>
      </c>
      <c r="P21" s="8">
        <f t="shared" si="3"/>
        <v>0</v>
      </c>
      <c r="Q21" s="8">
        <f t="shared" si="3"/>
        <v>0</v>
      </c>
      <c r="R21" s="8">
        <f t="shared" si="3"/>
        <v>0</v>
      </c>
      <c r="S21" s="8">
        <f t="shared" si="3"/>
        <v>0</v>
      </c>
      <c r="T21" s="8">
        <f t="shared" si="3"/>
        <v>0</v>
      </c>
      <c r="U21" s="8">
        <f t="shared" si="3"/>
        <v>0</v>
      </c>
      <c r="V21" s="8">
        <f t="shared" si="3"/>
        <v>0</v>
      </c>
      <c r="W21" s="8">
        <f t="shared" si="3"/>
        <v>0</v>
      </c>
      <c r="X21" s="8">
        <f t="shared" si="3"/>
        <v>0</v>
      </c>
      <c r="Y21" s="8">
        <f t="shared" si="3"/>
        <v>0</v>
      </c>
      <c r="Z21" s="8">
        <f t="shared" si="3"/>
        <v>0</v>
      </c>
      <c r="AA21" s="8">
        <f t="shared" si="3"/>
        <v>0</v>
      </c>
      <c r="AB21" s="8">
        <f t="shared" si="3"/>
        <v>0</v>
      </c>
      <c r="AC21" s="8">
        <f t="shared" si="3"/>
        <v>0</v>
      </c>
      <c r="AD21" s="8">
        <f t="shared" si="3"/>
        <v>0</v>
      </c>
      <c r="AE21" s="8">
        <f t="shared" si="3"/>
        <v>0</v>
      </c>
      <c r="AF21" s="8">
        <f t="shared" si="3"/>
        <v>0</v>
      </c>
      <c r="AG21" s="8">
        <f t="shared" si="3"/>
        <v>0</v>
      </c>
      <c r="AH21" s="8">
        <f t="shared" si="3"/>
        <v>0</v>
      </c>
      <c r="AI21" s="8">
        <f t="shared" si="3"/>
        <v>0</v>
      </c>
      <c r="AJ21" s="125">
        <f t="shared" si="1"/>
        <v>3533.1082343749995</v>
      </c>
    </row>
    <row r="22" spans="1:36" x14ac:dyDescent="0.2">
      <c r="A22" t="s">
        <v>244</v>
      </c>
      <c r="B22" s="31" t="s">
        <v>99</v>
      </c>
      <c r="C22" s="8">
        <f>MIN(C18,C20)</f>
        <v>0</v>
      </c>
      <c r="D22" s="8">
        <f t="shared" ref="D22:AI22" si="4">MIN(D20,D18+C23)</f>
        <v>0</v>
      </c>
      <c r="E22" s="8">
        <f t="shared" si="4"/>
        <v>0</v>
      </c>
      <c r="F22" s="8">
        <f t="shared" si="4"/>
        <v>0</v>
      </c>
      <c r="G22" s="8">
        <f t="shared" si="4"/>
        <v>743.48515312500024</v>
      </c>
      <c r="H22" s="8">
        <f t="shared" si="4"/>
        <v>1486.9703062500005</v>
      </c>
      <c r="I22" s="8">
        <f t="shared" si="4"/>
        <v>1486.9703062500005</v>
      </c>
      <c r="J22" s="8">
        <f t="shared" si="4"/>
        <v>1487.40189365625</v>
      </c>
      <c r="K22" s="8">
        <f t="shared" si="4"/>
        <v>1486.9703062500005</v>
      </c>
      <c r="L22" s="8">
        <f t="shared" si="4"/>
        <v>1486.9703062500005</v>
      </c>
      <c r="M22" s="8">
        <f t="shared" si="4"/>
        <v>1486.9703062500005</v>
      </c>
      <c r="N22" s="8">
        <f t="shared" si="4"/>
        <v>1148.3634219687488</v>
      </c>
      <c r="O22" s="8">
        <f t="shared" si="4"/>
        <v>603.21360000000004</v>
      </c>
      <c r="P22" s="8">
        <f t="shared" si="4"/>
        <v>603.21360000000004</v>
      </c>
      <c r="Q22" s="8">
        <f t="shared" si="4"/>
        <v>603.21360000000004</v>
      </c>
      <c r="R22" s="8">
        <f t="shared" si="4"/>
        <v>603.21360000000004</v>
      </c>
      <c r="S22" s="8">
        <f t="shared" si="4"/>
        <v>603.21360000000004</v>
      </c>
      <c r="T22" s="8">
        <f t="shared" si="4"/>
        <v>603.21360000000004</v>
      </c>
      <c r="U22" s="8">
        <f t="shared" si="4"/>
        <v>603.21360000000004</v>
      </c>
      <c r="V22" s="8">
        <f t="shared" si="4"/>
        <v>603.21360000000004</v>
      </c>
      <c r="W22" s="8">
        <f t="shared" si="4"/>
        <v>603.21360000000004</v>
      </c>
      <c r="X22" s="8">
        <f t="shared" si="4"/>
        <v>603.21360000000004</v>
      </c>
      <c r="Y22" s="8">
        <f t="shared" si="4"/>
        <v>603.21360000000004</v>
      </c>
      <c r="Z22" s="8">
        <f t="shared" si="4"/>
        <v>603.21360000000004</v>
      </c>
      <c r="AA22" s="8">
        <f t="shared" si="4"/>
        <v>603.21360000000004</v>
      </c>
      <c r="AB22" s="8">
        <f t="shared" si="4"/>
        <v>603.21360000000004</v>
      </c>
      <c r="AC22" s="8">
        <f t="shared" si="4"/>
        <v>603.21360000000004</v>
      </c>
      <c r="AD22" s="8">
        <f t="shared" si="4"/>
        <v>603.21360000000004</v>
      </c>
      <c r="AE22" s="8">
        <f t="shared" si="4"/>
        <v>603.21360000000004</v>
      </c>
      <c r="AF22" s="8">
        <f t="shared" si="4"/>
        <v>603.21360000000004</v>
      </c>
      <c r="AG22" s="8">
        <f t="shared" si="4"/>
        <v>903.21360000000004</v>
      </c>
      <c r="AH22" s="8">
        <f t="shared" si="4"/>
        <v>903.21360000000004</v>
      </c>
      <c r="AI22" s="8">
        <f t="shared" si="4"/>
        <v>1203.2136</v>
      </c>
      <c r="AJ22" s="125">
        <f t="shared" si="1"/>
        <v>24681.587599999984</v>
      </c>
    </row>
    <row r="23" spans="1:36" x14ac:dyDescent="0.2">
      <c r="A23" t="s">
        <v>245</v>
      </c>
      <c r="B23" s="31" t="s">
        <v>99</v>
      </c>
      <c r="C23" s="8">
        <f>C18-C22</f>
        <v>1050</v>
      </c>
      <c r="D23" s="8">
        <f t="shared" ref="D23:AI23" si="5">D18-D22+C23</f>
        <v>1205</v>
      </c>
      <c r="E23" s="8">
        <f t="shared" si="5"/>
        <v>1572.5</v>
      </c>
      <c r="F23" s="8">
        <f t="shared" si="5"/>
        <v>2415</v>
      </c>
      <c r="G23" s="8">
        <f t="shared" si="5"/>
        <v>3178.1216468749999</v>
      </c>
      <c r="H23" s="8">
        <f t="shared" si="5"/>
        <v>3461.8649406249997</v>
      </c>
      <c r="I23" s="8">
        <f t="shared" si="5"/>
        <v>3533.1082343749995</v>
      </c>
      <c r="J23" s="8">
        <f t="shared" si="5"/>
        <v>3128.9199407187498</v>
      </c>
      <c r="K23" s="8">
        <f t="shared" si="5"/>
        <v>2312.6632344687496</v>
      </c>
      <c r="L23" s="8">
        <f t="shared" si="5"/>
        <v>1428.9065282187491</v>
      </c>
      <c r="M23" s="8">
        <f t="shared" si="5"/>
        <v>545.14982196874871</v>
      </c>
      <c r="N23" s="8">
        <f t="shared" si="5"/>
        <v>0</v>
      </c>
      <c r="O23" s="8">
        <f t="shared" si="5"/>
        <v>0</v>
      </c>
      <c r="P23" s="8">
        <f t="shared" si="5"/>
        <v>0</v>
      </c>
      <c r="Q23" s="8">
        <f t="shared" si="5"/>
        <v>0</v>
      </c>
      <c r="R23" s="8">
        <f t="shared" si="5"/>
        <v>0</v>
      </c>
      <c r="S23" s="8">
        <f t="shared" si="5"/>
        <v>0</v>
      </c>
      <c r="T23" s="8">
        <f t="shared" si="5"/>
        <v>0</v>
      </c>
      <c r="U23" s="8">
        <f t="shared" si="5"/>
        <v>0</v>
      </c>
      <c r="V23" s="8">
        <f t="shared" si="5"/>
        <v>0</v>
      </c>
      <c r="W23" s="8">
        <f t="shared" si="5"/>
        <v>0</v>
      </c>
      <c r="X23" s="8">
        <f t="shared" si="5"/>
        <v>0</v>
      </c>
      <c r="Y23" s="8">
        <f t="shared" si="5"/>
        <v>0</v>
      </c>
      <c r="Z23" s="8">
        <f t="shared" si="5"/>
        <v>0</v>
      </c>
      <c r="AA23" s="8">
        <f t="shared" si="5"/>
        <v>0</v>
      </c>
      <c r="AB23" s="8">
        <f t="shared" si="5"/>
        <v>0</v>
      </c>
      <c r="AC23" s="8">
        <f t="shared" si="5"/>
        <v>0</v>
      </c>
      <c r="AD23" s="8">
        <f t="shared" si="5"/>
        <v>0</v>
      </c>
      <c r="AE23" s="8">
        <f t="shared" si="5"/>
        <v>0</v>
      </c>
      <c r="AF23" s="8">
        <f t="shared" si="5"/>
        <v>0</v>
      </c>
      <c r="AG23" s="8">
        <f t="shared" si="5"/>
        <v>0</v>
      </c>
      <c r="AH23" s="8">
        <f t="shared" si="5"/>
        <v>0</v>
      </c>
      <c r="AI23" s="8">
        <f t="shared" si="5"/>
        <v>0</v>
      </c>
      <c r="AJ23" s="125"/>
    </row>
    <row r="24" spans="1:36" x14ac:dyDescent="0.2">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125"/>
    </row>
    <row r="25" spans="1:36" s="69" customFormat="1" x14ac:dyDescent="0.2">
      <c r="A25" s="74" t="s">
        <v>246</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131"/>
    </row>
    <row r="26" spans="1:36" x14ac:dyDescent="0.2">
      <c r="A26" s="2" t="s">
        <v>247</v>
      </c>
      <c r="B26" t="s">
        <v>99</v>
      </c>
      <c r="C26" s="8">
        <f>'Assumptions &amp; Results'!$C$125*C5</f>
        <v>0</v>
      </c>
      <c r="D26" s="8">
        <f>'Assumptions &amp; Results'!$C$125*D5</f>
        <v>0</v>
      </c>
      <c r="E26" s="8">
        <f>'Assumptions &amp; Results'!$C$125*E5</f>
        <v>0</v>
      </c>
      <c r="F26" s="8">
        <f>'Assumptions &amp; Results'!$C$125*F5</f>
        <v>0</v>
      </c>
      <c r="G26" s="8">
        <f>'Assumptions &amp; Results'!$C$125*G5</f>
        <v>70.169653125000011</v>
      </c>
      <c r="H26" s="8">
        <f>'Assumptions &amp; Results'!$C$125*H5</f>
        <v>140.33930625000002</v>
      </c>
      <c r="I26" s="8">
        <f>'Assumptions &amp; Results'!$C$125*I5</f>
        <v>140.33930625000002</v>
      </c>
      <c r="J26" s="8">
        <f>'Assumptions &amp; Results'!$C$125*J5</f>
        <v>133.36750968749999</v>
      </c>
      <c r="K26" s="8">
        <f>'Assumptions &amp; Results'!$C$125*K5</f>
        <v>140.33930625000002</v>
      </c>
      <c r="L26" s="8">
        <f>'Assumptions &amp; Results'!$C$125*L5</f>
        <v>140.33930625000002</v>
      </c>
      <c r="M26" s="8">
        <f>'Assumptions &amp; Results'!$C$125*M5</f>
        <v>140.33930625000002</v>
      </c>
      <c r="N26" s="8">
        <f>'Assumptions &amp; Results'!$C$125*N5</f>
        <v>140.33930625000002</v>
      </c>
      <c r="O26" s="8">
        <f>'Assumptions &amp; Results'!$C$125*O5</f>
        <v>133.36750968749999</v>
      </c>
      <c r="P26" s="8">
        <f>'Assumptions &amp; Results'!$C$125*P5</f>
        <v>140.33930625000002</v>
      </c>
      <c r="Q26" s="8">
        <f>'Assumptions &amp; Results'!$C$125*Q5</f>
        <v>140.33930625000002</v>
      </c>
      <c r="R26" s="8">
        <f>'Assumptions &amp; Results'!$C$125*R5</f>
        <v>140.33930625000002</v>
      </c>
      <c r="S26" s="8">
        <f>'Assumptions &amp; Results'!$C$125*S5</f>
        <v>140.33930625000002</v>
      </c>
      <c r="T26" s="8">
        <f>'Assumptions &amp; Results'!$C$125*T5</f>
        <v>133.36750968749999</v>
      </c>
      <c r="U26" s="8">
        <f>'Assumptions &amp; Results'!$C$125*U5</f>
        <v>140.33930625000002</v>
      </c>
      <c r="V26" s="8">
        <f>'Assumptions &amp; Results'!$C$125*V5</f>
        <v>140.33930625000002</v>
      </c>
      <c r="W26" s="8">
        <f>'Assumptions &amp; Results'!$C$125*W5</f>
        <v>140.33930625000002</v>
      </c>
      <c r="X26" s="8">
        <f>'Assumptions &amp; Results'!$C$125*X5</f>
        <v>140.33930625000002</v>
      </c>
      <c r="Y26" s="8">
        <f>'Assumptions &amp; Results'!$C$125*Y5</f>
        <v>133.36750968749999</v>
      </c>
      <c r="Z26" s="8">
        <f>'Assumptions &amp; Results'!$C$125*Z5</f>
        <v>140.33930625000002</v>
      </c>
      <c r="AA26" s="8">
        <f>'Assumptions &amp; Results'!$C$125*AA5</f>
        <v>140.33930625000002</v>
      </c>
      <c r="AB26" s="8">
        <f>'Assumptions &amp; Results'!$C$125*AB5</f>
        <v>140.33930625000002</v>
      </c>
      <c r="AC26" s="8">
        <f>'Assumptions &amp; Results'!$C$125*AC5</f>
        <v>140.33930625000002</v>
      </c>
      <c r="AD26" s="8">
        <f>'Assumptions &amp; Results'!$C$125*AD5</f>
        <v>133.36750968749999</v>
      </c>
      <c r="AE26" s="8">
        <f>'Assumptions &amp; Results'!$C$125*AE5</f>
        <v>140.33930625000002</v>
      </c>
      <c r="AF26" s="8">
        <f>'Assumptions &amp; Results'!$C$125*AF5</f>
        <v>140.33930625000002</v>
      </c>
      <c r="AG26" s="8">
        <f>'Assumptions &amp; Results'!$C$125*AG5</f>
        <v>140.33930625000002</v>
      </c>
      <c r="AH26" s="8">
        <f>'Assumptions &amp; Results'!$C$125*AH5</f>
        <v>140.33930625000002</v>
      </c>
      <c r="AI26" s="8">
        <f>'Assumptions &amp; Results'!$C$125*AI5</f>
        <v>140.33930625000002</v>
      </c>
      <c r="AJ26" s="125">
        <f>SUM(C26:AI26)</f>
        <v>3964.8112453124991</v>
      </c>
    </row>
    <row r="27" spans="1:36" x14ac:dyDescent="0.2">
      <c r="A27" s="2"/>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125"/>
    </row>
    <row r="28" spans="1:36" x14ac:dyDescent="0.2">
      <c r="A28" s="3" t="s">
        <v>248</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125"/>
    </row>
    <row r="29" spans="1:36" x14ac:dyDescent="0.2">
      <c r="A29" s="2" t="s">
        <v>249</v>
      </c>
      <c r="B29" s="96" t="s">
        <v>99</v>
      </c>
      <c r="C29" s="8">
        <f>C46+C22-C9</f>
        <v>0</v>
      </c>
      <c r="D29" s="8">
        <f t="shared" ref="D29:AI29" si="6">D46+D22-D9+C29</f>
        <v>0</v>
      </c>
      <c r="E29" s="8">
        <f t="shared" si="6"/>
        <v>0</v>
      </c>
      <c r="F29" s="8">
        <f t="shared" si="6"/>
        <v>0</v>
      </c>
      <c r="G29" s="8">
        <f t="shared" si="6"/>
        <v>802.18269656250027</v>
      </c>
      <c r="H29" s="8">
        <f t="shared" si="6"/>
        <v>2406.5480896875006</v>
      </c>
      <c r="I29" s="8">
        <f t="shared" si="6"/>
        <v>4010.9134828125011</v>
      </c>
      <c r="J29" s="8">
        <f t="shared" si="6"/>
        <v>5615.9196172406264</v>
      </c>
      <c r="K29" s="8">
        <f t="shared" si="6"/>
        <v>7140.2173784906272</v>
      </c>
      <c r="L29" s="8">
        <f t="shared" si="6"/>
        <v>8664.515139740628</v>
      </c>
      <c r="M29" s="8">
        <f t="shared" si="6"/>
        <v>10188.81290099063</v>
      </c>
      <c r="N29" s="8">
        <f t="shared" si="6"/>
        <v>11645.389285384379</v>
      </c>
      <c r="O29" s="8">
        <f t="shared" si="6"/>
        <v>12824.957189321878</v>
      </c>
      <c r="P29" s="8">
        <f t="shared" si="6"/>
        <v>14004.060306821879</v>
      </c>
      <c r="Q29" s="8">
        <f t="shared" si="6"/>
        <v>15183.16342432188</v>
      </c>
      <c r="R29" s="8">
        <f t="shared" si="6"/>
        <v>16362.26654182188</v>
      </c>
      <c r="S29" s="8">
        <f t="shared" si="6"/>
        <v>17204.483054321881</v>
      </c>
      <c r="T29" s="8">
        <f t="shared" si="6"/>
        <v>18047.031557134382</v>
      </c>
      <c r="U29" s="8">
        <f t="shared" si="6"/>
        <v>18889.248069634381</v>
      </c>
      <c r="V29" s="8">
        <f t="shared" si="6"/>
        <v>19731.46458213438</v>
      </c>
      <c r="W29" s="8">
        <f t="shared" si="6"/>
        <v>20573.681094634379</v>
      </c>
      <c r="X29" s="8">
        <f t="shared" si="6"/>
        <v>21415.897607134379</v>
      </c>
      <c r="Y29" s="8">
        <f t="shared" si="6"/>
        <v>22089.93640938438</v>
      </c>
      <c r="Z29" s="8">
        <f t="shared" si="6"/>
        <v>22763.709619384379</v>
      </c>
      <c r="AA29" s="8">
        <f t="shared" si="6"/>
        <v>23437.482829384378</v>
      </c>
      <c r="AB29" s="8">
        <f t="shared" si="6"/>
        <v>24111.256039384378</v>
      </c>
      <c r="AC29" s="8">
        <f t="shared" si="6"/>
        <v>24785.029249384377</v>
      </c>
      <c r="AD29" s="8">
        <f t="shared" si="6"/>
        <v>25459.068051634378</v>
      </c>
      <c r="AE29" s="8">
        <f t="shared" si="6"/>
        <v>26132.841261634378</v>
      </c>
      <c r="AF29" s="8">
        <f t="shared" si="6"/>
        <v>26806.614471634377</v>
      </c>
      <c r="AG29" s="8">
        <f t="shared" si="6"/>
        <v>27360.387681634376</v>
      </c>
      <c r="AH29" s="8">
        <f t="shared" si="6"/>
        <v>27914.160891634376</v>
      </c>
      <c r="AI29" s="8">
        <f t="shared" si="6"/>
        <v>28347.934101634375</v>
      </c>
      <c r="AJ29" s="125"/>
    </row>
    <row r="30" spans="1:36" x14ac:dyDescent="0.2">
      <c r="A30" s="2" t="s">
        <v>250</v>
      </c>
      <c r="B30" s="96" t="s">
        <v>99</v>
      </c>
      <c r="C30" s="8">
        <f>C12</f>
        <v>200</v>
      </c>
      <c r="D30" s="8">
        <f>C30+D12</f>
        <v>620</v>
      </c>
      <c r="E30" s="8">
        <f t="shared" ref="E30:AI30" si="7">D30+E12</f>
        <v>1470</v>
      </c>
      <c r="F30" s="8">
        <f t="shared" si="7"/>
        <v>3370</v>
      </c>
      <c r="G30" s="8">
        <f t="shared" si="7"/>
        <v>5020</v>
      </c>
      <c r="H30" s="8">
        <f t="shared" si="7"/>
        <v>5290</v>
      </c>
      <c r="I30" s="8">
        <f t="shared" si="7"/>
        <v>5290</v>
      </c>
      <c r="J30" s="8">
        <f t="shared" si="7"/>
        <v>5290</v>
      </c>
      <c r="K30" s="8">
        <f t="shared" si="7"/>
        <v>5290</v>
      </c>
      <c r="L30" s="8">
        <f t="shared" si="7"/>
        <v>5290</v>
      </c>
      <c r="M30" s="8">
        <f t="shared" si="7"/>
        <v>5290</v>
      </c>
      <c r="N30" s="8">
        <f t="shared" si="7"/>
        <v>5290</v>
      </c>
      <c r="O30" s="8">
        <f t="shared" si="7"/>
        <v>5290</v>
      </c>
      <c r="P30" s="8">
        <f t="shared" si="7"/>
        <v>5290</v>
      </c>
      <c r="Q30" s="8">
        <f t="shared" si="7"/>
        <v>5290</v>
      </c>
      <c r="R30" s="8">
        <f t="shared" si="7"/>
        <v>5290</v>
      </c>
      <c r="S30" s="8">
        <f t="shared" si="7"/>
        <v>5290</v>
      </c>
      <c r="T30" s="8">
        <f t="shared" si="7"/>
        <v>5290</v>
      </c>
      <c r="U30" s="8">
        <f t="shared" si="7"/>
        <v>5290</v>
      </c>
      <c r="V30" s="8">
        <f t="shared" si="7"/>
        <v>5290</v>
      </c>
      <c r="W30" s="8">
        <f t="shared" si="7"/>
        <v>5290</v>
      </c>
      <c r="X30" s="8">
        <f t="shared" si="7"/>
        <v>5290</v>
      </c>
      <c r="Y30" s="8">
        <f t="shared" si="7"/>
        <v>5290</v>
      </c>
      <c r="Z30" s="8">
        <f t="shared" si="7"/>
        <v>5290</v>
      </c>
      <c r="AA30" s="8">
        <f t="shared" si="7"/>
        <v>5290</v>
      </c>
      <c r="AB30" s="8">
        <f t="shared" si="7"/>
        <v>5290</v>
      </c>
      <c r="AC30" s="8">
        <f t="shared" si="7"/>
        <v>5290</v>
      </c>
      <c r="AD30" s="8">
        <f t="shared" si="7"/>
        <v>5290</v>
      </c>
      <c r="AE30" s="8">
        <f t="shared" si="7"/>
        <v>5290</v>
      </c>
      <c r="AF30" s="8">
        <f t="shared" si="7"/>
        <v>5290</v>
      </c>
      <c r="AG30" s="8">
        <f t="shared" si="7"/>
        <v>5290</v>
      </c>
      <c r="AH30" s="8">
        <f t="shared" si="7"/>
        <v>5290</v>
      </c>
      <c r="AI30" s="8">
        <f t="shared" si="7"/>
        <v>5290</v>
      </c>
      <c r="AJ30" s="125"/>
    </row>
    <row r="31" spans="1:36" x14ac:dyDescent="0.2">
      <c r="A31" s="191" t="s">
        <v>251</v>
      </c>
      <c r="B31" s="79"/>
      <c r="C31" s="84">
        <f>IF(C30=0,0,C29/C30)</f>
        <v>0</v>
      </c>
      <c r="D31" s="84">
        <f t="shared" ref="D31:AI31" si="8">IF(D30=0,0,D29/D30)</f>
        <v>0</v>
      </c>
      <c r="E31" s="8">
        <f t="shared" si="8"/>
        <v>0</v>
      </c>
      <c r="F31" s="8">
        <f t="shared" si="8"/>
        <v>0</v>
      </c>
      <c r="G31" s="8">
        <f t="shared" si="8"/>
        <v>0.15979734991284866</v>
      </c>
      <c r="H31" s="8">
        <f t="shared" si="8"/>
        <v>0.45492402451559555</v>
      </c>
      <c r="I31" s="8">
        <f t="shared" si="8"/>
        <v>0.75820670752599262</v>
      </c>
      <c r="J31" s="8">
        <f t="shared" si="8"/>
        <v>1.061610513656073</v>
      </c>
      <c r="K31" s="8">
        <f t="shared" si="8"/>
        <v>1.3497575384670373</v>
      </c>
      <c r="L31" s="8">
        <f t="shared" si="8"/>
        <v>1.6379045632780016</v>
      </c>
      <c r="M31" s="8">
        <f t="shared" si="8"/>
        <v>1.9260515880889659</v>
      </c>
      <c r="N31" s="8">
        <f t="shared" si="8"/>
        <v>2.2013968403373116</v>
      </c>
      <c r="O31" s="8">
        <f t="shared" si="8"/>
        <v>2.4243775405145329</v>
      </c>
      <c r="P31" s="8">
        <f t="shared" si="8"/>
        <v>2.6472703793614136</v>
      </c>
      <c r="Q31" s="8">
        <f t="shared" si="8"/>
        <v>2.8701632182082948</v>
      </c>
      <c r="R31" s="8">
        <f t="shared" si="8"/>
        <v>3.0930560570551759</v>
      </c>
      <c r="S31" s="8">
        <f t="shared" si="8"/>
        <v>3.2522652276600912</v>
      </c>
      <c r="T31" s="8">
        <f t="shared" si="8"/>
        <v>3.4115371563581061</v>
      </c>
      <c r="U31" s="8">
        <f t="shared" si="8"/>
        <v>3.5707463269630209</v>
      </c>
      <c r="V31" s="8">
        <f t="shared" si="8"/>
        <v>3.7299554975679357</v>
      </c>
      <c r="W31" s="8">
        <f t="shared" si="8"/>
        <v>3.8891646681728504</v>
      </c>
      <c r="X31" s="8">
        <f t="shared" si="8"/>
        <v>4.0483738387777652</v>
      </c>
      <c r="Y31" s="8">
        <f t="shared" si="8"/>
        <v>4.175791381736178</v>
      </c>
      <c r="Z31" s="8">
        <f t="shared" si="8"/>
        <v>4.3031587182201099</v>
      </c>
      <c r="AA31" s="8">
        <f t="shared" si="8"/>
        <v>4.4305260547040417</v>
      </c>
      <c r="AB31" s="8">
        <f t="shared" si="8"/>
        <v>4.5578933911879735</v>
      </c>
      <c r="AC31" s="8">
        <f t="shared" si="8"/>
        <v>4.6852607276719054</v>
      </c>
      <c r="AD31" s="8">
        <f t="shared" si="8"/>
        <v>4.8126782706303173</v>
      </c>
      <c r="AE31" s="8">
        <f t="shared" si="8"/>
        <v>4.9400456071142491</v>
      </c>
      <c r="AF31" s="8">
        <f t="shared" si="8"/>
        <v>5.067412943598181</v>
      </c>
      <c r="AG31" s="8">
        <f t="shared" si="8"/>
        <v>5.172095970063209</v>
      </c>
      <c r="AH31" s="8">
        <f t="shared" si="8"/>
        <v>5.276778996528237</v>
      </c>
      <c r="AI31" s="8">
        <f t="shared" si="8"/>
        <v>5.3587777129743621</v>
      </c>
    </row>
    <row r="32" spans="1:36" x14ac:dyDescent="0.2">
      <c r="A32" s="78" t="s">
        <v>252</v>
      </c>
      <c r="B32" s="79" t="s">
        <v>69</v>
      </c>
      <c r="C32" s="153">
        <f>LOOKUP(B31,'Assumptions &amp; Results'!$C$131:$I$131,'Assumptions &amp; Results'!$C$132:$I$132)</f>
        <v>0.1</v>
      </c>
      <c r="D32" s="153">
        <f>LOOKUP(C31,'Assumptions &amp; Results'!$C$131:$I$131,'Assumptions &amp; Results'!$C$132:$I$132)</f>
        <v>0.1</v>
      </c>
      <c r="E32" s="6">
        <f>LOOKUP(D31,'Assumptions &amp; Results'!$C$131:$I$131,'Assumptions &amp; Results'!$C$132:$I$132)</f>
        <v>0.1</v>
      </c>
      <c r="F32" s="6">
        <f>LOOKUP(E31,'Assumptions &amp; Results'!$C$131:$I$131,'Assumptions &amp; Results'!$C$132:$I$132)</f>
        <v>0.1</v>
      </c>
      <c r="G32" s="6">
        <f>LOOKUP(F31,'Assumptions &amp; Results'!$C$131:$I$131,'Assumptions &amp; Results'!$C$132:$I$132)</f>
        <v>0.1</v>
      </c>
      <c r="H32" s="6">
        <f>LOOKUP(G31,'Assumptions &amp; Results'!$C$131:$I$131,'Assumptions &amp; Results'!$C$132:$I$132)</f>
        <v>0.1</v>
      </c>
      <c r="I32" s="6">
        <f>LOOKUP(H31,'Assumptions &amp; Results'!$C$131:$I$131,'Assumptions &amp; Results'!$C$132:$I$132)</f>
        <v>0.1</v>
      </c>
      <c r="J32" s="6">
        <f>LOOKUP(I31,'Assumptions &amp; Results'!$C$131:$I$131,'Assumptions &amp; Results'!$C$132:$I$132)</f>
        <v>0.1</v>
      </c>
      <c r="K32" s="6">
        <f>LOOKUP(J31,'Assumptions &amp; Results'!$C$131:$I$131,'Assumptions &amp; Results'!$C$132:$I$132)</f>
        <v>0.2</v>
      </c>
      <c r="L32" s="6">
        <f>LOOKUP(K31,'Assumptions &amp; Results'!$C$131:$I$131,'Assumptions &amp; Results'!$C$132:$I$132)</f>
        <v>0.2</v>
      </c>
      <c r="M32" s="6">
        <f>LOOKUP(L31,'Assumptions &amp; Results'!$C$131:$I$131,'Assumptions &amp; Results'!$C$132:$I$132)</f>
        <v>0.2</v>
      </c>
      <c r="N32" s="6">
        <f>LOOKUP(M31,'Assumptions &amp; Results'!$C$131:$I$131,'Assumptions &amp; Results'!$C$132:$I$132)</f>
        <v>0.2</v>
      </c>
      <c r="O32" s="6">
        <f>LOOKUP(N31,'Assumptions &amp; Results'!$C$131:$I$131,'Assumptions &amp; Results'!$C$132:$I$132)</f>
        <v>0.3</v>
      </c>
      <c r="P32" s="6">
        <f>LOOKUP(O31,'Assumptions &amp; Results'!$C$131:$I$131,'Assumptions &amp; Results'!$C$132:$I$132)</f>
        <v>0.3</v>
      </c>
      <c r="Q32" s="6">
        <f>LOOKUP(P31,'Assumptions &amp; Results'!$C$131:$I$131,'Assumptions &amp; Results'!$C$132:$I$132)</f>
        <v>0.3</v>
      </c>
      <c r="R32" s="6">
        <f>LOOKUP(Q31,'Assumptions &amp; Results'!$C$131:$I$131,'Assumptions &amp; Results'!$C$132:$I$132)</f>
        <v>0.3</v>
      </c>
      <c r="S32" s="6">
        <f>LOOKUP(R31,'Assumptions &amp; Results'!$C$131:$I$131,'Assumptions &amp; Results'!$C$132:$I$132)</f>
        <v>0.5</v>
      </c>
      <c r="T32" s="6">
        <f>LOOKUP(S31,'Assumptions &amp; Results'!$C$131:$I$131,'Assumptions &amp; Results'!$C$132:$I$132)</f>
        <v>0.5</v>
      </c>
      <c r="U32" s="6">
        <f>LOOKUP(T31,'Assumptions &amp; Results'!$C$131:$I$131,'Assumptions &amp; Results'!$C$132:$I$132)</f>
        <v>0.5</v>
      </c>
      <c r="V32" s="6">
        <f>LOOKUP(U31,'Assumptions &amp; Results'!$C$131:$I$131,'Assumptions &amp; Results'!$C$132:$I$132)</f>
        <v>0.5</v>
      </c>
      <c r="W32" s="6">
        <f>LOOKUP(V31,'Assumptions &amp; Results'!$C$131:$I$131,'Assumptions &amp; Results'!$C$132:$I$132)</f>
        <v>0.5</v>
      </c>
      <c r="X32" s="6">
        <f>LOOKUP(W31,'Assumptions &amp; Results'!$C$131:$I$131,'Assumptions &amp; Results'!$C$132:$I$132)</f>
        <v>0.5</v>
      </c>
      <c r="Y32" s="6">
        <f>LOOKUP(X31,'Assumptions &amp; Results'!$C$131:$I$131,'Assumptions &amp; Results'!$C$132:$I$132)</f>
        <v>0.6</v>
      </c>
      <c r="Z32" s="6">
        <f>LOOKUP(Y31,'Assumptions &amp; Results'!$C$131:$I$131,'Assumptions &amp; Results'!$C$132:$I$132)</f>
        <v>0.6</v>
      </c>
      <c r="AA32" s="6">
        <f>LOOKUP(Z31,'Assumptions &amp; Results'!$C$131:$I$131,'Assumptions &amp; Results'!$C$132:$I$132)</f>
        <v>0.6</v>
      </c>
      <c r="AB32" s="6">
        <f>LOOKUP(AA31,'Assumptions &amp; Results'!$C$131:$I$131,'Assumptions &amp; Results'!$C$132:$I$132)</f>
        <v>0.6</v>
      </c>
      <c r="AC32" s="6">
        <f>LOOKUP(AB31,'Assumptions &amp; Results'!$C$131:$I$131,'Assumptions &amp; Results'!$C$132:$I$132)</f>
        <v>0.6</v>
      </c>
      <c r="AD32" s="6">
        <f>LOOKUP(AC31,'Assumptions &amp; Results'!$C$131:$I$131,'Assumptions &amp; Results'!$C$132:$I$132)</f>
        <v>0.6</v>
      </c>
      <c r="AE32" s="6">
        <f>LOOKUP(AD31,'Assumptions &amp; Results'!$C$131:$I$131,'Assumptions &amp; Results'!$C$132:$I$132)</f>
        <v>0.6</v>
      </c>
      <c r="AF32" s="6">
        <f>LOOKUP(AE31,'Assumptions &amp; Results'!$C$131:$I$131,'Assumptions &amp; Results'!$C$132:$I$132)</f>
        <v>0.6</v>
      </c>
      <c r="AG32" s="6">
        <f>LOOKUP(AF31,'Assumptions &amp; Results'!$C$131:$I$131,'Assumptions &amp; Results'!$C$132:$I$132)</f>
        <v>0.6</v>
      </c>
      <c r="AH32" s="6">
        <f>LOOKUP(AG31,'Assumptions &amp; Results'!$C$131:$I$131,'Assumptions &amp; Results'!$C$132:$I$132)</f>
        <v>0.6</v>
      </c>
      <c r="AI32" s="6">
        <f>LOOKUP(AH31,'Assumptions &amp; Results'!$C$131:$I$131,'Assumptions &amp; Results'!$C$132:$I$132)</f>
        <v>0.6</v>
      </c>
    </row>
    <row r="33" spans="1:36" x14ac:dyDescent="0.2">
      <c r="A33" s="78"/>
      <c r="B33" s="79"/>
      <c r="C33" s="153"/>
      <c r="D33" s="153"/>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6" x14ac:dyDescent="0.2">
      <c r="A34" s="78" t="s">
        <v>253</v>
      </c>
      <c r="B34" s="79"/>
      <c r="C34" s="84"/>
      <c r="D34" s="84"/>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125"/>
    </row>
    <row r="35" spans="1:36" x14ac:dyDescent="0.2">
      <c r="A35" s="187" t="s">
        <v>254</v>
      </c>
      <c r="B35" s="79"/>
      <c r="C35" s="79">
        <f>'Assumptions &amp; Results'!D22</f>
        <v>0</v>
      </c>
      <c r="D35" s="79">
        <f>'Assumptions &amp; Results'!E22</f>
        <v>0</v>
      </c>
      <c r="E35">
        <f>'Assumptions &amp; Results'!F22</f>
        <v>0</v>
      </c>
      <c r="F35">
        <f>'Assumptions &amp; Results'!G22</f>
        <v>0</v>
      </c>
      <c r="G35">
        <f>'Assumptions &amp; Results'!H22</f>
        <v>825</v>
      </c>
      <c r="H35">
        <f>'Assumptions &amp; Results'!I22</f>
        <v>1650</v>
      </c>
      <c r="I35">
        <f>'Assumptions &amp; Results'!J22</f>
        <v>1650</v>
      </c>
      <c r="J35">
        <f>'Assumptions &amp; Results'!K22</f>
        <v>1650</v>
      </c>
      <c r="K35">
        <f>'Assumptions &amp; Results'!L22</f>
        <v>1650</v>
      </c>
      <c r="L35">
        <f>'Assumptions &amp; Results'!M22</f>
        <v>1650</v>
      </c>
      <c r="M35">
        <f>'Assumptions &amp; Results'!N22</f>
        <v>1650</v>
      </c>
      <c r="N35">
        <f>'Assumptions &amp; Results'!O22</f>
        <v>1650</v>
      </c>
      <c r="O35">
        <f>'Assumptions &amp; Results'!P22</f>
        <v>1650</v>
      </c>
      <c r="P35">
        <f>'Assumptions &amp; Results'!Q22</f>
        <v>1650</v>
      </c>
      <c r="Q35">
        <f>'Assumptions &amp; Results'!R22</f>
        <v>1650</v>
      </c>
      <c r="R35">
        <f>'Assumptions &amp; Results'!S22</f>
        <v>1650</v>
      </c>
      <c r="S35">
        <f>'Assumptions &amp; Results'!T22</f>
        <v>1650</v>
      </c>
      <c r="T35">
        <f>'Assumptions &amp; Results'!U22</f>
        <v>1650</v>
      </c>
      <c r="U35">
        <f>'Assumptions &amp; Results'!V22</f>
        <v>1650</v>
      </c>
      <c r="V35">
        <f>'Assumptions &amp; Results'!W22</f>
        <v>1650</v>
      </c>
      <c r="W35">
        <f>'Assumptions &amp; Results'!X22</f>
        <v>1650</v>
      </c>
      <c r="X35">
        <f>'Assumptions &amp; Results'!Y22</f>
        <v>1650</v>
      </c>
      <c r="Y35">
        <f>'Assumptions &amp; Results'!Z22</f>
        <v>1650</v>
      </c>
      <c r="Z35">
        <f>'Assumptions &amp; Results'!AA22</f>
        <v>1650</v>
      </c>
      <c r="AA35">
        <f>'Assumptions &amp; Results'!AB22</f>
        <v>1650</v>
      </c>
      <c r="AB35">
        <f>'Assumptions &amp; Results'!AC22</f>
        <v>1650</v>
      </c>
      <c r="AC35">
        <f>'Assumptions &amp; Results'!AD22</f>
        <v>1650</v>
      </c>
      <c r="AD35">
        <f>'Assumptions &amp; Results'!AE22</f>
        <v>1650</v>
      </c>
      <c r="AE35">
        <f>'Assumptions &amp; Results'!AF22</f>
        <v>1650</v>
      </c>
      <c r="AF35">
        <f>'Assumptions &amp; Results'!AG22</f>
        <v>1650</v>
      </c>
      <c r="AG35">
        <f>'Assumptions &amp; Results'!AH22</f>
        <v>1650</v>
      </c>
      <c r="AH35">
        <f>'Assumptions &amp; Results'!AI22</f>
        <v>1650</v>
      </c>
      <c r="AI35">
        <f>'Assumptions &amp; Results'!AJ22</f>
        <v>1650</v>
      </c>
      <c r="AJ35" s="125">
        <f>SUM(C35:AI35)</f>
        <v>47025</v>
      </c>
    </row>
    <row r="36" spans="1:36" x14ac:dyDescent="0.2">
      <c r="A36" s="188" t="s">
        <v>255</v>
      </c>
      <c r="B36" s="79"/>
      <c r="C36" s="84">
        <f>MIN(C35,'Assumptions &amp; Results'!$C$135)</f>
        <v>0</v>
      </c>
      <c r="D36" s="84">
        <f>MIN(D35,'Assumptions &amp; Results'!$C$135)</f>
        <v>0</v>
      </c>
      <c r="E36" s="8">
        <f>MIN(E35,'Assumptions &amp; Results'!$C$135)</f>
        <v>0</v>
      </c>
      <c r="F36" s="8">
        <f>MIN(F35,'Assumptions &amp; Results'!$C$135)</f>
        <v>0</v>
      </c>
      <c r="G36" s="8">
        <f>MIN(G35,'Assumptions &amp; Results'!$C$135)</f>
        <v>300</v>
      </c>
      <c r="H36" s="8">
        <f>MIN(H35,'Assumptions &amp; Results'!$C$135)</f>
        <v>300</v>
      </c>
      <c r="I36" s="8">
        <f>MIN(I35,'Assumptions &amp; Results'!$C$135)</f>
        <v>300</v>
      </c>
      <c r="J36" s="8">
        <f>MIN(J35,'Assumptions &amp; Results'!$C$135)</f>
        <v>300</v>
      </c>
      <c r="K36" s="8">
        <f>MIN(K35,'Assumptions &amp; Results'!$C$135)</f>
        <v>300</v>
      </c>
      <c r="L36" s="8">
        <f>MIN(L35,'Assumptions &amp; Results'!$C$135)</f>
        <v>300</v>
      </c>
      <c r="M36" s="8">
        <f>MIN(M35,'Assumptions &amp; Results'!$C$135)</f>
        <v>300</v>
      </c>
      <c r="N36" s="8">
        <f>MIN(N35,'Assumptions &amp; Results'!$C$135)</f>
        <v>300</v>
      </c>
      <c r="O36" s="8">
        <f>MIN(O35,'Assumptions &amp; Results'!$C$135)</f>
        <v>300</v>
      </c>
      <c r="P36" s="8">
        <f>MIN(P35,'Assumptions &amp; Results'!$C$135)</f>
        <v>300</v>
      </c>
      <c r="Q36" s="8">
        <f>MIN(Q35,'Assumptions &amp; Results'!$C$135)</f>
        <v>300</v>
      </c>
      <c r="R36" s="8">
        <f>MIN(R35,'Assumptions &amp; Results'!$C$135)</f>
        <v>300</v>
      </c>
      <c r="S36" s="8">
        <f>MIN(S35,'Assumptions &amp; Results'!$C$135)</f>
        <v>300</v>
      </c>
      <c r="T36" s="8">
        <f>MIN(T35,'Assumptions &amp; Results'!$C$135)</f>
        <v>300</v>
      </c>
      <c r="U36" s="8">
        <f>MIN(U35,'Assumptions &amp; Results'!$C$135)</f>
        <v>300</v>
      </c>
      <c r="V36" s="8">
        <f>MIN(V35,'Assumptions &amp; Results'!$C$135)</f>
        <v>300</v>
      </c>
      <c r="W36" s="8">
        <f>MIN(W35,'Assumptions &amp; Results'!$C$135)</f>
        <v>300</v>
      </c>
      <c r="X36" s="8">
        <f>MIN(X35,'Assumptions &amp; Results'!$C$135)</f>
        <v>300</v>
      </c>
      <c r="Y36" s="8">
        <f>MIN(Y35,'Assumptions &amp; Results'!$C$135)</f>
        <v>300</v>
      </c>
      <c r="Z36" s="8">
        <f>MIN(Z35,'Assumptions &amp; Results'!$C$135)</f>
        <v>300</v>
      </c>
      <c r="AA36" s="8">
        <f>MIN(AA35,'Assumptions &amp; Results'!$C$135)</f>
        <v>300</v>
      </c>
      <c r="AB36" s="8">
        <f>MIN(AB35,'Assumptions &amp; Results'!$C$135)</f>
        <v>300</v>
      </c>
      <c r="AC36" s="8">
        <f>MIN(AC35,'Assumptions &amp; Results'!$C$135)</f>
        <v>300</v>
      </c>
      <c r="AD36" s="8">
        <f>MIN(AD35,'Assumptions &amp; Results'!$C$135)</f>
        <v>300</v>
      </c>
      <c r="AE36" s="8">
        <f>MIN(AE35,'Assumptions &amp; Results'!$C$135)</f>
        <v>300</v>
      </c>
      <c r="AF36" s="8">
        <f>MIN(AF35,'Assumptions &amp; Results'!$C$135)</f>
        <v>300</v>
      </c>
      <c r="AG36" s="8">
        <f>MIN(AG35,'Assumptions &amp; Results'!$C$135)</f>
        <v>300</v>
      </c>
      <c r="AH36" s="8">
        <f>MIN(AH35,'Assumptions &amp; Results'!$C$135)</f>
        <v>300</v>
      </c>
      <c r="AI36" s="8">
        <f>MIN(AI35,'Assumptions &amp; Results'!$C$135)</f>
        <v>300</v>
      </c>
      <c r="AJ36" s="125"/>
    </row>
    <row r="37" spans="1:36" x14ac:dyDescent="0.2">
      <c r="A37" s="188" t="s">
        <v>256</v>
      </c>
      <c r="B37" s="79"/>
      <c r="C37" s="84">
        <f>(C35&gt;'Assumptions &amp; Results'!$C$135)*(C35-'Assumptions &amp; Results'!$C$135-C38-C39-C40-C41)</f>
        <v>0</v>
      </c>
      <c r="D37" s="84">
        <f>(D35&gt;'Assumptions &amp; Results'!$C$135)*(D35-'Assumptions &amp; Results'!$C$135-D38-D39-D40-D41)</f>
        <v>0</v>
      </c>
      <c r="E37" s="8">
        <f>(E35&gt;'Assumptions &amp; Results'!$C$135)*(E35-'Assumptions &amp; Results'!$C$135-E38-E39-E40-E41)</f>
        <v>0</v>
      </c>
      <c r="F37" s="8">
        <f>(F35&gt;'Assumptions &amp; Results'!$C$135)*(F35-'Assumptions &amp; Results'!$C$135-F38-F39-F40-F41)</f>
        <v>0</v>
      </c>
      <c r="G37" s="8">
        <f>(G35&gt;'Assumptions &amp; Results'!$C$135)*(G35-'Assumptions &amp; Results'!$C$135-G38-G39-G40-G41)</f>
        <v>300</v>
      </c>
      <c r="H37" s="8">
        <f>(H35&gt;'Assumptions &amp; Results'!$C$135)*(H35-'Assumptions &amp; Results'!$C$135-H38-H39-H40-H41)</f>
        <v>300</v>
      </c>
      <c r="I37" s="8">
        <f>(I35&gt;'Assumptions &amp; Results'!$C$135)*(I35-'Assumptions &amp; Results'!$C$135-I38-I39-I40-I41)</f>
        <v>300</v>
      </c>
      <c r="J37" s="8">
        <f>(J35&gt;'Assumptions &amp; Results'!$C$135)*(J35-'Assumptions &amp; Results'!$C$135-J38-J39-J40-J41)</f>
        <v>300</v>
      </c>
      <c r="K37" s="8">
        <f>(K35&gt;'Assumptions &amp; Results'!$C$135)*(K35-'Assumptions &amp; Results'!$C$135-K38-K39-K40-K41)</f>
        <v>300</v>
      </c>
      <c r="L37" s="8">
        <f>(L35&gt;'Assumptions &amp; Results'!$C$135)*(L35-'Assumptions &amp; Results'!$C$135-L38-L39-L40-L41)</f>
        <v>300</v>
      </c>
      <c r="M37" s="8">
        <f>(M35&gt;'Assumptions &amp; Results'!$C$135)*(M35-'Assumptions &amp; Results'!$C$135-M38-M39-M40-M41)</f>
        <v>300</v>
      </c>
      <c r="N37" s="8">
        <f>(N35&gt;'Assumptions &amp; Results'!$C$135)*(N35-'Assumptions &amp; Results'!$C$135-N38-N39-N40-N41)</f>
        <v>300</v>
      </c>
      <c r="O37" s="8">
        <f>(O35&gt;'Assumptions &amp; Results'!$C$135)*(O35-'Assumptions &amp; Results'!$C$135-O38-O39-O40-O41)</f>
        <v>300</v>
      </c>
      <c r="P37" s="8">
        <f>(P35&gt;'Assumptions &amp; Results'!$C$135)*(P35-'Assumptions &amp; Results'!$C$135-P38-P39-P40-P41)</f>
        <v>300</v>
      </c>
      <c r="Q37" s="8">
        <f>(Q35&gt;'Assumptions &amp; Results'!$C$135)*(Q35-'Assumptions &amp; Results'!$C$135-Q38-Q39-Q40-Q41)</f>
        <v>300</v>
      </c>
      <c r="R37" s="8">
        <f>(R35&gt;'Assumptions &amp; Results'!$C$135)*(R35-'Assumptions &amp; Results'!$C$135-R38-R39-R40-R41)</f>
        <v>300</v>
      </c>
      <c r="S37" s="8">
        <f>(S35&gt;'Assumptions &amp; Results'!$C$135)*(S35-'Assumptions &amp; Results'!$C$135-S38-S39-S40-S41)</f>
        <v>300</v>
      </c>
      <c r="T37" s="8">
        <f>(T35&gt;'Assumptions &amp; Results'!$C$135)*(T35-'Assumptions &amp; Results'!$C$135-T38-T39-T40-T41)</f>
        <v>300</v>
      </c>
      <c r="U37" s="8">
        <f>(U35&gt;'Assumptions &amp; Results'!$C$135)*(U35-'Assumptions &amp; Results'!$C$135-U38-U39-U40-U41)</f>
        <v>300</v>
      </c>
      <c r="V37" s="8">
        <f>(V35&gt;'Assumptions &amp; Results'!$C$135)*(V35-'Assumptions &amp; Results'!$C$135-V38-V39-V40-V41)</f>
        <v>300</v>
      </c>
      <c r="W37" s="8">
        <f>(W35&gt;'Assumptions &amp; Results'!$C$135)*(W35-'Assumptions &amp; Results'!$C$135-W38-W39-W40-W41)</f>
        <v>300</v>
      </c>
      <c r="X37" s="8">
        <f>(X35&gt;'Assumptions &amp; Results'!$C$135)*(X35-'Assumptions &amp; Results'!$C$135-X38-X39-X40-X41)</f>
        <v>300</v>
      </c>
      <c r="Y37" s="8">
        <f>(Y35&gt;'Assumptions &amp; Results'!$C$135)*(Y35-'Assumptions &amp; Results'!$C$135-Y38-Y39-Y40-Y41)</f>
        <v>300</v>
      </c>
      <c r="Z37" s="8">
        <f>(Z35&gt;'Assumptions &amp; Results'!$C$135)*(Z35-'Assumptions &amp; Results'!$C$135-Z38-Z39-Z40-Z41)</f>
        <v>300</v>
      </c>
      <c r="AA37" s="8">
        <f>(AA35&gt;'Assumptions &amp; Results'!$C$135)*(AA35-'Assumptions &amp; Results'!$C$135-AA38-AA39-AA40-AA41)</f>
        <v>300</v>
      </c>
      <c r="AB37" s="8">
        <f>(AB35&gt;'Assumptions &amp; Results'!$C$135)*(AB35-'Assumptions &amp; Results'!$C$135-AB38-AB39-AB40-AB41)</f>
        <v>300</v>
      </c>
      <c r="AC37" s="8">
        <f>(AC35&gt;'Assumptions &amp; Results'!$C$135)*(AC35-'Assumptions &amp; Results'!$C$135-AC38-AC39-AC40-AC41)</f>
        <v>300</v>
      </c>
      <c r="AD37" s="8">
        <f>(AD35&gt;'Assumptions &amp; Results'!$C$135)*(AD35-'Assumptions &amp; Results'!$C$135-AD38-AD39-AD40-AD41)</f>
        <v>300</v>
      </c>
      <c r="AE37" s="8">
        <f>(AE35&gt;'Assumptions &amp; Results'!$C$135)*(AE35-'Assumptions &amp; Results'!$C$135-AE38-AE39-AE40-AE41)</f>
        <v>300</v>
      </c>
      <c r="AF37" s="8">
        <f>(AF35&gt;'Assumptions &amp; Results'!$C$135)*(AF35-'Assumptions &amp; Results'!$C$135-AF38-AF39-AF40-AF41)</f>
        <v>300</v>
      </c>
      <c r="AG37" s="8">
        <f>(AG35&gt;'Assumptions &amp; Results'!$C$135)*(AG35-'Assumptions &amp; Results'!$C$135-AG38-AG39-AG40-AG41)</f>
        <v>300</v>
      </c>
      <c r="AH37" s="8">
        <f>(AH35&gt;'Assumptions &amp; Results'!$C$135)*(AH35-'Assumptions &amp; Results'!$C$135-AH38-AH39-AH40-AH41)</f>
        <v>300</v>
      </c>
      <c r="AI37" s="8">
        <f>(AI35&gt;'Assumptions &amp; Results'!$C$135)*(AI35-'Assumptions &amp; Results'!$C$135-AI38-AI39-AI40-AI41)</f>
        <v>300</v>
      </c>
      <c r="AJ37" s="125"/>
    </row>
    <row r="38" spans="1:36" x14ac:dyDescent="0.2">
      <c r="A38" s="188" t="s">
        <v>257</v>
      </c>
      <c r="B38" s="79"/>
      <c r="C38" s="84">
        <f>(C35&gt;'Assumptions &amp; Results'!$C$136)*(C35-'Assumptions &amp; Results'!$C$136-C39-C40-C41)</f>
        <v>0</v>
      </c>
      <c r="D38" s="84">
        <f>(D35&gt;'Assumptions &amp; Results'!$C$136)*(D35-'Assumptions &amp; Results'!$C$136-D39-D40-D41)</f>
        <v>0</v>
      </c>
      <c r="E38" s="8">
        <f>(E35&gt;'Assumptions &amp; Results'!$C$136)*(E35-'Assumptions &amp; Results'!$C$136-E39-E40-E41)</f>
        <v>0</v>
      </c>
      <c r="F38" s="8">
        <f>(F35&gt;'Assumptions &amp; Results'!$C$136)*(F35-'Assumptions &amp; Results'!$C$136-F39-F40-F41)</f>
        <v>0</v>
      </c>
      <c r="G38" s="8">
        <f>(G35&gt;'Assumptions &amp; Results'!$C$136)*(G35-'Assumptions &amp; Results'!$C$136-G39-G40-G41)</f>
        <v>225</v>
      </c>
      <c r="H38" s="8">
        <f>(H35&gt;'Assumptions &amp; Results'!$C$136)*(H35-'Assumptions &amp; Results'!$C$136-H39-H40-H41)</f>
        <v>300</v>
      </c>
      <c r="I38" s="8">
        <f>(I35&gt;'Assumptions &amp; Results'!$C$136)*(I35-'Assumptions &amp; Results'!$C$136-I39-I40-I41)</f>
        <v>300</v>
      </c>
      <c r="J38" s="8">
        <f>(J35&gt;'Assumptions &amp; Results'!$C$136)*(J35-'Assumptions &amp; Results'!$C$136-J39-J40-J41)</f>
        <v>300</v>
      </c>
      <c r="K38" s="8">
        <f>(K35&gt;'Assumptions &amp; Results'!$C$136)*(K35-'Assumptions &amp; Results'!$C$136-K39-K40-K41)</f>
        <v>300</v>
      </c>
      <c r="L38" s="8">
        <f>(L35&gt;'Assumptions &amp; Results'!$C$136)*(L35-'Assumptions &amp; Results'!$C$136-L39-L40-L41)</f>
        <v>300</v>
      </c>
      <c r="M38" s="8">
        <f>(M35&gt;'Assumptions &amp; Results'!$C$136)*(M35-'Assumptions &amp; Results'!$C$136-M39-M40-M41)</f>
        <v>300</v>
      </c>
      <c r="N38" s="8">
        <f>(N35&gt;'Assumptions &amp; Results'!$C$136)*(N35-'Assumptions &amp; Results'!$C$136-N39-N40-N41)</f>
        <v>300</v>
      </c>
      <c r="O38" s="8">
        <f>(O35&gt;'Assumptions &amp; Results'!$C$136)*(O35-'Assumptions &amp; Results'!$C$136-O39-O40-O41)</f>
        <v>300</v>
      </c>
      <c r="P38" s="8">
        <f>(P35&gt;'Assumptions &amp; Results'!$C$136)*(P35-'Assumptions &amp; Results'!$C$136-P39-P40-P41)</f>
        <v>300</v>
      </c>
      <c r="Q38" s="8">
        <f>(Q35&gt;'Assumptions &amp; Results'!$C$136)*(Q35-'Assumptions &amp; Results'!$C$136-Q39-Q40-Q41)</f>
        <v>300</v>
      </c>
      <c r="R38" s="8">
        <f>(R35&gt;'Assumptions &amp; Results'!$C$136)*(R35-'Assumptions &amp; Results'!$C$136-R39-R40-R41)</f>
        <v>300</v>
      </c>
      <c r="S38" s="8">
        <f>(S35&gt;'Assumptions &amp; Results'!$C$136)*(S35-'Assumptions &amp; Results'!$C$136-S39-S40-S41)</f>
        <v>300</v>
      </c>
      <c r="T38" s="8">
        <f>(T35&gt;'Assumptions &amp; Results'!$C$136)*(T35-'Assumptions &amp; Results'!$C$136-T39-T40-T41)</f>
        <v>300</v>
      </c>
      <c r="U38" s="8">
        <f>(U35&gt;'Assumptions &amp; Results'!$C$136)*(U35-'Assumptions &amp; Results'!$C$136-U39-U40-U41)</f>
        <v>300</v>
      </c>
      <c r="V38" s="8">
        <f>(V35&gt;'Assumptions &amp; Results'!$C$136)*(V35-'Assumptions &amp; Results'!$C$136-V39-V40-V41)</f>
        <v>300</v>
      </c>
      <c r="W38" s="8">
        <f>(W35&gt;'Assumptions &amp; Results'!$C$136)*(W35-'Assumptions &amp; Results'!$C$136-W39-W40-W41)</f>
        <v>300</v>
      </c>
      <c r="X38" s="8">
        <f>(X35&gt;'Assumptions &amp; Results'!$C$136)*(X35-'Assumptions &amp; Results'!$C$136-X39-X40-X41)</f>
        <v>300</v>
      </c>
      <c r="Y38" s="8">
        <f>(Y35&gt;'Assumptions &amp; Results'!$C$136)*(Y35-'Assumptions &amp; Results'!$C$136-Y39-Y40-Y41)</f>
        <v>300</v>
      </c>
      <c r="Z38" s="8">
        <f>(Z35&gt;'Assumptions &amp; Results'!$C$136)*(Z35-'Assumptions &amp; Results'!$C$136-Z39-Z40-Z41)</f>
        <v>300</v>
      </c>
      <c r="AA38" s="8">
        <f>(AA35&gt;'Assumptions &amp; Results'!$C$136)*(AA35-'Assumptions &amp; Results'!$C$136-AA39-AA40-AA41)</f>
        <v>300</v>
      </c>
      <c r="AB38" s="8">
        <f>(AB35&gt;'Assumptions &amp; Results'!$C$136)*(AB35-'Assumptions &amp; Results'!$C$136-AB39-AB40-AB41)</f>
        <v>300</v>
      </c>
      <c r="AC38" s="8">
        <f>(AC35&gt;'Assumptions &amp; Results'!$C$136)*(AC35-'Assumptions &amp; Results'!$C$136-AC39-AC40-AC41)</f>
        <v>300</v>
      </c>
      <c r="AD38" s="8">
        <f>(AD35&gt;'Assumptions &amp; Results'!$C$136)*(AD35-'Assumptions &amp; Results'!$C$136-AD39-AD40-AD41)</f>
        <v>300</v>
      </c>
      <c r="AE38" s="8">
        <f>(AE35&gt;'Assumptions &amp; Results'!$C$136)*(AE35-'Assumptions &amp; Results'!$C$136-AE39-AE40-AE41)</f>
        <v>300</v>
      </c>
      <c r="AF38" s="8">
        <f>(AF35&gt;'Assumptions &amp; Results'!$C$136)*(AF35-'Assumptions &amp; Results'!$C$136-AF39-AF40-AF41)</f>
        <v>300</v>
      </c>
      <c r="AG38" s="8">
        <f>(AG35&gt;'Assumptions &amp; Results'!$C$136)*(AG35-'Assumptions &amp; Results'!$C$136-AG39-AG40-AG41)</f>
        <v>300</v>
      </c>
      <c r="AH38" s="8">
        <f>(AH35&gt;'Assumptions &amp; Results'!$C$136)*(AH35-'Assumptions &amp; Results'!$C$136-AH39-AH40-AH41)</f>
        <v>300</v>
      </c>
      <c r="AI38" s="8">
        <f>(AI35&gt;'Assumptions &amp; Results'!$C$136)*(AI35-'Assumptions &amp; Results'!$C$136-AI39-AI40-AI41)</f>
        <v>300</v>
      </c>
      <c r="AJ38" s="125"/>
    </row>
    <row r="39" spans="1:36" x14ac:dyDescent="0.2">
      <c r="A39" s="188" t="s">
        <v>258</v>
      </c>
      <c r="B39" s="79"/>
      <c r="C39" s="84">
        <f>(C35&gt;'Assumptions &amp; Results'!$C$137)*(C35-'Assumptions &amp; Results'!$C$137-C40-C41)</f>
        <v>0</v>
      </c>
      <c r="D39" s="84">
        <f>(D35&gt;'Assumptions &amp; Results'!$C$137)*(D35-'Assumptions &amp; Results'!$C$137-D40-D41)</f>
        <v>0</v>
      </c>
      <c r="E39" s="8">
        <f>(E35&gt;'Assumptions &amp; Results'!$C$137)*(E35-'Assumptions &amp; Results'!$C$137-E40-E41)</f>
        <v>0</v>
      </c>
      <c r="F39" s="8">
        <f>(F35&gt;'Assumptions &amp; Results'!$C$137)*(F35-'Assumptions &amp; Results'!$C$137-F40-F41)</f>
        <v>0</v>
      </c>
      <c r="G39" s="8">
        <f>(G35&gt;'Assumptions &amp; Results'!$C$137)*(G35-'Assumptions &amp; Results'!$C$137-G40-G41)</f>
        <v>0</v>
      </c>
      <c r="H39" s="8">
        <f>(H35&gt;'Assumptions &amp; Results'!$C$137)*(H35-'Assumptions &amp; Results'!$C$137-H40-H41)</f>
        <v>300</v>
      </c>
      <c r="I39" s="8">
        <f>(I35&gt;'Assumptions &amp; Results'!$C$137)*(I35-'Assumptions &amp; Results'!$C$137-I40-I41)</f>
        <v>300</v>
      </c>
      <c r="J39" s="8">
        <f>(J35&gt;'Assumptions &amp; Results'!$C$137)*(J35-'Assumptions &amp; Results'!$C$137-J40-J41)</f>
        <v>300</v>
      </c>
      <c r="K39" s="8">
        <f>(K35&gt;'Assumptions &amp; Results'!$C$137)*(K35-'Assumptions &amp; Results'!$C$137-K40-K41)</f>
        <v>300</v>
      </c>
      <c r="L39" s="8">
        <f>(L35&gt;'Assumptions &amp; Results'!$C$137)*(L35-'Assumptions &amp; Results'!$C$137-L40-L41)</f>
        <v>300</v>
      </c>
      <c r="M39" s="8">
        <f>(M35&gt;'Assumptions &amp; Results'!$C$137)*(M35-'Assumptions &amp; Results'!$C$137-M40-M41)</f>
        <v>300</v>
      </c>
      <c r="N39" s="8">
        <f>(N35&gt;'Assumptions &amp; Results'!$C$137)*(N35-'Assumptions &amp; Results'!$C$137-N40-N41)</f>
        <v>300</v>
      </c>
      <c r="O39" s="8">
        <f>(O35&gt;'Assumptions &amp; Results'!$C$137)*(O35-'Assumptions &amp; Results'!$C$137-O40-O41)</f>
        <v>300</v>
      </c>
      <c r="P39" s="8">
        <f>(P35&gt;'Assumptions &amp; Results'!$C$137)*(P35-'Assumptions &amp; Results'!$C$137-P40-P41)</f>
        <v>300</v>
      </c>
      <c r="Q39" s="8">
        <f>(Q35&gt;'Assumptions &amp; Results'!$C$137)*(Q35-'Assumptions &amp; Results'!$C$137-Q40-Q41)</f>
        <v>300</v>
      </c>
      <c r="R39" s="8">
        <f>(R35&gt;'Assumptions &amp; Results'!$C$137)*(R35-'Assumptions &amp; Results'!$C$137-R40-R41)</f>
        <v>300</v>
      </c>
      <c r="S39" s="8">
        <f>(S35&gt;'Assumptions &amp; Results'!$C$137)*(S35-'Assumptions &amp; Results'!$C$137-S40-S41)</f>
        <v>300</v>
      </c>
      <c r="T39" s="8">
        <f>(T35&gt;'Assumptions &amp; Results'!$C$137)*(T35-'Assumptions &amp; Results'!$C$137-T40-T41)</f>
        <v>300</v>
      </c>
      <c r="U39" s="8">
        <f>(U35&gt;'Assumptions &amp; Results'!$C$137)*(U35-'Assumptions &amp; Results'!$C$137-U40-U41)</f>
        <v>300</v>
      </c>
      <c r="V39" s="8">
        <f>(V35&gt;'Assumptions &amp; Results'!$C$137)*(V35-'Assumptions &amp; Results'!$C$137-V40-V41)</f>
        <v>300</v>
      </c>
      <c r="W39" s="8">
        <f>(W35&gt;'Assumptions &amp; Results'!$C$137)*(W35-'Assumptions &amp; Results'!$C$137-W40-W41)</f>
        <v>300</v>
      </c>
      <c r="X39" s="8">
        <f>(X35&gt;'Assumptions &amp; Results'!$C$137)*(X35-'Assumptions &amp; Results'!$C$137-X40-X41)</f>
        <v>300</v>
      </c>
      <c r="Y39" s="8">
        <f>(Y35&gt;'Assumptions &amp; Results'!$C$137)*(Y35-'Assumptions &amp; Results'!$C$137-Y40-Y41)</f>
        <v>300</v>
      </c>
      <c r="Z39" s="8">
        <f>(Z35&gt;'Assumptions &amp; Results'!$C$137)*(Z35-'Assumptions &amp; Results'!$C$137-Z40-Z41)</f>
        <v>300</v>
      </c>
      <c r="AA39" s="8">
        <f>(AA35&gt;'Assumptions &amp; Results'!$C$137)*(AA35-'Assumptions &amp; Results'!$C$137-AA40-AA41)</f>
        <v>300</v>
      </c>
      <c r="AB39" s="8">
        <f>(AB35&gt;'Assumptions &amp; Results'!$C$137)*(AB35-'Assumptions &amp; Results'!$C$137-AB40-AB41)</f>
        <v>300</v>
      </c>
      <c r="AC39" s="8">
        <f>(AC35&gt;'Assumptions &amp; Results'!$C$137)*(AC35-'Assumptions &amp; Results'!$C$137-AC40-AC41)</f>
        <v>300</v>
      </c>
      <c r="AD39" s="8">
        <f>(AD35&gt;'Assumptions &amp; Results'!$C$137)*(AD35-'Assumptions &amp; Results'!$C$137-AD40-AD41)</f>
        <v>300</v>
      </c>
      <c r="AE39" s="8">
        <f>(AE35&gt;'Assumptions &amp; Results'!$C$137)*(AE35-'Assumptions &amp; Results'!$C$137-AE40-AE41)</f>
        <v>300</v>
      </c>
      <c r="AF39" s="8">
        <f>(AF35&gt;'Assumptions &amp; Results'!$C$137)*(AF35-'Assumptions &amp; Results'!$C$137-AF40-AF41)</f>
        <v>300</v>
      </c>
      <c r="AG39" s="8">
        <f>(AG35&gt;'Assumptions &amp; Results'!$C$137)*(AG35-'Assumptions &amp; Results'!$C$137-AG40-AG41)</f>
        <v>300</v>
      </c>
      <c r="AH39" s="8">
        <f>(AH35&gt;'Assumptions &amp; Results'!$C$137)*(AH35-'Assumptions &amp; Results'!$C$137-AH40-AH41)</f>
        <v>300</v>
      </c>
      <c r="AI39" s="8">
        <f>(AI35&gt;'Assumptions &amp; Results'!$C$137)*(AI35-'Assumptions &amp; Results'!$C$137-AI40-AI41)</f>
        <v>300</v>
      </c>
      <c r="AJ39" s="125"/>
    </row>
    <row r="40" spans="1:36" x14ac:dyDescent="0.2">
      <c r="A40" s="188" t="s">
        <v>259</v>
      </c>
      <c r="B40" s="79"/>
      <c r="C40" s="84">
        <f>(C35&gt;'Assumptions &amp; Results'!$C$138)*(C35-'Assumptions &amp; Results'!$C$138-C41)</f>
        <v>0</v>
      </c>
      <c r="D40" s="84">
        <f>(D35&gt;'Assumptions &amp; Results'!$C$138)*(D35-'Assumptions &amp; Results'!$C$138-D41)</f>
        <v>0</v>
      </c>
      <c r="E40" s="8">
        <f>(E35&gt;'Assumptions &amp; Results'!$C$138)*(E35-'Assumptions &amp; Results'!$C$138-E41)</f>
        <v>0</v>
      </c>
      <c r="F40" s="8">
        <f>(F35&gt;'Assumptions &amp; Results'!$C$138)*(F35-'Assumptions &amp; Results'!$C$138-F41)</f>
        <v>0</v>
      </c>
      <c r="G40" s="8">
        <f>(G35&gt;'Assumptions &amp; Results'!$C$138)*(G35-'Assumptions &amp; Results'!$C$138-G41)</f>
        <v>0</v>
      </c>
      <c r="H40" s="8">
        <f>(H35&gt;'Assumptions &amp; Results'!$C$138)*(H35-'Assumptions &amp; Results'!$C$138-H41)</f>
        <v>300</v>
      </c>
      <c r="I40" s="8">
        <f>(I35&gt;'Assumptions &amp; Results'!$C$138)*(I35-'Assumptions &amp; Results'!$C$138-I41)</f>
        <v>300</v>
      </c>
      <c r="J40" s="8">
        <f>(J35&gt;'Assumptions &amp; Results'!$C$138)*(J35-'Assumptions &amp; Results'!$C$138-J41)</f>
        <v>300</v>
      </c>
      <c r="K40" s="8">
        <f>(K35&gt;'Assumptions &amp; Results'!$C$138)*(K35-'Assumptions &amp; Results'!$C$138-K41)</f>
        <v>300</v>
      </c>
      <c r="L40" s="8">
        <f>(L35&gt;'Assumptions &amp; Results'!$C$138)*(L35-'Assumptions &amp; Results'!$C$138-L41)</f>
        <v>300</v>
      </c>
      <c r="M40" s="8">
        <f>(M35&gt;'Assumptions &amp; Results'!$C$138)*(M35-'Assumptions &amp; Results'!$C$138-M41)</f>
        <v>300</v>
      </c>
      <c r="N40" s="8">
        <f>(N35&gt;'Assumptions &amp; Results'!$C$138)*(N35-'Assumptions &amp; Results'!$C$138-N41)</f>
        <v>300</v>
      </c>
      <c r="O40" s="8">
        <f>(O35&gt;'Assumptions &amp; Results'!$C$138)*(O35-'Assumptions &amp; Results'!$C$138-O41)</f>
        <v>300</v>
      </c>
      <c r="P40" s="8">
        <f>(P35&gt;'Assumptions &amp; Results'!$C$138)*(P35-'Assumptions &amp; Results'!$C$138-P41)</f>
        <v>300</v>
      </c>
      <c r="Q40" s="8">
        <f>(Q35&gt;'Assumptions &amp; Results'!$C$138)*(Q35-'Assumptions &amp; Results'!$C$138-Q41)</f>
        <v>300</v>
      </c>
      <c r="R40" s="8">
        <f>(R35&gt;'Assumptions &amp; Results'!$C$138)*(R35-'Assumptions &amp; Results'!$C$138-R41)</f>
        <v>300</v>
      </c>
      <c r="S40" s="8">
        <f>(S35&gt;'Assumptions &amp; Results'!$C$138)*(S35-'Assumptions &amp; Results'!$C$138-S41)</f>
        <v>300</v>
      </c>
      <c r="T40" s="8">
        <f>(T35&gt;'Assumptions &amp; Results'!$C$138)*(T35-'Assumptions &amp; Results'!$C$138-T41)</f>
        <v>300</v>
      </c>
      <c r="U40" s="8">
        <f>(U35&gt;'Assumptions &amp; Results'!$C$138)*(U35-'Assumptions &amp; Results'!$C$138-U41)</f>
        <v>300</v>
      </c>
      <c r="V40" s="8">
        <f>(V35&gt;'Assumptions &amp; Results'!$C$138)*(V35-'Assumptions &amp; Results'!$C$138-V41)</f>
        <v>300</v>
      </c>
      <c r="W40" s="8">
        <f>(W35&gt;'Assumptions &amp; Results'!$C$138)*(W35-'Assumptions &amp; Results'!$C$138-W41)</f>
        <v>300</v>
      </c>
      <c r="X40" s="8">
        <f>(X35&gt;'Assumptions &amp; Results'!$C$138)*(X35-'Assumptions &amp; Results'!$C$138-X41)</f>
        <v>300</v>
      </c>
      <c r="Y40" s="8">
        <f>(Y35&gt;'Assumptions &amp; Results'!$C$138)*(Y35-'Assumptions &amp; Results'!$C$138-Y41)</f>
        <v>300</v>
      </c>
      <c r="Z40" s="8">
        <f>(Z35&gt;'Assumptions &amp; Results'!$C$138)*(Z35-'Assumptions &amp; Results'!$C$138-Z41)</f>
        <v>300</v>
      </c>
      <c r="AA40" s="8">
        <f>(AA35&gt;'Assumptions &amp; Results'!$C$138)*(AA35-'Assumptions &amp; Results'!$C$138-AA41)</f>
        <v>300</v>
      </c>
      <c r="AB40" s="8">
        <f>(AB35&gt;'Assumptions &amp; Results'!$C$138)*(AB35-'Assumptions &amp; Results'!$C$138-AB41)</f>
        <v>300</v>
      </c>
      <c r="AC40" s="8">
        <f>(AC35&gt;'Assumptions &amp; Results'!$C$138)*(AC35-'Assumptions &amp; Results'!$C$138-AC41)</f>
        <v>300</v>
      </c>
      <c r="AD40" s="8">
        <f>(AD35&gt;'Assumptions &amp; Results'!$C$138)*(AD35-'Assumptions &amp; Results'!$C$138-AD41)</f>
        <v>300</v>
      </c>
      <c r="AE40" s="8">
        <f>(AE35&gt;'Assumptions &amp; Results'!$C$138)*(AE35-'Assumptions &amp; Results'!$C$138-AE41)</f>
        <v>300</v>
      </c>
      <c r="AF40" s="8">
        <f>(AF35&gt;'Assumptions &amp; Results'!$C$138)*(AF35-'Assumptions &amp; Results'!$C$138-AF41)</f>
        <v>300</v>
      </c>
      <c r="AG40" s="8">
        <f>(AG35&gt;'Assumptions &amp; Results'!$C$138)*(AG35-'Assumptions &amp; Results'!$C$138-AG41)</f>
        <v>300</v>
      </c>
      <c r="AH40" s="8">
        <f>(AH35&gt;'Assumptions &amp; Results'!$C$138)*(AH35-'Assumptions &amp; Results'!$C$138-AH41)</f>
        <v>300</v>
      </c>
      <c r="AI40" s="8">
        <f>(AI35&gt;'Assumptions &amp; Results'!$C$138)*(AI35-'Assumptions &amp; Results'!$C$138-AI41)</f>
        <v>300</v>
      </c>
      <c r="AJ40" s="125"/>
    </row>
    <row r="41" spans="1:36" x14ac:dyDescent="0.2">
      <c r="A41" s="188" t="s">
        <v>260</v>
      </c>
      <c r="B41" s="79"/>
      <c r="C41" s="84">
        <f>(C35&gt;'Assumptions &amp; Results'!$C$139)*(C35-'Assumptions &amp; Results'!$C$139)</f>
        <v>0</v>
      </c>
      <c r="D41" s="84">
        <f>(D35&gt;'Assumptions &amp; Results'!$C$139)*(D35-'Assumptions &amp; Results'!$C$139)</f>
        <v>0</v>
      </c>
      <c r="E41" s="8">
        <f>(E35&gt;'Assumptions &amp; Results'!$C$139)*(E35-'Assumptions &amp; Results'!$C$139)</f>
        <v>0</v>
      </c>
      <c r="F41" s="8">
        <f>(F35&gt;'Assumptions &amp; Results'!$C$139)*(F35-'Assumptions &amp; Results'!$C$139)</f>
        <v>0</v>
      </c>
      <c r="G41" s="8">
        <f>(G35&gt;'Assumptions &amp; Results'!$C$139)*(G35-'Assumptions &amp; Results'!$C$139)</f>
        <v>0</v>
      </c>
      <c r="H41" s="8">
        <f>(H35&gt;'Assumptions &amp; Results'!$C$139)*(H35-'Assumptions &amp; Results'!$C$139)</f>
        <v>150</v>
      </c>
      <c r="I41" s="8">
        <f>(I35&gt;'Assumptions &amp; Results'!$C$139)*(I35-'Assumptions &amp; Results'!$C$139)</f>
        <v>150</v>
      </c>
      <c r="J41" s="8">
        <f>(J35&gt;'Assumptions &amp; Results'!$C$139)*(J35-'Assumptions &amp; Results'!$C$139)</f>
        <v>150</v>
      </c>
      <c r="K41" s="8">
        <f>(K35&gt;'Assumptions &amp; Results'!$C$139)*(K35-'Assumptions &amp; Results'!$C$139)</f>
        <v>150</v>
      </c>
      <c r="L41" s="8">
        <f>(L35&gt;'Assumptions &amp; Results'!$C$139)*(L35-'Assumptions &amp; Results'!$C$139)</f>
        <v>150</v>
      </c>
      <c r="M41" s="8">
        <f>(M35&gt;'Assumptions &amp; Results'!$C$139)*(M35-'Assumptions &amp; Results'!$C$139)</f>
        <v>150</v>
      </c>
      <c r="N41" s="8">
        <f>(N35&gt;'Assumptions &amp; Results'!$C$139)*(N35-'Assumptions &amp; Results'!$C$139)</f>
        <v>150</v>
      </c>
      <c r="O41" s="8">
        <f>(O35&gt;'Assumptions &amp; Results'!$C$139)*(O35-'Assumptions &amp; Results'!$C$139)</f>
        <v>150</v>
      </c>
      <c r="P41" s="8">
        <f>(P35&gt;'Assumptions &amp; Results'!$C$139)*(P35-'Assumptions &amp; Results'!$C$139)</f>
        <v>150</v>
      </c>
      <c r="Q41" s="8">
        <f>(Q35&gt;'Assumptions &amp; Results'!$C$139)*(Q35-'Assumptions &amp; Results'!$C$139)</f>
        <v>150</v>
      </c>
      <c r="R41" s="8">
        <f>(R35&gt;'Assumptions &amp; Results'!$C$139)*(R35-'Assumptions &amp; Results'!$C$139)</f>
        <v>150</v>
      </c>
      <c r="S41" s="8">
        <f>(S35&gt;'Assumptions &amp; Results'!$C$139)*(S35-'Assumptions &amp; Results'!$C$139)</f>
        <v>150</v>
      </c>
      <c r="T41" s="8">
        <f>(T35&gt;'Assumptions &amp; Results'!$C$139)*(T35-'Assumptions &amp; Results'!$C$139)</f>
        <v>150</v>
      </c>
      <c r="U41" s="8">
        <f>(U35&gt;'Assumptions &amp; Results'!$C$139)*(U35-'Assumptions &amp; Results'!$C$139)</f>
        <v>150</v>
      </c>
      <c r="V41" s="8">
        <f>(V35&gt;'Assumptions &amp; Results'!$C$139)*(V35-'Assumptions &amp; Results'!$C$139)</f>
        <v>150</v>
      </c>
      <c r="W41" s="8">
        <f>(W35&gt;'Assumptions &amp; Results'!$C$139)*(W35-'Assumptions &amp; Results'!$C$139)</f>
        <v>150</v>
      </c>
      <c r="X41" s="8">
        <f>(X35&gt;'Assumptions &amp; Results'!$C$139)*(X35-'Assumptions &amp; Results'!$C$139)</f>
        <v>150</v>
      </c>
      <c r="Y41" s="8">
        <f>(Y35&gt;'Assumptions &amp; Results'!$C$139)*(Y35-'Assumptions &amp; Results'!$C$139)</f>
        <v>150</v>
      </c>
      <c r="Z41" s="8">
        <f>(Z35&gt;'Assumptions &amp; Results'!$C$139)*(Z35-'Assumptions &amp; Results'!$C$139)</f>
        <v>150</v>
      </c>
      <c r="AA41" s="8">
        <f>(AA35&gt;'Assumptions &amp; Results'!$C$139)*(AA35-'Assumptions &amp; Results'!$C$139)</f>
        <v>150</v>
      </c>
      <c r="AB41" s="8">
        <f>(AB35&gt;'Assumptions &amp; Results'!$C$139)*(AB35-'Assumptions &amp; Results'!$C$139)</f>
        <v>150</v>
      </c>
      <c r="AC41" s="8">
        <f>(AC35&gt;'Assumptions &amp; Results'!$C$139)*(AC35-'Assumptions &amp; Results'!$C$139)</f>
        <v>150</v>
      </c>
      <c r="AD41" s="8">
        <f>(AD35&gt;'Assumptions &amp; Results'!$C$139)*(AD35-'Assumptions &amp; Results'!$C$139)</f>
        <v>150</v>
      </c>
      <c r="AE41" s="8">
        <f>(AE35&gt;'Assumptions &amp; Results'!$C$139)*(AE35-'Assumptions &amp; Results'!$C$139)</f>
        <v>150</v>
      </c>
      <c r="AF41" s="8">
        <f>(AF35&gt;'Assumptions &amp; Results'!$C$139)*(AF35-'Assumptions &amp; Results'!$C$139)</f>
        <v>150</v>
      </c>
      <c r="AG41" s="8">
        <f>(AG35&gt;'Assumptions &amp; Results'!$C$139)*(AG35-'Assumptions &amp; Results'!$C$139)</f>
        <v>150</v>
      </c>
      <c r="AH41" s="8">
        <f>(AH35&gt;'Assumptions &amp; Results'!$C$139)*(AH35-'Assumptions &amp; Results'!$C$139)</f>
        <v>150</v>
      </c>
      <c r="AI41" s="8">
        <f>(AI35&gt;'Assumptions &amp; Results'!$C$139)*(AI35-'Assumptions &amp; Results'!$C$139)</f>
        <v>150</v>
      </c>
      <c r="AJ41" s="125"/>
    </row>
    <row r="42" spans="1:36" x14ac:dyDescent="0.2">
      <c r="A42" s="187" t="s">
        <v>261</v>
      </c>
      <c r="B42" s="79"/>
      <c r="C42" s="153">
        <f>SUMPRODUCT((C36:C41*'Assumptions &amp; Results'!$C$141:$C$146/(IF('Field 2 Fiscal'!C35&gt;0,'Field 2 Fiscal'!C35,1))))</f>
        <v>0</v>
      </c>
      <c r="D42" s="153">
        <f>SUMPRODUCT((D36:D41*'Assumptions &amp; Results'!$C$141:$C$146/(IF('Field 2 Fiscal'!D35&gt;0,'Field 2 Fiscal'!D35,1))))</f>
        <v>0</v>
      </c>
      <c r="E42" s="6">
        <f>SUMPRODUCT((E36:E41*'Assumptions &amp; Results'!$C$141:$C$146/(IF('Field 2 Fiscal'!E35&gt;0,'Field 2 Fiscal'!E35,1))))</f>
        <v>0</v>
      </c>
      <c r="F42" s="6">
        <f>SUMPRODUCT((F36:F41*'Assumptions &amp; Results'!$C$141:$C$146/(IF('Field 2 Fiscal'!F35&gt;0,'Field 2 Fiscal'!F35,1))))</f>
        <v>0</v>
      </c>
      <c r="G42" s="6">
        <f>SUMPRODUCT((G36:G41*'Assumptions &amp; Results'!$C$141:$C$146/(IF('Field 2 Fiscal'!G35&gt;0,'Field 2 Fiscal'!G35,1))))</f>
        <v>0.33863636363636362</v>
      </c>
      <c r="H42" s="6">
        <f>SUMPRODUCT((H36:H41*'Assumptions &amp; Results'!$C$141:$C$146/(IF('Field 2 Fiscal'!H35&gt;0,'Field 2 Fiscal'!H35,1))))</f>
        <v>0.3863636363636363</v>
      </c>
      <c r="I42" s="6">
        <f>SUMPRODUCT((I36:I41*'Assumptions &amp; Results'!$C$141:$C$146/(IF('Field 2 Fiscal'!I35&gt;0,'Field 2 Fiscal'!I35,1))))</f>
        <v>0.3863636363636363</v>
      </c>
      <c r="J42" s="6">
        <f>SUMPRODUCT((J36:J41*'Assumptions &amp; Results'!$C$141:$C$146/(IF('Field 2 Fiscal'!J35&gt;0,'Field 2 Fiscal'!J35,1))))</f>
        <v>0.3863636363636363</v>
      </c>
      <c r="K42" s="6">
        <f>SUMPRODUCT((K36:K41*'Assumptions &amp; Results'!$C$141:$C$146/(IF('Field 2 Fiscal'!K35&gt;0,'Field 2 Fiscal'!K35,1))))</f>
        <v>0.3863636363636363</v>
      </c>
      <c r="L42" s="6">
        <f>SUMPRODUCT((L36:L41*'Assumptions &amp; Results'!$C$141:$C$146/(IF('Field 2 Fiscal'!L35&gt;0,'Field 2 Fiscal'!L35,1))))</f>
        <v>0.3863636363636363</v>
      </c>
      <c r="M42" s="6">
        <f>SUMPRODUCT((M36:M41*'Assumptions &amp; Results'!$C$141:$C$146/(IF('Field 2 Fiscal'!M35&gt;0,'Field 2 Fiscal'!M35,1))))</f>
        <v>0.3863636363636363</v>
      </c>
      <c r="N42" s="6">
        <f>SUMPRODUCT((N36:N41*'Assumptions &amp; Results'!$C$141:$C$146/(IF('Field 2 Fiscal'!N35&gt;0,'Field 2 Fiscal'!N35,1))))</f>
        <v>0.3863636363636363</v>
      </c>
      <c r="O42" s="6">
        <f>SUMPRODUCT((O36:O41*'Assumptions &amp; Results'!$C$141:$C$146/(IF('Field 2 Fiscal'!O35&gt;0,'Field 2 Fiscal'!O35,1))))</f>
        <v>0.3863636363636363</v>
      </c>
      <c r="P42" s="6">
        <f>SUMPRODUCT((P36:P41*'Assumptions &amp; Results'!$C$141:$C$146/(IF('Field 2 Fiscal'!P35&gt;0,'Field 2 Fiscal'!P35,1))))</f>
        <v>0.3863636363636363</v>
      </c>
      <c r="Q42" s="6">
        <f>SUMPRODUCT((Q36:Q41*'Assumptions &amp; Results'!$C$141:$C$146/(IF('Field 2 Fiscal'!Q35&gt;0,'Field 2 Fiscal'!Q35,1))))</f>
        <v>0.3863636363636363</v>
      </c>
      <c r="R42" s="6">
        <f>SUMPRODUCT((R36:R41*'Assumptions &amp; Results'!$C$141:$C$146/(IF('Field 2 Fiscal'!R35&gt;0,'Field 2 Fiscal'!R35,1))))</f>
        <v>0.3863636363636363</v>
      </c>
      <c r="S42" s="6">
        <f>SUMPRODUCT((S36:S41*'Assumptions &amp; Results'!$C$141:$C$146/(IF('Field 2 Fiscal'!S35&gt;0,'Field 2 Fiscal'!S35,1))))</f>
        <v>0.3863636363636363</v>
      </c>
      <c r="T42" s="6">
        <f>SUMPRODUCT((T36:T41*'Assumptions &amp; Results'!$C$141:$C$146/(IF('Field 2 Fiscal'!T35&gt;0,'Field 2 Fiscal'!T35,1))))</f>
        <v>0.3863636363636363</v>
      </c>
      <c r="U42" s="6">
        <f>SUMPRODUCT((U36:U41*'Assumptions &amp; Results'!$C$141:$C$146/(IF('Field 2 Fiscal'!U35&gt;0,'Field 2 Fiscal'!U35,1))))</f>
        <v>0.3863636363636363</v>
      </c>
      <c r="V42" s="6">
        <f>SUMPRODUCT((V36:V41*'Assumptions &amp; Results'!$C$141:$C$146/(IF('Field 2 Fiscal'!V35&gt;0,'Field 2 Fiscal'!V35,1))))</f>
        <v>0.3863636363636363</v>
      </c>
      <c r="W42" s="6">
        <f>SUMPRODUCT((W36:W41*'Assumptions &amp; Results'!$C$141:$C$146/(IF('Field 2 Fiscal'!W35&gt;0,'Field 2 Fiscal'!W35,1))))</f>
        <v>0.3863636363636363</v>
      </c>
      <c r="X42" s="6">
        <f>SUMPRODUCT((X36:X41*'Assumptions &amp; Results'!$C$141:$C$146/(IF('Field 2 Fiscal'!X35&gt;0,'Field 2 Fiscal'!X35,1))))</f>
        <v>0.3863636363636363</v>
      </c>
      <c r="Y42" s="6">
        <f>SUMPRODUCT((Y36:Y41*'Assumptions &amp; Results'!$C$141:$C$146/(IF('Field 2 Fiscal'!Y35&gt;0,'Field 2 Fiscal'!Y35,1))))</f>
        <v>0.3863636363636363</v>
      </c>
      <c r="Z42" s="6">
        <f>SUMPRODUCT((Z36:Z41*'Assumptions &amp; Results'!$C$141:$C$146/(IF('Field 2 Fiscal'!Z35&gt;0,'Field 2 Fiscal'!Z35,1))))</f>
        <v>0.3863636363636363</v>
      </c>
      <c r="AA42" s="6">
        <f>SUMPRODUCT((AA36:AA41*'Assumptions &amp; Results'!$C$141:$C$146/(IF('Field 2 Fiscal'!AA35&gt;0,'Field 2 Fiscal'!AA35,1))))</f>
        <v>0.3863636363636363</v>
      </c>
      <c r="AB42" s="6">
        <f>SUMPRODUCT((AB36:AB41*'Assumptions &amp; Results'!$C$141:$C$146/(IF('Field 2 Fiscal'!AB35&gt;0,'Field 2 Fiscal'!AB35,1))))</f>
        <v>0.3863636363636363</v>
      </c>
      <c r="AC42" s="6">
        <f>SUMPRODUCT((AC36:AC41*'Assumptions &amp; Results'!$C$141:$C$146/(IF('Field 2 Fiscal'!AC35&gt;0,'Field 2 Fiscal'!AC35,1))))</f>
        <v>0.3863636363636363</v>
      </c>
      <c r="AD42" s="6">
        <f>SUMPRODUCT((AD36:AD41*'Assumptions &amp; Results'!$C$141:$C$146/(IF('Field 2 Fiscal'!AD35&gt;0,'Field 2 Fiscal'!AD35,1))))</f>
        <v>0.3863636363636363</v>
      </c>
      <c r="AE42" s="6">
        <f>SUMPRODUCT((AE36:AE41*'Assumptions &amp; Results'!$C$141:$C$146/(IF('Field 2 Fiscal'!AE35&gt;0,'Field 2 Fiscal'!AE35,1))))</f>
        <v>0.3863636363636363</v>
      </c>
      <c r="AF42" s="6">
        <f>SUMPRODUCT((AF36:AF41*'Assumptions &amp; Results'!$C$141:$C$146/(IF('Field 2 Fiscal'!AF35&gt;0,'Field 2 Fiscal'!AF35,1))))</f>
        <v>0.3863636363636363</v>
      </c>
      <c r="AG42" s="6">
        <f>SUMPRODUCT((AG36:AG41*'Assumptions &amp; Results'!$C$141:$C$146/(IF('Field 2 Fiscal'!AG35&gt;0,'Field 2 Fiscal'!AG35,1))))</f>
        <v>0.3863636363636363</v>
      </c>
      <c r="AH42" s="6">
        <f>SUMPRODUCT((AH36:AH41*'Assumptions &amp; Results'!$C$141:$C$146/(IF('Field 2 Fiscal'!AH35&gt;0,'Field 2 Fiscal'!AH35,1))))</f>
        <v>0.3863636363636363</v>
      </c>
      <c r="AI42" s="6">
        <f>SUMPRODUCT((AI36:AI41*'Assumptions &amp; Results'!$C$141:$C$146/(IF('Field 2 Fiscal'!AI35&gt;0,'Field 2 Fiscal'!AI35,1))))</f>
        <v>0.3863636363636363</v>
      </c>
      <c r="AJ42" s="168"/>
    </row>
    <row r="43" spans="1:36" x14ac:dyDescent="0.2">
      <c r="A43" s="78"/>
      <c r="B43" s="79"/>
      <c r="C43" s="84"/>
      <c r="D43" s="84"/>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125"/>
    </row>
    <row r="44" spans="1:36" x14ac:dyDescent="0.2">
      <c r="A44" s="79" t="s">
        <v>262</v>
      </c>
      <c r="B44" s="192" t="s">
        <v>99</v>
      </c>
      <c r="C44" s="84">
        <f t="shared" ref="C44:AI44" si="9">C7-C22</f>
        <v>0</v>
      </c>
      <c r="D44" s="84">
        <f t="shared" si="9"/>
        <v>0</v>
      </c>
      <c r="E44" s="8">
        <f t="shared" si="9"/>
        <v>0</v>
      </c>
      <c r="F44" s="8">
        <f t="shared" si="9"/>
        <v>0</v>
      </c>
      <c r="G44" s="8">
        <f t="shared" si="9"/>
        <v>400.33815937500015</v>
      </c>
      <c r="H44" s="8">
        <f t="shared" si="9"/>
        <v>800.67631875000029</v>
      </c>
      <c r="I44" s="8">
        <f t="shared" si="9"/>
        <v>800.67631875000029</v>
      </c>
      <c r="J44" s="8">
        <f t="shared" si="9"/>
        <v>800.90871196874991</v>
      </c>
      <c r="K44" s="8">
        <f t="shared" si="9"/>
        <v>800.67631875000029</v>
      </c>
      <c r="L44" s="8">
        <f t="shared" si="9"/>
        <v>800.67631875000029</v>
      </c>
      <c r="M44" s="8">
        <f t="shared" si="9"/>
        <v>800.67631875000029</v>
      </c>
      <c r="N44" s="8">
        <f t="shared" si="9"/>
        <v>1139.283203031252</v>
      </c>
      <c r="O44" s="8">
        <f t="shared" si="9"/>
        <v>1685.0970056249998</v>
      </c>
      <c r="P44" s="8">
        <f t="shared" si="9"/>
        <v>1684.4330250000007</v>
      </c>
      <c r="Q44" s="8">
        <f t="shared" si="9"/>
        <v>1684.4330250000007</v>
      </c>
      <c r="R44" s="8">
        <f t="shared" si="9"/>
        <v>1684.4330250000007</v>
      </c>
      <c r="S44" s="8">
        <f t="shared" si="9"/>
        <v>1684.4330250000007</v>
      </c>
      <c r="T44" s="8">
        <f t="shared" si="9"/>
        <v>1685.0970056249998</v>
      </c>
      <c r="U44" s="8">
        <f t="shared" si="9"/>
        <v>1684.4330250000007</v>
      </c>
      <c r="V44" s="8">
        <f t="shared" si="9"/>
        <v>1684.4330250000007</v>
      </c>
      <c r="W44" s="8">
        <f t="shared" si="9"/>
        <v>1684.4330250000007</v>
      </c>
      <c r="X44" s="8">
        <f t="shared" si="9"/>
        <v>1684.4330250000007</v>
      </c>
      <c r="Y44" s="8">
        <f t="shared" si="9"/>
        <v>1685.0970056249998</v>
      </c>
      <c r="Z44" s="8">
        <f t="shared" si="9"/>
        <v>1684.4330250000007</v>
      </c>
      <c r="AA44" s="8">
        <f t="shared" si="9"/>
        <v>1684.4330250000007</v>
      </c>
      <c r="AB44" s="8">
        <f t="shared" si="9"/>
        <v>1684.4330250000007</v>
      </c>
      <c r="AC44" s="8">
        <f t="shared" si="9"/>
        <v>1684.4330250000007</v>
      </c>
      <c r="AD44" s="8">
        <f t="shared" si="9"/>
        <v>1685.0970056249998</v>
      </c>
      <c r="AE44" s="8">
        <f t="shared" si="9"/>
        <v>1684.4330250000007</v>
      </c>
      <c r="AF44" s="8">
        <f t="shared" si="9"/>
        <v>1684.4330250000007</v>
      </c>
      <c r="AG44" s="8">
        <f t="shared" si="9"/>
        <v>1384.4330250000007</v>
      </c>
      <c r="AH44" s="8">
        <f t="shared" si="9"/>
        <v>1384.4330250000007</v>
      </c>
      <c r="AI44" s="8">
        <f t="shared" si="9"/>
        <v>1084.4330250000007</v>
      </c>
      <c r="AJ44" s="125">
        <f t="shared" ref="AJ44:AJ51" si="10">SUM(C44:AI44)</f>
        <v>40519.661115625015</v>
      </c>
    </row>
    <row r="45" spans="1:36" x14ac:dyDescent="0.2">
      <c r="A45" s="79" t="s">
        <v>263</v>
      </c>
      <c r="B45" s="192" t="s">
        <v>99</v>
      </c>
      <c r="C45" s="84">
        <f>IF('Assumptions &amp; Results'!$C$130=1,C32*C44,'Field 2 Fiscal'!C42*C44)</f>
        <v>0</v>
      </c>
      <c r="D45" s="84">
        <f>IF('Assumptions &amp; Results'!$C$130=1,D32*D44,'Field 2 Fiscal'!D42*D44)</f>
        <v>0</v>
      </c>
      <c r="E45" s="8">
        <f>IF('Assumptions &amp; Results'!$C$130=1,E32*E44,'Field 2 Fiscal'!E42*E44)</f>
        <v>0</v>
      </c>
      <c r="F45" s="8">
        <f>IF('Assumptions &amp; Results'!$C$130=1,F32*F44,'Field 2 Fiscal'!F42*F44)</f>
        <v>0</v>
      </c>
      <c r="G45" s="8">
        <f>IF('Assumptions &amp; Results'!$C$130=1,G32*G44,'Field 2 Fiscal'!G42*G44)</f>
        <v>40.033815937500016</v>
      </c>
      <c r="H45" s="8">
        <f>IF('Assumptions &amp; Results'!$C$130=1,H32*H44,'Field 2 Fiscal'!H42*H44)</f>
        <v>80.067631875000032</v>
      </c>
      <c r="I45" s="8">
        <f>IF('Assumptions &amp; Results'!$C$130=1,I32*I44,'Field 2 Fiscal'!I42*I44)</f>
        <v>80.067631875000032</v>
      </c>
      <c r="J45" s="8">
        <f>IF('Assumptions &amp; Results'!$C$130=1,J32*J44,'Field 2 Fiscal'!J42*J44)</f>
        <v>80.090871196875</v>
      </c>
      <c r="K45" s="8">
        <f>IF('Assumptions &amp; Results'!$C$130=1,K32*K44,'Field 2 Fiscal'!K42*K44)</f>
        <v>160.13526375000006</v>
      </c>
      <c r="L45" s="8">
        <f>IF('Assumptions &amp; Results'!$C$130=1,L32*L44,'Field 2 Fiscal'!L42*L44)</f>
        <v>160.13526375000006</v>
      </c>
      <c r="M45" s="8">
        <f>IF('Assumptions &amp; Results'!$C$130=1,M32*M44,'Field 2 Fiscal'!M42*M44)</f>
        <v>160.13526375000006</v>
      </c>
      <c r="N45" s="8">
        <f>IF('Assumptions &amp; Results'!$C$130=1,N32*N44,'Field 2 Fiscal'!N42*N44)</f>
        <v>227.85664060625041</v>
      </c>
      <c r="O45" s="8">
        <f>IF('Assumptions &amp; Results'!$C$130=1,O32*O44,'Field 2 Fiscal'!O42*O44)</f>
        <v>505.52910168749992</v>
      </c>
      <c r="P45" s="8">
        <f>IF('Assumptions &amp; Results'!$C$130=1,P32*P44,'Field 2 Fiscal'!P42*P44)</f>
        <v>505.32990750000022</v>
      </c>
      <c r="Q45" s="8">
        <f>IF('Assumptions &amp; Results'!$C$130=1,Q32*Q44,'Field 2 Fiscal'!Q42*Q44)</f>
        <v>505.32990750000022</v>
      </c>
      <c r="R45" s="8">
        <f>IF('Assumptions &amp; Results'!$C$130=1,R32*R44,'Field 2 Fiscal'!R42*R44)</f>
        <v>505.32990750000022</v>
      </c>
      <c r="S45" s="8">
        <f>IF('Assumptions &amp; Results'!$C$130=1,S32*S44,'Field 2 Fiscal'!S42*S44)</f>
        <v>842.21651250000036</v>
      </c>
      <c r="T45" s="8">
        <f>IF('Assumptions &amp; Results'!$C$130=1,T32*T44,'Field 2 Fiscal'!T42*T44)</f>
        <v>842.54850281249992</v>
      </c>
      <c r="U45" s="8">
        <f>IF('Assumptions &amp; Results'!$C$130=1,U32*U44,'Field 2 Fiscal'!U42*U44)</f>
        <v>842.21651250000036</v>
      </c>
      <c r="V45" s="8">
        <f>IF('Assumptions &amp; Results'!$C$130=1,V32*V44,'Field 2 Fiscal'!V42*V44)</f>
        <v>842.21651250000036</v>
      </c>
      <c r="W45" s="8">
        <f>IF('Assumptions &amp; Results'!$C$130=1,W32*W44,'Field 2 Fiscal'!W42*W44)</f>
        <v>842.21651250000036</v>
      </c>
      <c r="X45" s="8">
        <f>IF('Assumptions &amp; Results'!$C$130=1,X32*X44,'Field 2 Fiscal'!X42*X44)</f>
        <v>842.21651250000036</v>
      </c>
      <c r="Y45" s="8">
        <f>IF('Assumptions &amp; Results'!$C$130=1,Y32*Y44,'Field 2 Fiscal'!Y42*Y44)</f>
        <v>1011.0582033749998</v>
      </c>
      <c r="Z45" s="8">
        <f>IF('Assumptions &amp; Results'!$C$130=1,Z32*Z44,'Field 2 Fiscal'!Z42*Z44)</f>
        <v>1010.6598150000004</v>
      </c>
      <c r="AA45" s="8">
        <f>IF('Assumptions &amp; Results'!$C$130=1,AA32*AA44,'Field 2 Fiscal'!AA42*AA44)</f>
        <v>1010.6598150000004</v>
      </c>
      <c r="AB45" s="8">
        <f>IF('Assumptions &amp; Results'!$C$130=1,AB32*AB44,'Field 2 Fiscal'!AB42*AB44)</f>
        <v>1010.6598150000004</v>
      </c>
      <c r="AC45" s="8">
        <f>IF('Assumptions &amp; Results'!$C$130=1,AC32*AC44,'Field 2 Fiscal'!AC42*AC44)</f>
        <v>1010.6598150000004</v>
      </c>
      <c r="AD45" s="8">
        <f>IF('Assumptions &amp; Results'!$C$130=1,AD32*AD44,'Field 2 Fiscal'!AD42*AD44)</f>
        <v>1011.0582033749998</v>
      </c>
      <c r="AE45" s="8">
        <f>IF('Assumptions &amp; Results'!$C$130=1,AE32*AE44,'Field 2 Fiscal'!AE42*AE44)</f>
        <v>1010.6598150000004</v>
      </c>
      <c r="AF45" s="8">
        <f>IF('Assumptions &amp; Results'!$C$130=1,AF32*AF44,'Field 2 Fiscal'!AF42*AF44)</f>
        <v>1010.6598150000004</v>
      </c>
      <c r="AG45" s="8">
        <f>IF('Assumptions &amp; Results'!$C$130=1,AG32*AG44,'Field 2 Fiscal'!AG42*AG44)</f>
        <v>830.65981500000044</v>
      </c>
      <c r="AH45" s="8">
        <f>IF('Assumptions &amp; Results'!$C$130=1,AH32*AH44,'Field 2 Fiscal'!AH42*AH44)</f>
        <v>830.65981500000044</v>
      </c>
      <c r="AI45" s="8">
        <f>IF('Assumptions &amp; Results'!$C$130=1,AI32*AI44,'Field 2 Fiscal'!AI42*AI44)</f>
        <v>650.65981500000044</v>
      </c>
      <c r="AJ45" s="125">
        <f t="shared" si="10"/>
        <v>18461.727013990629</v>
      </c>
    </row>
    <row r="46" spans="1:36" x14ac:dyDescent="0.2">
      <c r="A46" s="79" t="s">
        <v>264</v>
      </c>
      <c r="B46" s="192" t="s">
        <v>99</v>
      </c>
      <c r="C46" s="84">
        <f>C44-C45</f>
        <v>0</v>
      </c>
      <c r="D46" s="84">
        <f t="shared" ref="D46:AI46" si="11">D44-D45</f>
        <v>0</v>
      </c>
      <c r="E46" s="8">
        <f t="shared" si="11"/>
        <v>0</v>
      </c>
      <c r="F46" s="8">
        <f t="shared" si="11"/>
        <v>0</v>
      </c>
      <c r="G46" s="8">
        <f t="shared" si="11"/>
        <v>360.30434343750011</v>
      </c>
      <c r="H46" s="8">
        <f t="shared" si="11"/>
        <v>720.60868687500022</v>
      </c>
      <c r="I46" s="8">
        <f t="shared" si="11"/>
        <v>720.60868687500022</v>
      </c>
      <c r="J46" s="8">
        <f t="shared" si="11"/>
        <v>720.8178407718749</v>
      </c>
      <c r="K46" s="8">
        <f t="shared" si="11"/>
        <v>640.54105500000026</v>
      </c>
      <c r="L46" s="8">
        <f t="shared" si="11"/>
        <v>640.54105500000026</v>
      </c>
      <c r="M46" s="8">
        <f t="shared" si="11"/>
        <v>640.54105500000026</v>
      </c>
      <c r="N46" s="8">
        <f t="shared" si="11"/>
        <v>911.42656242500163</v>
      </c>
      <c r="O46" s="8">
        <f t="shared" si="11"/>
        <v>1179.5679039375</v>
      </c>
      <c r="P46" s="8">
        <f t="shared" si="11"/>
        <v>1179.1031175000005</v>
      </c>
      <c r="Q46" s="8">
        <f t="shared" si="11"/>
        <v>1179.1031175000005</v>
      </c>
      <c r="R46" s="8">
        <f t="shared" si="11"/>
        <v>1179.1031175000005</v>
      </c>
      <c r="S46" s="8">
        <f t="shared" si="11"/>
        <v>842.21651250000036</v>
      </c>
      <c r="T46" s="8">
        <f t="shared" si="11"/>
        <v>842.54850281249992</v>
      </c>
      <c r="U46" s="8">
        <f t="shared" si="11"/>
        <v>842.21651250000036</v>
      </c>
      <c r="V46" s="8">
        <f t="shared" si="11"/>
        <v>842.21651250000036</v>
      </c>
      <c r="W46" s="8">
        <f t="shared" si="11"/>
        <v>842.21651250000036</v>
      </c>
      <c r="X46" s="8">
        <f t="shared" si="11"/>
        <v>842.21651250000036</v>
      </c>
      <c r="Y46" s="8">
        <f t="shared" si="11"/>
        <v>674.03880225</v>
      </c>
      <c r="Z46" s="8">
        <f t="shared" si="11"/>
        <v>673.77321000000029</v>
      </c>
      <c r="AA46" s="8">
        <f t="shared" si="11"/>
        <v>673.77321000000029</v>
      </c>
      <c r="AB46" s="8">
        <f t="shared" si="11"/>
        <v>673.77321000000029</v>
      </c>
      <c r="AC46" s="8">
        <f t="shared" si="11"/>
        <v>673.77321000000029</v>
      </c>
      <c r="AD46" s="8">
        <f t="shared" si="11"/>
        <v>674.03880225</v>
      </c>
      <c r="AE46" s="8">
        <f t="shared" si="11"/>
        <v>673.77321000000029</v>
      </c>
      <c r="AF46" s="8">
        <f t="shared" si="11"/>
        <v>673.77321000000029</v>
      </c>
      <c r="AG46" s="8">
        <f t="shared" si="11"/>
        <v>553.77321000000029</v>
      </c>
      <c r="AH46" s="8">
        <f t="shared" si="11"/>
        <v>553.77321000000029</v>
      </c>
      <c r="AI46" s="8">
        <f t="shared" si="11"/>
        <v>433.77321000000029</v>
      </c>
      <c r="AJ46" s="125">
        <f t="shared" si="10"/>
        <v>22057.934101634382</v>
      </c>
    </row>
    <row r="47" spans="1:36" x14ac:dyDescent="0.2">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125"/>
    </row>
    <row r="48" spans="1:36" x14ac:dyDescent="0.2">
      <c r="A48" t="s">
        <v>265</v>
      </c>
      <c r="B48" s="96" t="s">
        <v>99</v>
      </c>
      <c r="C48" s="8">
        <f>C22+C46-C9-C16-C26-C17-C10</f>
        <v>-1050</v>
      </c>
      <c r="D48" s="8">
        <f t="shared" ref="D48:AI48" si="12">D22+D46-D9-D16-D26-D17-D10</f>
        <v>-155</v>
      </c>
      <c r="E48" s="8">
        <f t="shared" si="12"/>
        <v>-367.5</v>
      </c>
      <c r="F48" s="8">
        <f t="shared" si="12"/>
        <v>-842.5</v>
      </c>
      <c r="G48" s="8">
        <f t="shared" si="12"/>
        <v>-472.98695656249976</v>
      </c>
      <c r="H48" s="8">
        <f t="shared" si="12"/>
        <v>296.52608687500049</v>
      </c>
      <c r="I48" s="8">
        <f t="shared" si="12"/>
        <v>509.02608687500049</v>
      </c>
      <c r="J48" s="8">
        <f t="shared" si="12"/>
        <v>991.63862474062489</v>
      </c>
      <c r="K48" s="8">
        <f t="shared" si="12"/>
        <v>1316.4584550000009</v>
      </c>
      <c r="L48" s="8">
        <f t="shared" si="12"/>
        <v>1383.9584550000009</v>
      </c>
      <c r="M48" s="8">
        <f t="shared" si="12"/>
        <v>1383.9584550000009</v>
      </c>
      <c r="N48" s="8">
        <f t="shared" si="12"/>
        <v>1316.2370781437503</v>
      </c>
      <c r="O48" s="8">
        <f t="shared" si="12"/>
        <v>1046.20039425</v>
      </c>
      <c r="P48" s="8">
        <f t="shared" si="12"/>
        <v>1038.7638112500006</v>
      </c>
      <c r="Q48" s="8">
        <f t="shared" si="12"/>
        <v>1038.7638112500006</v>
      </c>
      <c r="R48" s="8">
        <f t="shared" si="12"/>
        <v>1038.7638112500006</v>
      </c>
      <c r="S48" s="8">
        <f t="shared" si="12"/>
        <v>701.87720625000031</v>
      </c>
      <c r="T48" s="8">
        <f t="shared" si="12"/>
        <v>709.18099312499999</v>
      </c>
      <c r="U48" s="8">
        <f t="shared" si="12"/>
        <v>701.87720625000031</v>
      </c>
      <c r="V48" s="8">
        <f t="shared" si="12"/>
        <v>701.87720625000031</v>
      </c>
      <c r="W48" s="8">
        <f t="shared" si="12"/>
        <v>701.87720625000031</v>
      </c>
      <c r="X48" s="8">
        <f t="shared" si="12"/>
        <v>701.87720625000031</v>
      </c>
      <c r="Y48" s="8">
        <f t="shared" si="12"/>
        <v>540.67129256250018</v>
      </c>
      <c r="Z48" s="8">
        <f t="shared" si="12"/>
        <v>533.43390375000024</v>
      </c>
      <c r="AA48" s="8">
        <f t="shared" si="12"/>
        <v>533.43390375000024</v>
      </c>
      <c r="AB48" s="8">
        <f t="shared" si="12"/>
        <v>533.43390375000024</v>
      </c>
      <c r="AC48" s="8">
        <f t="shared" si="12"/>
        <v>533.43390375000024</v>
      </c>
      <c r="AD48" s="8">
        <f t="shared" si="12"/>
        <v>540.67129256250018</v>
      </c>
      <c r="AE48" s="8">
        <f t="shared" si="12"/>
        <v>533.43390375000024</v>
      </c>
      <c r="AF48" s="8">
        <f t="shared" si="12"/>
        <v>533.43390375000024</v>
      </c>
      <c r="AG48" s="8">
        <f t="shared" si="12"/>
        <v>413.43390375000024</v>
      </c>
      <c r="AH48" s="8">
        <f t="shared" si="12"/>
        <v>413.43390375000024</v>
      </c>
      <c r="AI48" s="8">
        <f t="shared" si="12"/>
        <v>293.43390375000024</v>
      </c>
      <c r="AJ48" s="125">
        <f t="shared" si="10"/>
        <v>18093.122856321883</v>
      </c>
    </row>
    <row r="49" spans="1:36" x14ac:dyDescent="0.2">
      <c r="A49" t="s">
        <v>266</v>
      </c>
      <c r="B49" s="96" t="s">
        <v>99</v>
      </c>
      <c r="C49" s="8">
        <f>IF(C48&lt;0,C48,0)</f>
        <v>-1050</v>
      </c>
      <c r="D49" s="8">
        <f>IF((D48+C49)&lt;0,(D48+C49),0)</f>
        <v>-1205</v>
      </c>
      <c r="E49" s="8">
        <f t="shared" ref="E49:AI49" si="13">IF((E48+D49)&lt;0,(E48+D49),0)</f>
        <v>-1572.5</v>
      </c>
      <c r="F49" s="8">
        <f t="shared" si="13"/>
        <v>-2415</v>
      </c>
      <c r="G49" s="8">
        <f t="shared" si="13"/>
        <v>-2887.9869565624999</v>
      </c>
      <c r="H49" s="8">
        <f t="shared" si="13"/>
        <v>-2591.4608696874993</v>
      </c>
      <c r="I49" s="8">
        <f t="shared" si="13"/>
        <v>-2082.4347828124987</v>
      </c>
      <c r="J49" s="8">
        <f t="shared" si="13"/>
        <v>-1090.7961580718738</v>
      </c>
      <c r="K49" s="8">
        <f t="shared" si="13"/>
        <v>0</v>
      </c>
      <c r="L49" s="8">
        <f t="shared" si="13"/>
        <v>0</v>
      </c>
      <c r="M49" s="8">
        <f t="shared" si="13"/>
        <v>0</v>
      </c>
      <c r="N49" s="8">
        <f t="shared" si="13"/>
        <v>0</v>
      </c>
      <c r="O49" s="8">
        <f t="shared" si="13"/>
        <v>0</v>
      </c>
      <c r="P49" s="8">
        <f t="shared" si="13"/>
        <v>0</v>
      </c>
      <c r="Q49" s="8">
        <f t="shared" si="13"/>
        <v>0</v>
      </c>
      <c r="R49" s="8">
        <f t="shared" si="13"/>
        <v>0</v>
      </c>
      <c r="S49" s="8">
        <f t="shared" si="13"/>
        <v>0</v>
      </c>
      <c r="T49" s="8">
        <f t="shared" si="13"/>
        <v>0</v>
      </c>
      <c r="U49" s="8">
        <f t="shared" si="13"/>
        <v>0</v>
      </c>
      <c r="V49" s="8">
        <f t="shared" si="13"/>
        <v>0</v>
      </c>
      <c r="W49" s="8">
        <f t="shared" si="13"/>
        <v>0</v>
      </c>
      <c r="X49" s="8">
        <f t="shared" si="13"/>
        <v>0</v>
      </c>
      <c r="Y49" s="8">
        <f t="shared" si="13"/>
        <v>0</v>
      </c>
      <c r="Z49" s="8">
        <f t="shared" si="13"/>
        <v>0</v>
      </c>
      <c r="AA49" s="8">
        <f t="shared" si="13"/>
        <v>0</v>
      </c>
      <c r="AB49" s="8">
        <f t="shared" si="13"/>
        <v>0</v>
      </c>
      <c r="AC49" s="8">
        <f t="shared" si="13"/>
        <v>0</v>
      </c>
      <c r="AD49" s="8">
        <f t="shared" si="13"/>
        <v>0</v>
      </c>
      <c r="AE49" s="8">
        <f t="shared" si="13"/>
        <v>0</v>
      </c>
      <c r="AF49" s="8">
        <f t="shared" si="13"/>
        <v>0</v>
      </c>
      <c r="AG49" s="8">
        <f t="shared" si="13"/>
        <v>0</v>
      </c>
      <c r="AH49" s="8">
        <f t="shared" si="13"/>
        <v>0</v>
      </c>
      <c r="AI49" s="8">
        <f t="shared" si="13"/>
        <v>0</v>
      </c>
      <c r="AJ49" s="125"/>
    </row>
    <row r="50" spans="1:36" x14ac:dyDescent="0.2">
      <c r="A50" t="s">
        <v>267</v>
      </c>
      <c r="B50" s="96" t="s">
        <v>99</v>
      </c>
      <c r="C50" s="8"/>
      <c r="D50" s="8">
        <f t="shared" ref="D50:I50" si="14">IF((D48+C49)&gt;0,(D48+C49),0)</f>
        <v>0</v>
      </c>
      <c r="E50" s="8">
        <f t="shared" si="14"/>
        <v>0</v>
      </c>
      <c r="F50" s="8">
        <f t="shared" si="14"/>
        <v>0</v>
      </c>
      <c r="G50" s="8">
        <f t="shared" si="14"/>
        <v>0</v>
      </c>
      <c r="H50" s="8">
        <f t="shared" si="14"/>
        <v>0</v>
      </c>
      <c r="I50" s="8">
        <f t="shared" si="14"/>
        <v>0</v>
      </c>
      <c r="J50" s="8">
        <f>IF((J48+I49)&gt;0,(J48+I49),0)</f>
        <v>0</v>
      </c>
      <c r="K50" s="8">
        <f t="shared" ref="K50:AI50" si="15">IF((K48+J49)&gt;0,(K48+J49),0)</f>
        <v>225.66229692812703</v>
      </c>
      <c r="L50" s="8">
        <f t="shared" si="15"/>
        <v>1383.9584550000009</v>
      </c>
      <c r="M50" s="8">
        <f t="shared" si="15"/>
        <v>1383.9584550000009</v>
      </c>
      <c r="N50" s="8">
        <f t="shared" si="15"/>
        <v>1316.2370781437503</v>
      </c>
      <c r="O50" s="8">
        <f t="shared" si="15"/>
        <v>1046.20039425</v>
      </c>
      <c r="P50" s="8">
        <f t="shared" si="15"/>
        <v>1038.7638112500006</v>
      </c>
      <c r="Q50" s="8">
        <f t="shared" si="15"/>
        <v>1038.7638112500006</v>
      </c>
      <c r="R50" s="8">
        <f t="shared" si="15"/>
        <v>1038.7638112500006</v>
      </c>
      <c r="S50" s="8">
        <f t="shared" si="15"/>
        <v>701.87720625000031</v>
      </c>
      <c r="T50" s="8">
        <f t="shared" si="15"/>
        <v>709.18099312499999</v>
      </c>
      <c r="U50" s="8">
        <f t="shared" si="15"/>
        <v>701.87720625000031</v>
      </c>
      <c r="V50" s="8">
        <f t="shared" si="15"/>
        <v>701.87720625000031</v>
      </c>
      <c r="W50" s="8">
        <f t="shared" si="15"/>
        <v>701.87720625000031</v>
      </c>
      <c r="X50" s="8">
        <f t="shared" si="15"/>
        <v>701.87720625000031</v>
      </c>
      <c r="Y50" s="8">
        <f t="shared" si="15"/>
        <v>540.67129256250018</v>
      </c>
      <c r="Z50" s="8">
        <f t="shared" si="15"/>
        <v>533.43390375000024</v>
      </c>
      <c r="AA50" s="8">
        <f t="shared" si="15"/>
        <v>533.43390375000024</v>
      </c>
      <c r="AB50" s="8">
        <f t="shared" si="15"/>
        <v>533.43390375000024</v>
      </c>
      <c r="AC50" s="8">
        <f t="shared" si="15"/>
        <v>533.43390375000024</v>
      </c>
      <c r="AD50" s="8">
        <f t="shared" si="15"/>
        <v>540.67129256250018</v>
      </c>
      <c r="AE50" s="8">
        <f t="shared" si="15"/>
        <v>533.43390375000024</v>
      </c>
      <c r="AF50" s="8">
        <f t="shared" si="15"/>
        <v>533.43390375000024</v>
      </c>
      <c r="AG50" s="8">
        <f t="shared" si="15"/>
        <v>413.43390375000024</v>
      </c>
      <c r="AH50" s="8">
        <f t="shared" si="15"/>
        <v>413.43390375000024</v>
      </c>
      <c r="AI50" s="8">
        <f t="shared" si="15"/>
        <v>293.43390375000024</v>
      </c>
      <c r="AJ50" s="125">
        <f t="shared" si="10"/>
        <v>18093.122856321883</v>
      </c>
    </row>
    <row r="51" spans="1:36" x14ac:dyDescent="0.2">
      <c r="A51" t="s">
        <v>268</v>
      </c>
      <c r="B51" s="96" t="s">
        <v>99</v>
      </c>
      <c r="C51" s="8">
        <f>C50*('Assumptions &amp; Results'!$C$122-'Assumptions &amp; Results'!D128)</f>
        <v>0</v>
      </c>
      <c r="D51" s="8">
        <f>D50*('Assumptions &amp; Results'!$C$122-'Assumptions &amp; Results'!E128)</f>
        <v>0</v>
      </c>
      <c r="E51" s="8">
        <f>E50*('Assumptions &amp; Results'!$C$122-'Assumptions &amp; Results'!F128)</f>
        <v>0</v>
      </c>
      <c r="F51" s="8">
        <f>F50*('Assumptions &amp; Results'!$C$122-'Assumptions &amp; Results'!G128)</f>
        <v>0</v>
      </c>
      <c r="G51" s="8">
        <f>G50*('Assumptions &amp; Results'!$C$122-'Assumptions &amp; Results'!H128)</f>
        <v>0</v>
      </c>
      <c r="H51" s="8">
        <f>H50*('Assumptions &amp; Results'!$C$122-'Assumptions &amp; Results'!I128)</f>
        <v>0</v>
      </c>
      <c r="I51" s="8">
        <f>I50*('Assumptions &amp; Results'!$C$122-'Assumptions &amp; Results'!J128)</f>
        <v>0</v>
      </c>
      <c r="J51" s="8">
        <f>J50*('Assumptions &amp; Results'!$C$122-'Assumptions &amp; Results'!K128)</f>
        <v>0</v>
      </c>
      <c r="K51" s="8">
        <f>K50*('Assumptions &amp; Results'!$C$122-'Assumptions &amp; Results'!L128)</f>
        <v>72.211935017000656</v>
      </c>
      <c r="L51" s="8">
        <f>L50*('Assumptions &amp; Results'!$C$122-'Assumptions &amp; Results'!M128)</f>
        <v>442.86670560000027</v>
      </c>
      <c r="M51" s="8">
        <f>M50*('Assumptions &amp; Results'!$C$122-'Assumptions &amp; Results'!N128)</f>
        <v>442.86670560000027</v>
      </c>
      <c r="N51" s="8">
        <f>N50*('Assumptions &amp; Results'!$C$122-'Assumptions &amp; Results'!O128)</f>
        <v>421.19586500600008</v>
      </c>
      <c r="O51" s="8">
        <f>O50*('Assumptions &amp; Results'!$C$122-'Assumptions &amp; Results'!P128)</f>
        <v>334.78412616000003</v>
      </c>
      <c r="P51" s="8">
        <f>P50*('Assumptions &amp; Results'!$C$122-'Assumptions &amp; Results'!Q128)</f>
        <v>332.40441960000021</v>
      </c>
      <c r="Q51" s="8">
        <f>Q50*('Assumptions &amp; Results'!$C$122-'Assumptions &amp; Results'!R128)</f>
        <v>332.40441960000021</v>
      </c>
      <c r="R51" s="8">
        <f>R50*('Assumptions &amp; Results'!$C$122-'Assumptions &amp; Results'!S128)</f>
        <v>332.40441960000021</v>
      </c>
      <c r="S51" s="8">
        <f>S50*('Assumptions &amp; Results'!$C$122-'Assumptions &amp; Results'!T128)</f>
        <v>224.60070600000012</v>
      </c>
      <c r="T51" s="8">
        <f>T50*('Assumptions &amp; Results'!$C$122-'Assumptions &amp; Results'!U128)</f>
        <v>226.93791780000001</v>
      </c>
      <c r="U51" s="8">
        <f>U50*('Assumptions &amp; Results'!$C$122-'Assumptions &amp; Results'!V128)</f>
        <v>224.60070600000012</v>
      </c>
      <c r="V51" s="8">
        <f>V50*('Assumptions &amp; Results'!$C$122-'Assumptions &amp; Results'!W128)</f>
        <v>224.60070600000012</v>
      </c>
      <c r="W51" s="8">
        <f>W50*('Assumptions &amp; Results'!$C$122-'Assumptions &amp; Results'!X128)</f>
        <v>224.60070600000012</v>
      </c>
      <c r="X51" s="8">
        <f>X50*('Assumptions &amp; Results'!$C$122-'Assumptions &amp; Results'!Y128)</f>
        <v>224.60070600000012</v>
      </c>
      <c r="Y51" s="8">
        <f>Y50*('Assumptions &amp; Results'!$C$122-'Assumptions &amp; Results'!Z128)</f>
        <v>173.01481362000007</v>
      </c>
      <c r="Z51" s="8">
        <f>Z50*('Assumptions &amp; Results'!$C$122-'Assumptions &amp; Results'!AA128)</f>
        <v>170.69884920000007</v>
      </c>
      <c r="AA51" s="8">
        <f>AA50*('Assumptions &amp; Results'!$C$122-'Assumptions &amp; Results'!AB128)</f>
        <v>170.69884920000007</v>
      </c>
      <c r="AB51" s="8">
        <f>AB50*('Assumptions &amp; Results'!$C$122-'Assumptions &amp; Results'!AC128)</f>
        <v>170.69884920000007</v>
      </c>
      <c r="AC51" s="8">
        <f>AC50*('Assumptions &amp; Results'!$C$122-'Assumptions &amp; Results'!AD128)</f>
        <v>170.69884920000007</v>
      </c>
      <c r="AD51" s="8">
        <f>AD50*('Assumptions &amp; Results'!$C$122-'Assumptions &amp; Results'!AE128)</f>
        <v>173.01481362000007</v>
      </c>
      <c r="AE51" s="8">
        <f>AE50*('Assumptions &amp; Results'!$C$122-'Assumptions &amp; Results'!AF128)</f>
        <v>170.69884920000007</v>
      </c>
      <c r="AF51" s="8">
        <f>AF50*('Assumptions &amp; Results'!$C$122-'Assumptions &amp; Results'!AG128)</f>
        <v>170.69884920000007</v>
      </c>
      <c r="AG51" s="8">
        <f>AG50*('Assumptions &amp; Results'!$C$122-'Assumptions &amp; Results'!AH128)</f>
        <v>132.29884920000009</v>
      </c>
      <c r="AH51" s="8">
        <f>AH50*('Assumptions &amp; Results'!$C$122-'Assumptions &amp; Results'!AI128)</f>
        <v>132.29884920000009</v>
      </c>
      <c r="AI51" s="8">
        <f>AI50*('Assumptions &amp; Results'!$C$122-'Assumptions &amp; Results'!AJ128)</f>
        <v>93.898849200000072</v>
      </c>
      <c r="AJ51" s="125">
        <f t="shared" si="10"/>
        <v>5789.7993140230046</v>
      </c>
    </row>
    <row r="52" spans="1:36" x14ac:dyDescent="0.2">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125"/>
    </row>
  </sheetData>
  <pageMargins left="0.7" right="0.7" top="0.75" bottom="0.75" header="0.3" footer="0.3"/>
  <pageSetup orientation="portrait" horizontalDpi="4294967292" vertic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FF0000"/>
  </sheetPr>
  <dimension ref="A1:AJ83"/>
  <sheetViews>
    <sheetView workbookViewId="0">
      <pane xSplit="1" topLeftCell="B1" activePane="topRight" state="frozen"/>
      <selection activeCell="B48" sqref="B48"/>
      <selection pane="topRight" activeCell="C25" sqref="C25"/>
    </sheetView>
  </sheetViews>
  <sheetFormatPr defaultColWidth="8.85546875" defaultRowHeight="15" x14ac:dyDescent="0.25"/>
  <cols>
    <col min="1" max="1" width="53.85546875" customWidth="1"/>
    <col min="2" max="3" width="13.140625" customWidth="1"/>
    <col min="6" max="6" width="10.42578125" customWidth="1"/>
    <col min="7" max="7" width="10.140625" customWidth="1"/>
    <col min="8" max="9" width="10.42578125" customWidth="1"/>
    <col min="10" max="11" width="9.85546875" customWidth="1"/>
    <col min="12" max="12" width="10.7109375" customWidth="1"/>
    <col min="13" max="13" width="10" customWidth="1"/>
    <col min="14" max="15" width="9.42578125" customWidth="1"/>
    <col min="16" max="17" width="9.7109375" customWidth="1"/>
    <col min="18" max="19" width="10.28515625" customWidth="1"/>
    <col min="20" max="20" width="10.7109375" customWidth="1"/>
    <col min="21" max="21" width="9.7109375" customWidth="1"/>
    <col min="22" max="22" width="10.28515625" customWidth="1"/>
    <col min="23" max="23" width="11.85546875" customWidth="1"/>
    <col min="24" max="24" width="10.28515625" customWidth="1"/>
    <col min="25" max="25" width="11.28515625" customWidth="1"/>
    <col min="26" max="26" width="9.85546875" customWidth="1"/>
    <col min="27" max="27" width="11.140625" customWidth="1"/>
    <col min="28" max="28" width="10.28515625" customWidth="1"/>
    <col min="29" max="29" width="9.7109375" customWidth="1"/>
    <col min="30" max="30" width="10.140625" customWidth="1"/>
    <col min="31" max="31" width="9.85546875" customWidth="1"/>
    <col min="32" max="32" width="10.7109375" customWidth="1"/>
    <col min="33" max="35" width="10.42578125" customWidth="1"/>
    <col min="36" max="36" width="9.85546875" style="124" customWidth="1"/>
  </cols>
  <sheetData>
    <row r="1" spans="1:36" s="99" customFormat="1" ht="21" x14ac:dyDescent="0.25">
      <c r="A1" s="197" t="s">
        <v>317</v>
      </c>
      <c r="B1" s="211"/>
      <c r="C1" s="97"/>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2"/>
    </row>
    <row r="2" spans="1:36" s="99" customFormat="1" ht="21" x14ac:dyDescent="0.25">
      <c r="A2" s="197"/>
      <c r="B2" s="211"/>
      <c r="C2" s="117" t="str">
        <f>IF('Assumptions &amp; Results'!$C$172=3,"INVALID","VALID")</f>
        <v>VALID</v>
      </c>
      <c r="D2" s="235" t="s">
        <v>570</v>
      </c>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36"/>
    </row>
    <row r="3" spans="1:36" x14ac:dyDescent="0.2">
      <c r="B3" t="s">
        <v>234</v>
      </c>
      <c r="C3" s="1">
        <f>'Assumptions &amp; Results'!D2</f>
        <v>2017</v>
      </c>
      <c r="D3" s="1">
        <f>'Assumptions &amp; Results'!E2</f>
        <v>2018</v>
      </c>
      <c r="E3" s="1">
        <f>'Assumptions &amp; Results'!F2</f>
        <v>2019</v>
      </c>
      <c r="F3" s="1">
        <f>'Assumptions &amp; Results'!G2</f>
        <v>2020</v>
      </c>
      <c r="G3" s="1">
        <f>'Assumptions &amp; Results'!H2</f>
        <v>2021</v>
      </c>
      <c r="H3" s="1">
        <f>'Assumptions &amp; Results'!I2</f>
        <v>2022</v>
      </c>
      <c r="I3" s="1">
        <f>'Assumptions &amp; Results'!J2</f>
        <v>2023</v>
      </c>
      <c r="J3" s="1">
        <f>'Assumptions &amp; Results'!K2</f>
        <v>2024</v>
      </c>
      <c r="K3" s="1">
        <f>'Assumptions &amp; Results'!L2</f>
        <v>2025</v>
      </c>
      <c r="L3" s="1">
        <f>'Assumptions &amp; Results'!M2</f>
        <v>2026</v>
      </c>
      <c r="M3" s="1">
        <f>'Assumptions &amp; Results'!N2</f>
        <v>2027</v>
      </c>
      <c r="N3" s="1">
        <f>'Assumptions &amp; Results'!O2</f>
        <v>2028</v>
      </c>
      <c r="O3" s="1">
        <f>'Assumptions &amp; Results'!P2</f>
        <v>2029</v>
      </c>
      <c r="P3" s="1">
        <f>'Assumptions &amp; Results'!Q2</f>
        <v>2030</v>
      </c>
      <c r="Q3" s="1">
        <f>'Assumptions &amp; Results'!R2</f>
        <v>2031</v>
      </c>
      <c r="R3" s="1">
        <f>'Assumptions &amp; Results'!S2</f>
        <v>2032</v>
      </c>
      <c r="S3" s="1">
        <f>'Assumptions &amp; Results'!T2</f>
        <v>2033</v>
      </c>
      <c r="T3" s="1">
        <f>'Assumptions &amp; Results'!U2</f>
        <v>2034</v>
      </c>
      <c r="U3" s="1">
        <f>'Assumptions &amp; Results'!V2</f>
        <v>2035</v>
      </c>
      <c r="V3" s="1">
        <f>'Assumptions &amp; Results'!W2</f>
        <v>2036</v>
      </c>
      <c r="W3" s="1">
        <f>'Assumptions &amp; Results'!X2</f>
        <v>2037</v>
      </c>
      <c r="X3" s="1">
        <f>'Assumptions &amp; Results'!Y2</f>
        <v>2038</v>
      </c>
      <c r="Y3" s="1">
        <f>'Assumptions &amp; Results'!Z2</f>
        <v>2039</v>
      </c>
      <c r="Z3" s="1">
        <f>'Assumptions &amp; Results'!AA2</f>
        <v>2040</v>
      </c>
      <c r="AA3" s="1">
        <f>'Assumptions &amp; Results'!AB2</f>
        <v>2041</v>
      </c>
      <c r="AB3" s="1">
        <f>'Assumptions &amp; Results'!AC2</f>
        <v>2042</v>
      </c>
      <c r="AC3" s="1">
        <f>'Assumptions &amp; Results'!AD2</f>
        <v>2043</v>
      </c>
      <c r="AD3" s="1">
        <f>'Assumptions &amp; Results'!AE2</f>
        <v>2044</v>
      </c>
      <c r="AE3" s="1">
        <f>'Assumptions &amp; Results'!AF2</f>
        <v>2045</v>
      </c>
      <c r="AF3" s="1">
        <f>'Assumptions &amp; Results'!AG2</f>
        <v>2046</v>
      </c>
      <c r="AG3" s="1">
        <f>'Assumptions &amp; Results'!AH2</f>
        <v>2047</v>
      </c>
      <c r="AH3" s="1">
        <f>'Assumptions &amp; Results'!AI2</f>
        <v>2048</v>
      </c>
      <c r="AI3" s="1">
        <f>'Assumptions &amp; Results'!AJ2</f>
        <v>2049</v>
      </c>
      <c r="AJ3" s="130" t="s">
        <v>63</v>
      </c>
    </row>
    <row r="4" spans="1:36" x14ac:dyDescent="0.2">
      <c r="A4" s="74" t="str">
        <f>'Assumptions &amp; Results'!A49</f>
        <v>Total Upstream Capital Expenditures Block 2</v>
      </c>
      <c r="B4" t="str">
        <f>'Assumptions &amp; Results'!B40</f>
        <v>$MM</v>
      </c>
      <c r="C4" s="8">
        <f>'Assumptions &amp; Results'!D49</f>
        <v>200</v>
      </c>
      <c r="D4" s="8">
        <f>'Assumptions &amp; Results'!E49</f>
        <v>420</v>
      </c>
      <c r="E4" s="8">
        <f>'Assumptions &amp; Results'!F49</f>
        <v>850</v>
      </c>
      <c r="F4" s="8">
        <f>'Assumptions &amp; Results'!G49</f>
        <v>1900</v>
      </c>
      <c r="G4" s="8">
        <f>'Assumptions &amp; Results'!H49</f>
        <v>1650</v>
      </c>
      <c r="H4" s="8">
        <f>'Assumptions &amp; Results'!I49</f>
        <v>270</v>
      </c>
      <c r="I4" s="8">
        <f>'Assumptions &amp; Results'!J49</f>
        <v>0</v>
      </c>
      <c r="J4" s="8">
        <f>'Assumptions &amp; Results'!K49</f>
        <v>0</v>
      </c>
      <c r="K4" s="8">
        <f>'Assumptions &amp; Results'!L49</f>
        <v>0</v>
      </c>
      <c r="L4" s="8">
        <f>'Assumptions &amp; Results'!M49</f>
        <v>0</v>
      </c>
      <c r="M4" s="8">
        <f>'Assumptions &amp; Results'!N49</f>
        <v>0</v>
      </c>
      <c r="N4" s="8">
        <f>'Assumptions &amp; Results'!O49</f>
        <v>0</v>
      </c>
      <c r="O4" s="8">
        <f>'Assumptions &amp; Results'!P49</f>
        <v>0</v>
      </c>
      <c r="P4" s="8">
        <f>'Assumptions &amp; Results'!Q49</f>
        <v>0</v>
      </c>
      <c r="Q4" s="8">
        <f>'Assumptions &amp; Results'!R49</f>
        <v>0</v>
      </c>
      <c r="R4" s="8">
        <f>'Assumptions &amp; Results'!S49</f>
        <v>0</v>
      </c>
      <c r="S4" s="8">
        <f>'Assumptions &amp; Results'!T49</f>
        <v>0</v>
      </c>
      <c r="T4" s="8">
        <f>'Assumptions &amp; Results'!U49</f>
        <v>0</v>
      </c>
      <c r="U4" s="8">
        <f>'Assumptions &amp; Results'!V49</f>
        <v>0</v>
      </c>
      <c r="V4" s="8">
        <f>'Assumptions &amp; Results'!W49</f>
        <v>0</v>
      </c>
      <c r="W4" s="8">
        <f>'Assumptions &amp; Results'!X49</f>
        <v>0</v>
      </c>
      <c r="X4" s="8">
        <f>'Assumptions &amp; Results'!Y49</f>
        <v>0</v>
      </c>
      <c r="Y4" s="8">
        <f>'Assumptions &amp; Results'!Z49</f>
        <v>0</v>
      </c>
      <c r="Z4" s="8">
        <f>'Assumptions &amp; Results'!AA49</f>
        <v>0</v>
      </c>
      <c r="AA4" s="8">
        <f>'Assumptions &amp; Results'!AB49</f>
        <v>0</v>
      </c>
      <c r="AB4" s="8">
        <f>'Assumptions &amp; Results'!AC49</f>
        <v>0</v>
      </c>
      <c r="AC4" s="8">
        <f>'Assumptions &amp; Results'!AD49</f>
        <v>0</v>
      </c>
      <c r="AD4" s="8">
        <f>'Assumptions &amp; Results'!AE49</f>
        <v>0</v>
      </c>
      <c r="AE4" s="8">
        <f>'Assumptions &amp; Results'!AF49</f>
        <v>0</v>
      </c>
      <c r="AF4" s="8">
        <f>'Assumptions &amp; Results'!AG49</f>
        <v>0</v>
      </c>
      <c r="AG4" s="8">
        <f>'Assumptions &amp; Results'!AH49</f>
        <v>0</v>
      </c>
      <c r="AH4" s="8">
        <f>'Assumptions &amp; Results'!AI49</f>
        <v>0</v>
      </c>
      <c r="AI4" s="8">
        <f>'Assumptions &amp; Results'!AJ49</f>
        <v>0</v>
      </c>
      <c r="AJ4" s="125">
        <f>SUM(C4:AI4)</f>
        <v>5290</v>
      </c>
    </row>
    <row r="6" spans="1:36" s="69" customFormat="1" x14ac:dyDescent="0.2">
      <c r="A6" s="74" t="s">
        <v>270</v>
      </c>
      <c r="AJ6" s="131"/>
    </row>
    <row r="7" spans="1:36" x14ac:dyDescent="0.2">
      <c r="A7" t="s">
        <v>271</v>
      </c>
      <c r="B7" t="s">
        <v>272</v>
      </c>
      <c r="C7" s="8">
        <f>'Assumptions &amp; Results'!D22</f>
        <v>0</v>
      </c>
      <c r="D7" s="8">
        <f>'Assumptions &amp; Results'!E22</f>
        <v>0</v>
      </c>
      <c r="E7" s="8">
        <f>'Assumptions &amp; Results'!F22</f>
        <v>0</v>
      </c>
      <c r="F7" s="8">
        <f>'Assumptions &amp; Results'!G22</f>
        <v>0</v>
      </c>
      <c r="G7" s="8">
        <f>'Assumptions &amp; Results'!H22</f>
        <v>825</v>
      </c>
      <c r="H7" s="8">
        <f>'Assumptions &amp; Results'!I22</f>
        <v>1650</v>
      </c>
      <c r="I7" s="8">
        <f>'Assumptions &amp; Results'!J22</f>
        <v>1650</v>
      </c>
      <c r="J7" s="8">
        <f>'Assumptions &amp; Results'!K22</f>
        <v>1650</v>
      </c>
      <c r="K7" s="8">
        <f>'Assumptions &amp; Results'!L22</f>
        <v>1650</v>
      </c>
      <c r="L7" s="8">
        <f>'Assumptions &amp; Results'!M22</f>
        <v>1650</v>
      </c>
      <c r="M7" s="8">
        <f>'Assumptions &amp; Results'!N22</f>
        <v>1650</v>
      </c>
      <c r="N7" s="8">
        <f>'Assumptions &amp; Results'!O22</f>
        <v>1650</v>
      </c>
      <c r="O7" s="8">
        <f>'Assumptions &amp; Results'!P22</f>
        <v>1650</v>
      </c>
      <c r="P7" s="8">
        <f>'Assumptions &amp; Results'!Q22</f>
        <v>1650</v>
      </c>
      <c r="Q7" s="8">
        <f>'Assumptions &amp; Results'!R22</f>
        <v>1650</v>
      </c>
      <c r="R7" s="8">
        <f>'Assumptions &amp; Results'!S22</f>
        <v>1650</v>
      </c>
      <c r="S7" s="8">
        <f>'Assumptions &amp; Results'!T22</f>
        <v>1650</v>
      </c>
      <c r="T7" s="8">
        <f>'Assumptions &amp; Results'!U22</f>
        <v>1650</v>
      </c>
      <c r="U7" s="8">
        <f>'Assumptions &amp; Results'!V22</f>
        <v>1650</v>
      </c>
      <c r="V7" s="8">
        <f>'Assumptions &amp; Results'!W22</f>
        <v>1650</v>
      </c>
      <c r="W7" s="8">
        <f>'Assumptions &amp; Results'!X22</f>
        <v>1650</v>
      </c>
      <c r="X7" s="8">
        <f>'Assumptions &amp; Results'!Y22</f>
        <v>1650</v>
      </c>
      <c r="Y7" s="8">
        <f>'Assumptions &amp; Results'!Z22</f>
        <v>1650</v>
      </c>
      <c r="Z7" s="8">
        <f>'Assumptions &amp; Results'!AA22</f>
        <v>1650</v>
      </c>
      <c r="AA7" s="8">
        <f>'Assumptions &amp; Results'!AB22</f>
        <v>1650</v>
      </c>
      <c r="AB7" s="8">
        <f>'Assumptions &amp; Results'!AC22</f>
        <v>1650</v>
      </c>
      <c r="AC7" s="8">
        <f>'Assumptions &amp; Results'!AD22</f>
        <v>1650</v>
      </c>
      <c r="AD7" s="8">
        <f>'Assumptions &amp; Results'!AE22</f>
        <v>1650</v>
      </c>
      <c r="AE7" s="8">
        <f>'Assumptions &amp; Results'!AF22</f>
        <v>1650</v>
      </c>
      <c r="AF7" s="8">
        <f>'Assumptions &amp; Results'!AG22</f>
        <v>1650</v>
      </c>
      <c r="AG7" s="8">
        <f>'Assumptions &amp; Results'!AH22</f>
        <v>1650</v>
      </c>
      <c r="AH7" s="8">
        <f>'Assumptions &amp; Results'!AI22</f>
        <v>1650</v>
      </c>
      <c r="AI7" s="8">
        <f>'Assumptions &amp; Results'!AJ22</f>
        <v>1650</v>
      </c>
      <c r="AJ7" s="125"/>
    </row>
    <row r="8" spans="1:36" x14ac:dyDescent="0.2">
      <c r="A8" t="s">
        <v>273</v>
      </c>
      <c r="B8" t="s">
        <v>274</v>
      </c>
      <c r="C8" s="8">
        <f t="shared" ref="C8:AI8" si="0">C7*365/1000</f>
        <v>0</v>
      </c>
      <c r="D8" s="8">
        <f t="shared" si="0"/>
        <v>0</v>
      </c>
      <c r="E8" s="8">
        <f t="shared" si="0"/>
        <v>0</v>
      </c>
      <c r="F8" s="8">
        <f t="shared" si="0"/>
        <v>0</v>
      </c>
      <c r="G8" s="8">
        <f t="shared" si="0"/>
        <v>301.125</v>
      </c>
      <c r="H8" s="8">
        <f t="shared" si="0"/>
        <v>602.25</v>
      </c>
      <c r="I8" s="8">
        <f t="shared" si="0"/>
        <v>602.25</v>
      </c>
      <c r="J8" s="8">
        <f t="shared" si="0"/>
        <v>602.25</v>
      </c>
      <c r="K8" s="8">
        <f t="shared" si="0"/>
        <v>602.25</v>
      </c>
      <c r="L8" s="8">
        <f t="shared" si="0"/>
        <v>602.25</v>
      </c>
      <c r="M8" s="8">
        <f t="shared" si="0"/>
        <v>602.25</v>
      </c>
      <c r="N8" s="8">
        <f t="shared" si="0"/>
        <v>602.25</v>
      </c>
      <c r="O8" s="8">
        <f t="shared" si="0"/>
        <v>602.25</v>
      </c>
      <c r="P8" s="8">
        <f t="shared" si="0"/>
        <v>602.25</v>
      </c>
      <c r="Q8" s="8">
        <f t="shared" si="0"/>
        <v>602.25</v>
      </c>
      <c r="R8" s="8">
        <f t="shared" si="0"/>
        <v>602.25</v>
      </c>
      <c r="S8" s="8">
        <f t="shared" si="0"/>
        <v>602.25</v>
      </c>
      <c r="T8" s="8">
        <f t="shared" si="0"/>
        <v>602.25</v>
      </c>
      <c r="U8" s="8">
        <f t="shared" si="0"/>
        <v>602.25</v>
      </c>
      <c r="V8" s="8">
        <f t="shared" si="0"/>
        <v>602.25</v>
      </c>
      <c r="W8" s="8">
        <f t="shared" si="0"/>
        <v>602.25</v>
      </c>
      <c r="X8" s="8">
        <f t="shared" si="0"/>
        <v>602.25</v>
      </c>
      <c r="Y8" s="8">
        <f t="shared" si="0"/>
        <v>602.25</v>
      </c>
      <c r="Z8" s="8">
        <f t="shared" si="0"/>
        <v>602.25</v>
      </c>
      <c r="AA8" s="8">
        <f t="shared" si="0"/>
        <v>602.25</v>
      </c>
      <c r="AB8" s="8">
        <f t="shared" si="0"/>
        <v>602.25</v>
      </c>
      <c r="AC8" s="8">
        <f t="shared" si="0"/>
        <v>602.25</v>
      </c>
      <c r="AD8" s="8">
        <f t="shared" si="0"/>
        <v>602.25</v>
      </c>
      <c r="AE8" s="8">
        <f t="shared" si="0"/>
        <v>602.25</v>
      </c>
      <c r="AF8" s="8">
        <f t="shared" si="0"/>
        <v>602.25</v>
      </c>
      <c r="AG8" s="8">
        <f t="shared" si="0"/>
        <v>602.25</v>
      </c>
      <c r="AH8" s="8">
        <f t="shared" si="0"/>
        <v>602.25</v>
      </c>
      <c r="AI8" s="8">
        <f t="shared" si="0"/>
        <v>602.25</v>
      </c>
      <c r="AJ8" s="125">
        <f t="shared" ref="AJ8:AJ13" si="1">SUM(C8:AI8)</f>
        <v>17164.125</v>
      </c>
    </row>
    <row r="9" spans="1:36" x14ac:dyDescent="0.2">
      <c r="A9" t="s">
        <v>275</v>
      </c>
      <c r="B9" t="s">
        <v>274</v>
      </c>
      <c r="C9" s="12">
        <f>'Assumptions &amp; Results'!D26*C8</f>
        <v>0</v>
      </c>
      <c r="D9" s="12">
        <f>'Assumptions &amp; Results'!E26*D8</f>
        <v>0</v>
      </c>
      <c r="E9" s="12">
        <f>'Assumptions &amp; Results'!F26*E8</f>
        <v>0</v>
      </c>
      <c r="F9" s="12">
        <f>'Assumptions &amp; Results'!G26*F8</f>
        <v>0</v>
      </c>
      <c r="G9" s="12">
        <f>'Assumptions &amp; Results'!H26*G8</f>
        <v>6.0225</v>
      </c>
      <c r="H9" s="12">
        <f>'Assumptions &amp; Results'!I26*H8</f>
        <v>12.045</v>
      </c>
      <c r="I9" s="12">
        <f>'Assumptions &amp; Results'!J26*I8</f>
        <v>12.045</v>
      </c>
      <c r="J9" s="12">
        <f>'Assumptions &amp; Results'!K26*J8</f>
        <v>12.045</v>
      </c>
      <c r="K9" s="12">
        <f>'Assumptions &amp; Results'!L26*K8</f>
        <v>12.045</v>
      </c>
      <c r="L9" s="12">
        <f>'Assumptions &amp; Results'!M26*L8</f>
        <v>12.045</v>
      </c>
      <c r="M9" s="12">
        <f>'Assumptions &amp; Results'!N26*M8</f>
        <v>12.045</v>
      </c>
      <c r="N9" s="12">
        <f>'Assumptions &amp; Results'!O26*N8</f>
        <v>12.045</v>
      </c>
      <c r="O9" s="12">
        <f>'Assumptions &amp; Results'!P26*O8</f>
        <v>12.045</v>
      </c>
      <c r="P9" s="12">
        <f>'Assumptions &amp; Results'!Q26*P8</f>
        <v>12.045</v>
      </c>
      <c r="Q9" s="12">
        <f>'Assumptions &amp; Results'!R26*Q8</f>
        <v>12.045</v>
      </c>
      <c r="R9" s="12">
        <f>'Assumptions &amp; Results'!S26*R8</f>
        <v>12.045</v>
      </c>
      <c r="S9" s="12">
        <f>'Assumptions &amp; Results'!T26*S8</f>
        <v>12.045</v>
      </c>
      <c r="T9" s="12">
        <f>'Assumptions &amp; Results'!U26*T8</f>
        <v>12.045</v>
      </c>
      <c r="U9" s="12">
        <f>'Assumptions &amp; Results'!V26*U8</f>
        <v>12.045</v>
      </c>
      <c r="V9" s="12">
        <f>'Assumptions &amp; Results'!W26*V8</f>
        <v>12.045</v>
      </c>
      <c r="W9" s="12">
        <f>'Assumptions &amp; Results'!X26*W8</f>
        <v>12.045</v>
      </c>
      <c r="X9" s="12">
        <f>'Assumptions &amp; Results'!Y26*X8</f>
        <v>12.045</v>
      </c>
      <c r="Y9" s="12">
        <f>'Assumptions &amp; Results'!Z26*Y8</f>
        <v>12.045</v>
      </c>
      <c r="Z9" s="12">
        <f>'Assumptions &amp; Results'!AA26*Z8</f>
        <v>12.045</v>
      </c>
      <c r="AA9" s="12">
        <f>'Assumptions &amp; Results'!AB26*AA8</f>
        <v>12.045</v>
      </c>
      <c r="AB9" s="12">
        <f>'Assumptions &amp; Results'!AC26*AB8</f>
        <v>12.045</v>
      </c>
      <c r="AC9" s="12">
        <f>'Assumptions &amp; Results'!AD26*AC8</f>
        <v>12.045</v>
      </c>
      <c r="AD9" s="12">
        <f>'Assumptions &amp; Results'!AE26*AD8</f>
        <v>12.045</v>
      </c>
      <c r="AE9" s="12">
        <f>'Assumptions &amp; Results'!AF26*AE8</f>
        <v>12.045</v>
      </c>
      <c r="AF9" s="12">
        <f>'Assumptions &amp; Results'!AG26*AF8</f>
        <v>12.045</v>
      </c>
      <c r="AG9" s="12">
        <f>'Assumptions &amp; Results'!AH26*AG8</f>
        <v>12.045</v>
      </c>
      <c r="AH9" s="12">
        <f>'Assumptions &amp; Results'!AI26*AH8</f>
        <v>12.045</v>
      </c>
      <c r="AI9" s="12">
        <f>'Assumptions &amp; Results'!AJ26*AI8</f>
        <v>12.045</v>
      </c>
      <c r="AJ9" s="125">
        <f t="shared" si="1"/>
        <v>343.28250000000003</v>
      </c>
    </row>
    <row r="10" spans="1:36" x14ac:dyDescent="0.2">
      <c r="A10" t="s">
        <v>276</v>
      </c>
      <c r="B10" t="s">
        <v>274</v>
      </c>
      <c r="C10">
        <f>IF('Assumptions &amp; Results'!$C$14=1,'Assumptions &amp; Results'!D27*C8,0)</f>
        <v>0</v>
      </c>
      <c r="D10" s="8">
        <f>IF('Assumptions &amp; Results'!$C$14=1,'Assumptions &amp; Results'!E27*D8,0)</f>
        <v>0</v>
      </c>
      <c r="E10" s="8">
        <f>IF('Assumptions &amp; Results'!$C$14=1,'Assumptions &amp; Results'!F27*E8,0)</f>
        <v>0</v>
      </c>
      <c r="F10" s="8">
        <f>IF('Assumptions &amp; Results'!$C$14=1,'Assumptions &amp; Results'!G27*F8,0)</f>
        <v>0</v>
      </c>
      <c r="G10" s="8">
        <f>IF('Assumptions &amp; Results'!$C$14=1,'Assumptions &amp; Results'!H27*G8,0)</f>
        <v>0</v>
      </c>
      <c r="H10" s="8">
        <f>IF('Assumptions &amp; Results'!$C$14=1,'Assumptions &amp; Results'!I27*H8,0)</f>
        <v>0</v>
      </c>
      <c r="I10" s="8">
        <f>IF('Assumptions &amp; Results'!$C$14=1,'Assumptions &amp; Results'!J27*I8,0)</f>
        <v>0</v>
      </c>
      <c r="J10" s="8">
        <f>IF('Assumptions &amp; Results'!$C$14=1,'Assumptions &amp; Results'!K27*J8,0)</f>
        <v>0</v>
      </c>
      <c r="K10" s="8">
        <f>IF('Assumptions &amp; Results'!$C$14=1,'Assumptions &amp; Results'!L27*K8,0)</f>
        <v>0</v>
      </c>
      <c r="L10" s="8">
        <f>IF('Assumptions &amp; Results'!$C$14=1,'Assumptions &amp; Results'!M27*L8,0)</f>
        <v>0</v>
      </c>
      <c r="M10" s="8">
        <f>IF('Assumptions &amp; Results'!$C$14=1,'Assumptions &amp; Results'!N27*M8,0)</f>
        <v>0</v>
      </c>
      <c r="N10" s="8">
        <f>IF('Assumptions &amp; Results'!$C$14=1,'Assumptions &amp; Results'!O27*N8,0)</f>
        <v>0</v>
      </c>
      <c r="O10" s="8">
        <f>IF('Assumptions &amp; Results'!$C$14=1,'Assumptions &amp; Results'!P27*O8,0)</f>
        <v>0</v>
      </c>
      <c r="P10" s="8">
        <f>IF('Assumptions &amp; Results'!$C$14=1,'Assumptions &amp; Results'!Q27*P8,0)</f>
        <v>0</v>
      </c>
      <c r="Q10" s="8">
        <f>IF('Assumptions &amp; Results'!$C$14=1,'Assumptions &amp; Results'!R27*Q8,0)</f>
        <v>0</v>
      </c>
      <c r="R10" s="8">
        <f>IF('Assumptions &amp; Results'!$C$14=1,'Assumptions &amp; Results'!S27*R8,0)</f>
        <v>0</v>
      </c>
      <c r="S10" s="8">
        <f>IF('Assumptions &amp; Results'!$C$14=1,'Assumptions &amp; Results'!T27*S8,0)</f>
        <v>0</v>
      </c>
      <c r="T10" s="8">
        <f>IF('Assumptions &amp; Results'!$C$14=1,'Assumptions &amp; Results'!U27*T8,0)</f>
        <v>0</v>
      </c>
      <c r="U10" s="8">
        <f>IF('Assumptions &amp; Results'!$C$14=1,'Assumptions &amp; Results'!V27*U8,0)</f>
        <v>0</v>
      </c>
      <c r="V10" s="8">
        <f>IF('Assumptions &amp; Results'!$C$14=1,'Assumptions &amp; Results'!W27*V8,0)</f>
        <v>0</v>
      </c>
      <c r="W10" s="8">
        <f>IF('Assumptions &amp; Results'!$C$14=1,'Assumptions &amp; Results'!X27*W8,0)</f>
        <v>0</v>
      </c>
      <c r="X10" s="8">
        <f>IF('Assumptions &amp; Results'!$C$14=1,'Assumptions &amp; Results'!Y27*X8,0)</f>
        <v>0</v>
      </c>
      <c r="Y10" s="8">
        <f>IF('Assumptions &amp; Results'!$C$14=1,'Assumptions &amp; Results'!Z27*Y8,0)</f>
        <v>0</v>
      </c>
      <c r="Z10" s="8">
        <f>IF('Assumptions &amp; Results'!$C$14=1,'Assumptions &amp; Results'!AA27*Z8,0)</f>
        <v>0</v>
      </c>
      <c r="AA10" s="8">
        <f>IF('Assumptions &amp; Results'!$C$14=1,'Assumptions &amp; Results'!AB27*AA8,0)</f>
        <v>0</v>
      </c>
      <c r="AB10" s="8">
        <f>IF('Assumptions &amp; Results'!$C$14=1,'Assumptions &amp; Results'!AC27*AB8,0)</f>
        <v>0</v>
      </c>
      <c r="AC10" s="8">
        <f>IF('Assumptions &amp; Results'!$C$14=1,'Assumptions &amp; Results'!AD27*AC8,0)</f>
        <v>0</v>
      </c>
      <c r="AD10" s="8">
        <f>IF('Assumptions &amp; Results'!$C$14=1,'Assumptions &amp; Results'!AE27*AD8,0)</f>
        <v>0</v>
      </c>
      <c r="AE10" s="8">
        <f>IF('Assumptions &amp; Results'!$C$14=1,'Assumptions &amp; Results'!AF27*AE8,0)</f>
        <v>0</v>
      </c>
      <c r="AF10" s="8">
        <f>IF('Assumptions &amp; Results'!$C$14=1,'Assumptions &amp; Results'!AG27*AF8,0)</f>
        <v>0</v>
      </c>
      <c r="AG10" s="8">
        <f>IF('Assumptions &amp; Results'!$C$14=1,'Assumptions &amp; Results'!AH27*AG8,0)</f>
        <v>0</v>
      </c>
      <c r="AH10" s="8">
        <f>IF('Assumptions &amp; Results'!$C$14=1,'Assumptions &amp; Results'!AI27*AH8,0)</f>
        <v>0</v>
      </c>
      <c r="AI10" s="8">
        <f>IF('Assumptions &amp; Results'!$C$14=1,'Assumptions &amp; Results'!AJ27*AI8,0)</f>
        <v>0</v>
      </c>
      <c r="AJ10" s="125">
        <f t="shared" si="1"/>
        <v>0</v>
      </c>
    </row>
    <row r="11" spans="1:36" x14ac:dyDescent="0.2">
      <c r="A11" t="s">
        <v>277</v>
      </c>
      <c r="B11" t="s">
        <v>278</v>
      </c>
      <c r="C11" s="2">
        <f>'Assumptions &amp; Results'!D28*C10</f>
        <v>0</v>
      </c>
      <c r="D11" s="2">
        <f>'Assumptions &amp; Results'!E28*D10</f>
        <v>0</v>
      </c>
      <c r="E11" s="2">
        <f>'Assumptions &amp; Results'!F28*E10</f>
        <v>0</v>
      </c>
      <c r="F11" s="2">
        <f>'Assumptions &amp; Results'!G28*F10</f>
        <v>0</v>
      </c>
      <c r="G11" s="2">
        <f>'Assumptions &amp; Results'!H28*G10</f>
        <v>0</v>
      </c>
      <c r="H11" s="2">
        <f>'Assumptions &amp; Results'!I28*H10</f>
        <v>0</v>
      </c>
      <c r="I11" s="2">
        <f>'Assumptions &amp; Results'!J28*I10</f>
        <v>0</v>
      </c>
      <c r="J11" s="2">
        <f>'Assumptions &amp; Results'!K28*J10</f>
        <v>0</v>
      </c>
      <c r="K11" s="2">
        <f>'Assumptions &amp; Results'!L28*K10</f>
        <v>0</v>
      </c>
      <c r="L11" s="2">
        <f>'Assumptions &amp; Results'!M28*L10</f>
        <v>0</v>
      </c>
      <c r="M11" s="2">
        <f>'Assumptions &amp; Results'!N28*M10</f>
        <v>0</v>
      </c>
      <c r="N11" s="2">
        <f>'Assumptions &amp; Results'!O28*N10</f>
        <v>0</v>
      </c>
      <c r="O11" s="2">
        <f>'Assumptions &amp; Results'!P28*O10</f>
        <v>0</v>
      </c>
      <c r="P11" s="2">
        <f>'Assumptions &amp; Results'!Q28*P10</f>
        <v>0</v>
      </c>
      <c r="Q11" s="2">
        <f>'Assumptions &amp; Results'!R28*Q10</f>
        <v>0</v>
      </c>
      <c r="R11" s="2">
        <f>'Assumptions &amp; Results'!S28*R10</f>
        <v>0</v>
      </c>
      <c r="S11" s="2">
        <f>'Assumptions &amp; Results'!T28*S10</f>
        <v>0</v>
      </c>
      <c r="T11" s="2">
        <f>'Assumptions &amp; Results'!U28*T10</f>
        <v>0</v>
      </c>
      <c r="U11" s="2">
        <f>'Assumptions &amp; Results'!V28*U10</f>
        <v>0</v>
      </c>
      <c r="V11" s="2">
        <f>'Assumptions &amp; Results'!W28*V10</f>
        <v>0</v>
      </c>
      <c r="W11" s="2">
        <f>'Assumptions &amp; Results'!X28*W10</f>
        <v>0</v>
      </c>
      <c r="X11" s="2">
        <f>'Assumptions &amp; Results'!Y28*X10</f>
        <v>0</v>
      </c>
      <c r="Y11" s="2">
        <f>'Assumptions &amp; Results'!Z28*Y10</f>
        <v>0</v>
      </c>
      <c r="Z11" s="2">
        <f>'Assumptions &amp; Results'!AA28*Z10</f>
        <v>0</v>
      </c>
      <c r="AA11" s="2">
        <f>'Assumptions &amp; Results'!AB28*AA10</f>
        <v>0</v>
      </c>
      <c r="AB11" s="2">
        <f>'Assumptions &amp; Results'!AC28*AB10</f>
        <v>0</v>
      </c>
      <c r="AC11" s="2">
        <f>'Assumptions &amp; Results'!AD28*AC10</f>
        <v>0</v>
      </c>
      <c r="AD11" s="2">
        <f>'Assumptions &amp; Results'!AE28*AD10</f>
        <v>0</v>
      </c>
      <c r="AE11" s="2">
        <f>'Assumptions &amp; Results'!AF28*AE10</f>
        <v>0</v>
      </c>
      <c r="AF11" s="2">
        <f>'Assumptions &amp; Results'!AG28*AF10</f>
        <v>0</v>
      </c>
      <c r="AG11" s="2">
        <f>'Assumptions &amp; Results'!AH28*AG10</f>
        <v>0</v>
      </c>
      <c r="AH11" s="2">
        <f>'Assumptions &amp; Results'!AI28*AH10</f>
        <v>0</v>
      </c>
      <c r="AI11" s="2">
        <f>'Assumptions &amp; Results'!AJ28*AI10</f>
        <v>0</v>
      </c>
      <c r="AJ11" s="125">
        <f t="shared" si="1"/>
        <v>0</v>
      </c>
    </row>
    <row r="12" spans="1:36" x14ac:dyDescent="0.2">
      <c r="A12" t="s">
        <v>279</v>
      </c>
      <c r="B12" t="s">
        <v>274</v>
      </c>
      <c r="C12" s="12">
        <f>(C8-C9-C10)*'Assumptions &amp; Results'!D25</f>
        <v>0</v>
      </c>
      <c r="D12" s="12">
        <f>(D8-D9-D10)*'Assumptions &amp; Results'!E25</f>
        <v>0</v>
      </c>
      <c r="E12" s="12">
        <f>(E8-E9-E10)*'Assumptions &amp; Results'!F25</f>
        <v>0</v>
      </c>
      <c r="F12" s="12">
        <f>(F8-F9-F10)*'Assumptions &amp; Results'!G25</f>
        <v>0</v>
      </c>
      <c r="G12" s="12">
        <f>(G8-G9-G10)*'Assumptions &amp; Results'!H25</f>
        <v>295.10250000000002</v>
      </c>
      <c r="H12" s="12">
        <f>(H8-H9-H10)*'Assumptions &amp; Results'!I25</f>
        <v>590.20500000000004</v>
      </c>
      <c r="I12" s="12">
        <f>(I8-I9-I10)*'Assumptions &amp; Results'!J25</f>
        <v>590.20500000000004</v>
      </c>
      <c r="J12" s="12">
        <f>(J8-J9-J10)*'Assumptions &amp; Results'!K25</f>
        <v>560.69475</v>
      </c>
      <c r="K12" s="12">
        <f>(K8-K9-K10)*'Assumptions &amp; Results'!L25</f>
        <v>590.20500000000004</v>
      </c>
      <c r="L12" s="12">
        <f>(L8-L9-L10)*'Assumptions &amp; Results'!M25</f>
        <v>590.20500000000004</v>
      </c>
      <c r="M12" s="12">
        <f>(M8-M9-M10)*'Assumptions &amp; Results'!N25</f>
        <v>590.20500000000004</v>
      </c>
      <c r="N12" s="12">
        <f>(N8-N9-N10)*'Assumptions &amp; Results'!O25</f>
        <v>590.20500000000004</v>
      </c>
      <c r="O12" s="12">
        <f>(O8-O9-O10)*'Assumptions &amp; Results'!P25</f>
        <v>560.69475</v>
      </c>
      <c r="P12" s="12">
        <f>(P8-P9-P10)*'Assumptions &amp; Results'!Q25</f>
        <v>590.20500000000004</v>
      </c>
      <c r="Q12" s="12">
        <f>(Q8-Q9-Q10)*'Assumptions &amp; Results'!R25</f>
        <v>590.20500000000004</v>
      </c>
      <c r="R12" s="12">
        <f>(R8-R9-R10)*'Assumptions &amp; Results'!S25</f>
        <v>590.20500000000004</v>
      </c>
      <c r="S12" s="12">
        <f>(S8-S9-S10)*'Assumptions &amp; Results'!T25</f>
        <v>590.20500000000004</v>
      </c>
      <c r="T12" s="12">
        <f>(T8-T9-T10)*'Assumptions &amp; Results'!U25</f>
        <v>560.69475</v>
      </c>
      <c r="U12" s="12">
        <f>(U8-U9-U10)*'Assumptions &amp; Results'!V25</f>
        <v>590.20500000000004</v>
      </c>
      <c r="V12" s="12">
        <f>(V8-V9-V10)*'Assumptions &amp; Results'!W25</f>
        <v>590.20500000000004</v>
      </c>
      <c r="W12" s="12">
        <f>(W8-W9-W10)*'Assumptions &amp; Results'!X25</f>
        <v>590.20500000000004</v>
      </c>
      <c r="X12" s="12">
        <f>(X8-X9-X10)*'Assumptions &amp; Results'!Y25</f>
        <v>590.20500000000004</v>
      </c>
      <c r="Y12" s="12">
        <f>(Y8-Y9-Y10)*'Assumptions &amp; Results'!Z25</f>
        <v>560.69475</v>
      </c>
      <c r="Z12" s="12">
        <f>(Z8-Z9-Z10)*'Assumptions &amp; Results'!AA25</f>
        <v>590.20500000000004</v>
      </c>
      <c r="AA12" s="12">
        <f>(AA8-AA9-AA10)*'Assumptions &amp; Results'!AB25</f>
        <v>590.20500000000004</v>
      </c>
      <c r="AB12" s="12">
        <f>(AB8-AB9-AB10)*'Assumptions &amp; Results'!AC25</f>
        <v>590.20500000000004</v>
      </c>
      <c r="AC12" s="12">
        <f>(AC8-AC9-AC10)*'Assumptions &amp; Results'!AD25</f>
        <v>590.20500000000004</v>
      </c>
      <c r="AD12" s="12">
        <f>(AD8-AD9-AD10)*'Assumptions &amp; Results'!AE25</f>
        <v>560.69475</v>
      </c>
      <c r="AE12" s="12">
        <f>(AE8-AE9-AE10)*'Assumptions &amp; Results'!AF25</f>
        <v>590.20500000000004</v>
      </c>
      <c r="AF12" s="12">
        <f>(AF8-AF9-AF10)*'Assumptions &amp; Results'!AG25</f>
        <v>590.20500000000004</v>
      </c>
      <c r="AG12" s="12">
        <f>(AG8-AG9-AG10)*'Assumptions &amp; Results'!AH25</f>
        <v>590.20500000000004</v>
      </c>
      <c r="AH12" s="12">
        <f>(AH8-AH9-AH10)*'Assumptions &amp; Results'!AI25</f>
        <v>590.20500000000004</v>
      </c>
      <c r="AI12" s="12">
        <f>(AI8-AI9-AI10)*'Assumptions &amp; Results'!AJ25</f>
        <v>590.20500000000004</v>
      </c>
      <c r="AJ12" s="125">
        <f t="shared" si="1"/>
        <v>16673.291250000002</v>
      </c>
    </row>
    <row r="13" spans="1:36" ht="30" x14ac:dyDescent="0.2">
      <c r="A13" s="208" t="s">
        <v>280</v>
      </c>
      <c r="B13" t="s">
        <v>274</v>
      </c>
      <c r="C13" s="12">
        <f>IF('Assumptions &amp; Results'!$C$172=1,C12*(1-'Assumptions &amp; Results'!D24),0)</f>
        <v>0</v>
      </c>
      <c r="D13" s="12">
        <f>IF('Assumptions &amp; Results'!$C$172=1,D12*(1-'Assumptions &amp; Results'!E24),0)</f>
        <v>0</v>
      </c>
      <c r="E13" s="12">
        <f>IF('Assumptions &amp; Results'!$C$172=1,E12*(1-'Assumptions &amp; Results'!F24),0)</f>
        <v>0</v>
      </c>
      <c r="F13" s="12">
        <f>IF('Assumptions &amp; Results'!$C$172=1,F12*(1-'Assumptions &amp; Results'!G24),0)</f>
        <v>0</v>
      </c>
      <c r="G13" s="12">
        <f>IF('Assumptions &amp; Results'!$C$172=1,G12*(1-'Assumptions &amp; Results'!H24),0)</f>
        <v>265.59225000000004</v>
      </c>
      <c r="H13" s="12">
        <f>IF('Assumptions &amp; Results'!$C$172=1,H12*(1-'Assumptions &amp; Results'!I24),0)</f>
        <v>531.18450000000007</v>
      </c>
      <c r="I13" s="12">
        <f>IF('Assumptions &amp; Results'!$C$172=1,I12*(1-'Assumptions &amp; Results'!J24),0)</f>
        <v>531.18450000000007</v>
      </c>
      <c r="J13" s="12">
        <f>IF('Assumptions &amp; Results'!$C$172=1,J12*(1-'Assumptions &amp; Results'!K24),0)</f>
        <v>504.62527499999999</v>
      </c>
      <c r="K13" s="12">
        <f>IF('Assumptions &amp; Results'!$C$172=1,K12*(1-'Assumptions &amp; Results'!L24),0)</f>
        <v>531.18450000000007</v>
      </c>
      <c r="L13" s="12">
        <f>IF('Assumptions &amp; Results'!$C$172=1,L12*(1-'Assumptions &amp; Results'!M24),0)</f>
        <v>531.18450000000007</v>
      </c>
      <c r="M13" s="12">
        <f>IF('Assumptions &amp; Results'!$C$172=1,M12*(1-'Assumptions &amp; Results'!N24),0)</f>
        <v>531.18450000000007</v>
      </c>
      <c r="N13" s="12">
        <f>IF('Assumptions &amp; Results'!$C$172=1,N12*(1-'Assumptions &amp; Results'!O24),0)</f>
        <v>531.18450000000007</v>
      </c>
      <c r="O13" s="12">
        <f>IF('Assumptions &amp; Results'!$C$172=1,O12*(1-'Assumptions &amp; Results'!P24),0)</f>
        <v>504.62527499999999</v>
      </c>
      <c r="P13" s="12">
        <f>IF('Assumptions &amp; Results'!$C$172=1,P12*(1-'Assumptions &amp; Results'!Q24),0)</f>
        <v>531.18450000000007</v>
      </c>
      <c r="Q13" s="12">
        <f>IF('Assumptions &amp; Results'!$C$172=1,Q12*(1-'Assumptions &amp; Results'!R24),0)</f>
        <v>531.18450000000007</v>
      </c>
      <c r="R13" s="12">
        <f>IF('Assumptions &amp; Results'!$C$172=1,R12*(1-'Assumptions &amp; Results'!S24),0)</f>
        <v>531.18450000000007</v>
      </c>
      <c r="S13" s="12">
        <f>IF('Assumptions &amp; Results'!$C$172=1,S12*(1-'Assumptions &amp; Results'!T24),0)</f>
        <v>531.18450000000007</v>
      </c>
      <c r="T13" s="12">
        <f>IF('Assumptions &amp; Results'!$C$172=1,T12*(1-'Assumptions &amp; Results'!U24),0)</f>
        <v>504.62527499999999</v>
      </c>
      <c r="U13" s="12">
        <f>IF('Assumptions &amp; Results'!$C$172=1,U12*(1-'Assumptions &amp; Results'!V24),0)</f>
        <v>531.18450000000007</v>
      </c>
      <c r="V13" s="12">
        <f>IF('Assumptions &amp; Results'!$C$172=1,V12*(1-'Assumptions &amp; Results'!W24),0)</f>
        <v>531.18450000000007</v>
      </c>
      <c r="W13" s="12">
        <f>IF('Assumptions &amp; Results'!$C$172=1,W12*(1-'Assumptions &amp; Results'!X24),0)</f>
        <v>531.18450000000007</v>
      </c>
      <c r="X13" s="12">
        <f>IF('Assumptions &amp; Results'!$C$172=1,X12*(1-'Assumptions &amp; Results'!Y24),0)</f>
        <v>531.18450000000007</v>
      </c>
      <c r="Y13" s="12">
        <f>IF('Assumptions &amp; Results'!$C$172=1,Y12*(1-'Assumptions &amp; Results'!Z24),0)</f>
        <v>504.62527499999999</v>
      </c>
      <c r="Z13" s="12">
        <f>IF('Assumptions &amp; Results'!$C$172=1,Z12*(1-'Assumptions &amp; Results'!AA24),0)</f>
        <v>531.18450000000007</v>
      </c>
      <c r="AA13" s="12">
        <f>IF('Assumptions &amp; Results'!$C$172=1,AA12*(1-'Assumptions &amp; Results'!AB24),0)</f>
        <v>531.18450000000007</v>
      </c>
      <c r="AB13" s="12">
        <f>IF('Assumptions &amp; Results'!$C$172=1,AB12*(1-'Assumptions &amp; Results'!AC24),0)</f>
        <v>531.18450000000007</v>
      </c>
      <c r="AC13" s="12">
        <f>IF('Assumptions &amp; Results'!$C$172=1,AC12*(1-'Assumptions &amp; Results'!AD24),0)</f>
        <v>531.18450000000007</v>
      </c>
      <c r="AD13" s="12">
        <f>IF('Assumptions &amp; Results'!$C$172=1,AD12*(1-'Assumptions &amp; Results'!AE24),0)</f>
        <v>504.62527499999999</v>
      </c>
      <c r="AE13" s="12">
        <f>IF('Assumptions &amp; Results'!$C$172=1,AE12*(1-'Assumptions &amp; Results'!AF24),0)</f>
        <v>531.18450000000007</v>
      </c>
      <c r="AF13" s="12">
        <f>IF('Assumptions &amp; Results'!$C$172=1,AF12*(1-'Assumptions &amp; Results'!AG24),0)</f>
        <v>531.18450000000007</v>
      </c>
      <c r="AG13" s="12">
        <f>IF('Assumptions &amp; Results'!$C$172=1,AG12*(1-'Assumptions &amp; Results'!AH24),0)</f>
        <v>531.18450000000007</v>
      </c>
      <c r="AH13" s="12">
        <f>IF('Assumptions &amp; Results'!$C$172=1,AH12*(1-'Assumptions &amp; Results'!AI24),0)</f>
        <v>531.18450000000007</v>
      </c>
      <c r="AI13" s="12">
        <f>IF('Assumptions &amp; Results'!$C$172=1,AI12*(1-'Assumptions &amp; Results'!AJ24),0)</f>
        <v>531.18450000000007</v>
      </c>
      <c r="AJ13" s="125">
        <f t="shared" si="1"/>
        <v>15005.962124999998</v>
      </c>
    </row>
    <row r="14" spans="1:36" x14ac:dyDescent="0.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5"/>
    </row>
    <row r="15" spans="1:36" ht="30" x14ac:dyDescent="0.2">
      <c r="A15" s="208" t="s">
        <v>281</v>
      </c>
      <c r="B15" t="s">
        <v>67</v>
      </c>
      <c r="C15" s="11">
        <f>IF('Assumptions &amp; Results'!$C$172=1,'Assumptions &amp; Results'!D6,'Assumptions &amp; Results'!D4)</f>
        <v>8.75</v>
      </c>
      <c r="D15" s="11">
        <f>IF('Assumptions &amp; Results'!$C$172=1,'Assumptions &amp; Results'!E6,'Assumptions &amp; Results'!E4)</f>
        <v>8.75</v>
      </c>
      <c r="E15" s="11">
        <f>IF('Assumptions &amp; Results'!$C$172=1,'Assumptions &amp; Results'!F6,'Assumptions &amp; Results'!F4)</f>
        <v>8.75</v>
      </c>
      <c r="F15" s="11">
        <f>IF('Assumptions &amp; Results'!$C$172=1,'Assumptions &amp; Results'!G6,'Assumptions &amp; Results'!G4)</f>
        <v>8.75</v>
      </c>
      <c r="G15" s="11">
        <f>IF('Assumptions &amp; Results'!$C$172=1,'Assumptions &amp; Results'!H6,'Assumptions &amp; Results'!H4)</f>
        <v>8.75</v>
      </c>
      <c r="H15" s="11">
        <f>IF('Assumptions &amp; Results'!$C$172=1,'Assumptions &amp; Results'!I6,'Assumptions &amp; Results'!I4)</f>
        <v>8.75</v>
      </c>
      <c r="I15" s="11">
        <f>IF('Assumptions &amp; Results'!$C$172=1,'Assumptions &amp; Results'!J6,'Assumptions &amp; Results'!J4)</f>
        <v>8.75</v>
      </c>
      <c r="J15" s="11">
        <f>IF('Assumptions &amp; Results'!$C$172=1,'Assumptions &amp; Results'!K6,'Assumptions &amp; Results'!K4)</f>
        <v>8.75</v>
      </c>
      <c r="K15" s="11">
        <f>IF('Assumptions &amp; Results'!$C$172=1,'Assumptions &amp; Results'!L6,'Assumptions &amp; Results'!L4)</f>
        <v>8.75</v>
      </c>
      <c r="L15" s="11">
        <f>IF('Assumptions &amp; Results'!$C$172=1,'Assumptions &amp; Results'!M6,'Assumptions &amp; Results'!M4)</f>
        <v>8.75</v>
      </c>
      <c r="M15" s="11">
        <f>IF('Assumptions &amp; Results'!$C$172=1,'Assumptions &amp; Results'!N6,'Assumptions &amp; Results'!N4)</f>
        <v>8.75</v>
      </c>
      <c r="N15" s="11">
        <f>IF('Assumptions &amp; Results'!$C$172=1,'Assumptions &amp; Results'!O6,'Assumptions &amp; Results'!O4)</f>
        <v>8.75</v>
      </c>
      <c r="O15" s="11">
        <f>IF('Assumptions &amp; Results'!$C$172=1,'Assumptions &amp; Results'!P6,'Assumptions &amp; Results'!P4)</f>
        <v>8.75</v>
      </c>
      <c r="P15" s="11">
        <f>IF('Assumptions &amp; Results'!$C$172=1,'Assumptions &amp; Results'!Q6,'Assumptions &amp; Results'!Q4)</f>
        <v>8.75</v>
      </c>
      <c r="Q15" s="11">
        <f>IF('Assumptions &amp; Results'!$C$172=1,'Assumptions &amp; Results'!R6,'Assumptions &amp; Results'!R4)</f>
        <v>8.75</v>
      </c>
      <c r="R15" s="11">
        <f>IF('Assumptions &amp; Results'!$C$172=1,'Assumptions &amp; Results'!S6,'Assumptions &amp; Results'!S4)</f>
        <v>8.75</v>
      </c>
      <c r="S15" s="11">
        <f>IF('Assumptions &amp; Results'!$C$172=1,'Assumptions &amp; Results'!T6,'Assumptions &amp; Results'!T4)</f>
        <v>8.75</v>
      </c>
      <c r="T15" s="11">
        <f>IF('Assumptions &amp; Results'!$C$172=1,'Assumptions &amp; Results'!U6,'Assumptions &amp; Results'!U4)</f>
        <v>8.75</v>
      </c>
      <c r="U15" s="11">
        <f>IF('Assumptions &amp; Results'!$C$172=1,'Assumptions &amp; Results'!V6,'Assumptions &amp; Results'!V4)</f>
        <v>8.75</v>
      </c>
      <c r="V15" s="11">
        <f>IF('Assumptions &amp; Results'!$C$172=1,'Assumptions &amp; Results'!W6,'Assumptions &amp; Results'!W4)</f>
        <v>8.75</v>
      </c>
      <c r="W15" s="11">
        <f>IF('Assumptions &amp; Results'!$C$172=1,'Assumptions &amp; Results'!X6,'Assumptions &amp; Results'!X4)</f>
        <v>8.75</v>
      </c>
      <c r="X15" s="11">
        <f>IF('Assumptions &amp; Results'!$C$172=1,'Assumptions &amp; Results'!Y6,'Assumptions &amp; Results'!Y4)</f>
        <v>8.75</v>
      </c>
      <c r="Y15" s="11">
        <f>IF('Assumptions &amp; Results'!$C$172=1,'Assumptions &amp; Results'!Z6,'Assumptions &amp; Results'!Z4)</f>
        <v>8.75</v>
      </c>
      <c r="Z15" s="11">
        <f>IF('Assumptions &amp; Results'!$C$172=1,'Assumptions &amp; Results'!AA6,'Assumptions &amp; Results'!AA4)</f>
        <v>8.75</v>
      </c>
      <c r="AA15" s="11">
        <f>IF('Assumptions &amp; Results'!$C$172=1,'Assumptions &amp; Results'!AB6,'Assumptions &amp; Results'!AB4)</f>
        <v>8.75</v>
      </c>
      <c r="AB15" s="11">
        <f>IF('Assumptions &amp; Results'!$C$172=1,'Assumptions &amp; Results'!AC6,'Assumptions &amp; Results'!AC4)</f>
        <v>8.75</v>
      </c>
      <c r="AC15" s="11">
        <f>IF('Assumptions &amp; Results'!$C$172=1,'Assumptions &amp; Results'!AD6,'Assumptions &amp; Results'!AD4)</f>
        <v>8.75</v>
      </c>
      <c r="AD15" s="11">
        <f>IF('Assumptions &amp; Results'!$C$172=1,'Assumptions &amp; Results'!AE6,'Assumptions &amp; Results'!AE4)</f>
        <v>8.75</v>
      </c>
      <c r="AE15" s="11">
        <f>IF('Assumptions &amp; Results'!$C$172=1,'Assumptions &amp; Results'!AF6,'Assumptions &amp; Results'!AF4)</f>
        <v>8.75</v>
      </c>
      <c r="AF15" s="11">
        <f>IF('Assumptions &amp; Results'!$C$172=1,'Assumptions &amp; Results'!AG6,'Assumptions &amp; Results'!AG4)</f>
        <v>8.75</v>
      </c>
      <c r="AG15" s="11">
        <f>IF('Assumptions &amp; Results'!$C$172=1,'Assumptions &amp; Results'!AH6,'Assumptions &amp; Results'!AH4)</f>
        <v>8.75</v>
      </c>
      <c r="AH15" s="11">
        <f>IF('Assumptions &amp; Results'!$C$172=1,'Assumptions &amp; Results'!AI6,'Assumptions &amp; Results'!AI4)</f>
        <v>8.75</v>
      </c>
      <c r="AI15" s="11">
        <f>IF('Assumptions &amp; Results'!$C$172=1,'Assumptions &amp; Results'!AJ6,'Assumptions &amp; Results'!AJ4)</f>
        <v>8.75</v>
      </c>
      <c r="AJ15" s="125"/>
    </row>
    <row r="16" spans="1:36" x14ac:dyDescent="0.2">
      <c r="A16" t="s">
        <v>282</v>
      </c>
      <c r="B16" t="s">
        <v>99</v>
      </c>
      <c r="C16" s="8">
        <f>C9*'Assumptions &amp; Results'!D10</f>
        <v>0</v>
      </c>
      <c r="D16" s="8">
        <f>D9*'Assumptions &amp; Results'!E10</f>
        <v>0</v>
      </c>
      <c r="E16" s="8">
        <f>E9*'Assumptions &amp; Results'!F10</f>
        <v>0</v>
      </c>
      <c r="F16" s="8">
        <f>F9*'Assumptions &amp; Results'!G10</f>
        <v>0</v>
      </c>
      <c r="G16" s="8">
        <f>G9*'Assumptions &amp; Results'!H10</f>
        <v>15.05625</v>
      </c>
      <c r="H16" s="8">
        <f>H9*'Assumptions &amp; Results'!I10</f>
        <v>30.112500000000001</v>
      </c>
      <c r="I16" s="8">
        <f>I9*'Assumptions &amp; Results'!J10</f>
        <v>30.112500000000001</v>
      </c>
      <c r="J16" s="8">
        <f>J9*'Assumptions &amp; Results'!K10</f>
        <v>30.112500000000001</v>
      </c>
      <c r="K16" s="8">
        <f>K9*'Assumptions &amp; Results'!L10</f>
        <v>30.112500000000001</v>
      </c>
      <c r="L16" s="8">
        <f>L9*'Assumptions &amp; Results'!M10</f>
        <v>30.112500000000001</v>
      </c>
      <c r="M16" s="8">
        <f>M9*'Assumptions &amp; Results'!N10</f>
        <v>30.112500000000001</v>
      </c>
      <c r="N16" s="8">
        <f>N9*'Assumptions &amp; Results'!O10</f>
        <v>30.112500000000001</v>
      </c>
      <c r="O16" s="8">
        <f>O9*'Assumptions &amp; Results'!P10</f>
        <v>30.112500000000001</v>
      </c>
      <c r="P16" s="8">
        <f>P9*'Assumptions &amp; Results'!Q10</f>
        <v>30.112500000000001</v>
      </c>
      <c r="Q16" s="8">
        <f>Q9*'Assumptions &amp; Results'!R10</f>
        <v>30.112500000000001</v>
      </c>
      <c r="R16" s="8">
        <f>R9*'Assumptions &amp; Results'!S10</f>
        <v>30.112500000000001</v>
      </c>
      <c r="S16" s="8">
        <f>S9*'Assumptions &amp; Results'!T10</f>
        <v>30.112500000000001</v>
      </c>
      <c r="T16" s="8">
        <f>T9*'Assumptions &amp; Results'!U10</f>
        <v>30.112500000000001</v>
      </c>
      <c r="U16" s="8">
        <f>U9*'Assumptions &amp; Results'!V10</f>
        <v>30.112500000000001</v>
      </c>
      <c r="V16" s="8">
        <f>V9*'Assumptions &amp; Results'!W10</f>
        <v>30.112500000000001</v>
      </c>
      <c r="W16" s="8">
        <f>W9*'Assumptions &amp; Results'!X10</f>
        <v>30.112500000000001</v>
      </c>
      <c r="X16" s="8">
        <f>X9*'Assumptions &amp; Results'!Y10</f>
        <v>30.112500000000001</v>
      </c>
      <c r="Y16" s="8">
        <f>Y9*'Assumptions &amp; Results'!Z10</f>
        <v>30.112500000000001</v>
      </c>
      <c r="Z16" s="8">
        <f>Z9*'Assumptions &amp; Results'!AA10</f>
        <v>30.112500000000001</v>
      </c>
      <c r="AA16" s="8">
        <f>AA9*'Assumptions &amp; Results'!AB10</f>
        <v>30.112500000000001</v>
      </c>
      <c r="AB16" s="8">
        <f>AB9*'Assumptions &amp; Results'!AC10</f>
        <v>30.112500000000001</v>
      </c>
      <c r="AC16" s="8">
        <f>AC9*'Assumptions &amp; Results'!AD10</f>
        <v>30.112500000000001</v>
      </c>
      <c r="AD16" s="8">
        <f>AD9*'Assumptions &amp; Results'!AE10</f>
        <v>30.112500000000001</v>
      </c>
      <c r="AE16" s="8">
        <f>AE9*'Assumptions &amp; Results'!AF10</f>
        <v>30.112500000000001</v>
      </c>
      <c r="AF16" s="8">
        <f>AF9*'Assumptions &amp; Results'!AG10</f>
        <v>30.112500000000001</v>
      </c>
      <c r="AG16" s="8">
        <f>AG9*'Assumptions &amp; Results'!AH10</f>
        <v>30.112500000000001</v>
      </c>
      <c r="AH16" s="8">
        <f>AH9*'Assumptions &amp; Results'!AI10</f>
        <v>30.112500000000001</v>
      </c>
      <c r="AI16" s="8">
        <f>AI9*'Assumptions &amp; Results'!AJ10</f>
        <v>30.112500000000001</v>
      </c>
      <c r="AJ16" s="125">
        <f>SUM(C16:AI16)</f>
        <v>858.20624999999961</v>
      </c>
    </row>
    <row r="17" spans="1:36" x14ac:dyDescent="0.2">
      <c r="A17" t="s">
        <v>283</v>
      </c>
      <c r="B17" t="s">
        <v>99</v>
      </c>
      <c r="C17" s="8">
        <f>C11*'Assumptions &amp; Results'!D11</f>
        <v>0</v>
      </c>
      <c r="D17" s="8">
        <f>D11*'Assumptions &amp; Results'!E11</f>
        <v>0</v>
      </c>
      <c r="E17" s="8">
        <f>E11*'Assumptions &amp; Results'!F11</f>
        <v>0</v>
      </c>
      <c r="F17" s="8">
        <f>F11*'Assumptions &amp; Results'!G11</f>
        <v>0</v>
      </c>
      <c r="G17" s="8">
        <f>G11*'Assumptions &amp; Results'!H11</f>
        <v>0</v>
      </c>
      <c r="H17" s="8">
        <f>H11*'Assumptions &amp; Results'!I11</f>
        <v>0</v>
      </c>
      <c r="I17" s="8">
        <f>I11*'Assumptions &amp; Results'!J11</f>
        <v>0</v>
      </c>
      <c r="J17" s="8">
        <f>J11*'Assumptions &amp; Results'!K11</f>
        <v>0</v>
      </c>
      <c r="K17" s="8">
        <f>K11*'Assumptions &amp; Results'!L11</f>
        <v>0</v>
      </c>
      <c r="L17" s="8">
        <f>L11*'Assumptions &amp; Results'!M11</f>
        <v>0</v>
      </c>
      <c r="M17" s="8">
        <f>M11*'Assumptions &amp; Results'!N11</f>
        <v>0</v>
      </c>
      <c r="N17" s="8">
        <f>N11*'Assumptions &amp; Results'!O11</f>
        <v>0</v>
      </c>
      <c r="O17" s="8">
        <f>O11*'Assumptions &amp; Results'!P11</f>
        <v>0</v>
      </c>
      <c r="P17" s="8">
        <f>P11*'Assumptions &amp; Results'!Q11</f>
        <v>0</v>
      </c>
      <c r="Q17" s="8">
        <f>Q11*'Assumptions &amp; Results'!R11</f>
        <v>0</v>
      </c>
      <c r="R17" s="8">
        <f>R11*'Assumptions &amp; Results'!S11</f>
        <v>0</v>
      </c>
      <c r="S17" s="8">
        <f>S11*'Assumptions &amp; Results'!T11</f>
        <v>0</v>
      </c>
      <c r="T17" s="8">
        <f>T11*'Assumptions &amp; Results'!U11</f>
        <v>0</v>
      </c>
      <c r="U17" s="8">
        <f>U11*'Assumptions &amp; Results'!V11</f>
        <v>0</v>
      </c>
      <c r="V17" s="8">
        <f>V11*'Assumptions &amp; Results'!W11</f>
        <v>0</v>
      </c>
      <c r="W17" s="8">
        <f>W11*'Assumptions &amp; Results'!X11</f>
        <v>0</v>
      </c>
      <c r="X17" s="8">
        <f>X11*'Assumptions &amp; Results'!Y11</f>
        <v>0</v>
      </c>
      <c r="Y17" s="8">
        <f>Y11*'Assumptions &amp; Results'!Z11</f>
        <v>0</v>
      </c>
      <c r="Z17" s="8">
        <f>Z11*'Assumptions &amp; Results'!AA11</f>
        <v>0</v>
      </c>
      <c r="AA17" s="8">
        <f>AA11*'Assumptions &amp; Results'!AB11</f>
        <v>0</v>
      </c>
      <c r="AB17" s="8">
        <f>AB11*'Assumptions &amp; Results'!AC11</f>
        <v>0</v>
      </c>
      <c r="AC17" s="8">
        <f>AC11*'Assumptions &amp; Results'!AD11</f>
        <v>0</v>
      </c>
      <c r="AD17" s="8">
        <f>AD11*'Assumptions &amp; Results'!AE11</f>
        <v>0</v>
      </c>
      <c r="AE17" s="8">
        <f>AE11*'Assumptions &amp; Results'!AF11</f>
        <v>0</v>
      </c>
      <c r="AF17" s="8">
        <f>AF11*'Assumptions &amp; Results'!AG11</f>
        <v>0</v>
      </c>
      <c r="AG17" s="8">
        <f>AG11*'Assumptions &amp; Results'!AH11</f>
        <v>0</v>
      </c>
      <c r="AH17" s="8">
        <f>AH11*'Assumptions &amp; Results'!AI11</f>
        <v>0</v>
      </c>
      <c r="AI17" s="8">
        <f>AI11*'Assumptions &amp; Results'!AJ11</f>
        <v>0</v>
      </c>
      <c r="AJ17" s="125">
        <f>SUM(C17:AI17)</f>
        <v>0</v>
      </c>
    </row>
    <row r="18" spans="1:36" x14ac:dyDescent="0.2">
      <c r="A18" t="s">
        <v>284</v>
      </c>
      <c r="B18" t="s">
        <v>99</v>
      </c>
      <c r="C18" s="8">
        <f>IF('Assumptions &amp; Results'!$C$172=2,C15*C12,0)</f>
        <v>0</v>
      </c>
      <c r="D18" s="8">
        <f>IF('Assumptions &amp; Results'!$C$172=2,D15*D12,0)</f>
        <v>0</v>
      </c>
      <c r="E18" s="8">
        <f>IF('Assumptions &amp; Results'!$C$172=2,E15*E12,0)</f>
        <v>0</v>
      </c>
      <c r="F18" s="8">
        <f>IF('Assumptions &amp; Results'!$C$172=2,F15*F12,0)</f>
        <v>0</v>
      </c>
      <c r="G18" s="8">
        <f>IF('Assumptions &amp; Results'!$C$172=2,G15*G12,0)</f>
        <v>0</v>
      </c>
      <c r="H18" s="8">
        <f>IF('Assumptions &amp; Results'!$C$172=2,H15*H12,0)</f>
        <v>0</v>
      </c>
      <c r="I18" s="8">
        <f>IF('Assumptions &amp; Results'!$C$172=2,I15*I12,0)</f>
        <v>0</v>
      </c>
      <c r="J18" s="8">
        <f>IF('Assumptions &amp; Results'!$C$172=2,J15*J12,0)</f>
        <v>0</v>
      </c>
      <c r="K18" s="8">
        <f>IF('Assumptions &amp; Results'!$C$172=2,K15*K12,0)</f>
        <v>0</v>
      </c>
      <c r="L18" s="8">
        <f>IF('Assumptions &amp; Results'!$C$172=2,L15*L12,0)</f>
        <v>0</v>
      </c>
      <c r="M18" s="8">
        <f>IF('Assumptions &amp; Results'!$C$172=2,M15*M12,0)</f>
        <v>0</v>
      </c>
      <c r="N18" s="8">
        <f>IF('Assumptions &amp; Results'!$C$172=2,N15*N12,0)</f>
        <v>0</v>
      </c>
      <c r="O18" s="8">
        <f>IF('Assumptions &amp; Results'!$C$172=2,O15*O12,0)</f>
        <v>0</v>
      </c>
      <c r="P18" s="8">
        <f>IF('Assumptions &amp; Results'!$C$172=2,P15*P12,0)</f>
        <v>0</v>
      </c>
      <c r="Q18" s="8">
        <f>IF('Assumptions &amp; Results'!$C$172=2,Q15*Q12,0)</f>
        <v>0</v>
      </c>
      <c r="R18" s="8">
        <f>IF('Assumptions &amp; Results'!$C$172=2,R15*R12,0)</f>
        <v>0</v>
      </c>
      <c r="S18" s="8">
        <f>IF('Assumptions &amp; Results'!$C$172=2,S15*S12,0)</f>
        <v>0</v>
      </c>
      <c r="T18" s="8">
        <f>IF('Assumptions &amp; Results'!$C$172=2,T15*T12,0)</f>
        <v>0</v>
      </c>
      <c r="U18" s="8">
        <f>IF('Assumptions &amp; Results'!$C$172=2,U15*U12,0)</f>
        <v>0</v>
      </c>
      <c r="V18" s="8">
        <f>IF('Assumptions &amp; Results'!$C$172=2,V15*V12,0)</f>
        <v>0</v>
      </c>
      <c r="W18" s="8">
        <f>IF('Assumptions &amp; Results'!$C$172=2,W15*W12,0)</f>
        <v>0</v>
      </c>
      <c r="X18" s="8">
        <f>IF('Assumptions &amp; Results'!$C$172=2,X15*X12,0)</f>
        <v>0</v>
      </c>
      <c r="Y18" s="8">
        <f>IF('Assumptions &amp; Results'!$C$172=2,Y15*Y12,0)</f>
        <v>0</v>
      </c>
      <c r="Z18" s="8">
        <f>IF('Assumptions &amp; Results'!$C$172=2,Z15*Z12,0)</f>
        <v>0</v>
      </c>
      <c r="AA18" s="8">
        <f>IF('Assumptions &amp; Results'!$C$172=2,AA15*AA12,0)</f>
        <v>0</v>
      </c>
      <c r="AB18" s="8">
        <f>IF('Assumptions &amp; Results'!$C$172=2,AB15*AB12,0)</f>
        <v>0</v>
      </c>
      <c r="AC18" s="8">
        <f>IF('Assumptions &amp; Results'!$C$172=2,AC15*AC12,0)</f>
        <v>0</v>
      </c>
      <c r="AD18" s="8">
        <f>IF('Assumptions &amp; Results'!$C$172=2,AD15*AD12,0)</f>
        <v>0</v>
      </c>
      <c r="AE18" s="8">
        <f>IF('Assumptions &amp; Results'!$C$172=2,AE15*AE12,0)</f>
        <v>0</v>
      </c>
      <c r="AF18" s="8">
        <f>IF('Assumptions &amp; Results'!$C$172=2,AF15*AF12,0)</f>
        <v>0</v>
      </c>
      <c r="AG18" s="8">
        <f>IF('Assumptions &amp; Results'!$C$172=2,AG15*AG12,0)</f>
        <v>0</v>
      </c>
      <c r="AH18" s="8">
        <f>IF('Assumptions &amp; Results'!$C$172=2,AH15*AH12,0)</f>
        <v>0</v>
      </c>
      <c r="AI18" s="8">
        <f>IF('Assumptions &amp; Results'!$C$172=2,AI15*AI12,0)</f>
        <v>0</v>
      </c>
      <c r="AJ18" s="125"/>
    </row>
    <row r="19" spans="1:36" ht="18" x14ac:dyDescent="0.35">
      <c r="A19" t="s">
        <v>285</v>
      </c>
      <c r="B19" t="s">
        <v>99</v>
      </c>
      <c r="C19" s="27">
        <f>C13*C15</f>
        <v>0</v>
      </c>
      <c r="D19" s="27">
        <f t="shared" ref="D19:AI19" si="2">D13*D15</f>
        <v>0</v>
      </c>
      <c r="E19" s="27">
        <f t="shared" si="2"/>
        <v>0</v>
      </c>
      <c r="F19" s="27">
        <f t="shared" si="2"/>
        <v>0</v>
      </c>
      <c r="G19" s="27">
        <f t="shared" si="2"/>
        <v>2323.9321875000005</v>
      </c>
      <c r="H19" s="27">
        <f t="shared" si="2"/>
        <v>4647.864375000001</v>
      </c>
      <c r="I19" s="27">
        <f t="shared" si="2"/>
        <v>4647.864375000001</v>
      </c>
      <c r="J19" s="27">
        <f t="shared" si="2"/>
        <v>4415.4711562499997</v>
      </c>
      <c r="K19" s="27">
        <f t="shared" si="2"/>
        <v>4647.864375000001</v>
      </c>
      <c r="L19" s="27">
        <f t="shared" si="2"/>
        <v>4647.864375000001</v>
      </c>
      <c r="M19" s="27">
        <f t="shared" si="2"/>
        <v>4647.864375000001</v>
      </c>
      <c r="N19" s="27">
        <f t="shared" si="2"/>
        <v>4647.864375000001</v>
      </c>
      <c r="O19" s="27">
        <f t="shared" si="2"/>
        <v>4415.4711562499997</v>
      </c>
      <c r="P19" s="27">
        <f t="shared" si="2"/>
        <v>4647.864375000001</v>
      </c>
      <c r="Q19" s="27">
        <f t="shared" si="2"/>
        <v>4647.864375000001</v>
      </c>
      <c r="R19" s="27">
        <f t="shared" si="2"/>
        <v>4647.864375000001</v>
      </c>
      <c r="S19" s="27">
        <f t="shared" si="2"/>
        <v>4647.864375000001</v>
      </c>
      <c r="T19" s="27">
        <f t="shared" si="2"/>
        <v>4415.4711562499997</v>
      </c>
      <c r="U19" s="27">
        <f t="shared" si="2"/>
        <v>4647.864375000001</v>
      </c>
      <c r="V19" s="27">
        <f t="shared" si="2"/>
        <v>4647.864375000001</v>
      </c>
      <c r="W19" s="27">
        <f t="shared" si="2"/>
        <v>4647.864375000001</v>
      </c>
      <c r="X19" s="27">
        <f t="shared" si="2"/>
        <v>4647.864375000001</v>
      </c>
      <c r="Y19" s="27">
        <f t="shared" si="2"/>
        <v>4415.4711562499997</v>
      </c>
      <c r="Z19" s="27">
        <f t="shared" si="2"/>
        <v>4647.864375000001</v>
      </c>
      <c r="AA19" s="27">
        <f t="shared" si="2"/>
        <v>4647.864375000001</v>
      </c>
      <c r="AB19" s="27">
        <f t="shared" si="2"/>
        <v>4647.864375000001</v>
      </c>
      <c r="AC19" s="27">
        <f t="shared" si="2"/>
        <v>4647.864375000001</v>
      </c>
      <c r="AD19" s="27">
        <f t="shared" si="2"/>
        <v>4415.4711562499997</v>
      </c>
      <c r="AE19" s="27">
        <f t="shared" si="2"/>
        <v>4647.864375000001</v>
      </c>
      <c r="AF19" s="27">
        <f t="shared" si="2"/>
        <v>4647.864375000001</v>
      </c>
      <c r="AG19" s="27">
        <f t="shared" si="2"/>
        <v>4647.864375000001</v>
      </c>
      <c r="AH19" s="27">
        <f t="shared" si="2"/>
        <v>4647.864375000001</v>
      </c>
      <c r="AI19" s="27">
        <f t="shared" si="2"/>
        <v>4647.864375000001</v>
      </c>
      <c r="AJ19" s="126">
        <f>SUM(C19:AI19)</f>
        <v>131302.16859375007</v>
      </c>
    </row>
    <row r="20" spans="1:36" x14ac:dyDescent="0.2">
      <c r="A20" t="s">
        <v>286</v>
      </c>
      <c r="B20" t="s">
        <v>99</v>
      </c>
      <c r="C20" s="23">
        <f t="shared" ref="C20:AI20" si="3">SUM(C16:C19)</f>
        <v>0</v>
      </c>
      <c r="D20" s="23">
        <f t="shared" si="3"/>
        <v>0</v>
      </c>
      <c r="E20" s="23">
        <f t="shared" si="3"/>
        <v>0</v>
      </c>
      <c r="F20" s="23">
        <f t="shared" si="3"/>
        <v>0</v>
      </c>
      <c r="G20" s="23">
        <f t="shared" si="3"/>
        <v>2338.9884375000006</v>
      </c>
      <c r="H20" s="23">
        <f t="shared" si="3"/>
        <v>4677.9768750000012</v>
      </c>
      <c r="I20" s="23">
        <f t="shared" si="3"/>
        <v>4677.9768750000012</v>
      </c>
      <c r="J20" s="23">
        <f t="shared" si="3"/>
        <v>4445.5836562499999</v>
      </c>
      <c r="K20" s="23">
        <f t="shared" si="3"/>
        <v>4677.9768750000012</v>
      </c>
      <c r="L20" s="23">
        <f t="shared" si="3"/>
        <v>4677.9768750000012</v>
      </c>
      <c r="M20" s="23">
        <f t="shared" si="3"/>
        <v>4677.9768750000012</v>
      </c>
      <c r="N20" s="23">
        <f t="shared" si="3"/>
        <v>4677.9768750000012</v>
      </c>
      <c r="O20" s="23">
        <f t="shared" si="3"/>
        <v>4445.5836562499999</v>
      </c>
      <c r="P20" s="23">
        <f t="shared" si="3"/>
        <v>4677.9768750000012</v>
      </c>
      <c r="Q20" s="23">
        <f t="shared" si="3"/>
        <v>4677.9768750000012</v>
      </c>
      <c r="R20" s="23">
        <f t="shared" si="3"/>
        <v>4677.9768750000012</v>
      </c>
      <c r="S20" s="23">
        <f t="shared" si="3"/>
        <v>4677.9768750000012</v>
      </c>
      <c r="T20" s="23">
        <f t="shared" si="3"/>
        <v>4445.5836562499999</v>
      </c>
      <c r="U20" s="23">
        <f t="shared" si="3"/>
        <v>4677.9768750000012</v>
      </c>
      <c r="V20" s="23">
        <f t="shared" si="3"/>
        <v>4677.9768750000012</v>
      </c>
      <c r="W20" s="23">
        <f t="shared" si="3"/>
        <v>4677.9768750000012</v>
      </c>
      <c r="X20" s="23">
        <f t="shared" si="3"/>
        <v>4677.9768750000012</v>
      </c>
      <c r="Y20" s="23">
        <f t="shared" si="3"/>
        <v>4445.5836562499999</v>
      </c>
      <c r="Z20" s="23">
        <f t="shared" si="3"/>
        <v>4677.9768750000012</v>
      </c>
      <c r="AA20" s="23">
        <f t="shared" si="3"/>
        <v>4677.9768750000012</v>
      </c>
      <c r="AB20" s="23">
        <f t="shared" si="3"/>
        <v>4677.9768750000012</v>
      </c>
      <c r="AC20" s="23">
        <f t="shared" si="3"/>
        <v>4677.9768750000012</v>
      </c>
      <c r="AD20" s="23">
        <f t="shared" si="3"/>
        <v>4445.5836562499999</v>
      </c>
      <c r="AE20" s="23">
        <f t="shared" si="3"/>
        <v>4677.9768750000012</v>
      </c>
      <c r="AF20" s="23">
        <f t="shared" si="3"/>
        <v>4677.9768750000012</v>
      </c>
      <c r="AG20" s="23">
        <f t="shared" si="3"/>
        <v>4677.9768750000012</v>
      </c>
      <c r="AH20" s="23">
        <f t="shared" si="3"/>
        <v>4677.9768750000012</v>
      </c>
      <c r="AI20" s="23">
        <f t="shared" si="3"/>
        <v>4677.9768750000012</v>
      </c>
      <c r="AJ20" s="125">
        <f>SUM(C20:AI20)</f>
        <v>132160.37484375009</v>
      </c>
    </row>
    <row r="21" spans="1:36" x14ac:dyDescent="0.2">
      <c r="AJ21" s="125"/>
    </row>
    <row r="22" spans="1:36" s="69" customFormat="1" x14ac:dyDescent="0.2">
      <c r="A22" s="74" t="s">
        <v>287</v>
      </c>
      <c r="AJ22" s="131"/>
    </row>
    <row r="23" spans="1:36" x14ac:dyDescent="0.2">
      <c r="A23" t="s">
        <v>288</v>
      </c>
      <c r="B23" s="51" t="s">
        <v>99</v>
      </c>
      <c r="C23" s="8">
        <f>C8*'Assumptions &amp; Results'!D100</f>
        <v>0</v>
      </c>
      <c r="D23" s="8">
        <f>D8*'Assumptions &amp; Results'!E100</f>
        <v>0</v>
      </c>
      <c r="E23" s="8">
        <f>E8*'Assumptions &amp; Results'!F100</f>
        <v>0</v>
      </c>
      <c r="F23" s="8">
        <f>F8*'Assumptions &amp; Results'!G100</f>
        <v>0</v>
      </c>
      <c r="G23" s="8">
        <f>G8*'Assumptions &amp; Results'!H100</f>
        <v>301.125</v>
      </c>
      <c r="H23" s="8">
        <f>H8*'Assumptions &amp; Results'!I100</f>
        <v>602.25</v>
      </c>
      <c r="I23" s="8">
        <f>I8*'Assumptions &amp; Results'!J100</f>
        <v>602.25</v>
      </c>
      <c r="J23" s="8">
        <f>J8*'Assumptions &amp; Results'!K100</f>
        <v>602.25</v>
      </c>
      <c r="K23" s="8">
        <f>K8*'Assumptions &amp; Results'!L100</f>
        <v>602.25</v>
      </c>
      <c r="L23" s="8">
        <f>L8*'Assumptions &amp; Results'!M100</f>
        <v>602.25</v>
      </c>
      <c r="M23" s="8">
        <f>M8*'Assumptions &amp; Results'!N100</f>
        <v>602.25</v>
      </c>
      <c r="N23" s="8">
        <f>N8*'Assumptions &amp; Results'!O100</f>
        <v>602.25</v>
      </c>
      <c r="O23" s="8">
        <f>O8*'Assumptions &amp; Results'!P100</f>
        <v>602.25</v>
      </c>
      <c r="P23" s="8">
        <f>P8*'Assumptions &amp; Results'!Q100</f>
        <v>602.25</v>
      </c>
      <c r="Q23" s="8">
        <f>Q8*'Assumptions &amp; Results'!R100</f>
        <v>602.25</v>
      </c>
      <c r="R23" s="8">
        <f>R8*'Assumptions &amp; Results'!S100</f>
        <v>602.25</v>
      </c>
      <c r="S23" s="8">
        <f>S8*'Assumptions &amp; Results'!T100</f>
        <v>602.25</v>
      </c>
      <c r="T23" s="8">
        <f>T8*'Assumptions &amp; Results'!U100</f>
        <v>602.25</v>
      </c>
      <c r="U23" s="8">
        <f>U8*'Assumptions &amp; Results'!V100</f>
        <v>602.25</v>
      </c>
      <c r="V23" s="8">
        <f>V8*'Assumptions &amp; Results'!W100</f>
        <v>602.25</v>
      </c>
      <c r="W23" s="8">
        <f>W8*'Assumptions &amp; Results'!X100</f>
        <v>602.25</v>
      </c>
      <c r="X23" s="8">
        <f>X8*'Assumptions &amp; Results'!Y100</f>
        <v>602.25</v>
      </c>
      <c r="Y23" s="8">
        <f>Y8*'Assumptions &amp; Results'!Z100</f>
        <v>602.25</v>
      </c>
      <c r="Z23" s="8">
        <f>Z8*'Assumptions &amp; Results'!AA100</f>
        <v>602.25</v>
      </c>
      <c r="AA23" s="8">
        <f>AA8*'Assumptions &amp; Results'!AB100</f>
        <v>602.25</v>
      </c>
      <c r="AB23" s="8">
        <f>AB8*'Assumptions &amp; Results'!AC100</f>
        <v>602.25</v>
      </c>
      <c r="AC23" s="8">
        <f>AC8*'Assumptions &amp; Results'!AD100</f>
        <v>602.25</v>
      </c>
      <c r="AD23" s="8">
        <f>AD8*'Assumptions &amp; Results'!AE100</f>
        <v>602.25</v>
      </c>
      <c r="AE23" s="8">
        <f>AE8*'Assumptions &amp; Results'!AF100</f>
        <v>602.25</v>
      </c>
      <c r="AF23" s="8">
        <f>AF8*'Assumptions &amp; Results'!AG100</f>
        <v>602.25</v>
      </c>
      <c r="AG23" s="8">
        <f>AG8*'Assumptions &amp; Results'!AH100</f>
        <v>602.25</v>
      </c>
      <c r="AH23" s="8">
        <f>AH8*'Assumptions &amp; Results'!AI100</f>
        <v>602.25</v>
      </c>
      <c r="AI23" s="8">
        <f>AI8*'Assumptions &amp; Results'!AJ100</f>
        <v>602.25</v>
      </c>
      <c r="AJ23" s="125">
        <f t="shared" ref="AJ23:AJ29" si="4">SUM(C23:AI23)</f>
        <v>17164.125</v>
      </c>
    </row>
    <row r="24" spans="1:36" x14ac:dyDescent="0.2">
      <c r="A24" t="s">
        <v>289</v>
      </c>
      <c r="B24" s="51" t="s">
        <v>99</v>
      </c>
      <c r="C24" s="8">
        <f>'Assumptions &amp; Results'!D109</f>
        <v>0</v>
      </c>
      <c r="D24" s="8">
        <f>'Assumptions &amp; Results'!E109</f>
        <v>0</v>
      </c>
      <c r="E24" s="8">
        <f>'Assumptions &amp; Results'!F109</f>
        <v>0</v>
      </c>
      <c r="F24" s="8">
        <f>'Assumptions &amp; Results'!G109</f>
        <v>0</v>
      </c>
      <c r="G24" s="8">
        <f>'Assumptions &amp; Results'!H109</f>
        <v>0</v>
      </c>
      <c r="H24" s="8">
        <f>'Assumptions &amp; Results'!I109</f>
        <v>0</v>
      </c>
      <c r="I24" s="8">
        <f>'Assumptions &amp; Results'!J109</f>
        <v>0</v>
      </c>
      <c r="J24" s="8">
        <f>'Assumptions &amp; Results'!K109</f>
        <v>0</v>
      </c>
      <c r="K24" s="8">
        <f>'Assumptions &amp; Results'!L109</f>
        <v>0</v>
      </c>
      <c r="L24" s="8">
        <f>'Assumptions &amp; Results'!M109</f>
        <v>0</v>
      </c>
      <c r="M24" s="8">
        <f>'Assumptions &amp; Results'!N109</f>
        <v>0</v>
      </c>
      <c r="N24" s="8">
        <f>'Assumptions &amp; Results'!O109</f>
        <v>0</v>
      </c>
      <c r="O24" s="8">
        <f>'Assumptions &amp; Results'!P109</f>
        <v>0</v>
      </c>
      <c r="P24" s="8">
        <f>'Assumptions &amp; Results'!Q109</f>
        <v>0</v>
      </c>
      <c r="Q24" s="8">
        <f>'Assumptions &amp; Results'!R109</f>
        <v>0</v>
      </c>
      <c r="R24" s="8">
        <f>'Assumptions &amp; Results'!S109</f>
        <v>0</v>
      </c>
      <c r="S24" s="8">
        <f>'Assumptions &amp; Results'!T109</f>
        <v>0</v>
      </c>
      <c r="T24" s="8">
        <f>'Assumptions &amp; Results'!U109</f>
        <v>0</v>
      </c>
      <c r="U24" s="8">
        <f>'Assumptions &amp; Results'!V109</f>
        <v>0</v>
      </c>
      <c r="V24" s="8">
        <f>'Assumptions &amp; Results'!W109</f>
        <v>0</v>
      </c>
      <c r="W24" s="8">
        <f>'Assumptions &amp; Results'!X109</f>
        <v>0</v>
      </c>
      <c r="X24" s="8">
        <f>'Assumptions &amp; Results'!Y109</f>
        <v>0</v>
      </c>
      <c r="Y24" s="8">
        <f>'Assumptions &amp; Results'!Z109</f>
        <v>0</v>
      </c>
      <c r="Z24" s="8">
        <f>'Assumptions &amp; Results'!AA109</f>
        <v>0</v>
      </c>
      <c r="AA24" s="8">
        <f>'Assumptions &amp; Results'!AB109</f>
        <v>0</v>
      </c>
      <c r="AB24" s="8">
        <f>'Assumptions &amp; Results'!AC109</f>
        <v>0</v>
      </c>
      <c r="AC24" s="8">
        <f>'Assumptions &amp; Results'!AD109</f>
        <v>0</v>
      </c>
      <c r="AD24" s="8">
        <f>'Assumptions &amp; Results'!AE109</f>
        <v>0</v>
      </c>
      <c r="AE24" s="8">
        <f>'Assumptions &amp; Results'!AF109</f>
        <v>0</v>
      </c>
      <c r="AF24" s="8">
        <f>'Assumptions &amp; Results'!AG109</f>
        <v>0</v>
      </c>
      <c r="AG24" s="8">
        <f>'Assumptions &amp; Results'!AH109</f>
        <v>300</v>
      </c>
      <c r="AH24" s="8">
        <f>'Assumptions &amp; Results'!AI109</f>
        <v>300</v>
      </c>
      <c r="AI24" s="8">
        <f>'Assumptions &amp; Results'!AJ109</f>
        <v>600</v>
      </c>
      <c r="AJ24" s="125">
        <f t="shared" si="4"/>
        <v>1200</v>
      </c>
    </row>
    <row r="25" spans="1:36" x14ac:dyDescent="0.2">
      <c r="A25" s="37" t="s">
        <v>290</v>
      </c>
      <c r="B25" s="51" t="s">
        <v>99</v>
      </c>
      <c r="C25" s="8">
        <f>IF('Assumptions &amp; Results'!$C$97=2,'Gas PL'!C24,0)</f>
        <v>0</v>
      </c>
      <c r="D25" s="8">
        <f>IF('Assumptions &amp; Results'!$C$97=2,'Gas PL'!D24,0)</f>
        <v>0</v>
      </c>
      <c r="E25" s="8">
        <f>IF('Assumptions &amp; Results'!$C$97=2,'Gas PL'!E24,0)</f>
        <v>0</v>
      </c>
      <c r="F25" s="8">
        <f>IF('Assumptions &amp; Results'!$C$97=2,'Gas PL'!F24,0)</f>
        <v>0</v>
      </c>
      <c r="G25" s="8">
        <f>IF('Assumptions &amp; Results'!$C$97=2,'Gas PL'!G24,0)</f>
        <v>0</v>
      </c>
      <c r="H25" s="8">
        <f>IF('Assumptions &amp; Results'!$C$97=2,'Gas PL'!H24,0)</f>
        <v>0</v>
      </c>
      <c r="I25" s="8">
        <f>IF('Assumptions &amp; Results'!$C$97=2,'Gas PL'!I24,0)</f>
        <v>0</v>
      </c>
      <c r="J25" s="8">
        <f>IF('Assumptions &amp; Results'!$C$97=2,'Gas PL'!J24,0)</f>
        <v>0</v>
      </c>
      <c r="K25" s="8">
        <f>IF('Assumptions &amp; Results'!$C$97=2,'Gas PL'!K24,0)</f>
        <v>0</v>
      </c>
      <c r="L25" s="8">
        <f>IF('Assumptions &amp; Results'!$C$97=2,'Gas PL'!L24,0)</f>
        <v>0</v>
      </c>
      <c r="M25" s="8">
        <f>IF('Assumptions &amp; Results'!$C$97=2,'Gas PL'!M24,0)</f>
        <v>0</v>
      </c>
      <c r="N25" s="8">
        <f>IF('Assumptions &amp; Results'!$C$97=2,'Gas PL'!N24,0)</f>
        <v>0</v>
      </c>
      <c r="O25" s="8">
        <f>IF('Assumptions &amp; Results'!$C$97=2,'Gas PL'!O24,0)</f>
        <v>0</v>
      </c>
      <c r="P25" s="8">
        <f>IF('Assumptions &amp; Results'!$C$97=2,'Gas PL'!P24,0)</f>
        <v>0</v>
      </c>
      <c r="Q25" s="8">
        <f>IF('Assumptions &amp; Results'!$C$97=2,'Gas PL'!Q24,0)</f>
        <v>0</v>
      </c>
      <c r="R25" s="8">
        <f>IF('Assumptions &amp; Results'!$C$97=2,'Gas PL'!R24,0)</f>
        <v>0</v>
      </c>
      <c r="S25" s="8">
        <f>IF('Assumptions &amp; Results'!$C$97=2,'Gas PL'!S24,0)</f>
        <v>0</v>
      </c>
      <c r="T25" s="8">
        <f>IF('Assumptions &amp; Results'!$C$97=2,'Gas PL'!T24,0)</f>
        <v>0</v>
      </c>
      <c r="U25" s="8">
        <f>IF('Assumptions &amp; Results'!$C$97=2,'Gas PL'!U24,0)</f>
        <v>0</v>
      </c>
      <c r="V25" s="8">
        <f>IF('Assumptions &amp; Results'!$C$97=2,'Gas PL'!V24,0)</f>
        <v>0</v>
      </c>
      <c r="W25" s="8">
        <f>IF('Assumptions &amp; Results'!$C$97=2,'Gas PL'!W24,0)</f>
        <v>0</v>
      </c>
      <c r="X25" s="8">
        <f>IF('Assumptions &amp; Results'!$C$97=2,'Gas PL'!X24,0)</f>
        <v>0</v>
      </c>
      <c r="Y25" s="8">
        <f>IF('Assumptions &amp; Results'!$C$97=2,'Gas PL'!Y24,0)</f>
        <v>0</v>
      </c>
      <c r="Z25" s="8">
        <f>IF('Assumptions &amp; Results'!$C$97=2,'Gas PL'!Z24,0)</f>
        <v>0</v>
      </c>
      <c r="AA25" s="8">
        <f>IF('Assumptions &amp; Results'!$C$97=2,'Gas PL'!AA24,0)</f>
        <v>0</v>
      </c>
      <c r="AB25" s="8">
        <f>IF('Assumptions &amp; Results'!$C$97=2,'Gas PL'!AB24,0)</f>
        <v>0</v>
      </c>
      <c r="AC25" s="8">
        <f>IF('Assumptions &amp; Results'!$C$97=2,'Gas PL'!AC24,0)</f>
        <v>0</v>
      </c>
      <c r="AD25" s="8">
        <f>IF('Assumptions &amp; Results'!$C$97=2,'Gas PL'!AD24,0)</f>
        <v>0</v>
      </c>
      <c r="AE25" s="8">
        <f>IF('Assumptions &amp; Results'!$C$97=2,'Gas PL'!AE24,0)</f>
        <v>0</v>
      </c>
      <c r="AF25" s="8">
        <f>IF('Assumptions &amp; Results'!$C$97=2,'Gas PL'!AF24,0)</f>
        <v>0</v>
      </c>
      <c r="AG25" s="8">
        <f>IF('Assumptions &amp; Results'!$C$97=2,'Gas PL'!AG24,0)</f>
        <v>0</v>
      </c>
      <c r="AH25" s="8">
        <f>IF('Assumptions &amp; Results'!$C$97=2,'Gas PL'!AH24,0)</f>
        <v>0</v>
      </c>
      <c r="AI25" s="8">
        <f>IF('Assumptions &amp; Results'!$C$97=2,'Gas PL'!AI24,0)</f>
        <v>0</v>
      </c>
      <c r="AJ25" s="125">
        <f t="shared" si="4"/>
        <v>0</v>
      </c>
    </row>
    <row r="26" spans="1:36" x14ac:dyDescent="0.2">
      <c r="A26" s="37" t="s">
        <v>291</v>
      </c>
      <c r="B26" s="51" t="s">
        <v>99</v>
      </c>
      <c r="C26" s="8">
        <f>'LNG Tolling'!C24</f>
        <v>0</v>
      </c>
      <c r="D26" s="8">
        <f>'LNG Tolling'!D24</f>
        <v>0</v>
      </c>
      <c r="E26" s="8">
        <f>'LNG Tolling'!E24</f>
        <v>0</v>
      </c>
      <c r="F26" s="8">
        <f>'LNG Tolling'!F24</f>
        <v>0</v>
      </c>
      <c r="G26" s="8">
        <f>'LNG Tolling'!G24</f>
        <v>1195.1651250000002</v>
      </c>
      <c r="H26" s="8">
        <f>'LNG Tolling'!H24</f>
        <v>2390.3302500000004</v>
      </c>
      <c r="I26" s="8">
        <f>'LNG Tolling'!I24</f>
        <v>2390.3302500000004</v>
      </c>
      <c r="J26" s="8">
        <f>'LNG Tolling'!J24</f>
        <v>2157.273050625</v>
      </c>
      <c r="K26" s="8">
        <f>'LNG Tolling'!K24</f>
        <v>2390.3302500000004</v>
      </c>
      <c r="L26" s="8">
        <f>'LNG Tolling'!L24</f>
        <v>2390.3302500000004</v>
      </c>
      <c r="M26" s="8">
        <f>'LNG Tolling'!M24</f>
        <v>2390.3302500000004</v>
      </c>
      <c r="N26" s="8">
        <f>'LNG Tolling'!N24</f>
        <v>2390.3302500000004</v>
      </c>
      <c r="O26" s="8">
        <f>'LNG Tolling'!O24</f>
        <v>2157.273050625</v>
      </c>
      <c r="P26" s="8">
        <f>'LNG Tolling'!P24</f>
        <v>2390.3302500000004</v>
      </c>
      <c r="Q26" s="8">
        <f>'LNG Tolling'!Q24</f>
        <v>2390.3302500000004</v>
      </c>
      <c r="R26" s="8">
        <f>'LNG Tolling'!R24</f>
        <v>2390.3302500000004</v>
      </c>
      <c r="S26" s="8">
        <f>'LNG Tolling'!S24</f>
        <v>2390.3302500000004</v>
      </c>
      <c r="T26" s="8">
        <f>'LNG Tolling'!T24</f>
        <v>2157.273050625</v>
      </c>
      <c r="U26" s="8">
        <f>'LNG Tolling'!U24</f>
        <v>2390.3302500000004</v>
      </c>
      <c r="V26" s="8">
        <f>'LNG Tolling'!V24</f>
        <v>2390.3302500000004</v>
      </c>
      <c r="W26" s="8">
        <f>'LNG Tolling'!W24</f>
        <v>2390.3302500000004</v>
      </c>
      <c r="X26" s="8">
        <f>'LNG Tolling'!X24</f>
        <v>2390.3302500000004</v>
      </c>
      <c r="Y26" s="8">
        <f>'LNG Tolling'!Y24</f>
        <v>2157.273050625</v>
      </c>
      <c r="Z26" s="8">
        <f>'LNG Tolling'!Z24</f>
        <v>2390.3302500000004</v>
      </c>
      <c r="AA26" s="8">
        <f>'LNG Tolling'!AA24</f>
        <v>2390.3302500000004</v>
      </c>
      <c r="AB26" s="8">
        <f>'LNG Tolling'!AB24</f>
        <v>2390.3302500000004</v>
      </c>
      <c r="AC26" s="8">
        <f>'LNG Tolling'!AC24</f>
        <v>2390.3302500000004</v>
      </c>
      <c r="AD26" s="8">
        <f>'LNG Tolling'!AD24</f>
        <v>2157.273050625</v>
      </c>
      <c r="AE26" s="8">
        <f>'LNG Tolling'!AE24</f>
        <v>2390.3302500000004</v>
      </c>
      <c r="AF26" s="8">
        <f>'LNG Tolling'!AF24</f>
        <v>2390.3302500000004</v>
      </c>
      <c r="AG26" s="8">
        <f>'LNG Tolling'!AG24</f>
        <v>2390.3302500000004</v>
      </c>
      <c r="AH26" s="8">
        <f>'LNG Tolling'!AH24</f>
        <v>2390.3302500000004</v>
      </c>
      <c r="AI26" s="8">
        <f>'LNG Tolling'!AI24</f>
        <v>2390.3302500000004</v>
      </c>
      <c r="AJ26" s="125">
        <f t="shared" si="4"/>
        <v>66959.12612812499</v>
      </c>
    </row>
    <row r="27" spans="1:36" x14ac:dyDescent="0.2">
      <c r="A27" s="37" t="s">
        <v>292</v>
      </c>
      <c r="B27" s="51" t="s">
        <v>99</v>
      </c>
      <c r="C27" s="8">
        <f>IF('Assumptions &amp; Results'!$C$14=1,'Assumptions &amp; Results'!D102*C10,0)</f>
        <v>0</v>
      </c>
      <c r="D27" s="8">
        <f>IF('Assumptions &amp; Results'!$C$14=1,'Assumptions &amp; Results'!E102*D10,0)</f>
        <v>0</v>
      </c>
      <c r="E27" s="8">
        <f>IF('Assumptions &amp; Results'!$C$14=1,'Assumptions &amp; Results'!F102*E10,0)</f>
        <v>0</v>
      </c>
      <c r="F27" s="8">
        <f>IF('Assumptions &amp; Results'!$C$14=1,'Assumptions &amp; Results'!G102*F10,0)</f>
        <v>0</v>
      </c>
      <c r="G27" s="8">
        <f>IF('Assumptions &amp; Results'!$C$14=1,'Assumptions &amp; Results'!H102*G10,0)</f>
        <v>0</v>
      </c>
      <c r="H27" s="8">
        <f>IF('Assumptions &amp; Results'!$C$14=1,'Assumptions &amp; Results'!I102*H10,0)</f>
        <v>0</v>
      </c>
      <c r="I27" s="8">
        <f>IF('Assumptions &amp; Results'!$C$14=1,'Assumptions &amp; Results'!J102*I10,0)</f>
        <v>0</v>
      </c>
      <c r="J27" s="8">
        <f>IF('Assumptions &amp; Results'!$C$14=1,'Assumptions &amp; Results'!K102*J10,0)</f>
        <v>0</v>
      </c>
      <c r="K27" s="8">
        <f>IF('Assumptions &amp; Results'!$C$14=1,'Assumptions &amp; Results'!L102*K10,0)</f>
        <v>0</v>
      </c>
      <c r="L27" s="8">
        <f>IF('Assumptions &amp; Results'!$C$14=1,'Assumptions &amp; Results'!M102*L10,0)</f>
        <v>0</v>
      </c>
      <c r="M27" s="8">
        <f>IF('Assumptions &amp; Results'!$C$14=1,'Assumptions &amp; Results'!N102*M10,0)</f>
        <v>0</v>
      </c>
      <c r="N27" s="8">
        <f>IF('Assumptions &amp; Results'!$C$14=1,'Assumptions &amp; Results'!O102*N10,0)</f>
        <v>0</v>
      </c>
      <c r="O27" s="8">
        <f>IF('Assumptions &amp; Results'!$C$14=1,'Assumptions &amp; Results'!P102*O10,0)</f>
        <v>0</v>
      </c>
      <c r="P27" s="8">
        <f>IF('Assumptions &amp; Results'!$C$14=1,'Assumptions &amp; Results'!Q102*P10,0)</f>
        <v>0</v>
      </c>
      <c r="Q27" s="8">
        <f>IF('Assumptions &amp; Results'!$C$14=1,'Assumptions &amp; Results'!R102*Q10,0)</f>
        <v>0</v>
      </c>
      <c r="R27" s="8">
        <f>IF('Assumptions &amp; Results'!$C$14=1,'Assumptions &amp; Results'!S102*R10,0)</f>
        <v>0</v>
      </c>
      <c r="S27" s="8">
        <f>IF('Assumptions &amp; Results'!$C$14=1,'Assumptions &amp; Results'!T102*S10,0)</f>
        <v>0</v>
      </c>
      <c r="T27" s="8">
        <f>IF('Assumptions &amp; Results'!$C$14=1,'Assumptions &amp; Results'!U102*T10,0)</f>
        <v>0</v>
      </c>
      <c r="U27" s="8">
        <f>IF('Assumptions &amp; Results'!$C$14=1,'Assumptions &amp; Results'!V102*U10,0)</f>
        <v>0</v>
      </c>
      <c r="V27" s="8">
        <f>IF('Assumptions &amp; Results'!$C$14=1,'Assumptions &amp; Results'!W102*V10,0)</f>
        <v>0</v>
      </c>
      <c r="W27" s="8">
        <f>IF('Assumptions &amp; Results'!$C$14=1,'Assumptions &amp; Results'!X102*W10,0)</f>
        <v>0</v>
      </c>
      <c r="X27" s="8">
        <f>IF('Assumptions &amp; Results'!$C$14=1,'Assumptions &amp; Results'!Y102*X10,0)</f>
        <v>0</v>
      </c>
      <c r="Y27" s="8">
        <f>IF('Assumptions &amp; Results'!$C$14=1,'Assumptions &amp; Results'!Z102*Y10,0)</f>
        <v>0</v>
      </c>
      <c r="Z27" s="8">
        <f>IF('Assumptions &amp; Results'!$C$14=1,'Assumptions &amp; Results'!AA102*Z10,0)</f>
        <v>0</v>
      </c>
      <c r="AA27" s="8">
        <f>IF('Assumptions &amp; Results'!$C$14=1,'Assumptions &amp; Results'!AB102*AA10,0)</f>
        <v>0</v>
      </c>
      <c r="AB27" s="8">
        <f>IF('Assumptions &amp; Results'!$C$14=1,'Assumptions &amp; Results'!AC102*AB10,0)</f>
        <v>0</v>
      </c>
      <c r="AC27" s="8">
        <f>IF('Assumptions &amp; Results'!$C$14=1,'Assumptions &amp; Results'!AD102*AC10,0)</f>
        <v>0</v>
      </c>
      <c r="AD27" s="8">
        <f>IF('Assumptions &amp; Results'!$C$14=1,'Assumptions &amp; Results'!AE102*AD10,0)</f>
        <v>0</v>
      </c>
      <c r="AE27" s="8">
        <f>IF('Assumptions &amp; Results'!$C$14=1,'Assumptions &amp; Results'!AF102*AE10,0)</f>
        <v>0</v>
      </c>
      <c r="AF27" s="8">
        <f>IF('Assumptions &amp; Results'!$C$14=1,'Assumptions &amp; Results'!AG102*AF10,0)</f>
        <v>0</v>
      </c>
      <c r="AG27" s="8">
        <f>IF('Assumptions &amp; Results'!$C$14=1,'Assumptions &amp; Results'!AH102*AG10,0)</f>
        <v>0</v>
      </c>
      <c r="AH27" s="8">
        <f>IF('Assumptions &amp; Results'!$C$14=1,'Assumptions &amp; Results'!AI102*AH10,0)</f>
        <v>0</v>
      </c>
      <c r="AI27" s="8">
        <f>IF('Assumptions &amp; Results'!$C$14=1,'Assumptions &amp; Results'!AJ102*AI10,0)</f>
        <v>0</v>
      </c>
      <c r="AJ27" s="125">
        <f t="shared" si="4"/>
        <v>0</v>
      </c>
    </row>
    <row r="28" spans="1:36" ht="18" x14ac:dyDescent="0.35">
      <c r="A28" s="37" t="s">
        <v>293</v>
      </c>
      <c r="B28" s="51" t="s">
        <v>99</v>
      </c>
      <c r="C28" s="27">
        <f>C9*'Assumptions &amp; Results'!D101</f>
        <v>0</v>
      </c>
      <c r="D28" s="27">
        <f>D9*'Assumptions &amp; Results'!E101</f>
        <v>0</v>
      </c>
      <c r="E28" s="27">
        <f>E9*'Assumptions &amp; Results'!F101</f>
        <v>0</v>
      </c>
      <c r="F28" s="27">
        <f>F9*'Assumptions &amp; Results'!G101</f>
        <v>0</v>
      </c>
      <c r="G28" s="27">
        <f>G9*'Assumptions &amp; Results'!H101</f>
        <v>0.48180000000000001</v>
      </c>
      <c r="H28" s="27">
        <f>H9*'Assumptions &amp; Results'!I101</f>
        <v>0.96360000000000001</v>
      </c>
      <c r="I28" s="27">
        <f>I9*'Assumptions &amp; Results'!J101</f>
        <v>0.96360000000000001</v>
      </c>
      <c r="J28" s="27">
        <f>J9*'Assumptions &amp; Results'!K101</f>
        <v>0.96360000000000001</v>
      </c>
      <c r="K28" s="27">
        <f>K9*'Assumptions &amp; Results'!L101</f>
        <v>0.96360000000000001</v>
      </c>
      <c r="L28" s="27">
        <f>L9*'Assumptions &amp; Results'!M101</f>
        <v>0.96360000000000001</v>
      </c>
      <c r="M28" s="27">
        <f>M9*'Assumptions &amp; Results'!N101</f>
        <v>0.96360000000000001</v>
      </c>
      <c r="N28" s="27">
        <f>N9*'Assumptions &amp; Results'!O101</f>
        <v>0.96360000000000001</v>
      </c>
      <c r="O28" s="27">
        <f>O9*'Assumptions &amp; Results'!P101</f>
        <v>0.96360000000000001</v>
      </c>
      <c r="P28" s="27">
        <f>P9*'Assumptions &amp; Results'!Q101</f>
        <v>0.96360000000000001</v>
      </c>
      <c r="Q28" s="27">
        <f>Q9*'Assumptions &amp; Results'!R101</f>
        <v>0.96360000000000001</v>
      </c>
      <c r="R28" s="27">
        <f>R9*'Assumptions &amp; Results'!S101</f>
        <v>0.96360000000000001</v>
      </c>
      <c r="S28" s="27">
        <f>S9*'Assumptions &amp; Results'!T101</f>
        <v>0.96360000000000001</v>
      </c>
      <c r="T28" s="27">
        <f>T9*'Assumptions &amp; Results'!U101</f>
        <v>0.96360000000000001</v>
      </c>
      <c r="U28" s="27">
        <f>U9*'Assumptions &amp; Results'!V101</f>
        <v>0.96360000000000001</v>
      </c>
      <c r="V28" s="27">
        <f>V9*'Assumptions &amp; Results'!W101</f>
        <v>0.96360000000000001</v>
      </c>
      <c r="W28" s="27">
        <f>W9*'Assumptions &amp; Results'!X101</f>
        <v>0.96360000000000001</v>
      </c>
      <c r="X28" s="27">
        <f>X9*'Assumptions &amp; Results'!Y101</f>
        <v>0.96360000000000001</v>
      </c>
      <c r="Y28" s="27">
        <f>Y9*'Assumptions &amp; Results'!Z101</f>
        <v>0.96360000000000001</v>
      </c>
      <c r="Z28" s="27">
        <f>Z9*'Assumptions &amp; Results'!AA101</f>
        <v>0.96360000000000001</v>
      </c>
      <c r="AA28" s="27">
        <f>AA9*'Assumptions &amp; Results'!AB101</f>
        <v>0.96360000000000001</v>
      </c>
      <c r="AB28" s="27">
        <f>AB9*'Assumptions &amp; Results'!AC101</f>
        <v>0.96360000000000001</v>
      </c>
      <c r="AC28" s="27">
        <f>AC9*'Assumptions &amp; Results'!AD101</f>
        <v>0.96360000000000001</v>
      </c>
      <c r="AD28" s="27">
        <f>AD9*'Assumptions &amp; Results'!AE101</f>
        <v>0.96360000000000001</v>
      </c>
      <c r="AE28" s="27">
        <f>AE9*'Assumptions &amp; Results'!AF101</f>
        <v>0.96360000000000001</v>
      </c>
      <c r="AF28" s="27">
        <f>AF9*'Assumptions &amp; Results'!AG101</f>
        <v>0.96360000000000001</v>
      </c>
      <c r="AG28" s="27">
        <f>AG9*'Assumptions &amp; Results'!AH101</f>
        <v>0.96360000000000001</v>
      </c>
      <c r="AH28" s="27">
        <f>AH9*'Assumptions &amp; Results'!AI101</f>
        <v>0.96360000000000001</v>
      </c>
      <c r="AI28" s="27">
        <f>AI9*'Assumptions &amp; Results'!AJ101</f>
        <v>0.96360000000000001</v>
      </c>
      <c r="AJ28" s="126">
        <f t="shared" si="4"/>
        <v>27.462599999999991</v>
      </c>
    </row>
    <row r="29" spans="1:36" x14ac:dyDescent="0.2">
      <c r="A29" s="4" t="s">
        <v>294</v>
      </c>
      <c r="B29" s="51" t="s">
        <v>99</v>
      </c>
      <c r="C29" s="8">
        <f>SUM(C23:C28)</f>
        <v>0</v>
      </c>
      <c r="D29" s="8">
        <f t="shared" ref="D29:AI29" si="5">SUM(D23:D28)</f>
        <v>0</v>
      </c>
      <c r="E29" s="8">
        <f t="shared" si="5"/>
        <v>0</v>
      </c>
      <c r="F29" s="8">
        <f t="shared" si="5"/>
        <v>0</v>
      </c>
      <c r="G29" s="8">
        <f t="shared" si="5"/>
        <v>1496.7719250000002</v>
      </c>
      <c r="H29" s="8">
        <f t="shared" si="5"/>
        <v>2993.5438500000005</v>
      </c>
      <c r="I29" s="8">
        <f t="shared" si="5"/>
        <v>2993.5438500000005</v>
      </c>
      <c r="J29" s="8">
        <f t="shared" si="5"/>
        <v>2760.486650625</v>
      </c>
      <c r="K29" s="8">
        <f t="shared" si="5"/>
        <v>2993.5438500000005</v>
      </c>
      <c r="L29" s="8">
        <f t="shared" si="5"/>
        <v>2993.5438500000005</v>
      </c>
      <c r="M29" s="8">
        <f t="shared" si="5"/>
        <v>2993.5438500000005</v>
      </c>
      <c r="N29" s="8">
        <f t="shared" si="5"/>
        <v>2993.5438500000005</v>
      </c>
      <c r="O29" s="8">
        <f t="shared" si="5"/>
        <v>2760.486650625</v>
      </c>
      <c r="P29" s="8">
        <f t="shared" si="5"/>
        <v>2993.5438500000005</v>
      </c>
      <c r="Q29" s="8">
        <f t="shared" si="5"/>
        <v>2993.5438500000005</v>
      </c>
      <c r="R29" s="8">
        <f t="shared" si="5"/>
        <v>2993.5438500000005</v>
      </c>
      <c r="S29" s="8">
        <f t="shared" si="5"/>
        <v>2993.5438500000005</v>
      </c>
      <c r="T29" s="8">
        <f t="shared" si="5"/>
        <v>2760.486650625</v>
      </c>
      <c r="U29" s="8">
        <f t="shared" si="5"/>
        <v>2993.5438500000005</v>
      </c>
      <c r="V29" s="8">
        <f t="shared" si="5"/>
        <v>2993.5438500000005</v>
      </c>
      <c r="W29" s="8">
        <f t="shared" si="5"/>
        <v>2993.5438500000005</v>
      </c>
      <c r="X29" s="8">
        <f t="shared" si="5"/>
        <v>2993.5438500000005</v>
      </c>
      <c r="Y29" s="8">
        <f t="shared" si="5"/>
        <v>2760.486650625</v>
      </c>
      <c r="Z29" s="8">
        <f t="shared" si="5"/>
        <v>2993.5438500000005</v>
      </c>
      <c r="AA29" s="8">
        <f t="shared" si="5"/>
        <v>2993.5438500000005</v>
      </c>
      <c r="AB29" s="8">
        <f t="shared" si="5"/>
        <v>2993.5438500000005</v>
      </c>
      <c r="AC29" s="8">
        <f t="shared" si="5"/>
        <v>2993.5438500000005</v>
      </c>
      <c r="AD29" s="8">
        <f t="shared" si="5"/>
        <v>2760.486650625</v>
      </c>
      <c r="AE29" s="8">
        <f t="shared" si="5"/>
        <v>2993.5438500000005</v>
      </c>
      <c r="AF29" s="8">
        <f t="shared" si="5"/>
        <v>2993.5438500000005</v>
      </c>
      <c r="AG29" s="8">
        <f t="shared" si="5"/>
        <v>3293.5438500000005</v>
      </c>
      <c r="AH29" s="8">
        <f t="shared" si="5"/>
        <v>3293.5438500000005</v>
      </c>
      <c r="AI29" s="8">
        <f t="shared" si="5"/>
        <v>3593.5438500000005</v>
      </c>
      <c r="AJ29" s="125">
        <f t="shared" si="4"/>
        <v>85350.713728125033</v>
      </c>
    </row>
    <row r="30" spans="1:36" x14ac:dyDescent="0.2">
      <c r="A30" s="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125"/>
    </row>
    <row r="31" spans="1:36" s="69" customFormat="1" x14ac:dyDescent="0.2">
      <c r="A31" s="98" t="s">
        <v>295</v>
      </c>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131"/>
    </row>
    <row r="32" spans="1:36" x14ac:dyDescent="0.2">
      <c r="A32" s="2" t="s">
        <v>247</v>
      </c>
      <c r="B32" t="s">
        <v>99</v>
      </c>
      <c r="C32" s="8">
        <f>'Field 2 Fiscal'!C26</f>
        <v>0</v>
      </c>
      <c r="D32" s="8">
        <f>'Field 2 Fiscal'!D26</f>
        <v>0</v>
      </c>
      <c r="E32" s="8">
        <f>'Field 2 Fiscal'!E26</f>
        <v>0</v>
      </c>
      <c r="F32" s="8">
        <f>'Field 2 Fiscal'!F26</f>
        <v>0</v>
      </c>
      <c r="G32" s="8">
        <f>'Field 2 Fiscal'!G26</f>
        <v>70.169653125000011</v>
      </c>
      <c r="H32" s="8">
        <f>'Field 2 Fiscal'!H26</f>
        <v>140.33930625000002</v>
      </c>
      <c r="I32" s="8">
        <f>'Field 2 Fiscal'!I26</f>
        <v>140.33930625000002</v>
      </c>
      <c r="J32" s="8">
        <f>'Field 2 Fiscal'!J26</f>
        <v>133.36750968749999</v>
      </c>
      <c r="K32" s="8">
        <f>'Field 2 Fiscal'!K26</f>
        <v>140.33930625000002</v>
      </c>
      <c r="L32" s="8">
        <f>'Field 2 Fiscal'!L26</f>
        <v>140.33930625000002</v>
      </c>
      <c r="M32" s="8">
        <f>'Field 2 Fiscal'!M26</f>
        <v>140.33930625000002</v>
      </c>
      <c r="N32" s="8">
        <f>'Field 2 Fiscal'!N26</f>
        <v>140.33930625000002</v>
      </c>
      <c r="O32" s="8">
        <f>'Field 2 Fiscal'!O26</f>
        <v>133.36750968749999</v>
      </c>
      <c r="P32" s="8">
        <f>'Field 2 Fiscal'!P26</f>
        <v>140.33930625000002</v>
      </c>
      <c r="Q32" s="8">
        <f>'Field 2 Fiscal'!Q26</f>
        <v>140.33930625000002</v>
      </c>
      <c r="R32" s="8">
        <f>'Field 2 Fiscal'!R26</f>
        <v>140.33930625000002</v>
      </c>
      <c r="S32" s="8">
        <f>'Field 2 Fiscal'!S26</f>
        <v>140.33930625000002</v>
      </c>
      <c r="T32" s="8">
        <f>'Field 2 Fiscal'!T26</f>
        <v>133.36750968749999</v>
      </c>
      <c r="U32" s="8">
        <f>'Field 2 Fiscal'!U26</f>
        <v>140.33930625000002</v>
      </c>
      <c r="V32" s="8">
        <f>'Field 2 Fiscal'!V26</f>
        <v>140.33930625000002</v>
      </c>
      <c r="W32" s="8">
        <f>'Field 2 Fiscal'!W26</f>
        <v>140.33930625000002</v>
      </c>
      <c r="X32" s="8">
        <f>'Field 2 Fiscal'!X26</f>
        <v>140.33930625000002</v>
      </c>
      <c r="Y32" s="8">
        <f>'Field 2 Fiscal'!Y26</f>
        <v>133.36750968749999</v>
      </c>
      <c r="Z32" s="8">
        <f>'Field 2 Fiscal'!Z26</f>
        <v>140.33930625000002</v>
      </c>
      <c r="AA32" s="8">
        <f>'Field 2 Fiscal'!AA26</f>
        <v>140.33930625000002</v>
      </c>
      <c r="AB32" s="8">
        <f>'Field 2 Fiscal'!AB26</f>
        <v>140.33930625000002</v>
      </c>
      <c r="AC32" s="8">
        <f>'Field 2 Fiscal'!AC26</f>
        <v>140.33930625000002</v>
      </c>
      <c r="AD32" s="8">
        <f>'Field 2 Fiscal'!AD26</f>
        <v>133.36750968749999</v>
      </c>
      <c r="AE32" s="8">
        <f>'Field 2 Fiscal'!AE26</f>
        <v>140.33930625000002</v>
      </c>
      <c r="AF32" s="8">
        <f>'Field 2 Fiscal'!AF26</f>
        <v>140.33930625000002</v>
      </c>
      <c r="AG32" s="8">
        <f>'Field 2 Fiscal'!AG26</f>
        <v>140.33930625000002</v>
      </c>
      <c r="AH32" s="8">
        <f>'Field 2 Fiscal'!AH26</f>
        <v>140.33930625000002</v>
      </c>
      <c r="AI32" s="8">
        <f>'Field 2 Fiscal'!AI26</f>
        <v>140.33930625000002</v>
      </c>
      <c r="AJ32" s="125">
        <f>SUM(C32:AI32)</f>
        <v>3964.8112453124991</v>
      </c>
    </row>
    <row r="33" spans="1:36" x14ac:dyDescent="0.2">
      <c r="A33" t="s">
        <v>263</v>
      </c>
      <c r="B33" t="s">
        <v>99</v>
      </c>
      <c r="C33" s="8">
        <f>'Field 2 Fiscal'!C45</f>
        <v>0</v>
      </c>
      <c r="D33" s="8">
        <f>'Field 2 Fiscal'!D45</f>
        <v>0</v>
      </c>
      <c r="E33" s="8">
        <f>'Field 2 Fiscal'!E45</f>
        <v>0</v>
      </c>
      <c r="F33" s="8">
        <f>'Field 2 Fiscal'!F45</f>
        <v>0</v>
      </c>
      <c r="G33" s="8">
        <f>'Field 2 Fiscal'!G45</f>
        <v>40.033815937500016</v>
      </c>
      <c r="H33" s="8">
        <f>'Field 2 Fiscal'!H45</f>
        <v>80.067631875000032</v>
      </c>
      <c r="I33" s="8">
        <f>'Field 2 Fiscal'!I45</f>
        <v>80.067631875000032</v>
      </c>
      <c r="J33" s="8">
        <f>'Field 2 Fiscal'!J45</f>
        <v>80.090871196875</v>
      </c>
      <c r="K33" s="8">
        <f>'Field 2 Fiscal'!K45</f>
        <v>160.13526375000006</v>
      </c>
      <c r="L33" s="8">
        <f>'Field 2 Fiscal'!L45</f>
        <v>160.13526375000006</v>
      </c>
      <c r="M33" s="8">
        <f>'Field 2 Fiscal'!M45</f>
        <v>160.13526375000006</v>
      </c>
      <c r="N33" s="8">
        <f>'Field 2 Fiscal'!N45</f>
        <v>227.85664060625041</v>
      </c>
      <c r="O33" s="8">
        <f>'Field 2 Fiscal'!O45</f>
        <v>505.52910168749992</v>
      </c>
      <c r="P33" s="8">
        <f>'Field 2 Fiscal'!P45</f>
        <v>505.32990750000022</v>
      </c>
      <c r="Q33" s="8">
        <f>'Field 2 Fiscal'!Q45</f>
        <v>505.32990750000022</v>
      </c>
      <c r="R33" s="8">
        <f>'Field 2 Fiscal'!R45</f>
        <v>505.32990750000022</v>
      </c>
      <c r="S33" s="8">
        <f>'Field 2 Fiscal'!S45</f>
        <v>842.21651250000036</v>
      </c>
      <c r="T33" s="8">
        <f>'Field 2 Fiscal'!T45</f>
        <v>842.54850281249992</v>
      </c>
      <c r="U33" s="8">
        <f>'Field 2 Fiscal'!U45</f>
        <v>842.21651250000036</v>
      </c>
      <c r="V33" s="8">
        <f>'Field 2 Fiscal'!V45</f>
        <v>842.21651250000036</v>
      </c>
      <c r="W33" s="8">
        <f>'Field 2 Fiscal'!W45</f>
        <v>842.21651250000036</v>
      </c>
      <c r="X33" s="8">
        <f>'Field 2 Fiscal'!X45</f>
        <v>842.21651250000036</v>
      </c>
      <c r="Y33" s="8">
        <f>'Field 2 Fiscal'!Y45</f>
        <v>1011.0582033749998</v>
      </c>
      <c r="Z33" s="8">
        <f>'Field 2 Fiscal'!Z45</f>
        <v>1010.6598150000004</v>
      </c>
      <c r="AA33" s="8">
        <f>'Field 2 Fiscal'!AA45</f>
        <v>1010.6598150000004</v>
      </c>
      <c r="AB33" s="8">
        <f>'Field 2 Fiscal'!AB45</f>
        <v>1010.6598150000004</v>
      </c>
      <c r="AC33" s="8">
        <f>'Field 2 Fiscal'!AC45</f>
        <v>1010.6598150000004</v>
      </c>
      <c r="AD33" s="8">
        <f>'Field 2 Fiscal'!AD45</f>
        <v>1011.0582033749998</v>
      </c>
      <c r="AE33" s="8">
        <f>'Field 2 Fiscal'!AE45</f>
        <v>1010.6598150000004</v>
      </c>
      <c r="AF33" s="8">
        <f>'Field 2 Fiscal'!AF45</f>
        <v>1010.6598150000004</v>
      </c>
      <c r="AG33" s="8">
        <f>'Field 2 Fiscal'!AG45</f>
        <v>830.65981500000044</v>
      </c>
      <c r="AH33" s="8">
        <f>'Field 2 Fiscal'!AH45</f>
        <v>830.65981500000044</v>
      </c>
      <c r="AI33" s="8">
        <f>'Field 2 Fiscal'!AI45</f>
        <v>650.65981500000044</v>
      </c>
      <c r="AJ33" s="125">
        <f>SUM(C33:AI33)</f>
        <v>18461.727013990629</v>
      </c>
    </row>
    <row r="34" spans="1:36" ht="18" x14ac:dyDescent="0.35">
      <c r="A34" t="s">
        <v>268</v>
      </c>
      <c r="B34" t="s">
        <v>99</v>
      </c>
      <c r="C34" s="27">
        <f>'Field 2 Fiscal'!C51</f>
        <v>0</v>
      </c>
      <c r="D34" s="27">
        <f>'Field 2 Fiscal'!D51</f>
        <v>0</v>
      </c>
      <c r="E34" s="27">
        <f>'Field 2 Fiscal'!E51</f>
        <v>0</v>
      </c>
      <c r="F34" s="27">
        <f>'Field 2 Fiscal'!F51</f>
        <v>0</v>
      </c>
      <c r="G34" s="27">
        <f>'Field 2 Fiscal'!G51</f>
        <v>0</v>
      </c>
      <c r="H34" s="27">
        <f>'Field 2 Fiscal'!H51</f>
        <v>0</v>
      </c>
      <c r="I34" s="27">
        <f>'Field 2 Fiscal'!I51</f>
        <v>0</v>
      </c>
      <c r="J34" s="27">
        <f>'Field 2 Fiscal'!J51</f>
        <v>0</v>
      </c>
      <c r="K34" s="27">
        <f>'Field 2 Fiscal'!K51</f>
        <v>72.211935017000656</v>
      </c>
      <c r="L34" s="27">
        <f>'Field 2 Fiscal'!L51</f>
        <v>442.86670560000027</v>
      </c>
      <c r="M34" s="27">
        <f>'Field 2 Fiscal'!M51</f>
        <v>442.86670560000027</v>
      </c>
      <c r="N34" s="27">
        <f>'Field 2 Fiscal'!N51</f>
        <v>421.19586500600008</v>
      </c>
      <c r="O34" s="27">
        <f>'Field 2 Fiscal'!O51</f>
        <v>334.78412616000003</v>
      </c>
      <c r="P34" s="27">
        <f>'Field 2 Fiscal'!P51</f>
        <v>332.40441960000021</v>
      </c>
      <c r="Q34" s="27">
        <f>'Field 2 Fiscal'!Q51</f>
        <v>332.40441960000021</v>
      </c>
      <c r="R34" s="27">
        <f>'Field 2 Fiscal'!R51</f>
        <v>332.40441960000021</v>
      </c>
      <c r="S34" s="27">
        <f>'Field 2 Fiscal'!S51</f>
        <v>224.60070600000012</v>
      </c>
      <c r="T34" s="27">
        <f>'Field 2 Fiscal'!T51</f>
        <v>226.93791780000001</v>
      </c>
      <c r="U34" s="27">
        <f>'Field 2 Fiscal'!U51</f>
        <v>224.60070600000012</v>
      </c>
      <c r="V34" s="27">
        <f>'Field 2 Fiscal'!V51</f>
        <v>224.60070600000012</v>
      </c>
      <c r="W34" s="27">
        <f>'Field 2 Fiscal'!W51</f>
        <v>224.60070600000012</v>
      </c>
      <c r="X34" s="27">
        <f>'Field 2 Fiscal'!X51</f>
        <v>224.60070600000012</v>
      </c>
      <c r="Y34" s="27">
        <f>'Field 2 Fiscal'!Y51</f>
        <v>173.01481362000007</v>
      </c>
      <c r="Z34" s="27">
        <f>'Field 2 Fiscal'!Z51</f>
        <v>170.69884920000007</v>
      </c>
      <c r="AA34" s="27">
        <f>'Field 2 Fiscal'!AA51</f>
        <v>170.69884920000007</v>
      </c>
      <c r="AB34" s="27">
        <f>'Field 2 Fiscal'!AB51</f>
        <v>170.69884920000007</v>
      </c>
      <c r="AC34" s="27">
        <f>'Field 2 Fiscal'!AC51</f>
        <v>170.69884920000007</v>
      </c>
      <c r="AD34" s="27">
        <f>'Field 2 Fiscal'!AD51</f>
        <v>173.01481362000007</v>
      </c>
      <c r="AE34" s="27">
        <f>'Field 2 Fiscal'!AE51</f>
        <v>170.69884920000007</v>
      </c>
      <c r="AF34" s="27">
        <f>'Field 2 Fiscal'!AF51</f>
        <v>170.69884920000007</v>
      </c>
      <c r="AG34" s="27">
        <f>'Field 2 Fiscal'!AG51</f>
        <v>132.29884920000009</v>
      </c>
      <c r="AH34" s="27">
        <f>'Field 2 Fiscal'!AH51</f>
        <v>132.29884920000009</v>
      </c>
      <c r="AI34" s="27">
        <f>'Field 2 Fiscal'!AI51</f>
        <v>93.898849200000072</v>
      </c>
      <c r="AJ34" s="126">
        <f>SUM(C34:AI34)</f>
        <v>5789.7993140230046</v>
      </c>
    </row>
    <row r="35" spans="1:36" x14ac:dyDescent="0.2">
      <c r="A35" s="4" t="s">
        <v>297</v>
      </c>
      <c r="B35" t="s">
        <v>99</v>
      </c>
      <c r="C35" s="8">
        <f>SUM(C32:C34)</f>
        <v>0</v>
      </c>
      <c r="D35" s="8">
        <f t="shared" ref="D35:AI35" si="6">SUM(D32:D34)</f>
        <v>0</v>
      </c>
      <c r="E35" s="8">
        <f t="shared" si="6"/>
        <v>0</v>
      </c>
      <c r="F35" s="8">
        <f t="shared" si="6"/>
        <v>0</v>
      </c>
      <c r="G35" s="8">
        <f t="shared" si="6"/>
        <v>110.20346906250003</v>
      </c>
      <c r="H35" s="8">
        <f t="shared" si="6"/>
        <v>220.40693812500007</v>
      </c>
      <c r="I35" s="8">
        <f t="shared" si="6"/>
        <v>220.40693812500007</v>
      </c>
      <c r="J35" s="8">
        <f t="shared" si="6"/>
        <v>213.458380884375</v>
      </c>
      <c r="K35" s="8">
        <f t="shared" si="6"/>
        <v>372.68650501700074</v>
      </c>
      <c r="L35" s="8">
        <f t="shared" si="6"/>
        <v>743.34127560000036</v>
      </c>
      <c r="M35" s="8">
        <f t="shared" si="6"/>
        <v>743.34127560000036</v>
      </c>
      <c r="N35" s="8">
        <f t="shared" si="6"/>
        <v>789.39181186225051</v>
      </c>
      <c r="O35" s="8">
        <f t="shared" si="6"/>
        <v>973.68073753499993</v>
      </c>
      <c r="P35" s="8">
        <f t="shared" si="6"/>
        <v>978.07363335000048</v>
      </c>
      <c r="Q35" s="8">
        <f t="shared" si="6"/>
        <v>978.07363335000048</v>
      </c>
      <c r="R35" s="8">
        <f t="shared" si="6"/>
        <v>978.07363335000048</v>
      </c>
      <c r="S35" s="8">
        <f t="shared" si="6"/>
        <v>1207.1565247500005</v>
      </c>
      <c r="T35" s="8">
        <f t="shared" si="6"/>
        <v>1202.8539302999998</v>
      </c>
      <c r="U35" s="8">
        <f t="shared" si="6"/>
        <v>1207.1565247500005</v>
      </c>
      <c r="V35" s="8">
        <f t="shared" si="6"/>
        <v>1207.1565247500005</v>
      </c>
      <c r="W35" s="8">
        <f t="shared" si="6"/>
        <v>1207.1565247500005</v>
      </c>
      <c r="X35" s="8">
        <f t="shared" si="6"/>
        <v>1207.1565247500005</v>
      </c>
      <c r="Y35" s="8">
        <f t="shared" si="6"/>
        <v>1317.4405266824999</v>
      </c>
      <c r="Z35" s="8">
        <f t="shared" si="6"/>
        <v>1321.6979704500004</v>
      </c>
      <c r="AA35" s="8">
        <f t="shared" si="6"/>
        <v>1321.6979704500004</v>
      </c>
      <c r="AB35" s="8">
        <f t="shared" si="6"/>
        <v>1321.6979704500004</v>
      </c>
      <c r="AC35" s="8">
        <f t="shared" si="6"/>
        <v>1321.6979704500004</v>
      </c>
      <c r="AD35" s="8">
        <f t="shared" si="6"/>
        <v>1317.4405266824999</v>
      </c>
      <c r="AE35" s="8">
        <f t="shared" si="6"/>
        <v>1321.6979704500004</v>
      </c>
      <c r="AF35" s="8">
        <f t="shared" si="6"/>
        <v>1321.6979704500004</v>
      </c>
      <c r="AG35" s="8">
        <f t="shared" si="6"/>
        <v>1103.2979704500005</v>
      </c>
      <c r="AH35" s="8">
        <f t="shared" si="6"/>
        <v>1103.2979704500005</v>
      </c>
      <c r="AI35" s="8">
        <f t="shared" si="6"/>
        <v>884.89797045000057</v>
      </c>
      <c r="AJ35" s="125">
        <f>SUM(C35:AI35)</f>
        <v>28216.337573326135</v>
      </c>
    </row>
    <row r="36" spans="1:36" x14ac:dyDescent="0.2">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125"/>
    </row>
    <row r="37" spans="1:36" s="69" customFormat="1" x14ac:dyDescent="0.2">
      <c r="A37" s="74" t="s">
        <v>298</v>
      </c>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131"/>
    </row>
    <row r="38" spans="1:36" ht="15.95" thickBot="1" x14ac:dyDescent="0.25">
      <c r="A38" t="s">
        <v>299</v>
      </c>
      <c r="B38" s="51" t="s">
        <v>99</v>
      </c>
      <c r="C38" s="8">
        <f t="shared" ref="C38:AI38" si="7">C20-C4-C29-C35</f>
        <v>-200</v>
      </c>
      <c r="D38" s="8">
        <f t="shared" si="7"/>
        <v>-420</v>
      </c>
      <c r="E38" s="8">
        <f t="shared" si="7"/>
        <v>-850</v>
      </c>
      <c r="F38" s="8">
        <f t="shared" si="7"/>
        <v>-1900</v>
      </c>
      <c r="G38" s="8">
        <f t="shared" si="7"/>
        <v>-917.9869565624997</v>
      </c>
      <c r="H38" s="8">
        <f t="shared" si="7"/>
        <v>1194.0260868750006</v>
      </c>
      <c r="I38" s="8">
        <f t="shared" si="7"/>
        <v>1464.0260868750006</v>
      </c>
      <c r="J38" s="8">
        <f t="shared" si="7"/>
        <v>1471.6386247406249</v>
      </c>
      <c r="K38" s="8">
        <f t="shared" si="7"/>
        <v>1311.7465199829999</v>
      </c>
      <c r="L38" s="8">
        <f t="shared" si="7"/>
        <v>941.09174940000037</v>
      </c>
      <c r="M38" s="8">
        <f t="shared" si="7"/>
        <v>941.09174940000037</v>
      </c>
      <c r="N38" s="8">
        <f t="shared" si="7"/>
        <v>895.04121313775022</v>
      </c>
      <c r="O38" s="8">
        <f t="shared" si="7"/>
        <v>711.4162680899999</v>
      </c>
      <c r="P38" s="8">
        <f t="shared" si="7"/>
        <v>706.35939165000025</v>
      </c>
      <c r="Q38" s="8">
        <f t="shared" si="7"/>
        <v>706.35939165000025</v>
      </c>
      <c r="R38" s="8">
        <f t="shared" si="7"/>
        <v>706.35939165000025</v>
      </c>
      <c r="S38" s="8">
        <f t="shared" si="7"/>
        <v>477.27650025000025</v>
      </c>
      <c r="T38" s="8">
        <f t="shared" si="7"/>
        <v>482.24307532500006</v>
      </c>
      <c r="U38" s="8">
        <f t="shared" si="7"/>
        <v>477.27650025000025</v>
      </c>
      <c r="V38" s="8">
        <f t="shared" si="7"/>
        <v>477.27650025000025</v>
      </c>
      <c r="W38" s="8">
        <f t="shared" si="7"/>
        <v>477.27650025000025</v>
      </c>
      <c r="X38" s="8">
        <f t="shared" si="7"/>
        <v>477.27650025000025</v>
      </c>
      <c r="Y38" s="8">
        <f t="shared" si="7"/>
        <v>367.65647894249992</v>
      </c>
      <c r="Z38" s="8">
        <f t="shared" si="7"/>
        <v>362.73505455000031</v>
      </c>
      <c r="AA38" s="8">
        <f t="shared" si="7"/>
        <v>362.73505455000031</v>
      </c>
      <c r="AB38" s="8">
        <f t="shared" si="7"/>
        <v>362.73505455000031</v>
      </c>
      <c r="AC38" s="8">
        <f t="shared" si="7"/>
        <v>362.73505455000031</v>
      </c>
      <c r="AD38" s="8">
        <f t="shared" si="7"/>
        <v>367.65647894249992</v>
      </c>
      <c r="AE38" s="8">
        <f t="shared" si="7"/>
        <v>362.73505455000031</v>
      </c>
      <c r="AF38" s="8">
        <f t="shared" si="7"/>
        <v>362.73505455000031</v>
      </c>
      <c r="AG38" s="8">
        <f t="shared" si="7"/>
        <v>281.13505455000018</v>
      </c>
      <c r="AH38" s="8">
        <f t="shared" si="7"/>
        <v>281.13505455000018</v>
      </c>
      <c r="AI38" s="8">
        <f t="shared" si="7"/>
        <v>199.53505455000015</v>
      </c>
      <c r="AJ38" s="125">
        <f>SUM(C38:AI38)</f>
        <v>13303.323542298887</v>
      </c>
    </row>
    <row r="39" spans="1:36" ht="15.95" thickBot="1" x14ac:dyDescent="0.25">
      <c r="A39" t="s">
        <v>300</v>
      </c>
      <c r="B39" s="7">
        <f>'Assumptions &amp; Results'!C154</f>
        <v>0.1</v>
      </c>
      <c r="C39" s="367">
        <f>NPV(B39,C38:AI38)</f>
        <v>2054.0542502466083</v>
      </c>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125"/>
    </row>
    <row r="40" spans="1:36" ht="15.95" thickBot="1" x14ac:dyDescent="0.25">
      <c r="A40" t="s">
        <v>301</v>
      </c>
      <c r="B40" s="7"/>
      <c r="C40" s="369">
        <f>IRR(C38:AI38)</f>
        <v>0.18780377659573078</v>
      </c>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125"/>
    </row>
    <row r="41" spans="1:36" x14ac:dyDescent="0.2">
      <c r="B41" s="7"/>
      <c r="C41" s="17"/>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125"/>
    </row>
    <row r="42" spans="1:36" s="69" customFormat="1" x14ac:dyDescent="0.25">
      <c r="A42" s="74" t="s">
        <v>302</v>
      </c>
      <c r="AJ42" s="132"/>
    </row>
    <row r="43" spans="1:36" x14ac:dyDescent="0.25">
      <c r="A43" t="s">
        <v>303</v>
      </c>
      <c r="B43" t="s">
        <v>99</v>
      </c>
      <c r="C43" s="10">
        <f t="shared" ref="C43:AI43" si="8">C20-C4-C29</f>
        <v>-200</v>
      </c>
      <c r="D43" s="10">
        <f t="shared" si="8"/>
        <v>-420</v>
      </c>
      <c r="E43" s="10">
        <f t="shared" si="8"/>
        <v>-850</v>
      </c>
      <c r="F43" s="10">
        <f t="shared" si="8"/>
        <v>-1900</v>
      </c>
      <c r="G43" s="10">
        <f t="shared" si="8"/>
        <v>-807.78348749999964</v>
      </c>
      <c r="H43" s="10">
        <f t="shared" si="8"/>
        <v>1414.4330250000007</v>
      </c>
      <c r="I43" s="10">
        <f t="shared" si="8"/>
        <v>1684.4330250000007</v>
      </c>
      <c r="J43" s="10">
        <f t="shared" si="8"/>
        <v>1685.0970056249998</v>
      </c>
      <c r="K43" s="10">
        <f t="shared" si="8"/>
        <v>1684.4330250000007</v>
      </c>
      <c r="L43" s="10">
        <f t="shared" si="8"/>
        <v>1684.4330250000007</v>
      </c>
      <c r="M43" s="10">
        <f t="shared" si="8"/>
        <v>1684.4330250000007</v>
      </c>
      <c r="N43" s="10">
        <f t="shared" si="8"/>
        <v>1684.4330250000007</v>
      </c>
      <c r="O43" s="10">
        <f t="shared" si="8"/>
        <v>1685.0970056249998</v>
      </c>
      <c r="P43" s="10">
        <f t="shared" si="8"/>
        <v>1684.4330250000007</v>
      </c>
      <c r="Q43" s="10">
        <f t="shared" si="8"/>
        <v>1684.4330250000007</v>
      </c>
      <c r="R43" s="10">
        <f t="shared" si="8"/>
        <v>1684.4330250000007</v>
      </c>
      <c r="S43" s="10">
        <f t="shared" si="8"/>
        <v>1684.4330250000007</v>
      </c>
      <c r="T43" s="10">
        <f t="shared" si="8"/>
        <v>1685.0970056249998</v>
      </c>
      <c r="U43" s="10">
        <f t="shared" si="8"/>
        <v>1684.4330250000007</v>
      </c>
      <c r="V43" s="10">
        <f t="shared" si="8"/>
        <v>1684.4330250000007</v>
      </c>
      <c r="W43" s="10">
        <f t="shared" si="8"/>
        <v>1684.4330250000007</v>
      </c>
      <c r="X43" s="10">
        <f t="shared" si="8"/>
        <v>1684.4330250000007</v>
      </c>
      <c r="Y43" s="10">
        <f t="shared" si="8"/>
        <v>1685.0970056249998</v>
      </c>
      <c r="Z43" s="10">
        <f t="shared" si="8"/>
        <v>1684.4330250000007</v>
      </c>
      <c r="AA43" s="10">
        <f t="shared" si="8"/>
        <v>1684.4330250000007</v>
      </c>
      <c r="AB43" s="10">
        <f t="shared" si="8"/>
        <v>1684.4330250000007</v>
      </c>
      <c r="AC43" s="10">
        <f t="shared" si="8"/>
        <v>1684.4330250000007</v>
      </c>
      <c r="AD43" s="10">
        <f t="shared" si="8"/>
        <v>1685.0970056249998</v>
      </c>
      <c r="AE43" s="10">
        <f t="shared" si="8"/>
        <v>1684.4330250000007</v>
      </c>
      <c r="AF43" s="10">
        <f t="shared" si="8"/>
        <v>1684.4330250000007</v>
      </c>
      <c r="AG43" s="10">
        <f t="shared" si="8"/>
        <v>1384.4330250000007</v>
      </c>
      <c r="AH43" s="10">
        <f t="shared" si="8"/>
        <v>1384.4330250000007</v>
      </c>
      <c r="AI43" s="10">
        <f t="shared" si="8"/>
        <v>1084.4330250000007</v>
      </c>
      <c r="AJ43" s="125">
        <f>SUM(C43:AI43)</f>
        <v>41519.661115625015</v>
      </c>
    </row>
    <row r="44" spans="1:36" x14ac:dyDescent="0.25">
      <c r="A44" t="s">
        <v>304</v>
      </c>
      <c r="B44" t="s">
        <v>99</v>
      </c>
      <c r="C44" s="10">
        <f t="shared" ref="C44:AI44" si="9">C35</f>
        <v>0</v>
      </c>
      <c r="D44" s="10">
        <f t="shared" si="9"/>
        <v>0</v>
      </c>
      <c r="E44" s="10">
        <f t="shared" si="9"/>
        <v>0</v>
      </c>
      <c r="F44" s="10">
        <f t="shared" si="9"/>
        <v>0</v>
      </c>
      <c r="G44" s="10">
        <f t="shared" si="9"/>
        <v>110.20346906250003</v>
      </c>
      <c r="H44" s="10">
        <f t="shared" si="9"/>
        <v>220.40693812500007</v>
      </c>
      <c r="I44" s="10">
        <f t="shared" si="9"/>
        <v>220.40693812500007</v>
      </c>
      <c r="J44" s="10">
        <f t="shared" si="9"/>
        <v>213.458380884375</v>
      </c>
      <c r="K44" s="10">
        <f t="shared" si="9"/>
        <v>372.68650501700074</v>
      </c>
      <c r="L44" s="10">
        <f t="shared" si="9"/>
        <v>743.34127560000036</v>
      </c>
      <c r="M44" s="10">
        <f t="shared" si="9"/>
        <v>743.34127560000036</v>
      </c>
      <c r="N44" s="10">
        <f t="shared" si="9"/>
        <v>789.39181186225051</v>
      </c>
      <c r="O44" s="10">
        <f t="shared" si="9"/>
        <v>973.68073753499993</v>
      </c>
      <c r="P44" s="10">
        <f t="shared" si="9"/>
        <v>978.07363335000048</v>
      </c>
      <c r="Q44" s="10">
        <f t="shared" si="9"/>
        <v>978.07363335000048</v>
      </c>
      <c r="R44" s="10">
        <f t="shared" si="9"/>
        <v>978.07363335000048</v>
      </c>
      <c r="S44" s="10">
        <f t="shared" si="9"/>
        <v>1207.1565247500005</v>
      </c>
      <c r="T44" s="10">
        <f t="shared" si="9"/>
        <v>1202.8539302999998</v>
      </c>
      <c r="U44" s="10">
        <f t="shared" si="9"/>
        <v>1207.1565247500005</v>
      </c>
      <c r="V44" s="10">
        <f t="shared" si="9"/>
        <v>1207.1565247500005</v>
      </c>
      <c r="W44" s="10">
        <f t="shared" si="9"/>
        <v>1207.1565247500005</v>
      </c>
      <c r="X44" s="10">
        <f t="shared" si="9"/>
        <v>1207.1565247500005</v>
      </c>
      <c r="Y44" s="10">
        <f t="shared" si="9"/>
        <v>1317.4405266824999</v>
      </c>
      <c r="Z44" s="10">
        <f t="shared" si="9"/>
        <v>1321.6979704500004</v>
      </c>
      <c r="AA44" s="10">
        <f t="shared" si="9"/>
        <v>1321.6979704500004</v>
      </c>
      <c r="AB44" s="10">
        <f t="shared" si="9"/>
        <v>1321.6979704500004</v>
      </c>
      <c r="AC44" s="10">
        <f t="shared" si="9"/>
        <v>1321.6979704500004</v>
      </c>
      <c r="AD44" s="10">
        <f t="shared" si="9"/>
        <v>1317.4405266824999</v>
      </c>
      <c r="AE44" s="10">
        <f t="shared" si="9"/>
        <v>1321.6979704500004</v>
      </c>
      <c r="AF44" s="10">
        <f t="shared" si="9"/>
        <v>1321.6979704500004</v>
      </c>
      <c r="AG44" s="10">
        <f t="shared" si="9"/>
        <v>1103.2979704500005</v>
      </c>
      <c r="AH44" s="10">
        <f t="shared" si="9"/>
        <v>1103.2979704500005</v>
      </c>
      <c r="AI44" s="10">
        <f t="shared" si="9"/>
        <v>884.89797045000057</v>
      </c>
      <c r="AJ44" s="125">
        <f>SUM(C44:AI44)</f>
        <v>28216.337573326135</v>
      </c>
    </row>
    <row r="45" spans="1:36" ht="15.75" thickBot="1" x14ac:dyDescent="0.3">
      <c r="A45" t="s">
        <v>305</v>
      </c>
      <c r="B45" t="s">
        <v>69</v>
      </c>
      <c r="C45" s="7">
        <f>C44/C43</f>
        <v>0</v>
      </c>
      <c r="D45" s="7">
        <f t="shared" ref="D45:AJ45" si="10">D44/D43</f>
        <v>0</v>
      </c>
      <c r="E45" s="7">
        <f t="shared" si="10"/>
        <v>0</v>
      </c>
      <c r="F45" s="7">
        <f t="shared" si="10"/>
        <v>0</v>
      </c>
      <c r="G45" s="7">
        <f t="shared" si="10"/>
        <v>-0.13642698912250306</v>
      </c>
      <c r="H45" s="7">
        <f t="shared" si="10"/>
        <v>0.15582705877855188</v>
      </c>
      <c r="I45" s="7">
        <f t="shared" si="10"/>
        <v>0.13084933319031783</v>
      </c>
      <c r="J45" s="7">
        <f t="shared" si="10"/>
        <v>0.12667423903302447</v>
      </c>
      <c r="K45" s="7">
        <f t="shared" si="10"/>
        <v>0.22125338288056931</v>
      </c>
      <c r="L45" s="7">
        <f t="shared" si="10"/>
        <v>0.44130058278808681</v>
      </c>
      <c r="M45" s="7">
        <f t="shared" si="10"/>
        <v>0.44130058278808681</v>
      </c>
      <c r="N45" s="7">
        <f t="shared" si="10"/>
        <v>0.46863947699093</v>
      </c>
      <c r="O45" s="7">
        <f t="shared" si="10"/>
        <v>0.57781880466511382</v>
      </c>
      <c r="P45" s="7">
        <f t="shared" si="10"/>
        <v>0.58065451035074556</v>
      </c>
      <c r="Q45" s="7">
        <f t="shared" si="10"/>
        <v>0.58065451035074556</v>
      </c>
      <c r="R45" s="7">
        <f t="shared" si="10"/>
        <v>0.58065451035074556</v>
      </c>
      <c r="S45" s="7">
        <f t="shared" si="10"/>
        <v>0.71665451035074546</v>
      </c>
      <c r="T45" s="7">
        <f t="shared" si="10"/>
        <v>0.71381880466511372</v>
      </c>
      <c r="U45" s="7">
        <f t="shared" si="10"/>
        <v>0.71665451035074546</v>
      </c>
      <c r="V45" s="7">
        <f t="shared" si="10"/>
        <v>0.71665451035074546</v>
      </c>
      <c r="W45" s="7">
        <f t="shared" si="10"/>
        <v>0.71665451035074546</v>
      </c>
      <c r="X45" s="7">
        <f t="shared" si="10"/>
        <v>0.71665451035074546</v>
      </c>
      <c r="Y45" s="7">
        <f t="shared" si="10"/>
        <v>0.78181880466511378</v>
      </c>
      <c r="Z45" s="7">
        <f t="shared" si="10"/>
        <v>0.7846545103507454</v>
      </c>
      <c r="AA45" s="7">
        <f t="shared" si="10"/>
        <v>0.7846545103507454</v>
      </c>
      <c r="AB45" s="7">
        <f t="shared" si="10"/>
        <v>0.7846545103507454</v>
      </c>
      <c r="AC45" s="7">
        <f t="shared" si="10"/>
        <v>0.7846545103507454</v>
      </c>
      <c r="AD45" s="7">
        <f t="shared" si="10"/>
        <v>0.78181880466511378</v>
      </c>
      <c r="AE45" s="7">
        <f t="shared" si="10"/>
        <v>0.7846545103507454</v>
      </c>
      <c r="AF45" s="7">
        <f t="shared" si="10"/>
        <v>0.7846545103507454</v>
      </c>
      <c r="AG45" s="7">
        <f t="shared" si="10"/>
        <v>0.79693127116062545</v>
      </c>
      <c r="AH45" s="7">
        <f t="shared" si="10"/>
        <v>0.79693127116062545</v>
      </c>
      <c r="AI45" s="7">
        <f t="shared" si="10"/>
        <v>0.8160005736177206</v>
      </c>
      <c r="AJ45" s="133">
        <f t="shared" si="10"/>
        <v>0.67958978505986734</v>
      </c>
    </row>
    <row r="46" spans="1:36" ht="15.75" thickBot="1" x14ac:dyDescent="0.3">
      <c r="A46" t="s">
        <v>306</v>
      </c>
      <c r="C46" s="367">
        <f>AJ44</f>
        <v>28216.337573326135</v>
      </c>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133"/>
    </row>
    <row r="47" spans="1:36" ht="15.75" thickBot="1" x14ac:dyDescent="0.3">
      <c r="A47" t="s">
        <v>307</v>
      </c>
      <c r="B47" s="201">
        <f>'Assumptions &amp; Results'!C154</f>
        <v>0.1</v>
      </c>
      <c r="C47" s="367">
        <f>NPV(B47,C44:AI44)</f>
        <v>4505.5098029897563</v>
      </c>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133"/>
    </row>
    <row r="48" spans="1:36" ht="15.75" thickBot="1" x14ac:dyDescent="0.3">
      <c r="A48" t="s">
        <v>308</v>
      </c>
      <c r="C48" s="369">
        <f>AJ44/AJ43</f>
        <v>0.67958978505986734</v>
      </c>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133"/>
    </row>
    <row r="49" spans="1:36" ht="15.75" thickBot="1" x14ac:dyDescent="0.3">
      <c r="A49" t="s">
        <v>309</v>
      </c>
      <c r="C49" s="369">
        <f>(NPV('Assumptions &amp; Results'!C154,'Field 2 Investor'!C44:AI44))/(NPV('Assumptions &amp; Results'!C154,'Field 2 Investor'!C43:AI43))</f>
        <v>0.68686116431271416</v>
      </c>
    </row>
    <row r="50" spans="1:36" x14ac:dyDescent="0.25">
      <c r="B50" s="15"/>
      <c r="C50" s="7"/>
    </row>
    <row r="51" spans="1:36" x14ac:dyDescent="0.25">
      <c r="A51" s="18" t="s">
        <v>310</v>
      </c>
    </row>
    <row r="52" spans="1:36" x14ac:dyDescent="0.25">
      <c r="A52" s="18" t="s">
        <v>311</v>
      </c>
    </row>
    <row r="53" spans="1:36" x14ac:dyDescent="0.25">
      <c r="A53" s="18" t="s">
        <v>312</v>
      </c>
    </row>
    <row r="54" spans="1:36" x14ac:dyDescent="0.25">
      <c r="A54" s="18" t="s">
        <v>313</v>
      </c>
    </row>
    <row r="55" spans="1:36" x14ac:dyDescent="0.25">
      <c r="A55" s="18" t="s">
        <v>314</v>
      </c>
    </row>
    <row r="56" spans="1:36" x14ac:dyDescent="0.25">
      <c r="A56" s="18"/>
    </row>
    <row r="57" spans="1:36" x14ac:dyDescent="0.25">
      <c r="A57" s="320" t="s">
        <v>519</v>
      </c>
      <c r="B57" s="321"/>
      <c r="C57" s="321"/>
      <c r="D57" s="321"/>
      <c r="E57" s="321"/>
      <c r="F57" s="321"/>
      <c r="G57" s="321"/>
      <c r="H57" s="321"/>
      <c r="I57" s="321"/>
      <c r="J57" s="321"/>
      <c r="K57" s="321"/>
      <c r="L57" s="321"/>
      <c r="M57" s="321"/>
      <c r="N57" s="321"/>
      <c r="O57" s="321"/>
      <c r="P57" s="321"/>
      <c r="Q57" s="321"/>
      <c r="R57" s="321"/>
      <c r="S57" s="321"/>
      <c r="T57" s="321"/>
      <c r="U57" s="321"/>
      <c r="V57" s="321"/>
      <c r="W57" s="321"/>
      <c r="X57" s="321"/>
      <c r="Y57" s="321"/>
      <c r="Z57" s="321"/>
      <c r="AA57" s="321"/>
      <c r="AB57" s="321"/>
      <c r="AC57" s="321"/>
      <c r="AD57" s="321"/>
      <c r="AE57" s="321"/>
      <c r="AF57" s="321"/>
      <c r="AG57" s="321"/>
      <c r="AH57" s="321"/>
      <c r="AI57" s="321"/>
      <c r="AJ57" s="322"/>
    </row>
    <row r="58" spans="1:36" x14ac:dyDescent="0.25">
      <c r="A58" s="2" t="s">
        <v>456</v>
      </c>
      <c r="B58" t="s">
        <v>99</v>
      </c>
      <c r="C58" s="8">
        <f>IF('Assumptions &amp; Results'!$C$167=1,'Assumptions &amp; Results'!$C$166*(C4),0)</f>
        <v>20</v>
      </c>
      <c r="D58" s="8">
        <f>IF('Assumptions &amp; Results'!$C$167=1,'Assumptions &amp; Results'!$C$166*(D4),0)</f>
        <v>42</v>
      </c>
      <c r="E58" s="8">
        <f>IF('Assumptions &amp; Results'!$C$167=1,'Assumptions &amp; Results'!$C$166*(E4),0)</f>
        <v>85</v>
      </c>
      <c r="F58" s="8">
        <f>IF('Assumptions &amp; Results'!$C$167=1,'Assumptions &amp; Results'!$C$166*(F4),0)</f>
        <v>190</v>
      </c>
      <c r="G58" s="8">
        <f>IF('Assumptions &amp; Results'!$C$167=1,'Assumptions &amp; Results'!$C$166*(G4),0)</f>
        <v>165</v>
      </c>
      <c r="H58" s="8">
        <f>IF('Assumptions &amp; Results'!$C$167=1,'Assumptions &amp; Results'!$C$166*(H4),0)</f>
        <v>27</v>
      </c>
      <c r="I58" s="8">
        <f>IF('Assumptions &amp; Results'!$C$167=1,'Assumptions &amp; Results'!$C$166*(I4),0)</f>
        <v>0</v>
      </c>
      <c r="J58" s="8">
        <f>IF('Assumptions &amp; Results'!$C$167=1,'Assumptions &amp; Results'!$C$166*(J4),0)</f>
        <v>0</v>
      </c>
      <c r="K58" s="8">
        <f>IF('Assumptions &amp; Results'!$C$167=1,'Assumptions &amp; Results'!$C$166*(K4),0)</f>
        <v>0</v>
      </c>
      <c r="L58" s="8">
        <f>IF('Assumptions &amp; Results'!$C$167=1,'Assumptions &amp; Results'!$C$166*(L4),0)</f>
        <v>0</v>
      </c>
      <c r="M58" s="8">
        <f>IF('Assumptions &amp; Results'!$C$167=1,'Assumptions &amp; Results'!$C$166*(M4),0)</f>
        <v>0</v>
      </c>
      <c r="N58" s="8">
        <f>IF('Assumptions &amp; Results'!$C$167=1,'Assumptions &amp; Results'!$C$166*(N4),0)</f>
        <v>0</v>
      </c>
      <c r="O58" s="8">
        <f>IF('Assumptions &amp; Results'!$C$167=1,'Assumptions &amp; Results'!$C$166*(O4),0)</f>
        <v>0</v>
      </c>
      <c r="P58" s="8">
        <f>IF('Assumptions &amp; Results'!$C$167=1,'Assumptions &amp; Results'!$C$166*(P4),0)</f>
        <v>0</v>
      </c>
      <c r="Q58" s="8">
        <f>IF('Assumptions &amp; Results'!$C$167=1,'Assumptions &amp; Results'!$C$166*(Q4),0)</f>
        <v>0</v>
      </c>
      <c r="R58" s="8">
        <f>IF('Assumptions &amp; Results'!$C$167=1,'Assumptions &amp; Results'!$C$166*(R4),0)</f>
        <v>0</v>
      </c>
      <c r="S58" s="8">
        <f>IF('Assumptions &amp; Results'!$C$167=1,'Assumptions &amp; Results'!$C$166*(S4),0)</f>
        <v>0</v>
      </c>
      <c r="T58" s="8">
        <f>IF('Assumptions &amp; Results'!$C$167=1,'Assumptions &amp; Results'!$C$166*(T4),0)</f>
        <v>0</v>
      </c>
      <c r="U58" s="8">
        <f>IF('Assumptions &amp; Results'!$C$167=1,'Assumptions &amp; Results'!$C$166*(U4),0)</f>
        <v>0</v>
      </c>
      <c r="V58" s="8">
        <f>IF('Assumptions &amp; Results'!$C$167=1,'Assumptions &amp; Results'!$C$166*(V4),0)</f>
        <v>0</v>
      </c>
      <c r="W58" s="8">
        <f>IF('Assumptions &amp; Results'!$C$167=1,'Assumptions &amp; Results'!$C$166*(W4),0)</f>
        <v>0</v>
      </c>
      <c r="X58" s="8">
        <f>IF('Assumptions &amp; Results'!$C$167=1,'Assumptions &amp; Results'!$C$166*(X4),0)</f>
        <v>0</v>
      </c>
      <c r="Y58" s="8">
        <f>IF('Assumptions &amp; Results'!$C$167=1,'Assumptions &amp; Results'!$C$166*(Y4),0)</f>
        <v>0</v>
      </c>
      <c r="Z58" s="8">
        <f>IF('Assumptions &amp; Results'!$C$167=1,'Assumptions &amp; Results'!$C$166*(Z4),0)</f>
        <v>0</v>
      </c>
      <c r="AA58" s="8">
        <f>IF('Assumptions &amp; Results'!$C$167=1,'Assumptions &amp; Results'!$C$166*(AA4),0)</f>
        <v>0</v>
      </c>
      <c r="AB58" s="8">
        <f>IF('Assumptions &amp; Results'!$C$167=1,'Assumptions &amp; Results'!$C$166*(AB4),0)</f>
        <v>0</v>
      </c>
      <c r="AC58" s="8">
        <f>IF('Assumptions &amp; Results'!$C$167=1,'Assumptions &amp; Results'!$C$166*(AC4),0)</f>
        <v>0</v>
      </c>
      <c r="AD58" s="8">
        <f>IF('Assumptions &amp; Results'!$C$167=1,'Assumptions &amp; Results'!$C$166*(AD4),0)</f>
        <v>0</v>
      </c>
      <c r="AE58" s="8">
        <f>IF('Assumptions &amp; Results'!$C$167=1,'Assumptions &amp; Results'!$C$166*(AE4),0)</f>
        <v>0</v>
      </c>
      <c r="AF58" s="8">
        <f>IF('Assumptions &amp; Results'!$C$167=1,'Assumptions &amp; Results'!$C$166*(AF4),0)</f>
        <v>0</v>
      </c>
      <c r="AG58" s="8">
        <f>IF('Assumptions &amp; Results'!$C$167=1,'Assumptions &amp; Results'!$C$166*(AG4),0)</f>
        <v>0</v>
      </c>
      <c r="AH58" s="8">
        <f>IF('Assumptions &amp; Results'!$C$167=1,'Assumptions &amp; Results'!$C$166*(AH4),0)</f>
        <v>0</v>
      </c>
      <c r="AI58" s="8">
        <f>IF('Assumptions &amp; Results'!$C$167=1,'Assumptions &amp; Results'!$C$166*(AI4),0)</f>
        <v>0</v>
      </c>
      <c r="AJ58" s="125">
        <f>SUM(C58:AI58)</f>
        <v>529</v>
      </c>
    </row>
    <row r="59" spans="1:36" x14ac:dyDescent="0.2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125"/>
    </row>
    <row r="60" spans="1:36" x14ac:dyDescent="0.25">
      <c r="A60" t="s">
        <v>507</v>
      </c>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125"/>
    </row>
    <row r="61" spans="1:36" x14ac:dyDescent="0.25">
      <c r="A61" t="s">
        <v>508</v>
      </c>
      <c r="B61" t="s">
        <v>99</v>
      </c>
      <c r="C61" s="8">
        <f>'Field 2 Fiscal'!C22</f>
        <v>0</v>
      </c>
      <c r="D61" s="8">
        <f>'Field 2 Fiscal'!D22</f>
        <v>0</v>
      </c>
      <c r="E61" s="8">
        <f>'Field 2 Fiscal'!E22</f>
        <v>0</v>
      </c>
      <c r="F61" s="8">
        <f>'Field 2 Fiscal'!F22</f>
        <v>0</v>
      </c>
      <c r="G61" s="8">
        <f>'Field 2 Fiscal'!G22</f>
        <v>743.48515312500024</v>
      </c>
      <c r="H61" s="8">
        <f>'Field 2 Fiscal'!H22</f>
        <v>1486.9703062500005</v>
      </c>
      <c r="I61" s="8">
        <f>'Field 2 Fiscal'!I22</f>
        <v>1486.9703062500005</v>
      </c>
      <c r="J61" s="8">
        <f>'Field 2 Fiscal'!J22</f>
        <v>1487.40189365625</v>
      </c>
      <c r="K61" s="8">
        <f>'Field 2 Fiscal'!K22</f>
        <v>1486.9703062500005</v>
      </c>
      <c r="L61" s="8">
        <f>'Field 2 Fiscal'!L22</f>
        <v>1486.9703062500005</v>
      </c>
      <c r="M61" s="8">
        <f>'Field 2 Fiscal'!M22</f>
        <v>1486.9703062500005</v>
      </c>
      <c r="N61" s="8">
        <f>'Field 2 Fiscal'!N22</f>
        <v>1148.3634219687488</v>
      </c>
      <c r="O61" s="8">
        <f>'Field 2 Fiscal'!O22</f>
        <v>603.21360000000004</v>
      </c>
      <c r="P61" s="8">
        <f>'Field 2 Fiscal'!P22</f>
        <v>603.21360000000004</v>
      </c>
      <c r="Q61" s="8">
        <f>'Field 2 Fiscal'!Q22</f>
        <v>603.21360000000004</v>
      </c>
      <c r="R61" s="8">
        <f>'Field 2 Fiscal'!R22</f>
        <v>603.21360000000004</v>
      </c>
      <c r="S61" s="8">
        <f>'Field 2 Fiscal'!S22</f>
        <v>603.21360000000004</v>
      </c>
      <c r="T61" s="8">
        <f>'Field 2 Fiscal'!T22</f>
        <v>603.21360000000004</v>
      </c>
      <c r="U61" s="8">
        <f>'Field 2 Fiscal'!U22</f>
        <v>603.21360000000004</v>
      </c>
      <c r="V61" s="8">
        <f>'Field 2 Fiscal'!V22</f>
        <v>603.21360000000004</v>
      </c>
      <c r="W61" s="8">
        <f>'Field 2 Fiscal'!W22</f>
        <v>603.21360000000004</v>
      </c>
      <c r="X61" s="8">
        <f>'Field 2 Fiscal'!X22</f>
        <v>603.21360000000004</v>
      </c>
      <c r="Y61" s="8">
        <f>'Field 2 Fiscal'!Y22</f>
        <v>603.21360000000004</v>
      </c>
      <c r="Z61" s="8">
        <f>'Field 2 Fiscal'!Z22</f>
        <v>603.21360000000004</v>
      </c>
      <c r="AA61" s="8">
        <f>'Field 2 Fiscal'!AA22</f>
        <v>603.21360000000004</v>
      </c>
      <c r="AB61" s="8">
        <f>'Field 2 Fiscal'!AB22</f>
        <v>603.21360000000004</v>
      </c>
      <c r="AC61" s="8">
        <f>'Field 2 Fiscal'!AC22</f>
        <v>603.21360000000004</v>
      </c>
      <c r="AD61" s="8">
        <f>'Field 2 Fiscal'!AD22</f>
        <v>603.21360000000004</v>
      </c>
      <c r="AE61" s="8">
        <f>'Field 2 Fiscal'!AE22</f>
        <v>603.21360000000004</v>
      </c>
      <c r="AF61" s="8">
        <f>'Field 2 Fiscal'!AF22</f>
        <v>603.21360000000004</v>
      </c>
      <c r="AG61" s="8">
        <f>'Field 2 Fiscal'!AG22</f>
        <v>903.21360000000004</v>
      </c>
      <c r="AH61" s="8">
        <f>'Field 2 Fiscal'!AH22</f>
        <v>903.21360000000004</v>
      </c>
      <c r="AI61" s="8">
        <f>'Field 2 Fiscal'!AI22</f>
        <v>1203.2136</v>
      </c>
      <c r="AJ61" s="125">
        <f t="shared" ref="AJ61:AJ62" si="11">SUM(C61:AI61)</f>
        <v>24681.587599999984</v>
      </c>
    </row>
    <row r="62" spans="1:36" x14ac:dyDescent="0.25">
      <c r="A62" t="s">
        <v>512</v>
      </c>
      <c r="B62" t="s">
        <v>99</v>
      </c>
      <c r="C62" s="8">
        <f>C61*'Assumptions &amp; Results'!$C$166</f>
        <v>0</v>
      </c>
      <c r="D62" s="8">
        <f>D61*'Assumptions &amp; Results'!$C$166</f>
        <v>0</v>
      </c>
      <c r="E62" s="8">
        <f>E61*'Assumptions &amp; Results'!$C$166</f>
        <v>0</v>
      </c>
      <c r="F62" s="8">
        <f>F61*'Assumptions &amp; Results'!$C$166</f>
        <v>0</v>
      </c>
      <c r="G62" s="8">
        <f>G61*'Assumptions &amp; Results'!$C$166</f>
        <v>74.348515312500027</v>
      </c>
      <c r="H62" s="8">
        <f>H61*'Assumptions &amp; Results'!$C$166</f>
        <v>148.69703062500005</v>
      </c>
      <c r="I62" s="8">
        <f>I61*'Assumptions &amp; Results'!$C$166</f>
        <v>148.69703062500005</v>
      </c>
      <c r="J62" s="8">
        <f>J61*'Assumptions &amp; Results'!$C$166</f>
        <v>148.74018936562501</v>
      </c>
      <c r="K62" s="8">
        <f>K61*'Assumptions &amp; Results'!$C$166</f>
        <v>148.69703062500005</v>
      </c>
      <c r="L62" s="8">
        <f>L61*'Assumptions &amp; Results'!$C$166</f>
        <v>148.69703062500005</v>
      </c>
      <c r="M62" s="8">
        <f>M61*'Assumptions &amp; Results'!$C$166</f>
        <v>148.69703062500005</v>
      </c>
      <c r="N62" s="8">
        <f>N61*'Assumptions &amp; Results'!$C$166</f>
        <v>114.83634219687488</v>
      </c>
      <c r="O62" s="8">
        <f>O61*'Assumptions &amp; Results'!$C$166</f>
        <v>60.321360000000006</v>
      </c>
      <c r="P62" s="8">
        <f>P61*'Assumptions &amp; Results'!$C$166</f>
        <v>60.321360000000006</v>
      </c>
      <c r="Q62" s="8">
        <f>Q61*'Assumptions &amp; Results'!$C$166</f>
        <v>60.321360000000006</v>
      </c>
      <c r="R62" s="8">
        <f>R61*'Assumptions &amp; Results'!$C$166</f>
        <v>60.321360000000006</v>
      </c>
      <c r="S62" s="8">
        <f>S61*'Assumptions &amp; Results'!$C$166</f>
        <v>60.321360000000006</v>
      </c>
      <c r="T62" s="8">
        <f>T61*'Assumptions &amp; Results'!$C$166</f>
        <v>60.321360000000006</v>
      </c>
      <c r="U62" s="8">
        <f>U61*'Assumptions &amp; Results'!$C$166</f>
        <v>60.321360000000006</v>
      </c>
      <c r="V62" s="8">
        <f>V61*'Assumptions &amp; Results'!$C$166</f>
        <v>60.321360000000006</v>
      </c>
      <c r="W62" s="8">
        <f>W61*'Assumptions &amp; Results'!$C$166</f>
        <v>60.321360000000006</v>
      </c>
      <c r="X62" s="8">
        <f>X61*'Assumptions &amp; Results'!$C$166</f>
        <v>60.321360000000006</v>
      </c>
      <c r="Y62" s="8">
        <f>Y61*'Assumptions &amp; Results'!$C$166</f>
        <v>60.321360000000006</v>
      </c>
      <c r="Z62" s="8">
        <f>Z61*'Assumptions &amp; Results'!$C$166</f>
        <v>60.321360000000006</v>
      </c>
      <c r="AA62" s="8">
        <f>AA61*'Assumptions &amp; Results'!$C$166</f>
        <v>60.321360000000006</v>
      </c>
      <c r="AB62" s="8">
        <f>AB61*'Assumptions &amp; Results'!$C$166</f>
        <v>60.321360000000006</v>
      </c>
      <c r="AC62" s="8">
        <f>AC61*'Assumptions &amp; Results'!$C$166</f>
        <v>60.321360000000006</v>
      </c>
      <c r="AD62" s="8">
        <f>AD61*'Assumptions &amp; Results'!$C$166</f>
        <v>60.321360000000006</v>
      </c>
      <c r="AE62" s="8">
        <f>AE61*'Assumptions &amp; Results'!$C$166</f>
        <v>60.321360000000006</v>
      </c>
      <c r="AF62" s="8">
        <f>AF61*'Assumptions &amp; Results'!$C$166</f>
        <v>60.321360000000006</v>
      </c>
      <c r="AG62" s="8">
        <f>AG61*'Assumptions &amp; Results'!$C$166</f>
        <v>90.321360000000013</v>
      </c>
      <c r="AH62" s="8">
        <f>AH61*'Assumptions &amp; Results'!$C$166</f>
        <v>90.321360000000013</v>
      </c>
      <c r="AI62" s="8">
        <f>AI61*'Assumptions &amp; Results'!$C$166</f>
        <v>120.32136000000001</v>
      </c>
      <c r="AJ62" s="125">
        <f t="shared" si="11"/>
        <v>2468.1587599999984</v>
      </c>
    </row>
    <row r="63" spans="1:36" x14ac:dyDescent="0.25">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125"/>
    </row>
    <row r="64" spans="1:36" x14ac:dyDescent="0.25">
      <c r="A64" t="s">
        <v>463</v>
      </c>
      <c r="B64" t="s">
        <v>99</v>
      </c>
      <c r="C64" s="8">
        <f>C58</f>
        <v>20</v>
      </c>
      <c r="D64" s="8">
        <f t="shared" ref="D64:AI64" si="12">D58</f>
        <v>42</v>
      </c>
      <c r="E64" s="8">
        <f t="shared" si="12"/>
        <v>85</v>
      </c>
      <c r="F64" s="8">
        <f t="shared" si="12"/>
        <v>190</v>
      </c>
      <c r="G64" s="8">
        <f t="shared" si="12"/>
        <v>165</v>
      </c>
      <c r="H64" s="8">
        <f t="shared" si="12"/>
        <v>27</v>
      </c>
      <c r="I64" s="8">
        <f t="shared" si="12"/>
        <v>0</v>
      </c>
      <c r="J64" s="8">
        <f t="shared" si="12"/>
        <v>0</v>
      </c>
      <c r="K64" s="8">
        <f t="shared" si="12"/>
        <v>0</v>
      </c>
      <c r="L64" s="8">
        <f t="shared" si="12"/>
        <v>0</v>
      </c>
      <c r="M64" s="8">
        <f t="shared" si="12"/>
        <v>0</v>
      </c>
      <c r="N64" s="8">
        <f t="shared" si="12"/>
        <v>0</v>
      </c>
      <c r="O64" s="8">
        <f t="shared" si="12"/>
        <v>0</v>
      </c>
      <c r="P64" s="8">
        <f t="shared" si="12"/>
        <v>0</v>
      </c>
      <c r="Q64" s="8">
        <f t="shared" si="12"/>
        <v>0</v>
      </c>
      <c r="R64" s="8">
        <f t="shared" si="12"/>
        <v>0</v>
      </c>
      <c r="S64" s="8">
        <f t="shared" si="12"/>
        <v>0</v>
      </c>
      <c r="T64" s="8">
        <f t="shared" si="12"/>
        <v>0</v>
      </c>
      <c r="U64" s="8">
        <f t="shared" si="12"/>
        <v>0</v>
      </c>
      <c r="V64" s="8">
        <f t="shared" si="12"/>
        <v>0</v>
      </c>
      <c r="W64" s="8">
        <f t="shared" si="12"/>
        <v>0</v>
      </c>
      <c r="X64" s="8">
        <f t="shared" si="12"/>
        <v>0</v>
      </c>
      <c r="Y64" s="8">
        <f t="shared" si="12"/>
        <v>0</v>
      </c>
      <c r="Z64" s="8">
        <f t="shared" si="12"/>
        <v>0</v>
      </c>
      <c r="AA64" s="8">
        <f t="shared" si="12"/>
        <v>0</v>
      </c>
      <c r="AB64" s="8">
        <f t="shared" si="12"/>
        <v>0</v>
      </c>
      <c r="AC64" s="8">
        <f t="shared" si="12"/>
        <v>0</v>
      </c>
      <c r="AD64" s="8">
        <f t="shared" si="12"/>
        <v>0</v>
      </c>
      <c r="AE64" s="8">
        <f t="shared" si="12"/>
        <v>0</v>
      </c>
      <c r="AF64" s="8">
        <f t="shared" si="12"/>
        <v>0</v>
      </c>
      <c r="AG64" s="8">
        <f t="shared" si="12"/>
        <v>0</v>
      </c>
      <c r="AH64" s="8">
        <f t="shared" si="12"/>
        <v>0</v>
      </c>
      <c r="AI64" s="8">
        <f t="shared" si="12"/>
        <v>0</v>
      </c>
      <c r="AJ64" s="125">
        <f>SUM(C64:AI64)</f>
        <v>529</v>
      </c>
    </row>
    <row r="65" spans="1:36" x14ac:dyDescent="0.25">
      <c r="A65" t="s">
        <v>473</v>
      </c>
      <c r="B65" t="s">
        <v>99</v>
      </c>
      <c r="C65" s="8">
        <f>'Assumptions &amp; Results'!$C$168*'Assumptions &amp; Results'!$C$91</f>
        <v>0</v>
      </c>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125"/>
    </row>
    <row r="66" spans="1:36" x14ac:dyDescent="0.25">
      <c r="A66" t="s">
        <v>464</v>
      </c>
      <c r="B66" t="s">
        <v>99</v>
      </c>
      <c r="C66" s="8">
        <f>C62</f>
        <v>0</v>
      </c>
      <c r="D66" s="8">
        <f t="shared" ref="D66:AI66" si="13">D62</f>
        <v>0</v>
      </c>
      <c r="E66" s="8">
        <f t="shared" si="13"/>
        <v>0</v>
      </c>
      <c r="F66" s="8">
        <f t="shared" si="13"/>
        <v>0</v>
      </c>
      <c r="G66" s="8">
        <f t="shared" si="13"/>
        <v>74.348515312500027</v>
      </c>
      <c r="H66" s="8">
        <f t="shared" si="13"/>
        <v>148.69703062500005</v>
      </c>
      <c r="I66" s="8">
        <f t="shared" si="13"/>
        <v>148.69703062500005</v>
      </c>
      <c r="J66" s="8">
        <f t="shared" si="13"/>
        <v>148.74018936562501</v>
      </c>
      <c r="K66" s="8">
        <f t="shared" si="13"/>
        <v>148.69703062500005</v>
      </c>
      <c r="L66" s="8">
        <f t="shared" si="13"/>
        <v>148.69703062500005</v>
      </c>
      <c r="M66" s="8">
        <f t="shared" si="13"/>
        <v>148.69703062500005</v>
      </c>
      <c r="N66" s="8">
        <f t="shared" si="13"/>
        <v>114.83634219687488</v>
      </c>
      <c r="O66" s="8">
        <f t="shared" si="13"/>
        <v>60.321360000000006</v>
      </c>
      <c r="P66" s="8">
        <f t="shared" si="13"/>
        <v>60.321360000000006</v>
      </c>
      <c r="Q66" s="8">
        <f t="shared" si="13"/>
        <v>60.321360000000006</v>
      </c>
      <c r="R66" s="8">
        <f t="shared" si="13"/>
        <v>60.321360000000006</v>
      </c>
      <c r="S66" s="8">
        <f t="shared" si="13"/>
        <v>60.321360000000006</v>
      </c>
      <c r="T66" s="8">
        <f t="shared" si="13"/>
        <v>60.321360000000006</v>
      </c>
      <c r="U66" s="8">
        <f t="shared" si="13"/>
        <v>60.321360000000006</v>
      </c>
      <c r="V66" s="8">
        <f t="shared" si="13"/>
        <v>60.321360000000006</v>
      </c>
      <c r="W66" s="8">
        <f t="shared" si="13"/>
        <v>60.321360000000006</v>
      </c>
      <c r="X66" s="8">
        <f t="shared" si="13"/>
        <v>60.321360000000006</v>
      </c>
      <c r="Y66" s="8">
        <f t="shared" si="13"/>
        <v>60.321360000000006</v>
      </c>
      <c r="Z66" s="8">
        <f t="shared" si="13"/>
        <v>60.321360000000006</v>
      </c>
      <c r="AA66" s="8">
        <f t="shared" si="13"/>
        <v>60.321360000000006</v>
      </c>
      <c r="AB66" s="8">
        <f t="shared" si="13"/>
        <v>60.321360000000006</v>
      </c>
      <c r="AC66" s="8">
        <f t="shared" si="13"/>
        <v>60.321360000000006</v>
      </c>
      <c r="AD66" s="8">
        <f t="shared" si="13"/>
        <v>60.321360000000006</v>
      </c>
      <c r="AE66" s="8">
        <f t="shared" si="13"/>
        <v>60.321360000000006</v>
      </c>
      <c r="AF66" s="8">
        <f t="shared" si="13"/>
        <v>60.321360000000006</v>
      </c>
      <c r="AG66" s="8">
        <f t="shared" si="13"/>
        <v>90.321360000000013</v>
      </c>
      <c r="AH66" s="8">
        <f t="shared" si="13"/>
        <v>90.321360000000013</v>
      </c>
      <c r="AI66" s="8">
        <f t="shared" si="13"/>
        <v>120.32136000000001</v>
      </c>
      <c r="AJ66" s="125">
        <f>SUM(C66:AI66)</f>
        <v>2468.1587599999984</v>
      </c>
    </row>
    <row r="67" spans="1:36" x14ac:dyDescent="0.25">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125"/>
    </row>
    <row r="68" spans="1:36" x14ac:dyDescent="0.25">
      <c r="A68" t="s">
        <v>459</v>
      </c>
      <c r="B68" t="s">
        <v>99</v>
      </c>
      <c r="C68" s="8">
        <f>MIN(C64,C66)</f>
        <v>0</v>
      </c>
      <c r="D68" s="8">
        <f>MIN(D66,C74)</f>
        <v>0</v>
      </c>
      <c r="E68" s="8">
        <f t="shared" ref="E68:AI68" si="14">MIN(E66,D74)</f>
        <v>0</v>
      </c>
      <c r="F68" s="8">
        <f t="shared" si="14"/>
        <v>0</v>
      </c>
      <c r="G68" s="8">
        <f t="shared" si="14"/>
        <v>74.348515312500027</v>
      </c>
      <c r="H68" s="8">
        <f t="shared" si="14"/>
        <v>148.69703062500005</v>
      </c>
      <c r="I68" s="8">
        <f t="shared" si="14"/>
        <v>148.69703062500005</v>
      </c>
      <c r="J68" s="8">
        <f t="shared" si="14"/>
        <v>148.74018936562501</v>
      </c>
      <c r="K68" s="8">
        <f t="shared" si="14"/>
        <v>148.69703062500005</v>
      </c>
      <c r="L68" s="8">
        <f t="shared" si="14"/>
        <v>11.130866810656171</v>
      </c>
      <c r="M68" s="8">
        <f t="shared" si="14"/>
        <v>0</v>
      </c>
      <c r="N68" s="8">
        <f t="shared" si="14"/>
        <v>0</v>
      </c>
      <c r="O68" s="8">
        <f t="shared" si="14"/>
        <v>0</v>
      </c>
      <c r="P68" s="8">
        <f t="shared" si="14"/>
        <v>0</v>
      </c>
      <c r="Q68" s="8">
        <f t="shared" si="14"/>
        <v>0</v>
      </c>
      <c r="R68" s="8">
        <f t="shared" si="14"/>
        <v>0</v>
      </c>
      <c r="S68" s="8">
        <f t="shared" si="14"/>
        <v>0</v>
      </c>
      <c r="T68" s="8">
        <f t="shared" si="14"/>
        <v>0</v>
      </c>
      <c r="U68" s="8">
        <f t="shared" si="14"/>
        <v>0</v>
      </c>
      <c r="V68" s="8">
        <f t="shared" si="14"/>
        <v>0</v>
      </c>
      <c r="W68" s="8">
        <f t="shared" si="14"/>
        <v>0</v>
      </c>
      <c r="X68" s="8">
        <f t="shared" si="14"/>
        <v>0</v>
      </c>
      <c r="Y68" s="8">
        <f t="shared" si="14"/>
        <v>0</v>
      </c>
      <c r="Z68" s="8">
        <f t="shared" si="14"/>
        <v>0</v>
      </c>
      <c r="AA68" s="8">
        <f t="shared" si="14"/>
        <v>0</v>
      </c>
      <c r="AB68" s="8">
        <f t="shared" si="14"/>
        <v>0</v>
      </c>
      <c r="AC68" s="8">
        <f t="shared" si="14"/>
        <v>0</v>
      </c>
      <c r="AD68" s="8">
        <f t="shared" si="14"/>
        <v>0</v>
      </c>
      <c r="AE68" s="8">
        <f t="shared" si="14"/>
        <v>0</v>
      </c>
      <c r="AF68" s="8">
        <f t="shared" si="14"/>
        <v>0</v>
      </c>
      <c r="AG68" s="8">
        <f t="shared" si="14"/>
        <v>0</v>
      </c>
      <c r="AH68" s="8">
        <f t="shared" si="14"/>
        <v>0</v>
      </c>
      <c r="AI68" s="8">
        <f t="shared" si="14"/>
        <v>0</v>
      </c>
      <c r="AJ68" s="125">
        <f>SUM(C68:AI68)</f>
        <v>680.31066336378137</v>
      </c>
    </row>
    <row r="69" spans="1:36" x14ac:dyDescent="0.25">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125"/>
    </row>
    <row r="70" spans="1:36" x14ac:dyDescent="0.25">
      <c r="A70" t="s">
        <v>513</v>
      </c>
      <c r="B70" t="s">
        <v>99</v>
      </c>
      <c r="C70" s="8">
        <f>C64-C68+C65</f>
        <v>20</v>
      </c>
      <c r="D70" s="8">
        <f>C74+D64-D68</f>
        <v>63.6</v>
      </c>
      <c r="E70" s="8">
        <f t="shared" ref="E70:AI70" si="15">D74+E64-E68</f>
        <v>153.68799999999999</v>
      </c>
      <c r="F70" s="8">
        <f t="shared" si="15"/>
        <v>355.98303999999996</v>
      </c>
      <c r="G70" s="8">
        <f t="shared" si="15"/>
        <v>475.11316788749991</v>
      </c>
      <c r="H70" s="8">
        <f t="shared" si="15"/>
        <v>391.42519069349987</v>
      </c>
      <c r="I70" s="8">
        <f t="shared" si="15"/>
        <v>274.04217532397979</v>
      </c>
      <c r="J70" s="8">
        <f t="shared" si="15"/>
        <v>147.22535998427318</v>
      </c>
      <c r="K70" s="8">
        <f t="shared" si="15"/>
        <v>10.306358158014973</v>
      </c>
      <c r="L70" s="8">
        <f t="shared" si="15"/>
        <v>0</v>
      </c>
      <c r="M70" s="8">
        <f t="shared" si="15"/>
        <v>0</v>
      </c>
      <c r="N70" s="8">
        <f t="shared" si="15"/>
        <v>0</v>
      </c>
      <c r="O70" s="8">
        <f t="shared" si="15"/>
        <v>0</v>
      </c>
      <c r="P70" s="8">
        <f t="shared" si="15"/>
        <v>0</v>
      </c>
      <c r="Q70" s="8">
        <f t="shared" si="15"/>
        <v>0</v>
      </c>
      <c r="R70" s="8">
        <f t="shared" si="15"/>
        <v>0</v>
      </c>
      <c r="S70" s="8">
        <f t="shared" si="15"/>
        <v>0</v>
      </c>
      <c r="T70" s="8">
        <f t="shared" si="15"/>
        <v>0</v>
      </c>
      <c r="U70" s="8">
        <f t="shared" si="15"/>
        <v>0</v>
      </c>
      <c r="V70" s="8">
        <f t="shared" si="15"/>
        <v>0</v>
      </c>
      <c r="W70" s="8">
        <f t="shared" si="15"/>
        <v>0</v>
      </c>
      <c r="X70" s="8">
        <f t="shared" si="15"/>
        <v>0</v>
      </c>
      <c r="Y70" s="8">
        <f t="shared" si="15"/>
        <v>0</v>
      </c>
      <c r="Z70" s="8">
        <f t="shared" si="15"/>
        <v>0</v>
      </c>
      <c r="AA70" s="8">
        <f t="shared" si="15"/>
        <v>0</v>
      </c>
      <c r="AB70" s="8">
        <f t="shared" si="15"/>
        <v>0</v>
      </c>
      <c r="AC70" s="8">
        <f t="shared" si="15"/>
        <v>0</v>
      </c>
      <c r="AD70" s="8">
        <f t="shared" si="15"/>
        <v>0</v>
      </c>
      <c r="AE70" s="8">
        <f t="shared" si="15"/>
        <v>0</v>
      </c>
      <c r="AF70" s="8">
        <f t="shared" si="15"/>
        <v>0</v>
      </c>
      <c r="AG70" s="8">
        <f t="shared" si="15"/>
        <v>0</v>
      </c>
      <c r="AH70" s="8">
        <f t="shared" si="15"/>
        <v>0</v>
      </c>
      <c r="AI70" s="8">
        <f t="shared" si="15"/>
        <v>0</v>
      </c>
      <c r="AJ70" s="125">
        <f>SUM(C70:AI70)</f>
        <v>1891.3832920472678</v>
      </c>
    </row>
    <row r="71" spans="1:36" x14ac:dyDescent="0.25">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125"/>
    </row>
    <row r="72" spans="1:36" x14ac:dyDescent="0.25">
      <c r="A72" t="s">
        <v>509</v>
      </c>
      <c r="B72" t="s">
        <v>99</v>
      </c>
      <c r="C72" s="8">
        <f>'Assumptions &amp; Results'!$C$169*'Assumptions &amp; Results'!$C$163*C70</f>
        <v>1.6</v>
      </c>
      <c r="D72" s="8">
        <f>'Assumptions &amp; Results'!$C$169*'Assumptions &amp; Results'!$C$163*D70</f>
        <v>5.0880000000000001</v>
      </c>
      <c r="E72" s="8">
        <f>'Assumptions &amp; Results'!$C$169*'Assumptions &amp; Results'!$C$163*E70</f>
        <v>12.29504</v>
      </c>
      <c r="F72" s="8">
        <f>'Assumptions &amp; Results'!$C$169*'Assumptions &amp; Results'!$C$163*F70</f>
        <v>28.478643199999997</v>
      </c>
      <c r="G72" s="8">
        <f>'Assumptions &amp; Results'!$C$169*'Assumptions &amp; Results'!$C$163*G70</f>
        <v>38.009053430999991</v>
      </c>
      <c r="H72" s="8">
        <f>'Assumptions &amp; Results'!$C$169*'Assumptions &amp; Results'!$C$163*H70</f>
        <v>31.31401525547999</v>
      </c>
      <c r="I72" s="8">
        <f>'Assumptions &amp; Results'!$C$169*'Assumptions &amp; Results'!$C$163*I70</f>
        <v>21.923374025918385</v>
      </c>
      <c r="J72" s="8">
        <f>'Assumptions &amp; Results'!$C$169*'Assumptions &amp; Results'!$C$163*J70</f>
        <v>11.778028798741856</v>
      </c>
      <c r="K72" s="8">
        <f>'Assumptions &amp; Results'!$C$169*'Assumptions &amp; Results'!$C$163*K70</f>
        <v>0.82450865264119788</v>
      </c>
      <c r="L72" s="8">
        <f>'Assumptions &amp; Results'!$C$169*'Assumptions &amp; Results'!$C$163*L70</f>
        <v>0</v>
      </c>
      <c r="M72" s="8">
        <f>'Assumptions &amp; Results'!$C$169*'Assumptions &amp; Results'!$C$163*M70</f>
        <v>0</v>
      </c>
      <c r="N72" s="8">
        <f>'Assumptions &amp; Results'!$C$169*'Assumptions &amp; Results'!$C$163*N70</f>
        <v>0</v>
      </c>
      <c r="O72" s="8">
        <f>'Assumptions &amp; Results'!$C$169*'Assumptions &amp; Results'!$C$163*O70</f>
        <v>0</v>
      </c>
      <c r="P72" s="8">
        <f>'Assumptions &amp; Results'!$C$169*'Assumptions &amp; Results'!$C$163*P70</f>
        <v>0</v>
      </c>
      <c r="Q72" s="8">
        <f>'Assumptions &amp; Results'!$C$169*'Assumptions &amp; Results'!$C$163*Q70</f>
        <v>0</v>
      </c>
      <c r="R72" s="8">
        <f>'Assumptions &amp; Results'!$C$169*'Assumptions &amp; Results'!$C$163*R70</f>
        <v>0</v>
      </c>
      <c r="S72" s="8">
        <f>'Assumptions &amp; Results'!$C$169*'Assumptions &amp; Results'!$C$163*S70</f>
        <v>0</v>
      </c>
      <c r="T72" s="8">
        <f>'Assumptions &amp; Results'!$C$169*'Assumptions &amp; Results'!$C$163*T70</f>
        <v>0</v>
      </c>
      <c r="U72" s="8">
        <f>'Assumptions &amp; Results'!$C$169*'Assumptions &amp; Results'!$C$163*U70</f>
        <v>0</v>
      </c>
      <c r="V72" s="8">
        <f>'Assumptions &amp; Results'!$C$169*'Assumptions &amp; Results'!$C$163*V70</f>
        <v>0</v>
      </c>
      <c r="W72" s="8">
        <f>'Assumptions &amp; Results'!$C$169*'Assumptions &amp; Results'!$C$163*W70</f>
        <v>0</v>
      </c>
      <c r="X72" s="8">
        <f>'Assumptions &amp; Results'!$C$169*'Assumptions &amp; Results'!$C$163*X70</f>
        <v>0</v>
      </c>
      <c r="Y72" s="8">
        <f>'Assumptions &amp; Results'!$C$169*'Assumptions &amp; Results'!$C$163*Y70</f>
        <v>0</v>
      </c>
      <c r="Z72" s="8">
        <f>'Assumptions &amp; Results'!$C$169*'Assumptions &amp; Results'!$C$163*Z70</f>
        <v>0</v>
      </c>
      <c r="AA72" s="8">
        <f>'Assumptions &amp; Results'!$C$169*'Assumptions &amp; Results'!$C$163*AA70</f>
        <v>0</v>
      </c>
      <c r="AB72" s="8">
        <f>'Assumptions &amp; Results'!$C$169*'Assumptions &amp; Results'!$C$163*AB70</f>
        <v>0</v>
      </c>
      <c r="AC72" s="8">
        <f>'Assumptions &amp; Results'!$C$169*'Assumptions &amp; Results'!$C$163*AC70</f>
        <v>0</v>
      </c>
      <c r="AD72" s="8">
        <f>'Assumptions &amp; Results'!$C$169*'Assumptions &amp; Results'!$C$163*AD70</f>
        <v>0</v>
      </c>
      <c r="AE72" s="8">
        <f>'Assumptions &amp; Results'!$C$169*'Assumptions &amp; Results'!$C$163*AE70</f>
        <v>0</v>
      </c>
      <c r="AF72" s="8">
        <f>'Assumptions &amp; Results'!$C$169*'Assumptions &amp; Results'!$C$163*AF70</f>
        <v>0</v>
      </c>
      <c r="AG72" s="8">
        <f>'Assumptions &amp; Results'!$C$169*'Assumptions &amp; Results'!$C$163*AG70</f>
        <v>0</v>
      </c>
      <c r="AH72" s="8">
        <f>'Assumptions &amp; Results'!$C$169*'Assumptions &amp; Results'!$C$163*AH70</f>
        <v>0</v>
      </c>
      <c r="AI72" s="8">
        <f>'Assumptions &amp; Results'!$C$169*'Assumptions &amp; Results'!$C$163*AI70</f>
        <v>0</v>
      </c>
      <c r="AJ72" s="125">
        <f>SUM(C72:AI72)</f>
        <v>151.3106633637814</v>
      </c>
    </row>
    <row r="73" spans="1:36" x14ac:dyDescent="0.25">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125"/>
    </row>
    <row r="74" spans="1:36" x14ac:dyDescent="0.25">
      <c r="A74" t="s">
        <v>466</v>
      </c>
      <c r="B74" t="s">
        <v>99</v>
      </c>
      <c r="C74" s="8">
        <f>C70+C72</f>
        <v>21.6</v>
      </c>
      <c r="D74" s="8">
        <f>D70+D72</f>
        <v>68.688000000000002</v>
      </c>
      <c r="E74" s="8">
        <f t="shared" ref="E74:AI74" si="16">E70+E72</f>
        <v>165.98303999999999</v>
      </c>
      <c r="F74" s="8">
        <f t="shared" si="16"/>
        <v>384.46168319999998</v>
      </c>
      <c r="G74" s="8">
        <f t="shared" si="16"/>
        <v>513.1222213184999</v>
      </c>
      <c r="H74" s="8">
        <f t="shared" si="16"/>
        <v>422.73920594897987</v>
      </c>
      <c r="I74" s="8">
        <f t="shared" si="16"/>
        <v>295.9655493498982</v>
      </c>
      <c r="J74" s="8">
        <f t="shared" si="16"/>
        <v>159.00338878301503</v>
      </c>
      <c r="K74" s="8">
        <f t="shared" si="16"/>
        <v>11.130866810656171</v>
      </c>
      <c r="L74" s="8">
        <f t="shared" si="16"/>
        <v>0</v>
      </c>
      <c r="M74" s="8">
        <f t="shared" si="16"/>
        <v>0</v>
      </c>
      <c r="N74" s="8">
        <f t="shared" si="16"/>
        <v>0</v>
      </c>
      <c r="O74" s="8">
        <f t="shared" si="16"/>
        <v>0</v>
      </c>
      <c r="P74" s="8">
        <f t="shared" si="16"/>
        <v>0</v>
      </c>
      <c r="Q74" s="8">
        <f t="shared" si="16"/>
        <v>0</v>
      </c>
      <c r="R74" s="8">
        <f t="shared" si="16"/>
        <v>0</v>
      </c>
      <c r="S74" s="8">
        <f t="shared" si="16"/>
        <v>0</v>
      </c>
      <c r="T74" s="8">
        <f t="shared" si="16"/>
        <v>0</v>
      </c>
      <c r="U74" s="8">
        <f t="shared" si="16"/>
        <v>0</v>
      </c>
      <c r="V74" s="8">
        <f t="shared" si="16"/>
        <v>0</v>
      </c>
      <c r="W74" s="8">
        <f t="shared" si="16"/>
        <v>0</v>
      </c>
      <c r="X74" s="8">
        <f t="shared" si="16"/>
        <v>0</v>
      </c>
      <c r="Y74" s="8">
        <f t="shared" si="16"/>
        <v>0</v>
      </c>
      <c r="Z74" s="8">
        <f t="shared" si="16"/>
        <v>0</v>
      </c>
      <c r="AA74" s="8">
        <f t="shared" si="16"/>
        <v>0</v>
      </c>
      <c r="AB74" s="8">
        <f t="shared" si="16"/>
        <v>0</v>
      </c>
      <c r="AC74" s="8">
        <f t="shared" si="16"/>
        <v>0</v>
      </c>
      <c r="AD74" s="8">
        <f t="shared" si="16"/>
        <v>0</v>
      </c>
      <c r="AE74" s="8">
        <f t="shared" si="16"/>
        <v>0</v>
      </c>
      <c r="AF74" s="8">
        <f t="shared" si="16"/>
        <v>0</v>
      </c>
      <c r="AG74" s="8">
        <f t="shared" si="16"/>
        <v>0</v>
      </c>
      <c r="AH74" s="8">
        <f t="shared" si="16"/>
        <v>0</v>
      </c>
      <c r="AI74" s="8">
        <f t="shared" si="16"/>
        <v>0</v>
      </c>
      <c r="AJ74" s="125">
        <f>SUM(C74:AI74)</f>
        <v>2042.693955411049</v>
      </c>
    </row>
    <row r="75" spans="1:36" x14ac:dyDescent="0.25">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125"/>
    </row>
    <row r="76" spans="1:36" x14ac:dyDescent="0.25">
      <c r="A76" t="s">
        <v>510</v>
      </c>
      <c r="B76" t="s">
        <v>99</v>
      </c>
      <c r="C76" s="8">
        <f>C38</f>
        <v>-200</v>
      </c>
      <c r="D76" s="8">
        <f t="shared" ref="D76:AI76" si="17">D38</f>
        <v>-420</v>
      </c>
      <c r="E76" s="8">
        <f t="shared" si="17"/>
        <v>-850</v>
      </c>
      <c r="F76" s="8">
        <f t="shared" si="17"/>
        <v>-1900</v>
      </c>
      <c r="G76" s="8">
        <f t="shared" si="17"/>
        <v>-917.9869565624997</v>
      </c>
      <c r="H76" s="8">
        <f t="shared" si="17"/>
        <v>1194.0260868750006</v>
      </c>
      <c r="I76" s="8">
        <f t="shared" si="17"/>
        <v>1464.0260868750006</v>
      </c>
      <c r="J76" s="8">
        <f t="shared" si="17"/>
        <v>1471.6386247406249</v>
      </c>
      <c r="K76" s="8">
        <f t="shared" si="17"/>
        <v>1311.7465199829999</v>
      </c>
      <c r="L76" s="8">
        <f t="shared" si="17"/>
        <v>941.09174940000037</v>
      </c>
      <c r="M76" s="8">
        <f t="shared" si="17"/>
        <v>941.09174940000037</v>
      </c>
      <c r="N76" s="8">
        <f t="shared" si="17"/>
        <v>895.04121313775022</v>
      </c>
      <c r="O76" s="8">
        <f t="shared" si="17"/>
        <v>711.4162680899999</v>
      </c>
      <c r="P76" s="8">
        <f t="shared" si="17"/>
        <v>706.35939165000025</v>
      </c>
      <c r="Q76" s="8">
        <f t="shared" si="17"/>
        <v>706.35939165000025</v>
      </c>
      <c r="R76" s="8">
        <f t="shared" si="17"/>
        <v>706.35939165000025</v>
      </c>
      <c r="S76" s="8">
        <f t="shared" si="17"/>
        <v>477.27650025000025</v>
      </c>
      <c r="T76" s="8">
        <f t="shared" si="17"/>
        <v>482.24307532500006</v>
      </c>
      <c r="U76" s="8">
        <f t="shared" si="17"/>
        <v>477.27650025000025</v>
      </c>
      <c r="V76" s="8">
        <f t="shared" si="17"/>
        <v>477.27650025000025</v>
      </c>
      <c r="W76" s="8">
        <f t="shared" si="17"/>
        <v>477.27650025000025</v>
      </c>
      <c r="X76" s="8">
        <f t="shared" si="17"/>
        <v>477.27650025000025</v>
      </c>
      <c r="Y76" s="8">
        <f t="shared" si="17"/>
        <v>367.65647894249992</v>
      </c>
      <c r="Z76" s="8">
        <f t="shared" si="17"/>
        <v>362.73505455000031</v>
      </c>
      <c r="AA76" s="8">
        <f t="shared" si="17"/>
        <v>362.73505455000031</v>
      </c>
      <c r="AB76" s="8">
        <f t="shared" si="17"/>
        <v>362.73505455000031</v>
      </c>
      <c r="AC76" s="8">
        <f t="shared" si="17"/>
        <v>362.73505455000031</v>
      </c>
      <c r="AD76" s="8">
        <f t="shared" si="17"/>
        <v>367.65647894249992</v>
      </c>
      <c r="AE76" s="8">
        <f t="shared" si="17"/>
        <v>362.73505455000031</v>
      </c>
      <c r="AF76" s="8">
        <f t="shared" si="17"/>
        <v>362.73505455000031</v>
      </c>
      <c r="AG76" s="8">
        <f t="shared" si="17"/>
        <v>281.13505455000018</v>
      </c>
      <c r="AH76" s="8">
        <f t="shared" si="17"/>
        <v>281.13505455000018</v>
      </c>
      <c r="AI76" s="8">
        <f t="shared" si="17"/>
        <v>199.53505455000015</v>
      </c>
      <c r="AJ76" s="125">
        <f>SUM(C76:AI76)</f>
        <v>13303.323542298887</v>
      </c>
    </row>
    <row r="77" spans="1:36" x14ac:dyDescent="0.25">
      <c r="A77" t="s">
        <v>517</v>
      </c>
      <c r="B77" t="s">
        <v>99</v>
      </c>
      <c r="C77" s="8">
        <f>C76*(1-'Assumptions &amp; Results'!$C$166)</f>
        <v>-180</v>
      </c>
      <c r="D77" s="8">
        <f>D76*(1-'Assumptions &amp; Results'!$C$166)</f>
        <v>-378</v>
      </c>
      <c r="E77" s="8">
        <f>E76*(1-'Assumptions &amp; Results'!$C$166)</f>
        <v>-765</v>
      </c>
      <c r="F77" s="8">
        <f>F76*(1-'Assumptions &amp; Results'!$C$166)</f>
        <v>-1710</v>
      </c>
      <c r="G77" s="8">
        <f>G76*(1-'Assumptions &amp; Results'!$C$166)</f>
        <v>-826.18826090624975</v>
      </c>
      <c r="H77" s="8">
        <f>H76*(1-'Assumptions &amp; Results'!$C$166)</f>
        <v>1074.6234781875005</v>
      </c>
      <c r="I77" s="8">
        <f>I76*(1-'Assumptions &amp; Results'!$C$166)</f>
        <v>1317.6234781875005</v>
      </c>
      <c r="J77" s="8">
        <f>J76*(1-'Assumptions &amp; Results'!$C$166)</f>
        <v>1324.4747622665625</v>
      </c>
      <c r="K77" s="8">
        <f>K76*(1-'Assumptions &amp; Results'!$C$166)</f>
        <v>1180.5718679847</v>
      </c>
      <c r="L77" s="8">
        <f>L76*(1-'Assumptions &amp; Results'!$C$166)</f>
        <v>846.98257446000036</v>
      </c>
      <c r="M77" s="8">
        <f>M76*(1-'Assumptions &amp; Results'!$C$166)</f>
        <v>846.98257446000036</v>
      </c>
      <c r="N77" s="8">
        <f>N76*(1-'Assumptions &amp; Results'!$C$166)</f>
        <v>805.53709182397517</v>
      </c>
      <c r="O77" s="8">
        <f>O76*(1-'Assumptions &amp; Results'!$C$166)</f>
        <v>640.27464128099996</v>
      </c>
      <c r="P77" s="8">
        <f>P76*(1-'Assumptions &amp; Results'!$C$166)</f>
        <v>635.72345248500028</v>
      </c>
      <c r="Q77" s="8">
        <f>Q76*(1-'Assumptions &amp; Results'!$C$166)</f>
        <v>635.72345248500028</v>
      </c>
      <c r="R77" s="8">
        <f>R76*(1-'Assumptions &amp; Results'!$C$166)</f>
        <v>635.72345248500028</v>
      </c>
      <c r="S77" s="8">
        <f>S76*(1-'Assumptions &amp; Results'!$C$166)</f>
        <v>429.54885022500025</v>
      </c>
      <c r="T77" s="8">
        <f>T76*(1-'Assumptions &amp; Results'!$C$166)</f>
        <v>434.01876779250006</v>
      </c>
      <c r="U77" s="8">
        <f>U76*(1-'Assumptions &amp; Results'!$C$166)</f>
        <v>429.54885022500025</v>
      </c>
      <c r="V77" s="8">
        <f>V76*(1-'Assumptions &amp; Results'!$C$166)</f>
        <v>429.54885022500025</v>
      </c>
      <c r="W77" s="8">
        <f>W76*(1-'Assumptions &amp; Results'!$C$166)</f>
        <v>429.54885022500025</v>
      </c>
      <c r="X77" s="8">
        <f>X76*(1-'Assumptions &amp; Results'!$C$166)</f>
        <v>429.54885022500025</v>
      </c>
      <c r="Y77" s="8">
        <f>Y76*(1-'Assumptions &amp; Results'!$C$166)</f>
        <v>330.89083104824994</v>
      </c>
      <c r="Z77" s="8">
        <f>Z76*(1-'Assumptions &amp; Results'!$C$166)</f>
        <v>326.46154909500029</v>
      </c>
      <c r="AA77" s="8">
        <f>AA76*(1-'Assumptions &amp; Results'!$C$166)</f>
        <v>326.46154909500029</v>
      </c>
      <c r="AB77" s="8">
        <f>AB76*(1-'Assumptions &amp; Results'!$C$166)</f>
        <v>326.46154909500029</v>
      </c>
      <c r="AC77" s="8">
        <f>AC76*(1-'Assumptions &amp; Results'!$C$166)</f>
        <v>326.46154909500029</v>
      </c>
      <c r="AD77" s="8">
        <f>AD76*(1-'Assumptions &amp; Results'!$C$166)</f>
        <v>330.89083104824994</v>
      </c>
      <c r="AE77" s="8">
        <f>AE76*(1-'Assumptions &amp; Results'!$C$166)</f>
        <v>326.46154909500029</v>
      </c>
      <c r="AF77" s="8">
        <f>AF76*(1-'Assumptions &amp; Results'!$C$166)</f>
        <v>326.46154909500029</v>
      </c>
      <c r="AG77" s="8">
        <f>AG76*(1-'Assumptions &amp; Results'!$C$166)</f>
        <v>253.02154909500015</v>
      </c>
      <c r="AH77" s="8">
        <f>AH76*(1-'Assumptions &amp; Results'!$C$166)</f>
        <v>253.02154909500015</v>
      </c>
      <c r="AI77" s="8">
        <f>AI76*(1-'Assumptions &amp; Results'!$C$166)</f>
        <v>179.58154909500016</v>
      </c>
      <c r="AJ77" s="125">
        <f t="shared" ref="AJ77:AJ81" si="18">SUM(C77:AI77)</f>
        <v>11972.991188068991</v>
      </c>
    </row>
    <row r="78" spans="1:36" x14ac:dyDescent="0.25">
      <c r="A78" s="370" t="s">
        <v>300</v>
      </c>
      <c r="B78" s="374">
        <f>'Assumptions &amp; Results'!C154</f>
        <v>0.1</v>
      </c>
      <c r="C78" s="375">
        <f>NPV(B78,C77:AI77)</f>
        <v>1848.6488252219465</v>
      </c>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125"/>
    </row>
    <row r="79" spans="1:36" x14ac:dyDescent="0.25">
      <c r="A79" s="370" t="s">
        <v>516</v>
      </c>
      <c r="B79" s="370"/>
      <c r="C79" s="376">
        <f>IRR(C77:AI77)</f>
        <v>0.187803776595731</v>
      </c>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125"/>
    </row>
    <row r="80" spans="1:36" x14ac:dyDescent="0.25">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125"/>
    </row>
    <row r="81" spans="1:36" x14ac:dyDescent="0.25">
      <c r="A81" t="s">
        <v>518</v>
      </c>
      <c r="B81" t="s">
        <v>99</v>
      </c>
      <c r="C81" s="8">
        <f t="shared" ref="C81:AI81" si="19">C77-C58+C68</f>
        <v>-200</v>
      </c>
      <c r="D81" s="8">
        <f t="shared" si="19"/>
        <v>-420</v>
      </c>
      <c r="E81" s="8">
        <f t="shared" si="19"/>
        <v>-850</v>
      </c>
      <c r="F81" s="8">
        <f t="shared" si="19"/>
        <v>-1900</v>
      </c>
      <c r="G81" s="8">
        <f t="shared" si="19"/>
        <v>-916.83974559374974</v>
      </c>
      <c r="H81" s="8">
        <f t="shared" si="19"/>
        <v>1196.3205088125005</v>
      </c>
      <c r="I81" s="8">
        <f t="shared" si="19"/>
        <v>1466.3205088125005</v>
      </c>
      <c r="J81" s="8">
        <f t="shared" si="19"/>
        <v>1473.2149516321874</v>
      </c>
      <c r="K81" s="8">
        <f t="shared" si="19"/>
        <v>1329.2688986097</v>
      </c>
      <c r="L81" s="8">
        <f t="shared" si="19"/>
        <v>858.11344127065649</v>
      </c>
      <c r="M81" s="8">
        <f t="shared" si="19"/>
        <v>846.98257446000036</v>
      </c>
      <c r="N81" s="8">
        <f t="shared" si="19"/>
        <v>805.53709182397517</v>
      </c>
      <c r="O81" s="8">
        <f t="shared" si="19"/>
        <v>640.27464128099996</v>
      </c>
      <c r="P81" s="8">
        <f t="shared" si="19"/>
        <v>635.72345248500028</v>
      </c>
      <c r="Q81" s="8">
        <f t="shared" si="19"/>
        <v>635.72345248500028</v>
      </c>
      <c r="R81" s="8">
        <f t="shared" si="19"/>
        <v>635.72345248500028</v>
      </c>
      <c r="S81" s="8">
        <f t="shared" si="19"/>
        <v>429.54885022500025</v>
      </c>
      <c r="T81" s="8">
        <f t="shared" si="19"/>
        <v>434.01876779250006</v>
      </c>
      <c r="U81" s="8">
        <f t="shared" si="19"/>
        <v>429.54885022500025</v>
      </c>
      <c r="V81" s="8">
        <f t="shared" si="19"/>
        <v>429.54885022500025</v>
      </c>
      <c r="W81" s="8">
        <f t="shared" si="19"/>
        <v>429.54885022500025</v>
      </c>
      <c r="X81" s="8">
        <f t="shared" si="19"/>
        <v>429.54885022500025</v>
      </c>
      <c r="Y81" s="8">
        <f t="shared" si="19"/>
        <v>330.89083104824994</v>
      </c>
      <c r="Z81" s="8">
        <f t="shared" si="19"/>
        <v>326.46154909500029</v>
      </c>
      <c r="AA81" s="8">
        <f t="shared" si="19"/>
        <v>326.46154909500029</v>
      </c>
      <c r="AB81" s="8">
        <f t="shared" si="19"/>
        <v>326.46154909500029</v>
      </c>
      <c r="AC81" s="8">
        <f t="shared" si="19"/>
        <v>326.46154909500029</v>
      </c>
      <c r="AD81" s="8">
        <f t="shared" si="19"/>
        <v>330.89083104824994</v>
      </c>
      <c r="AE81" s="8">
        <f t="shared" si="19"/>
        <v>326.46154909500029</v>
      </c>
      <c r="AF81" s="8">
        <f t="shared" si="19"/>
        <v>326.46154909500029</v>
      </c>
      <c r="AG81" s="8">
        <f t="shared" si="19"/>
        <v>253.02154909500015</v>
      </c>
      <c r="AH81" s="8">
        <f t="shared" si="19"/>
        <v>253.02154909500015</v>
      </c>
      <c r="AI81" s="8">
        <f t="shared" si="19"/>
        <v>179.58154909500016</v>
      </c>
      <c r="AJ81" s="125">
        <f t="shared" si="18"/>
        <v>12124.30185143277</v>
      </c>
    </row>
    <row r="82" spans="1:36" x14ac:dyDescent="0.25">
      <c r="A82" s="370" t="s">
        <v>300</v>
      </c>
      <c r="B82" s="371">
        <f>'Assumptions &amp; Results'!C154</f>
        <v>0.1</v>
      </c>
      <c r="C82" s="375">
        <f>NPV(B82,C81:AI81)</f>
        <v>1827.5762820321886</v>
      </c>
    </row>
    <row r="83" spans="1:36" x14ac:dyDescent="0.25">
      <c r="A83" s="370" t="s">
        <v>511</v>
      </c>
      <c r="B83" s="370"/>
      <c r="C83" s="376">
        <f>IRR(C81:AI81)</f>
        <v>0.18148178802396298</v>
      </c>
    </row>
  </sheetData>
  <pageMargins left="0.7" right="0.7" top="0.75" bottom="0.75" header="0.3" footer="0.3"/>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Cover </vt:lpstr>
      <vt:lpstr>Assumptions &amp; Results</vt:lpstr>
      <vt:lpstr>Field 1 Depr</vt:lpstr>
      <vt:lpstr>Sheet1</vt:lpstr>
      <vt:lpstr>Field 1 Fiscal</vt:lpstr>
      <vt:lpstr>Field 1 Investor</vt:lpstr>
      <vt:lpstr>Field 2 Depr</vt:lpstr>
      <vt:lpstr>Field 2 Fiscal</vt:lpstr>
      <vt:lpstr>Field 2 Investor</vt:lpstr>
      <vt:lpstr>Field 3 Depr</vt:lpstr>
      <vt:lpstr>Field 3 Fiscal</vt:lpstr>
      <vt:lpstr>Field 3 Investor</vt:lpstr>
      <vt:lpstr>Gas PL</vt:lpstr>
      <vt:lpstr>LNG Equity </vt:lpstr>
      <vt:lpstr>LNG Tolling</vt:lpstr>
      <vt:lpstr>Consolidated LNG Equity</vt:lpstr>
      <vt:lpstr>Consolidated LNG Tolling</vt:lpstr>
      <vt:lpstr>One Ring Fence Depr</vt:lpstr>
      <vt:lpstr>One Ring Fence Fiscal</vt:lpstr>
      <vt:lpstr>Consolidated One Ring Fence</vt:lpstr>
      <vt:lpstr>Financing for Fiscal Terms Only</vt:lpstr>
      <vt:lpstr>NOC &amp; IOC Shares</vt:lpstr>
      <vt:lpstr>Sheet2</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CLS Users</cp:lastModifiedBy>
  <cp:revision/>
  <dcterms:created xsi:type="dcterms:W3CDTF">2015-05-15T13:57:42Z</dcterms:created>
  <dcterms:modified xsi:type="dcterms:W3CDTF">2017-06-06T16:32:45Z</dcterms:modified>
</cp:coreProperties>
</file>