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autoCompressPictures="0"/>
  <bookViews>
    <workbookView xWindow="240" yWindow="240" windowWidth="19440" windowHeight="14115" tabRatio="760"/>
  </bookViews>
  <sheets>
    <sheet name="Navigate" sheetId="27" r:id="rId1"/>
    <sheet name="Assumptions &amp; Results" sheetId="9" r:id="rId2"/>
    <sheet name="Inputs" sheetId="24" r:id="rId3"/>
    <sheet name="Calculations" sheetId="1" r:id="rId4"/>
    <sheet name="Cash Flows" sheetId="25" r:id="rId5"/>
    <sheet name="Capex" sheetId="6" r:id="rId6"/>
    <sheet name="Debt &amp; Equity" sheetId="21" r:id="rId7"/>
    <sheet name="Debt&amp;EquityMax" sheetId="28" state="hidden" r:id="rId8"/>
  </sheet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C2" i="9" l="1"/>
  <c r="C103" i="9" s="1"/>
  <c r="C95" i="9" l="1"/>
  <c r="C109" i="9"/>
  <c r="C113" i="9"/>
  <c r="D10" i="24"/>
  <c r="E8" i="1" s="1"/>
  <c r="D14" i="24"/>
  <c r="D15" i="24" s="1"/>
  <c r="E10" i="1" s="1"/>
  <c r="E11" i="25" s="1"/>
  <c r="AI14" i="24"/>
  <c r="AJ14" i="24"/>
  <c r="AK14" i="24"/>
  <c r="AL14" i="24"/>
  <c r="AM14" i="24"/>
  <c r="AN14" i="24"/>
  <c r="AO14" i="24"/>
  <c r="AP14" i="24"/>
  <c r="AQ14" i="24"/>
  <c r="AR14" i="24"/>
  <c r="AS14" i="24"/>
  <c r="AT14" i="24"/>
  <c r="AU14" i="24"/>
  <c r="AV14" i="24"/>
  <c r="AW14" i="24"/>
  <c r="AX14" i="24"/>
  <c r="AY14" i="24"/>
  <c r="AZ14" i="24"/>
  <c r="BA14" i="24"/>
  <c r="C89" i="9"/>
  <c r="C116" i="9"/>
  <c r="C7" i="28" s="1"/>
  <c r="D9" i="24"/>
  <c r="D18" i="24" s="1"/>
  <c r="D6" i="6" s="1"/>
  <c r="D21" i="24"/>
  <c r="D8" i="6" s="1"/>
  <c r="C7" i="21"/>
  <c r="C9" i="21"/>
  <c r="C8" i="21"/>
  <c r="E9" i="24"/>
  <c r="E18" i="24" s="1"/>
  <c r="E6" i="6" s="1"/>
  <c r="E21" i="24"/>
  <c r="E8" i="6"/>
  <c r="F9" i="24"/>
  <c r="D4" i="21"/>
  <c r="C86" i="9"/>
  <c r="C87" i="9"/>
  <c r="E160" i="1" s="1"/>
  <c r="C84" i="9"/>
  <c r="F7" i="1"/>
  <c r="E7" i="1"/>
  <c r="C114" i="9"/>
  <c r="G7" i="1"/>
  <c r="H7" i="1"/>
  <c r="I7" i="1"/>
  <c r="J7" i="1"/>
  <c r="K7" i="1"/>
  <c r="L7" i="1"/>
  <c r="M7" i="1"/>
  <c r="N7" i="1"/>
  <c r="O7" i="1"/>
  <c r="P7" i="1"/>
  <c r="Q7" i="1"/>
  <c r="R7" i="1"/>
  <c r="S7" i="1"/>
  <c r="T7" i="1"/>
  <c r="U7" i="1"/>
  <c r="V7" i="1"/>
  <c r="W7" i="1"/>
  <c r="X7" i="1"/>
  <c r="Y7" i="1"/>
  <c r="Z7" i="1"/>
  <c r="AA7" i="1"/>
  <c r="AB7" i="1"/>
  <c r="AC7" i="1"/>
  <c r="AD7" i="1"/>
  <c r="AE7" i="1"/>
  <c r="AF7" i="1"/>
  <c r="AG7" i="1"/>
  <c r="AH7" i="1"/>
  <c r="AI7" i="1"/>
  <c r="AJ7" i="1"/>
  <c r="AK7" i="1"/>
  <c r="AL7" i="1"/>
  <c r="AM7" i="1"/>
  <c r="AN7" i="1"/>
  <c r="AO7" i="1"/>
  <c r="AP7" i="1"/>
  <c r="AQ7" i="1"/>
  <c r="AR7" i="1"/>
  <c r="AS7" i="1"/>
  <c r="AT7" i="1"/>
  <c r="AU7" i="1"/>
  <c r="AV7" i="1"/>
  <c r="AW7" i="1"/>
  <c r="AX7" i="1"/>
  <c r="AY7" i="1"/>
  <c r="AZ7" i="1"/>
  <c r="BA7" i="1"/>
  <c r="BB7" i="1"/>
  <c r="E1" i="1"/>
  <c r="C128" i="9"/>
  <c r="D275" i="21"/>
  <c r="E143" i="1" s="1"/>
  <c r="E38" i="25" s="1"/>
  <c r="E130" i="1"/>
  <c r="F130" i="1"/>
  <c r="G130" i="1"/>
  <c r="H130" i="1"/>
  <c r="I130" i="1"/>
  <c r="J130" i="1"/>
  <c r="K130" i="1"/>
  <c r="L130" i="1"/>
  <c r="M130" i="1"/>
  <c r="N130" i="1"/>
  <c r="O130" i="1"/>
  <c r="P130" i="1"/>
  <c r="Q130" i="1"/>
  <c r="R130" i="1"/>
  <c r="S130" i="1"/>
  <c r="T130" i="1"/>
  <c r="U130" i="1"/>
  <c r="V130" i="1"/>
  <c r="W130" i="1"/>
  <c r="X130" i="1"/>
  <c r="Y130" i="1"/>
  <c r="Z130" i="1"/>
  <c r="AA130" i="1"/>
  <c r="AB130" i="1"/>
  <c r="AC130" i="1"/>
  <c r="AD130" i="1"/>
  <c r="AE130" i="1"/>
  <c r="AF130" i="1"/>
  <c r="AG130" i="1"/>
  <c r="AH130" i="1"/>
  <c r="AI130" i="1"/>
  <c r="AJ130" i="1"/>
  <c r="AK130" i="1"/>
  <c r="AL130" i="1"/>
  <c r="AM130" i="1"/>
  <c r="AN130" i="1"/>
  <c r="AO130" i="1"/>
  <c r="AP130" i="1"/>
  <c r="AQ130" i="1"/>
  <c r="AR130" i="1"/>
  <c r="AS130" i="1"/>
  <c r="AT130" i="1"/>
  <c r="AU130" i="1"/>
  <c r="AV130" i="1"/>
  <c r="AW130" i="1"/>
  <c r="AX130" i="1"/>
  <c r="AY130" i="1"/>
  <c r="AZ130" i="1"/>
  <c r="BA130" i="1"/>
  <c r="BB130" i="1"/>
  <c r="F123" i="1"/>
  <c r="G123" i="1"/>
  <c r="H123" i="1"/>
  <c r="I123" i="1"/>
  <c r="J123" i="1"/>
  <c r="K123" i="1"/>
  <c r="L123" i="1"/>
  <c r="M123" i="1"/>
  <c r="N123" i="1"/>
  <c r="O123" i="1"/>
  <c r="P123" i="1"/>
  <c r="Q123" i="1"/>
  <c r="R123" i="1"/>
  <c r="S123" i="1"/>
  <c r="T123" i="1"/>
  <c r="U123" i="1"/>
  <c r="V123" i="1"/>
  <c r="W123" i="1"/>
  <c r="X123" i="1"/>
  <c r="Y123" i="1"/>
  <c r="Z123" i="1"/>
  <c r="AA123" i="1"/>
  <c r="AB123" i="1"/>
  <c r="AC123" i="1"/>
  <c r="AD123" i="1"/>
  <c r="AE123" i="1"/>
  <c r="AF123" i="1"/>
  <c r="AG123" i="1"/>
  <c r="AH123" i="1"/>
  <c r="AI123" i="1"/>
  <c r="AJ123" i="1"/>
  <c r="AK123" i="1"/>
  <c r="AL123" i="1"/>
  <c r="AM123" i="1"/>
  <c r="AN123" i="1"/>
  <c r="AO123" i="1"/>
  <c r="AP123" i="1"/>
  <c r="AQ123" i="1"/>
  <c r="AR123" i="1"/>
  <c r="AS123" i="1"/>
  <c r="AT123" i="1"/>
  <c r="AU123" i="1"/>
  <c r="AV123" i="1"/>
  <c r="AW123" i="1"/>
  <c r="AX123" i="1"/>
  <c r="AY123" i="1"/>
  <c r="AZ123" i="1"/>
  <c r="BA123" i="1"/>
  <c r="BB123" i="1"/>
  <c r="C77" i="9"/>
  <c r="C106" i="9"/>
  <c r="B15" i="6" s="1"/>
  <c r="C107" i="9"/>
  <c r="B12" i="6" s="1"/>
  <c r="C105" i="9"/>
  <c r="B13" i="6" s="1"/>
  <c r="C108" i="9"/>
  <c r="B14" i="6" s="1"/>
  <c r="P65" i="6"/>
  <c r="T35" i="6"/>
  <c r="T59" i="6"/>
  <c r="X41" i="6"/>
  <c r="X65" i="6"/>
  <c r="AE65" i="6"/>
  <c r="AI65" i="6"/>
  <c r="AM47" i="6"/>
  <c r="AQ41" i="6"/>
  <c r="AX35" i="6"/>
  <c r="AX59" i="6"/>
  <c r="AY23" i="6"/>
  <c r="AY35" i="6"/>
  <c r="AY41" i="6"/>
  <c r="AY47" i="6"/>
  <c r="AY59" i="6"/>
  <c r="AY65" i="6"/>
  <c r="E70" i="1"/>
  <c r="F9" i="9"/>
  <c r="C9" i="9"/>
  <c r="F16" i="9"/>
  <c r="C16" i="9"/>
  <c r="F10" i="9"/>
  <c r="C10" i="9"/>
  <c r="F11" i="9"/>
  <c r="C11" i="9"/>
  <c r="F12" i="9"/>
  <c r="C12" i="9"/>
  <c r="F13" i="9"/>
  <c r="C13" i="9"/>
  <c r="F14" i="9"/>
  <c r="C14" i="9"/>
  <c r="F15" i="9"/>
  <c r="C15" i="9"/>
  <c r="C132" i="9"/>
  <c r="F24" i="25"/>
  <c r="G24" i="25"/>
  <c r="H24" i="25"/>
  <c r="I24" i="25"/>
  <c r="J24" i="25"/>
  <c r="K24" i="25"/>
  <c r="L24" i="25"/>
  <c r="M24" i="25"/>
  <c r="N24" i="25"/>
  <c r="O24" i="25"/>
  <c r="P24" i="25"/>
  <c r="Q24" i="25"/>
  <c r="R24" i="25"/>
  <c r="S24" i="25"/>
  <c r="T24" i="25"/>
  <c r="U24" i="25"/>
  <c r="V24" i="25"/>
  <c r="W24" i="25"/>
  <c r="X24" i="25"/>
  <c r="Y24" i="25"/>
  <c r="Z24" i="25"/>
  <c r="AA24" i="25"/>
  <c r="AB24" i="25"/>
  <c r="AC24" i="25"/>
  <c r="AD24" i="25"/>
  <c r="AE24" i="25"/>
  <c r="AF24" i="25"/>
  <c r="AG24" i="25"/>
  <c r="AH24" i="25"/>
  <c r="AI24" i="25"/>
  <c r="AJ24" i="25"/>
  <c r="AK24" i="25"/>
  <c r="AL24" i="25"/>
  <c r="AM24" i="25"/>
  <c r="AN24" i="25"/>
  <c r="AO24" i="25"/>
  <c r="AP24" i="25"/>
  <c r="AQ24" i="25"/>
  <c r="AR24" i="25"/>
  <c r="AS24" i="25"/>
  <c r="AT24" i="25"/>
  <c r="AU24" i="25"/>
  <c r="AV24" i="25"/>
  <c r="AW24" i="25"/>
  <c r="AX24" i="25"/>
  <c r="AY24" i="25"/>
  <c r="AZ24" i="25"/>
  <c r="BA24" i="25"/>
  <c r="BB24" i="25"/>
  <c r="F6"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E13" i="24"/>
  <c r="E1" i="24"/>
  <c r="C41" i="9"/>
  <c r="C56" i="9"/>
  <c r="C55" i="9"/>
  <c r="C54" i="9"/>
  <c r="C53" i="9"/>
  <c r="C52" i="9"/>
  <c r="C51" i="9"/>
  <c r="C50" i="9"/>
  <c r="C49" i="9"/>
  <c r="C48" i="9"/>
  <c r="C47" i="9"/>
  <c r="C46" i="9"/>
  <c r="C45" i="9"/>
  <c r="C44" i="9"/>
  <c r="C43" i="9"/>
  <c r="C42" i="9"/>
  <c r="C93" i="9"/>
  <c r="C130" i="9"/>
  <c r="AC10" i="9"/>
  <c r="AD10" i="9"/>
  <c r="AE10" i="9"/>
  <c r="AC6" i="9"/>
  <c r="AD6" i="9"/>
  <c r="AE6" i="9"/>
  <c r="AC8" i="9"/>
  <c r="AD8" i="9"/>
  <c r="AE8" i="9"/>
  <c r="AC4" i="9"/>
  <c r="AD4" i="9"/>
  <c r="AE4" i="9"/>
  <c r="AG4" i="9" a="1"/>
  <c r="AG12" i="9" s="1"/>
  <c r="AG6" i="9"/>
  <c r="AG4" i="9"/>
  <c r="AG13" i="9"/>
  <c r="AG10" i="9"/>
  <c r="AG7" i="9"/>
  <c r="AG14" i="9"/>
  <c r="AG5" i="9"/>
  <c r="AG8" i="9"/>
  <c r="D2" i="6"/>
  <c r="D22" i="6"/>
  <c r="D28" i="6"/>
  <c r="E2" i="6"/>
  <c r="D34" i="6"/>
  <c r="F2" i="6"/>
  <c r="D40" i="6"/>
  <c r="G2" i="6"/>
  <c r="D46" i="6"/>
  <c r="H2" i="6"/>
  <c r="D52" i="6"/>
  <c r="I2" i="6"/>
  <c r="D58" i="6"/>
  <c r="J2" i="6"/>
  <c r="D64" i="6"/>
  <c r="K2" i="6"/>
  <c r="B69" i="6"/>
  <c r="D70" i="6"/>
  <c r="L2" i="6"/>
  <c r="B75" i="6"/>
  <c r="D76" i="6"/>
  <c r="M2" i="6"/>
  <c r="D82" i="6"/>
  <c r="N2" i="6"/>
  <c r="D88" i="6"/>
  <c r="O2" i="6"/>
  <c r="D94" i="6"/>
  <c r="P2" i="6"/>
  <c r="D100" i="6"/>
  <c r="Q2" i="6"/>
  <c r="D106" i="6"/>
  <c r="R2" i="6"/>
  <c r="D112" i="6"/>
  <c r="S2" i="6"/>
  <c r="D118" i="6"/>
  <c r="T2" i="6"/>
  <c r="D124" i="6"/>
  <c r="U2" i="6"/>
  <c r="D130" i="6"/>
  <c r="V2" i="6"/>
  <c r="D136" i="6"/>
  <c r="W2" i="6"/>
  <c r="D142" i="6"/>
  <c r="X2" i="6"/>
  <c r="D148" i="6"/>
  <c r="Y2" i="6"/>
  <c r="D154" i="6"/>
  <c r="Z2" i="6"/>
  <c r="D160" i="6"/>
  <c r="AA2" i="6"/>
  <c r="D166" i="6"/>
  <c r="AB2" i="6"/>
  <c r="AB53" i="6" s="1"/>
  <c r="D172" i="6"/>
  <c r="AC2" i="6"/>
  <c r="D178" i="6"/>
  <c r="AD2" i="6"/>
  <c r="D184" i="6"/>
  <c r="AE2" i="6"/>
  <c r="AE23" i="6" s="1"/>
  <c r="D190" i="6"/>
  <c r="AF2" i="6"/>
  <c r="AF47" i="6" s="1"/>
  <c r="D196" i="6"/>
  <c r="AG2" i="6"/>
  <c r="D202" i="6"/>
  <c r="AH2" i="6"/>
  <c r="D208" i="6"/>
  <c r="AI2" i="6"/>
  <c r="AI53" i="6" s="1"/>
  <c r="D214" i="6"/>
  <c r="AJ2" i="6"/>
  <c r="AJ41" i="6" s="1"/>
  <c r="D220" i="6"/>
  <c r="AK2" i="6"/>
  <c r="D226" i="6"/>
  <c r="AL2" i="6"/>
  <c r="D232" i="6"/>
  <c r="AM2" i="6"/>
  <c r="AM53" i="6" s="1"/>
  <c r="D238" i="6"/>
  <c r="AN2" i="6"/>
  <c r="AN35" i="6" s="1"/>
  <c r="D244" i="6"/>
  <c r="AO2" i="6"/>
  <c r="D250" i="6"/>
  <c r="AP2" i="6"/>
  <c r="D256" i="6"/>
  <c r="AQ2" i="6"/>
  <c r="AQ53" i="6" s="1"/>
  <c r="D262" i="6"/>
  <c r="AR2" i="6"/>
  <c r="AR29" i="6" s="1"/>
  <c r="D268" i="6"/>
  <c r="AS2" i="6"/>
  <c r="D274" i="6"/>
  <c r="D280" i="6"/>
  <c r="AU2" i="6"/>
  <c r="D286" i="6"/>
  <c r="AV2" i="6"/>
  <c r="AV35" i="6" s="1"/>
  <c r="D292" i="6"/>
  <c r="AW2" i="6"/>
  <c r="D298" i="6"/>
  <c r="AX2" i="6"/>
  <c r="AX23" i="6" s="1"/>
  <c r="D304" i="6"/>
  <c r="AY2" i="6"/>
  <c r="AY29" i="6" s="1"/>
  <c r="D310" i="6"/>
  <c r="AZ2" i="6"/>
  <c r="AZ29" i="6" s="1"/>
  <c r="D316" i="6"/>
  <c r="AT2" i="6"/>
  <c r="D18" i="6"/>
  <c r="C115" i="9"/>
  <c r="A130" i="1"/>
  <c r="A7" i="1"/>
  <c r="BB2" i="25"/>
  <c r="BA2" i="25"/>
  <c r="AZ2" i="25"/>
  <c r="AY2" i="25"/>
  <c r="AX2" i="25"/>
  <c r="AW2" i="25"/>
  <c r="AV2" i="25"/>
  <c r="AU2" i="25"/>
  <c r="AT2" i="25"/>
  <c r="AS2" i="25"/>
  <c r="AR2" i="25"/>
  <c r="AQ2" i="25"/>
  <c r="AP2" i="25"/>
  <c r="AO2" i="25"/>
  <c r="AN2" i="25"/>
  <c r="AM2" i="25"/>
  <c r="AL2" i="25"/>
  <c r="AK2" i="25"/>
  <c r="AJ2" i="25"/>
  <c r="AI2" i="25"/>
  <c r="AH2" i="25"/>
  <c r="AG2" i="25"/>
  <c r="AF2" i="25"/>
  <c r="AE2" i="25"/>
  <c r="AD2" i="25"/>
  <c r="AC2" i="25"/>
  <c r="AB2" i="25"/>
  <c r="AA2" i="25"/>
  <c r="Z2" i="25"/>
  <c r="Y2" i="25"/>
  <c r="X2" i="25"/>
  <c r="W2" i="25"/>
  <c r="V2" i="25"/>
  <c r="U2" i="25"/>
  <c r="T2" i="25"/>
  <c r="S2" i="25"/>
  <c r="R2" i="25"/>
  <c r="Q2" i="25"/>
  <c r="P2" i="25"/>
  <c r="O2" i="25"/>
  <c r="N2" i="25"/>
  <c r="M2" i="25"/>
  <c r="L2" i="25"/>
  <c r="K2" i="25"/>
  <c r="J2" i="25"/>
  <c r="I2" i="25"/>
  <c r="H2" i="25"/>
  <c r="G2" i="25"/>
  <c r="F2" i="25"/>
  <c r="E2" i="25"/>
  <c r="E1" i="25"/>
  <c r="D4" i="28"/>
  <c r="C99" i="9"/>
  <c r="C110" i="9"/>
  <c r="K73" i="9"/>
  <c r="C73" i="9"/>
  <c r="K57" i="9"/>
  <c r="C57" i="9"/>
  <c r="K58" i="9"/>
  <c r="C58" i="9"/>
  <c r="K59" i="9"/>
  <c r="C59" i="9"/>
  <c r="K60" i="9"/>
  <c r="C60" i="9"/>
  <c r="K61" i="9"/>
  <c r="C61" i="9"/>
  <c r="K62" i="9"/>
  <c r="C62" i="9"/>
  <c r="K63" i="9"/>
  <c r="C63" i="9"/>
  <c r="K64" i="9"/>
  <c r="C64" i="9"/>
  <c r="K65" i="9"/>
  <c r="C65" i="9"/>
  <c r="K66" i="9"/>
  <c r="C66" i="9"/>
  <c r="K67" i="9"/>
  <c r="C67" i="9"/>
  <c r="K68" i="9"/>
  <c r="C68" i="9"/>
  <c r="K69" i="9"/>
  <c r="C69" i="9"/>
  <c r="K70" i="9"/>
  <c r="C70" i="9"/>
  <c r="K71" i="9"/>
  <c r="C71" i="9"/>
  <c r="K72" i="9"/>
  <c r="C72" i="9"/>
  <c r="C32" i="9"/>
  <c r="C31" i="9"/>
  <c r="C30" i="9"/>
  <c r="C29" i="9"/>
  <c r="C28" i="9"/>
  <c r="C27" i="9"/>
  <c r="C23" i="9"/>
  <c r="C22" i="9"/>
  <c r="C21" i="9"/>
  <c r="C20" i="9"/>
  <c r="C19" i="9"/>
  <c r="C18" i="9"/>
  <c r="C17" i="9"/>
  <c r="C24" i="9"/>
  <c r="C25" i="9"/>
  <c r="C26" i="9"/>
  <c r="C33" i="9"/>
  <c r="C34" i="9"/>
  <c r="C35" i="9"/>
  <c r="C36" i="9"/>
  <c r="C37" i="9"/>
  <c r="C38" i="9"/>
  <c r="C39" i="9"/>
  <c r="C75" i="9"/>
  <c r="C76" i="9"/>
  <c r="C101" i="9"/>
  <c r="C102" i="9"/>
  <c r="C100" i="9"/>
  <c r="C9" i="28"/>
  <c r="C8" i="28"/>
  <c r="D275" i="28"/>
  <c r="BA2" i="28"/>
  <c r="AZ2" i="28"/>
  <c r="AY2" i="28"/>
  <c r="AX2" i="28"/>
  <c r="AW2" i="28"/>
  <c r="AV2" i="28"/>
  <c r="AU2" i="28"/>
  <c r="AT2" i="28"/>
  <c r="AS2" i="28"/>
  <c r="AR2" i="28"/>
  <c r="AQ2" i="28"/>
  <c r="AP2" i="28"/>
  <c r="AO2" i="28"/>
  <c r="AN2" i="28"/>
  <c r="AM2" i="28"/>
  <c r="AL2" i="28"/>
  <c r="AK2" i="28"/>
  <c r="AJ2" i="28"/>
  <c r="AI2" i="28"/>
  <c r="AH2" i="28"/>
  <c r="AG2" i="28"/>
  <c r="AF2" i="28"/>
  <c r="AE2" i="28"/>
  <c r="AD2" i="28"/>
  <c r="AC2" i="28"/>
  <c r="AB2" i="28"/>
  <c r="AA2" i="28"/>
  <c r="Z2" i="28"/>
  <c r="Y2" i="28"/>
  <c r="X2" i="28"/>
  <c r="W2" i="28"/>
  <c r="V2" i="28"/>
  <c r="U2" i="28"/>
  <c r="T2" i="28"/>
  <c r="S2" i="28"/>
  <c r="R2" i="28"/>
  <c r="Q2" i="28"/>
  <c r="P2" i="28"/>
  <c r="O2" i="28"/>
  <c r="N2" i="28"/>
  <c r="M2" i="28"/>
  <c r="L2" i="28"/>
  <c r="K2" i="28"/>
  <c r="J2" i="28"/>
  <c r="I2" i="28"/>
  <c r="H2" i="28"/>
  <c r="G2" i="28"/>
  <c r="F2" i="28"/>
  <c r="E2" i="28"/>
  <c r="D2" i="28"/>
  <c r="E1" i="28"/>
  <c r="D1" i="28"/>
  <c r="C83" i="9"/>
  <c r="C88" i="9"/>
  <c r="C94" i="9"/>
  <c r="C96" i="9"/>
  <c r="E2" i="1"/>
  <c r="F2" i="1"/>
  <c r="BA2" i="6"/>
  <c r="BA77" i="6"/>
  <c r="C130" i="1"/>
  <c r="D1" i="6"/>
  <c r="D19" i="6"/>
  <c r="D9" i="6"/>
  <c r="E9" i="6" s="1"/>
  <c r="D7" i="6"/>
  <c r="E1" i="21"/>
  <c r="E2" i="21"/>
  <c r="F2" i="21"/>
  <c r="G2" i="21"/>
  <c r="H2" i="21"/>
  <c r="I2" i="21"/>
  <c r="J2" i="21"/>
  <c r="K2" i="21"/>
  <c r="L2" i="21"/>
  <c r="M2" i="21"/>
  <c r="N2" i="21"/>
  <c r="O2" i="21"/>
  <c r="P2" i="21"/>
  <c r="Q2" i="21"/>
  <c r="R2" i="21"/>
  <c r="S2" i="21"/>
  <c r="T2" i="21"/>
  <c r="U2" i="21"/>
  <c r="V2" i="21"/>
  <c r="W2" i="21"/>
  <c r="X2" i="21"/>
  <c r="Y2" i="21"/>
  <c r="Z2" i="21"/>
  <c r="AA2" i="21"/>
  <c r="AB2" i="21"/>
  <c r="AC2" i="21"/>
  <c r="AD2" i="21"/>
  <c r="AE2" i="21"/>
  <c r="AF2" i="21"/>
  <c r="AG2" i="21"/>
  <c r="AH2" i="21"/>
  <c r="AI2" i="21"/>
  <c r="AJ2" i="21"/>
  <c r="AK2" i="21"/>
  <c r="AL2" i="21"/>
  <c r="AM2" i="21"/>
  <c r="AN2" i="21"/>
  <c r="AO2" i="21"/>
  <c r="AP2" i="21"/>
  <c r="AQ2" i="21"/>
  <c r="AR2" i="21"/>
  <c r="AS2" i="21"/>
  <c r="AT2" i="21"/>
  <c r="AU2" i="21"/>
  <c r="AV2" i="21"/>
  <c r="AW2" i="21"/>
  <c r="AX2" i="21"/>
  <c r="AY2" i="21"/>
  <c r="AZ2" i="21"/>
  <c r="BA2" i="21"/>
  <c r="D2" i="21"/>
  <c r="D1" i="21"/>
  <c r="AO2" i="1"/>
  <c r="AP2" i="1"/>
  <c r="AQ2" i="1"/>
  <c r="AR2" i="1"/>
  <c r="AS2" i="1"/>
  <c r="AT2" i="1"/>
  <c r="AU2" i="1"/>
  <c r="AV2" i="1"/>
  <c r="AW2" i="1"/>
  <c r="AX2" i="1"/>
  <c r="AY2" i="1"/>
  <c r="AZ2" i="1"/>
  <c r="BA2" i="1"/>
  <c r="BB2" i="1"/>
  <c r="AJ2" i="1"/>
  <c r="AK2" i="1"/>
  <c r="AL2" i="1"/>
  <c r="AM2" i="1"/>
  <c r="AN2" i="1"/>
  <c r="G2" i="1"/>
  <c r="H2" i="1"/>
  <c r="I2" i="1"/>
  <c r="J2" i="1"/>
  <c r="K2" i="1"/>
  <c r="L2" i="1"/>
  <c r="M2" i="1"/>
  <c r="N2" i="1"/>
  <c r="O2" i="1"/>
  <c r="P2" i="1"/>
  <c r="Q2" i="1"/>
  <c r="R2" i="1"/>
  <c r="S2" i="1"/>
  <c r="T2" i="1"/>
  <c r="U2" i="1"/>
  <c r="V2" i="1"/>
  <c r="W2" i="1"/>
  <c r="X2" i="1"/>
  <c r="Y2" i="1"/>
  <c r="Z2" i="1"/>
  <c r="AA2" i="1"/>
  <c r="AB2" i="1"/>
  <c r="AC2" i="1"/>
  <c r="AD2" i="1"/>
  <c r="AE2" i="1"/>
  <c r="AF2" i="1"/>
  <c r="AG2" i="1"/>
  <c r="AH2" i="1"/>
  <c r="AI2" i="1"/>
  <c r="E6" i="1" l="1"/>
  <c r="E5" i="25" s="1"/>
  <c r="E7" i="6"/>
  <c r="E14" i="25"/>
  <c r="AH20" i="9" a="1"/>
  <c r="AH20" i="9" s="1"/>
  <c r="AH36" i="9" a="1"/>
  <c r="AH46" i="9" s="1"/>
  <c r="E74" i="1"/>
  <c r="E144" i="1" s="1"/>
  <c r="E142" i="1" s="1"/>
  <c r="AH4" i="9" a="1"/>
  <c r="AH12" i="9" s="1"/>
  <c r="BA53" i="6"/>
  <c r="BA35" i="6"/>
  <c r="BA65" i="6"/>
  <c r="BA41" i="6"/>
  <c r="BA71" i="6"/>
  <c r="BA47" i="6"/>
  <c r="BA23" i="6"/>
  <c r="D77" i="6"/>
  <c r="D79" i="6" s="1"/>
  <c r="H77" i="6"/>
  <c r="I77" i="6"/>
  <c r="J77" i="6"/>
  <c r="G77" i="6"/>
  <c r="F77" i="6"/>
  <c r="K77" i="6"/>
  <c r="N77" i="6"/>
  <c r="O77" i="6"/>
  <c r="R77" i="6"/>
  <c r="L77" i="6"/>
  <c r="S77" i="6"/>
  <c r="Z77" i="6"/>
  <c r="E77" i="6"/>
  <c r="AA77" i="6"/>
  <c r="P77" i="6"/>
  <c r="W77" i="6"/>
  <c r="Q77" i="6"/>
  <c r="AF77" i="6"/>
  <c r="AN77" i="6"/>
  <c r="AU77" i="6"/>
  <c r="AG77" i="6"/>
  <c r="AO77" i="6"/>
  <c r="AH77" i="6"/>
  <c r="AP77" i="6"/>
  <c r="AC77" i="6"/>
  <c r="AK77" i="6"/>
  <c r="AS77" i="6"/>
  <c r="Y77" i="6"/>
  <c r="AJ77" i="6"/>
  <c r="AV77" i="6"/>
  <c r="AL77" i="6"/>
  <c r="AW77" i="6"/>
  <c r="T77" i="6"/>
  <c r="V77" i="6"/>
  <c r="AE77" i="6"/>
  <c r="AX77" i="6"/>
  <c r="AD77" i="6"/>
  <c r="AT77" i="6"/>
  <c r="AI77" i="6"/>
  <c r="AY77" i="6"/>
  <c r="AB77" i="6"/>
  <c r="AM77" i="6"/>
  <c r="AQ77" i="6"/>
  <c r="AR77" i="6"/>
  <c r="AZ77" i="6"/>
  <c r="X77" i="6"/>
  <c r="B81" i="6"/>
  <c r="U77" i="6"/>
  <c r="BA59" i="6"/>
  <c r="I65" i="6"/>
  <c r="I29" i="6"/>
  <c r="I41" i="6"/>
  <c r="I59" i="6"/>
  <c r="I23" i="6"/>
  <c r="I35" i="6"/>
  <c r="I47" i="6"/>
  <c r="AH53" i="9" a="1"/>
  <c r="BA29" i="6"/>
  <c r="J65" i="6"/>
  <c r="J35" i="6"/>
  <c r="J41" i="6"/>
  <c r="J29" i="6"/>
  <c r="J53" i="6"/>
  <c r="J47" i="6"/>
  <c r="J23" i="6"/>
  <c r="AT23" i="6"/>
  <c r="AT35" i="6"/>
  <c r="AT47" i="6"/>
  <c r="AT59" i="6"/>
  <c r="AT41" i="6"/>
  <c r="AT65" i="6"/>
  <c r="AT29" i="6"/>
  <c r="AT53" i="6"/>
  <c r="AM59" i="6"/>
  <c r="AE59" i="6"/>
  <c r="D71" i="6"/>
  <c r="D73" i="6" s="1"/>
  <c r="E71" i="6"/>
  <c r="F71" i="6"/>
  <c r="I71" i="6"/>
  <c r="K71" i="6"/>
  <c r="Q71" i="6"/>
  <c r="M71" i="6"/>
  <c r="R71" i="6"/>
  <c r="H71" i="6"/>
  <c r="S71" i="6"/>
  <c r="G71" i="6"/>
  <c r="N71" i="6"/>
  <c r="V71" i="6"/>
  <c r="P71" i="6"/>
  <c r="W71" i="6"/>
  <c r="J71" i="6"/>
  <c r="X71" i="6"/>
  <c r="AA71" i="6"/>
  <c r="AB71" i="6"/>
  <c r="AJ71" i="6"/>
  <c r="AR71" i="6"/>
  <c r="Y71" i="6"/>
  <c r="AC71" i="6"/>
  <c r="AK71" i="6"/>
  <c r="AS71" i="6"/>
  <c r="O71" i="6"/>
  <c r="AD71" i="6"/>
  <c r="AL71" i="6"/>
  <c r="AT71" i="6"/>
  <c r="T71" i="6"/>
  <c r="U71" i="6"/>
  <c r="AG71" i="6"/>
  <c r="AO71" i="6"/>
  <c r="AN71" i="6"/>
  <c r="AU71" i="6"/>
  <c r="AZ71" i="6"/>
  <c r="Z71" i="6"/>
  <c r="AP71" i="6"/>
  <c r="AI71" i="6"/>
  <c r="AH71" i="6"/>
  <c r="AW71" i="6"/>
  <c r="AM71" i="6"/>
  <c r="AF71" i="6"/>
  <c r="AV71" i="6"/>
  <c r="AQ71" i="6"/>
  <c r="AX71" i="6"/>
  <c r="F29" i="6"/>
  <c r="F47" i="6"/>
  <c r="F23" i="6"/>
  <c r="F65" i="6"/>
  <c r="F53" i="6"/>
  <c r="F59" i="6"/>
  <c r="F41" i="6"/>
  <c r="AH4" i="9"/>
  <c r="F1" i="1"/>
  <c r="F1" i="24"/>
  <c r="F1" i="25"/>
  <c r="E1" i="6"/>
  <c r="E14" i="24"/>
  <c r="E15" i="24" s="1"/>
  <c r="F10" i="1" s="1"/>
  <c r="F13" i="24"/>
  <c r="AI59" i="6"/>
  <c r="AH24" i="9"/>
  <c r="AY71" i="6"/>
  <c r="AS23" i="6"/>
  <c r="AS35" i="6"/>
  <c r="AS47" i="6"/>
  <c r="AS59" i="6"/>
  <c r="AS29" i="6"/>
  <c r="AS41" i="6"/>
  <c r="AS53" i="6"/>
  <c r="AS65" i="6"/>
  <c r="AQ35" i="6"/>
  <c r="AQ59" i="6"/>
  <c r="AQ65" i="6"/>
  <c r="AQ23" i="6"/>
  <c r="AQ29" i="6"/>
  <c r="AO29" i="6"/>
  <c r="AO41" i="6"/>
  <c r="AO53" i="6"/>
  <c r="AO65" i="6"/>
  <c r="AO23" i="6"/>
  <c r="AO35" i="6"/>
  <c r="AO47" i="6"/>
  <c r="AO59" i="6"/>
  <c r="AM41" i="6"/>
  <c r="AM65" i="6"/>
  <c r="AM23" i="6"/>
  <c r="AM29" i="6"/>
  <c r="AM35" i="6"/>
  <c r="AK23" i="6"/>
  <c r="AK35" i="6"/>
  <c r="AK47" i="6"/>
  <c r="AK59" i="6"/>
  <c r="AK29" i="6"/>
  <c r="AK41" i="6"/>
  <c r="AK53" i="6"/>
  <c r="AK65" i="6"/>
  <c r="AI23" i="6"/>
  <c r="AI47" i="6"/>
  <c r="AI29" i="6"/>
  <c r="AI35" i="6"/>
  <c r="AI41" i="6"/>
  <c r="AG29" i="6"/>
  <c r="AG41" i="6"/>
  <c r="AG53" i="6"/>
  <c r="AG65" i="6"/>
  <c r="AG23" i="6"/>
  <c r="AG35" i="6"/>
  <c r="AG47" i="6"/>
  <c r="AG59" i="6"/>
  <c r="AE29" i="6"/>
  <c r="AE53" i="6"/>
  <c r="AE35" i="6"/>
  <c r="AE41" i="6"/>
  <c r="AE47" i="6"/>
  <c r="AC23" i="6"/>
  <c r="AC35" i="6"/>
  <c r="AC47" i="6"/>
  <c r="AC59" i="6"/>
  <c r="AC29" i="6"/>
  <c r="AC41" i="6"/>
  <c r="AC53" i="6"/>
  <c r="AC65" i="6"/>
  <c r="AA29" i="6"/>
  <c r="AA41" i="6"/>
  <c r="AA53" i="6"/>
  <c r="AA65" i="6"/>
  <c r="AA23" i="6"/>
  <c r="AA35" i="6"/>
  <c r="AA47" i="6"/>
  <c r="AA59" i="6"/>
  <c r="Y41" i="6"/>
  <c r="Y65" i="6"/>
  <c r="Y23" i="6"/>
  <c r="Y47" i="6"/>
  <c r="Y35" i="6"/>
  <c r="Y59" i="6"/>
  <c r="Y29" i="6"/>
  <c r="Y53" i="6"/>
  <c r="W23" i="6"/>
  <c r="W35" i="6"/>
  <c r="W47" i="6"/>
  <c r="W59" i="6"/>
  <c r="W29" i="6"/>
  <c r="W41" i="6"/>
  <c r="W53" i="6"/>
  <c r="W65" i="6"/>
  <c r="U53" i="6"/>
  <c r="U41" i="6"/>
  <c r="U29" i="6"/>
  <c r="U47" i="6"/>
  <c r="U23" i="6"/>
  <c r="U59" i="6"/>
  <c r="U35" i="6"/>
  <c r="U65" i="6"/>
  <c r="S23" i="6"/>
  <c r="S35" i="6"/>
  <c r="S47" i="6"/>
  <c r="S59" i="6"/>
  <c r="S29" i="6"/>
  <c r="S53" i="6"/>
  <c r="S65" i="6"/>
  <c r="S41" i="6"/>
  <c r="Q23" i="6"/>
  <c r="Q35" i="6"/>
  <c r="Q47" i="6"/>
  <c r="Q59" i="6"/>
  <c r="Q29" i="6"/>
  <c r="Q41" i="6"/>
  <c r="Q65" i="6"/>
  <c r="Q53" i="6"/>
  <c r="O29" i="6"/>
  <c r="O41" i="6"/>
  <c r="O53" i="6"/>
  <c r="O65" i="6"/>
  <c r="O35" i="6"/>
  <c r="O59" i="6"/>
  <c r="O23" i="6"/>
  <c r="O47" i="6"/>
  <c r="M29" i="6"/>
  <c r="M59" i="6"/>
  <c r="M23" i="6"/>
  <c r="M65" i="6"/>
  <c r="M53" i="6"/>
  <c r="M41" i="6"/>
  <c r="M35" i="6"/>
  <c r="M47" i="6"/>
  <c r="K23" i="6"/>
  <c r="K35" i="6"/>
  <c r="K47" i="6"/>
  <c r="K59" i="6"/>
  <c r="K29" i="6"/>
  <c r="K53" i="6"/>
  <c r="K41" i="6"/>
  <c r="E35" i="6"/>
  <c r="E47" i="6"/>
  <c r="E59" i="6"/>
  <c r="E41" i="6"/>
  <c r="E65" i="6"/>
  <c r="E23" i="6"/>
  <c r="E53" i="6"/>
  <c r="AQ47" i="6"/>
  <c r="AE71" i="6"/>
  <c r="AW29" i="6"/>
  <c r="AW41" i="6"/>
  <c r="AW53" i="6"/>
  <c r="AW65" i="6"/>
  <c r="AW23" i="6"/>
  <c r="AW35" i="6"/>
  <c r="AW47" i="6"/>
  <c r="AW59" i="6"/>
  <c r="AU29" i="6"/>
  <c r="AU41" i="6"/>
  <c r="AU53" i="6"/>
  <c r="AU65" i="6"/>
  <c r="AU23" i="6"/>
  <c r="AU47" i="6"/>
  <c r="H53" i="6"/>
  <c r="H65" i="6"/>
  <c r="H29" i="6"/>
  <c r="H41" i="6"/>
  <c r="H23" i="6"/>
  <c r="H35" i="6"/>
  <c r="H59" i="6"/>
  <c r="AG9" i="9"/>
  <c r="AG11" i="9"/>
  <c r="AZ53" i="6"/>
  <c r="AV59" i="6"/>
  <c r="AU35" i="6"/>
  <c r="AR23" i="6"/>
  <c r="AR35" i="6"/>
  <c r="AR47" i="6"/>
  <c r="AR59" i="6"/>
  <c r="AR41" i="6"/>
  <c r="AR65" i="6"/>
  <c r="AP29" i="6"/>
  <c r="AP41" i="6"/>
  <c r="AP53" i="6"/>
  <c r="AP65" i="6"/>
  <c r="AP23" i="6"/>
  <c r="AP47" i="6"/>
  <c r="AP35" i="6"/>
  <c r="AP59" i="6"/>
  <c r="AN29" i="6"/>
  <c r="AN41" i="6"/>
  <c r="AN53" i="6"/>
  <c r="AN65" i="6"/>
  <c r="AN23" i="6"/>
  <c r="AN47" i="6"/>
  <c r="AL23" i="6"/>
  <c r="AL35" i="6"/>
  <c r="AL47" i="6"/>
  <c r="AL59" i="6"/>
  <c r="AL29" i="6"/>
  <c r="AL53" i="6"/>
  <c r="AL41" i="6"/>
  <c r="AL65" i="6"/>
  <c r="AJ23" i="6"/>
  <c r="AJ35" i="6"/>
  <c r="AJ47" i="6"/>
  <c r="AJ59" i="6"/>
  <c r="AJ29" i="6"/>
  <c r="AJ53" i="6"/>
  <c r="AH29" i="6"/>
  <c r="AH41" i="6"/>
  <c r="AH53" i="6"/>
  <c r="AH65" i="6"/>
  <c r="AH35" i="6"/>
  <c r="AH59" i="6"/>
  <c r="AH23" i="6"/>
  <c r="AH47" i="6"/>
  <c r="AF29" i="6"/>
  <c r="AF41" i="6"/>
  <c r="AF53" i="6"/>
  <c r="AF65" i="6"/>
  <c r="AF35" i="6"/>
  <c r="AF59" i="6"/>
  <c r="AD23" i="6"/>
  <c r="AD35" i="6"/>
  <c r="AD47" i="6"/>
  <c r="AD59" i="6"/>
  <c r="AD41" i="6"/>
  <c r="AD65" i="6"/>
  <c r="AD29" i="6"/>
  <c r="AD53" i="6"/>
  <c r="AB23" i="6"/>
  <c r="AB35" i="6"/>
  <c r="AB47" i="6"/>
  <c r="AB59" i="6"/>
  <c r="AB41" i="6"/>
  <c r="AB65" i="6"/>
  <c r="Z29" i="6"/>
  <c r="Z41" i="6"/>
  <c r="Z53" i="6"/>
  <c r="Z65" i="6"/>
  <c r="Z35" i="6"/>
  <c r="Z59" i="6"/>
  <c r="Z23" i="6"/>
  <c r="Z47" i="6"/>
  <c r="X23" i="6"/>
  <c r="X35" i="6"/>
  <c r="X47" i="6"/>
  <c r="X59" i="6"/>
  <c r="X53" i="6"/>
  <c r="V23" i="6"/>
  <c r="V35" i="6"/>
  <c r="V47" i="6"/>
  <c r="V59" i="6"/>
  <c r="V53" i="6"/>
  <c r="V41" i="6"/>
  <c r="V29" i="6"/>
  <c r="V65" i="6"/>
  <c r="T41" i="6"/>
  <c r="T65" i="6"/>
  <c r="T23" i="6"/>
  <c r="T47" i="6"/>
  <c r="T29" i="6"/>
  <c r="T53" i="6"/>
  <c r="R23" i="6"/>
  <c r="R35" i="6"/>
  <c r="R47" i="6"/>
  <c r="R59" i="6"/>
  <c r="R29" i="6"/>
  <c r="R41" i="6"/>
  <c r="R53" i="6"/>
  <c r="R65" i="6"/>
  <c r="P23" i="6"/>
  <c r="P47" i="6"/>
  <c r="P29" i="6"/>
  <c r="P53" i="6"/>
  <c r="P35" i="6"/>
  <c r="P59" i="6"/>
  <c r="P41" i="6"/>
  <c r="N29" i="6"/>
  <c r="N41" i="6"/>
  <c r="N53" i="6"/>
  <c r="N65" i="6"/>
  <c r="N23" i="6"/>
  <c r="N35" i="6"/>
  <c r="N47" i="6"/>
  <c r="N59" i="6"/>
  <c r="L23" i="6"/>
  <c r="L35" i="6"/>
  <c r="L47" i="6"/>
  <c r="L59" i="6"/>
  <c r="L29" i="6"/>
  <c r="L41" i="6"/>
  <c r="L53" i="6"/>
  <c r="L65" i="6"/>
  <c r="D61" i="6"/>
  <c r="G53" i="6"/>
  <c r="G29" i="6"/>
  <c r="G23" i="6"/>
  <c r="G35" i="6"/>
  <c r="G47" i="6"/>
  <c r="G59" i="6"/>
  <c r="G65" i="6"/>
  <c r="AX47" i="6"/>
  <c r="X29" i="6"/>
  <c r="AZ23" i="6"/>
  <c r="AZ35" i="6"/>
  <c r="AZ47" i="6"/>
  <c r="AZ59" i="6"/>
  <c r="AX29" i="6"/>
  <c r="AX41" i="6"/>
  <c r="AX53" i="6"/>
  <c r="AX65" i="6"/>
  <c r="AV29" i="6"/>
  <c r="AV41" i="6"/>
  <c r="AV53" i="6"/>
  <c r="AV65" i="6"/>
  <c r="D35" i="6"/>
  <c r="D37" i="6" s="1"/>
  <c r="D47" i="6"/>
  <c r="D49" i="6" s="1"/>
  <c r="D59" i="6"/>
  <c r="D23" i="6"/>
  <c r="D25" i="6" s="1"/>
  <c r="D29" i="6"/>
  <c r="D31" i="6" s="1"/>
  <c r="D41" i="6"/>
  <c r="D43" i="6" s="1"/>
  <c r="D53" i="6"/>
  <c r="D55" i="6" s="1"/>
  <c r="D65" i="6"/>
  <c r="D67" i="6" s="1"/>
  <c r="E27" i="1"/>
  <c r="AZ65" i="6"/>
  <c r="AZ41" i="6"/>
  <c r="AV47" i="6"/>
  <c r="AV23" i="6"/>
  <c r="AU59" i="6"/>
  <c r="AR53" i="6"/>
  <c r="AN59" i="6"/>
  <c r="AJ65" i="6"/>
  <c r="AF23" i="6"/>
  <c r="AB29" i="6"/>
  <c r="AY53" i="6"/>
  <c r="B130" i="1"/>
  <c r="E93" i="1"/>
  <c r="E95" i="1" s="1"/>
  <c r="F18" i="24"/>
  <c r="F6" i="6" s="1"/>
  <c r="F4" i="6" s="1"/>
  <c r="F35" i="6" s="1"/>
  <c r="F10" i="24"/>
  <c r="G8" i="1" s="1"/>
  <c r="G6" i="1" s="1"/>
  <c r="F21" i="24"/>
  <c r="F8" i="6" s="1"/>
  <c r="F9" i="6" s="1"/>
  <c r="G9" i="24"/>
  <c r="E4" i="6"/>
  <c r="E29" i="6" s="1"/>
  <c r="C4" i="9"/>
  <c r="E15" i="1" s="1"/>
  <c r="C80" i="9"/>
  <c r="C6" i="9"/>
  <c r="E18" i="1" s="1"/>
  <c r="D4" i="6"/>
  <c r="E10" i="24"/>
  <c r="F8" i="1" s="1"/>
  <c r="F6" i="1" s="1"/>
  <c r="C111" i="9"/>
  <c r="C79" i="9"/>
  <c r="E16" i="1" s="1"/>
  <c r="C112" i="9"/>
  <c r="C7" i="9"/>
  <c r="AH7" i="9" l="1"/>
  <c r="AH11" i="9"/>
  <c r="AH6" i="9"/>
  <c r="AH17" i="9"/>
  <c r="AH39" i="9"/>
  <c r="AI39" i="9" s="1"/>
  <c r="AH49" i="9"/>
  <c r="AH42" i="9"/>
  <c r="AH41" i="9"/>
  <c r="AH47" i="9"/>
  <c r="AH44" i="9"/>
  <c r="AH38" i="9"/>
  <c r="AH36" i="9"/>
  <c r="AI46" i="9" s="1"/>
  <c r="AH45" i="9"/>
  <c r="AH43" i="9"/>
  <c r="AH23" i="9"/>
  <c r="AH30" i="9"/>
  <c r="AH27" i="9"/>
  <c r="AH31" i="9"/>
  <c r="E115" i="1"/>
  <c r="E12" i="1"/>
  <c r="E73" i="1"/>
  <c r="E27" i="25"/>
  <c r="E40" i="25" s="1"/>
  <c r="AH21" i="9"/>
  <c r="AH25" i="9"/>
  <c r="AH33" i="9"/>
  <c r="AH28" i="9"/>
  <c r="AH29" i="9"/>
  <c r="AH26" i="9"/>
  <c r="AH32" i="9"/>
  <c r="AH22" i="9"/>
  <c r="AI22" i="9" s="1"/>
  <c r="AH37" i="9"/>
  <c r="AH48" i="9"/>
  <c r="AH40" i="9"/>
  <c r="E39" i="25"/>
  <c r="E13" i="25"/>
  <c r="AH14" i="9"/>
  <c r="AH9" i="9"/>
  <c r="AI9" i="9" s="1"/>
  <c r="AH16" i="9"/>
  <c r="AH15" i="9"/>
  <c r="AH5" i="9"/>
  <c r="AH8" i="9"/>
  <c r="AI8" i="9" s="1"/>
  <c r="AH10" i="9"/>
  <c r="AH13" i="9"/>
  <c r="E80" i="1"/>
  <c r="E34" i="6"/>
  <c r="F12" i="1"/>
  <c r="F12" i="25" s="1"/>
  <c r="F18" i="1"/>
  <c r="F115" i="1"/>
  <c r="F93" i="1"/>
  <c r="F95" i="1" s="1"/>
  <c r="F5" i="25"/>
  <c r="F27" i="1"/>
  <c r="F73" i="1"/>
  <c r="E30" i="6"/>
  <c r="E28" i="6"/>
  <c r="E22" i="6"/>
  <c r="E24" i="6"/>
  <c r="E46" i="6"/>
  <c r="G9" i="6"/>
  <c r="E7" i="25"/>
  <c r="E25" i="25"/>
  <c r="E124" i="1"/>
  <c r="E58" i="6"/>
  <c r="F16" i="1"/>
  <c r="F11" i="25"/>
  <c r="E52" i="6"/>
  <c r="D83" i="6"/>
  <c r="D85" i="6" s="1"/>
  <c r="E83" i="6"/>
  <c r="L83" i="6"/>
  <c r="I83" i="6"/>
  <c r="Q83" i="6"/>
  <c r="G83" i="6"/>
  <c r="R83" i="6"/>
  <c r="F83" i="6"/>
  <c r="S83" i="6"/>
  <c r="V83" i="6"/>
  <c r="H83" i="6"/>
  <c r="O83" i="6"/>
  <c r="M83" i="6"/>
  <c r="W83" i="6"/>
  <c r="T83" i="6"/>
  <c r="U83" i="6"/>
  <c r="X83" i="6"/>
  <c r="J83" i="6"/>
  <c r="P83" i="6"/>
  <c r="AA83" i="6"/>
  <c r="AB83" i="6"/>
  <c r="AJ83" i="6"/>
  <c r="AR83" i="6"/>
  <c r="AC83" i="6"/>
  <c r="AK83" i="6"/>
  <c r="AS83" i="6"/>
  <c r="Z83" i="6"/>
  <c r="AD83" i="6"/>
  <c r="AL83" i="6"/>
  <c r="AT83" i="6"/>
  <c r="Y83" i="6"/>
  <c r="AG83" i="6"/>
  <c r="AO83" i="6"/>
  <c r="AF83" i="6"/>
  <c r="AZ83" i="6"/>
  <c r="AH83" i="6"/>
  <c r="AQ83" i="6"/>
  <c r="AP83" i="6"/>
  <c r="AW83" i="6"/>
  <c r="AE83" i="6"/>
  <c r="K83" i="6"/>
  <c r="AI83" i="6"/>
  <c r="AM83" i="6"/>
  <c r="AY83" i="6"/>
  <c r="AN83" i="6"/>
  <c r="AU83" i="6"/>
  <c r="AV83" i="6"/>
  <c r="AX83" i="6"/>
  <c r="BA83" i="6"/>
  <c r="B87" i="6"/>
  <c r="F17" i="1"/>
  <c r="E13" i="21"/>
  <c r="E12" i="21" s="1"/>
  <c r="F110" i="1"/>
  <c r="E13" i="28"/>
  <c r="E12" i="28" s="1"/>
  <c r="AI68" i="9"/>
  <c r="G1" i="1"/>
  <c r="G1" i="24"/>
  <c r="G1" i="25"/>
  <c r="F1" i="6"/>
  <c r="F1" i="28"/>
  <c r="F1" i="21"/>
  <c r="G18" i="24"/>
  <c r="G6" i="6" s="1"/>
  <c r="G10" i="24"/>
  <c r="H8" i="1" s="1"/>
  <c r="H6" i="1" s="1"/>
  <c r="G21" i="24"/>
  <c r="G8" i="6" s="1"/>
  <c r="H9" i="24"/>
  <c r="E64" i="6"/>
  <c r="AI41" i="9"/>
  <c r="E70" i="6"/>
  <c r="AI13" i="9"/>
  <c r="F84" i="1"/>
  <c r="G84" i="1"/>
  <c r="E84" i="1"/>
  <c r="E76" i="6"/>
  <c r="AH55" i="9"/>
  <c r="AH63" i="9"/>
  <c r="AH56" i="9"/>
  <c r="AH57" i="9"/>
  <c r="AH64" i="9"/>
  <c r="AH60" i="9"/>
  <c r="AH54" i="9"/>
  <c r="AH58" i="9"/>
  <c r="AH66" i="9"/>
  <c r="AH59" i="9"/>
  <c r="AH53" i="9"/>
  <c r="AH61" i="9"/>
  <c r="AH62" i="9"/>
  <c r="AH65" i="9"/>
  <c r="E116" i="1"/>
  <c r="E12" i="25"/>
  <c r="E35" i="1"/>
  <c r="E34" i="1" s="1"/>
  <c r="E33" i="1" s="1"/>
  <c r="E32" i="1" s="1"/>
  <c r="E31" i="1" s="1"/>
  <c r="E30" i="1" s="1"/>
  <c r="E29" i="1" s="1"/>
  <c r="E28" i="1"/>
  <c r="AI16" i="9"/>
  <c r="F7" i="6"/>
  <c r="E17" i="1"/>
  <c r="E20" i="1" s="1"/>
  <c r="E22" i="1" s="1"/>
  <c r="D13" i="21"/>
  <c r="D12" i="21" s="1"/>
  <c r="E110" i="1"/>
  <c r="D13" i="28"/>
  <c r="D12" i="28" s="1"/>
  <c r="AH68" i="9"/>
  <c r="D5" i="6"/>
  <c r="E5" i="6" s="1"/>
  <c r="F5" i="6" s="1"/>
  <c r="G12" i="1"/>
  <c r="G12" i="25" s="1"/>
  <c r="G18" i="1"/>
  <c r="G115" i="1"/>
  <c r="G93" i="1"/>
  <c r="G95" i="1" s="1"/>
  <c r="G73" i="1"/>
  <c r="G27" i="1"/>
  <c r="G5" i="25"/>
  <c r="E40" i="6"/>
  <c r="E6" i="25"/>
  <c r="E123" i="1"/>
  <c r="E24" i="25"/>
  <c r="A15" i="1"/>
  <c r="B15" i="1"/>
  <c r="G17" i="1"/>
  <c r="G110" i="1"/>
  <c r="F13" i="21"/>
  <c r="F12" i="21" s="1"/>
  <c r="AJ68" i="9"/>
  <c r="F13" i="28"/>
  <c r="F12" i="28" s="1"/>
  <c r="F14" i="24"/>
  <c r="F15" i="24" s="1"/>
  <c r="G10" i="1" s="1"/>
  <c r="G13" i="24"/>
  <c r="AI6" i="9" l="1"/>
  <c r="AI4" i="9"/>
  <c r="AI12" i="9"/>
  <c r="AI15" i="9"/>
  <c r="AI11" i="9"/>
  <c r="AM13" i="9" s="1"/>
  <c r="AI14" i="9"/>
  <c r="AI48" i="9"/>
  <c r="AI42" i="9"/>
  <c r="AI47" i="9"/>
  <c r="AI44" i="9"/>
  <c r="AI33" i="9"/>
  <c r="AI29" i="9"/>
  <c r="AI27" i="9"/>
  <c r="AI32" i="9"/>
  <c r="AI31" i="9"/>
  <c r="AI54" i="9"/>
  <c r="G7" i="6"/>
  <c r="AI20" i="9"/>
  <c r="AL24" i="9" s="1"/>
  <c r="AI30" i="9"/>
  <c r="AI21" i="9"/>
  <c r="AI25" i="9"/>
  <c r="AI23" i="9"/>
  <c r="AI26" i="9"/>
  <c r="AI24" i="9"/>
  <c r="AI28" i="9"/>
  <c r="AI40" i="9"/>
  <c r="AI43" i="9"/>
  <c r="AI49" i="9"/>
  <c r="AI36" i="9"/>
  <c r="AI37" i="9"/>
  <c r="AI38" i="9"/>
  <c r="AI45" i="9"/>
  <c r="AI5" i="9"/>
  <c r="AM8" i="9" s="1"/>
  <c r="AI7" i="9"/>
  <c r="AI10" i="9"/>
  <c r="AI17" i="9"/>
  <c r="E25" i="6"/>
  <c r="F24" i="6" s="1"/>
  <c r="G16" i="1"/>
  <c r="G116" i="1"/>
  <c r="G11" i="25"/>
  <c r="E82" i="6"/>
  <c r="F20" i="1"/>
  <c r="AI62" i="9"/>
  <c r="F35" i="1"/>
  <c r="F34" i="1" s="1"/>
  <c r="F33" i="1" s="1"/>
  <c r="F32" i="1" s="1"/>
  <c r="F31" i="1" s="1"/>
  <c r="F30" i="1" s="1"/>
  <c r="F29" i="1" s="1"/>
  <c r="F28" i="1"/>
  <c r="E24" i="1"/>
  <c r="AI53" i="9"/>
  <c r="AI56" i="9"/>
  <c r="H12" i="1"/>
  <c r="H12" i="25" s="1"/>
  <c r="H18" i="1"/>
  <c r="H115" i="1"/>
  <c r="H93" i="1"/>
  <c r="H95" i="1" s="1"/>
  <c r="H73" i="1"/>
  <c r="H27" i="1"/>
  <c r="H5" i="25"/>
  <c r="H1" i="1"/>
  <c r="H1" i="24"/>
  <c r="H1" i="25"/>
  <c r="G1" i="21"/>
  <c r="G1" i="6"/>
  <c r="E36" i="6" s="1"/>
  <c r="G1" i="28"/>
  <c r="G14" i="24"/>
  <c r="G15" i="24" s="1"/>
  <c r="H10" i="1" s="1"/>
  <c r="H13" i="24"/>
  <c r="B123" i="1"/>
  <c r="A123" i="1"/>
  <c r="AI65" i="9"/>
  <c r="H18" i="24"/>
  <c r="H6" i="6" s="1"/>
  <c r="I9" i="24"/>
  <c r="H10" i="24"/>
  <c r="I8" i="1" s="1"/>
  <c r="I6" i="1" s="1"/>
  <c r="H21" i="24"/>
  <c r="H8" i="6" s="1"/>
  <c r="H9" i="6"/>
  <c r="AI61" i="9"/>
  <c r="F117" i="1"/>
  <c r="AL48" i="9"/>
  <c r="AL36" i="9"/>
  <c r="AM44" i="9"/>
  <c r="AL44" i="9"/>
  <c r="AI59" i="9"/>
  <c r="AI63" i="9"/>
  <c r="G4" i="6"/>
  <c r="G28" i="1"/>
  <c r="G35" i="1"/>
  <c r="G34" i="1" s="1"/>
  <c r="G33" i="1" s="1"/>
  <c r="G32" i="1" s="1"/>
  <c r="G31" i="1" s="1"/>
  <c r="G30" i="1" s="1"/>
  <c r="G29" i="1" s="1"/>
  <c r="E117" i="1"/>
  <c r="E114" i="1" s="1"/>
  <c r="AI64" i="9"/>
  <c r="AL7" i="9"/>
  <c r="AM16" i="9"/>
  <c r="AL11" i="9"/>
  <c r="AM6" i="9"/>
  <c r="AL4" i="9"/>
  <c r="AM9" i="9"/>
  <c r="AL15" i="9"/>
  <c r="AL16" i="9"/>
  <c r="AM15" i="9"/>
  <c r="AM11" i="9"/>
  <c r="AL9" i="9"/>
  <c r="AM14" i="9"/>
  <c r="AM17" i="9"/>
  <c r="AI57" i="9"/>
  <c r="AI66" i="9"/>
  <c r="AI55" i="9"/>
  <c r="F116" i="1"/>
  <c r="A6" i="25"/>
  <c r="B6" i="25"/>
  <c r="AI60" i="9"/>
  <c r="G117" i="1"/>
  <c r="A24" i="25"/>
  <c r="B24" i="25"/>
  <c r="G5" i="6"/>
  <c r="E37" i="1"/>
  <c r="E39" i="1"/>
  <c r="E40" i="1" s="1"/>
  <c r="AI58" i="9"/>
  <c r="D89" i="6"/>
  <c r="D91" i="6" s="1"/>
  <c r="H89" i="6"/>
  <c r="I89" i="6"/>
  <c r="E89" i="6"/>
  <c r="J89" i="6"/>
  <c r="M89" i="6"/>
  <c r="N89" i="6"/>
  <c r="L89" i="6"/>
  <c r="K89" i="6"/>
  <c r="R89" i="6"/>
  <c r="Z89" i="6"/>
  <c r="AA89" i="6"/>
  <c r="T89" i="6"/>
  <c r="U89" i="6"/>
  <c r="V89" i="6"/>
  <c r="W89" i="6"/>
  <c r="G89" i="6"/>
  <c r="Y89" i="6"/>
  <c r="AF89" i="6"/>
  <c r="AN89" i="6"/>
  <c r="AU89" i="6"/>
  <c r="F89" i="6"/>
  <c r="Q89" i="6"/>
  <c r="AG89" i="6"/>
  <c r="AO89" i="6"/>
  <c r="AH89" i="6"/>
  <c r="AP89" i="6"/>
  <c r="AC89" i="6"/>
  <c r="AK89" i="6"/>
  <c r="AS89" i="6"/>
  <c r="AB89" i="6"/>
  <c r="AR89" i="6"/>
  <c r="AV89" i="6"/>
  <c r="S89" i="6"/>
  <c r="AD89" i="6"/>
  <c r="AT89" i="6"/>
  <c r="AW89" i="6"/>
  <c r="AM89" i="6"/>
  <c r="AX89" i="6"/>
  <c r="AL89" i="6"/>
  <c r="AZ89" i="6"/>
  <c r="AE89" i="6"/>
  <c r="AI89" i="6"/>
  <c r="AJ89" i="6"/>
  <c r="P89" i="6"/>
  <c r="X89" i="6"/>
  <c r="AQ89" i="6"/>
  <c r="AY89" i="6"/>
  <c r="B93" i="6"/>
  <c r="BA89" i="6"/>
  <c r="F124" i="1"/>
  <c r="F25" i="25"/>
  <c r="F7" i="25"/>
  <c r="E31" i="6"/>
  <c r="AL8" i="9" l="1"/>
  <c r="AL12" i="9"/>
  <c r="AM12" i="9"/>
  <c r="AM10" i="9"/>
  <c r="AM4" i="9"/>
  <c r="AL17" i="9"/>
  <c r="AL13" i="9"/>
  <c r="AL14" i="9"/>
  <c r="AL6" i="9"/>
  <c r="AM36" i="9"/>
  <c r="AL46" i="9"/>
  <c r="AM48" i="9"/>
  <c r="AL38" i="9"/>
  <c r="AM37" i="9"/>
  <c r="AM40" i="9"/>
  <c r="AM43" i="9"/>
  <c r="AM24" i="9"/>
  <c r="AM31" i="9"/>
  <c r="AM20" i="9"/>
  <c r="AM29" i="9"/>
  <c r="AL32" i="9"/>
  <c r="AL31" i="9"/>
  <c r="AL33" i="9"/>
  <c r="AM27" i="9"/>
  <c r="AL27" i="9"/>
  <c r="AM32" i="9"/>
  <c r="AL26" i="9"/>
  <c r="G114" i="1"/>
  <c r="G122" i="1" s="1"/>
  <c r="F114" i="1"/>
  <c r="E17" i="28" s="1"/>
  <c r="H7" i="6"/>
  <c r="AM30" i="9"/>
  <c r="AM22" i="9"/>
  <c r="AM33" i="9"/>
  <c r="AL29" i="9"/>
  <c r="AL25" i="9"/>
  <c r="AL23" i="9"/>
  <c r="AM25" i="9"/>
  <c r="AL28" i="9"/>
  <c r="AL22" i="9"/>
  <c r="AM21" i="9"/>
  <c r="AL20" i="9"/>
  <c r="AM28" i="9"/>
  <c r="AM26" i="9"/>
  <c r="AL21" i="9"/>
  <c r="AL30" i="9"/>
  <c r="AM23" i="9"/>
  <c r="F22" i="6"/>
  <c r="F25" i="6" s="1"/>
  <c r="AL37" i="9"/>
  <c r="AL49" i="9"/>
  <c r="AM39" i="9"/>
  <c r="AL47" i="9"/>
  <c r="AL40" i="9"/>
  <c r="AM46" i="9"/>
  <c r="AM38" i="9"/>
  <c r="AL45" i="9"/>
  <c r="AM47" i="9"/>
  <c r="AL43" i="9"/>
  <c r="AL39" i="9"/>
  <c r="AL41" i="9"/>
  <c r="AM49" i="9"/>
  <c r="AM45" i="9"/>
  <c r="AL42" i="9"/>
  <c r="AM42" i="9"/>
  <c r="AM41" i="9"/>
  <c r="AM7" i="9"/>
  <c r="AL10" i="9"/>
  <c r="AL5" i="9"/>
  <c r="AM5" i="9"/>
  <c r="E37" i="6"/>
  <c r="D17" i="21"/>
  <c r="E122" i="1"/>
  <c r="E45" i="25"/>
  <c r="D17" i="28"/>
  <c r="F17" i="28"/>
  <c r="G7" i="25"/>
  <c r="G25" i="25"/>
  <c r="G124" i="1"/>
  <c r="H14" i="24"/>
  <c r="H15" i="24" s="1"/>
  <c r="I10" i="1" s="1"/>
  <c r="I13" i="24"/>
  <c r="D95" i="6"/>
  <c r="D97" i="6" s="1"/>
  <c r="E95" i="6"/>
  <c r="F95" i="6"/>
  <c r="L95" i="6"/>
  <c r="I95" i="6"/>
  <c r="K95" i="6"/>
  <c r="Q95" i="6"/>
  <c r="R95" i="6"/>
  <c r="H95" i="6"/>
  <c r="S95" i="6"/>
  <c r="G95" i="6"/>
  <c r="O95" i="6"/>
  <c r="V95" i="6"/>
  <c r="T95" i="6"/>
  <c r="U95" i="6"/>
  <c r="W95" i="6"/>
  <c r="X95" i="6"/>
  <c r="AA95" i="6"/>
  <c r="AB95" i="6"/>
  <c r="AJ95" i="6"/>
  <c r="AR95" i="6"/>
  <c r="Y95" i="6"/>
  <c r="AC95" i="6"/>
  <c r="AK95" i="6"/>
  <c r="AS95" i="6"/>
  <c r="AD95" i="6"/>
  <c r="AL95" i="6"/>
  <c r="AT95" i="6"/>
  <c r="AG95" i="6"/>
  <c r="AO95" i="6"/>
  <c r="AN95" i="6"/>
  <c r="AU95" i="6"/>
  <c r="AZ95" i="6"/>
  <c r="AP95" i="6"/>
  <c r="AI95" i="6"/>
  <c r="M95" i="6"/>
  <c r="Z95" i="6"/>
  <c r="AH95" i="6"/>
  <c r="AW95" i="6"/>
  <c r="AV95" i="6"/>
  <c r="AX95" i="6"/>
  <c r="J95" i="6"/>
  <c r="AE95" i="6"/>
  <c r="N95" i="6"/>
  <c r="AF95" i="6"/>
  <c r="AQ95" i="6"/>
  <c r="B99" i="6"/>
  <c r="AY95" i="6"/>
  <c r="AM95" i="6"/>
  <c r="BA95" i="6"/>
  <c r="H4" i="6"/>
  <c r="H16" i="1"/>
  <c r="H116" i="1"/>
  <c r="H11" i="25"/>
  <c r="I1" i="1"/>
  <c r="I1" i="24"/>
  <c r="I1" i="25"/>
  <c r="H1" i="6"/>
  <c r="H1" i="21"/>
  <c r="H1" i="28"/>
  <c r="G20" i="1"/>
  <c r="I9" i="6"/>
  <c r="H17" i="1"/>
  <c r="G13" i="21"/>
  <c r="G12" i="21" s="1"/>
  <c r="H110" i="1"/>
  <c r="G13" i="28"/>
  <c r="G12" i="28" s="1"/>
  <c r="AK68" i="9"/>
  <c r="G41" i="6"/>
  <c r="E42" i="6" s="1"/>
  <c r="E43" i="6" s="1"/>
  <c r="I12" i="1"/>
  <c r="I18" i="1"/>
  <c r="I115" i="1"/>
  <c r="I5" i="25"/>
  <c r="I27" i="1"/>
  <c r="I73" i="1"/>
  <c r="I18" i="24"/>
  <c r="I6" i="6" s="1"/>
  <c r="I7" i="6" s="1"/>
  <c r="I10" i="24"/>
  <c r="J8" i="1" s="1"/>
  <c r="J6" i="1" s="1"/>
  <c r="I21" i="24"/>
  <c r="I8" i="6" s="1"/>
  <c r="J9" i="24"/>
  <c r="F22" i="1"/>
  <c r="F24" i="1" s="1"/>
  <c r="F30" i="6"/>
  <c r="F28" i="6"/>
  <c r="E88" i="6"/>
  <c r="H84" i="1"/>
  <c r="H5" i="6"/>
  <c r="AM57" i="9"/>
  <c r="AM58" i="9"/>
  <c r="AM66" i="9"/>
  <c r="AL61" i="9"/>
  <c r="AM59" i="9"/>
  <c r="AL54" i="9"/>
  <c r="AL62" i="9"/>
  <c r="AM54" i="9"/>
  <c r="AM62" i="9"/>
  <c r="AL57" i="9"/>
  <c r="AL65" i="9"/>
  <c r="AL55" i="9"/>
  <c r="AM53" i="9"/>
  <c r="AM55" i="9"/>
  <c r="AL56" i="9"/>
  <c r="AL53" i="9"/>
  <c r="AM56" i="9"/>
  <c r="AL58" i="9"/>
  <c r="AM65" i="9"/>
  <c r="AL59" i="9"/>
  <c r="AL60" i="9"/>
  <c r="AM63" i="9"/>
  <c r="AM60" i="9"/>
  <c r="AM61" i="9"/>
  <c r="AL66" i="9"/>
  <c r="AL64" i="9"/>
  <c r="AM64" i="9"/>
  <c r="AL63" i="9"/>
  <c r="F37" i="1"/>
  <c r="F39" i="1"/>
  <c r="F40" i="1" s="1"/>
  <c r="G37" i="1"/>
  <c r="G39" i="1"/>
  <c r="H28" i="1"/>
  <c r="H35" i="1"/>
  <c r="H34" i="1" s="1"/>
  <c r="H33" i="1" s="1"/>
  <c r="H32" i="1" s="1"/>
  <c r="H31" i="1" s="1"/>
  <c r="H30" i="1" s="1"/>
  <c r="H29" i="1" s="1"/>
  <c r="E45" i="1"/>
  <c r="E42" i="1"/>
  <c r="G45" i="25" l="1"/>
  <c r="F122" i="1"/>
  <c r="E17" i="21"/>
  <c r="E18" i="21" s="1"/>
  <c r="E19" i="21" s="1"/>
  <c r="H20" i="1"/>
  <c r="H22" i="1" s="1"/>
  <c r="H24" i="1" s="1"/>
  <c r="F17" i="21"/>
  <c r="F18" i="21" s="1"/>
  <c r="F45" i="25"/>
  <c r="F31" i="6"/>
  <c r="G28" i="6" s="1"/>
  <c r="F45" i="1"/>
  <c r="F42" i="1"/>
  <c r="I84" i="1"/>
  <c r="E18" i="28"/>
  <c r="E19" i="28" s="1"/>
  <c r="F36" i="6"/>
  <c r="F34" i="6"/>
  <c r="I16" i="1"/>
  <c r="I116" i="1"/>
  <c r="I11" i="25"/>
  <c r="I12" i="25"/>
  <c r="H37" i="1"/>
  <c r="H39" i="1"/>
  <c r="J1" i="1"/>
  <c r="J1" i="24"/>
  <c r="I1" i="6"/>
  <c r="J1" i="25"/>
  <c r="I1" i="28"/>
  <c r="I1" i="21"/>
  <c r="G10" i="25"/>
  <c r="E94" i="6"/>
  <c r="D18" i="21"/>
  <c r="D19" i="21" s="1"/>
  <c r="E10" i="25"/>
  <c r="G22" i="1"/>
  <c r="G24" i="1" s="1"/>
  <c r="I14" i="24"/>
  <c r="I15" i="24" s="1"/>
  <c r="J10" i="1" s="1"/>
  <c r="J13" i="24"/>
  <c r="J18" i="24"/>
  <c r="J6" i="6" s="1"/>
  <c r="J7" i="6" s="1"/>
  <c r="J10" i="24"/>
  <c r="K8" i="1" s="1"/>
  <c r="K6" i="1" s="1"/>
  <c r="K9" i="24"/>
  <c r="J21" i="24"/>
  <c r="J8" i="6" s="1"/>
  <c r="J9" i="6" s="1"/>
  <c r="G24" i="6"/>
  <c r="G22" i="6"/>
  <c r="H25" i="25"/>
  <c r="H124" i="1"/>
  <c r="H7" i="25"/>
  <c r="D18" i="28"/>
  <c r="F40" i="6"/>
  <c r="G40" i="1"/>
  <c r="J18" i="1"/>
  <c r="J12" i="1"/>
  <c r="J12" i="25" s="1"/>
  <c r="J115" i="1"/>
  <c r="J5" i="25"/>
  <c r="J27" i="1"/>
  <c r="J73" i="1"/>
  <c r="H117" i="1"/>
  <c r="I17" i="1"/>
  <c r="I110" i="1"/>
  <c r="H13" i="21"/>
  <c r="H12" i="21" s="1"/>
  <c r="H13" i="28"/>
  <c r="H12" i="28" s="1"/>
  <c r="AL68" i="9"/>
  <c r="H47" i="6"/>
  <c r="E48" i="6" s="1"/>
  <c r="E49" i="6" s="1"/>
  <c r="F18" i="28"/>
  <c r="F19" i="28" s="1"/>
  <c r="I28" i="1"/>
  <c r="I35" i="1"/>
  <c r="I34" i="1" s="1"/>
  <c r="I33" i="1" s="1"/>
  <c r="I32" i="1" s="1"/>
  <c r="I31" i="1" s="1"/>
  <c r="I30" i="1" s="1"/>
  <c r="I29" i="1" s="1"/>
  <c r="D101" i="6"/>
  <c r="D103" i="6" s="1"/>
  <c r="H101" i="6"/>
  <c r="I101" i="6"/>
  <c r="J101" i="6"/>
  <c r="M101" i="6"/>
  <c r="G101" i="6"/>
  <c r="N101" i="6"/>
  <c r="K101" i="6"/>
  <c r="O101" i="6"/>
  <c r="P101" i="6"/>
  <c r="F101" i="6"/>
  <c r="R101" i="6"/>
  <c r="S101" i="6"/>
  <c r="Z101" i="6"/>
  <c r="AA101" i="6"/>
  <c r="E101" i="6"/>
  <c r="W101" i="6"/>
  <c r="AF101" i="6"/>
  <c r="AN101" i="6"/>
  <c r="AU101" i="6"/>
  <c r="AG101" i="6"/>
  <c r="AO101" i="6"/>
  <c r="AH101" i="6"/>
  <c r="AP101" i="6"/>
  <c r="AC101" i="6"/>
  <c r="AK101" i="6"/>
  <c r="AS101" i="6"/>
  <c r="AJ101" i="6"/>
  <c r="AV101" i="6"/>
  <c r="L101" i="6"/>
  <c r="U101" i="6"/>
  <c r="AL101" i="6"/>
  <c r="AW101" i="6"/>
  <c r="X101" i="6"/>
  <c r="AE101" i="6"/>
  <c r="AX101" i="6"/>
  <c r="T101" i="6"/>
  <c r="V101" i="6"/>
  <c r="AD101" i="6"/>
  <c r="AT101" i="6"/>
  <c r="AY101" i="6"/>
  <c r="Y101" i="6"/>
  <c r="AR101" i="6"/>
  <c r="AB101" i="6"/>
  <c r="AZ101" i="6"/>
  <c r="AM101" i="6"/>
  <c r="B105" i="6"/>
  <c r="AI101" i="6"/>
  <c r="AQ101" i="6"/>
  <c r="BA101" i="6"/>
  <c r="E62" i="1"/>
  <c r="E61" i="1" s="1"/>
  <c r="E60" i="1" s="1"/>
  <c r="E59" i="1" s="1"/>
  <c r="E58" i="1" s="1"/>
  <c r="E57" i="1" s="1"/>
  <c r="E56" i="1" s="1"/>
  <c r="E55" i="1" s="1"/>
  <c r="E54" i="1" s="1"/>
  <c r="E53" i="1" s="1"/>
  <c r="E52" i="1" s="1"/>
  <c r="E51" i="1" s="1"/>
  <c r="E50" i="1" s="1"/>
  <c r="E49" i="1" s="1"/>
  <c r="E48" i="1" s="1"/>
  <c r="E47" i="1" s="1"/>
  <c r="E46" i="1"/>
  <c r="I4" i="6"/>
  <c r="G30" i="6" l="1"/>
  <c r="F19" i="21"/>
  <c r="F20" i="21" s="1"/>
  <c r="F10" i="25"/>
  <c r="H40" i="1"/>
  <c r="H42" i="1" s="1"/>
  <c r="I20" i="1"/>
  <c r="I22" i="1" s="1"/>
  <c r="F37" i="6"/>
  <c r="G36" i="6" s="1"/>
  <c r="H45" i="1"/>
  <c r="G45" i="1"/>
  <c r="G42" i="1"/>
  <c r="K18" i="24"/>
  <c r="K6" i="6" s="1"/>
  <c r="K10" i="24"/>
  <c r="L8" i="1" s="1"/>
  <c r="L6" i="1" s="1"/>
  <c r="K21" i="24"/>
  <c r="K8" i="6" s="1"/>
  <c r="K9" i="6" s="1"/>
  <c r="L9" i="24"/>
  <c r="E155" i="1"/>
  <c r="E159" i="1"/>
  <c r="K12" i="1"/>
  <c r="K18" i="1"/>
  <c r="K115" i="1"/>
  <c r="K5" i="25"/>
  <c r="K27" i="1"/>
  <c r="K73" i="1"/>
  <c r="D25" i="21"/>
  <c r="E139" i="1"/>
  <c r="D20" i="21"/>
  <c r="G31" i="6"/>
  <c r="F155" i="1"/>
  <c r="F140" i="1" s="1"/>
  <c r="F141" i="1" s="1"/>
  <c r="F159" i="1"/>
  <c r="F35" i="28"/>
  <c r="F20" i="28"/>
  <c r="I117" i="1"/>
  <c r="I114" i="1" s="1"/>
  <c r="J4" i="6"/>
  <c r="K1" i="1"/>
  <c r="K1" i="24"/>
  <c r="J1" i="6"/>
  <c r="F42" i="6" s="1"/>
  <c r="F43" i="6" s="1"/>
  <c r="K1" i="25"/>
  <c r="J1" i="28"/>
  <c r="J1" i="21"/>
  <c r="E30" i="28"/>
  <c r="E20" i="28"/>
  <c r="E100" i="6"/>
  <c r="E65" i="1"/>
  <c r="E66" i="1" s="1"/>
  <c r="E63" i="1"/>
  <c r="J17" i="1"/>
  <c r="J110" i="1"/>
  <c r="I13" i="21"/>
  <c r="I12" i="21" s="1"/>
  <c r="AM68" i="9"/>
  <c r="I13" i="28"/>
  <c r="I12" i="28" s="1"/>
  <c r="I53" i="6"/>
  <c r="E54" i="6" s="1"/>
  <c r="E55" i="6" s="1"/>
  <c r="J14" i="24"/>
  <c r="J15" i="24" s="1"/>
  <c r="K10" i="1" s="1"/>
  <c r="K13" i="24"/>
  <c r="F35" i="21"/>
  <c r="G139" i="1"/>
  <c r="G37" i="25" s="1"/>
  <c r="J84" i="1"/>
  <c r="H114" i="1"/>
  <c r="I37" i="1"/>
  <c r="I39" i="1"/>
  <c r="J35" i="1"/>
  <c r="J34" i="1" s="1"/>
  <c r="J33" i="1" s="1"/>
  <c r="J32" i="1" s="1"/>
  <c r="J31" i="1" s="1"/>
  <c r="J30" i="1" s="1"/>
  <c r="J29" i="1" s="1"/>
  <c r="J28" i="1"/>
  <c r="D25" i="28"/>
  <c r="F46" i="6"/>
  <c r="F48" i="6"/>
  <c r="F62" i="1"/>
  <c r="F61" i="1" s="1"/>
  <c r="F60" i="1" s="1"/>
  <c r="F59" i="1" s="1"/>
  <c r="F58" i="1" s="1"/>
  <c r="F57" i="1" s="1"/>
  <c r="F56" i="1" s="1"/>
  <c r="F55" i="1" s="1"/>
  <c r="F54" i="1" s="1"/>
  <c r="F53" i="1" s="1"/>
  <c r="F52" i="1" s="1"/>
  <c r="F51" i="1" s="1"/>
  <c r="F50" i="1" s="1"/>
  <c r="F49" i="1" s="1"/>
  <c r="F48" i="1" s="1"/>
  <c r="F47" i="1" s="1"/>
  <c r="F46" i="1"/>
  <c r="D107" i="6"/>
  <c r="D109" i="6" s="1"/>
  <c r="E107" i="6"/>
  <c r="L107" i="6"/>
  <c r="I107" i="6"/>
  <c r="G107" i="6"/>
  <c r="S107" i="6"/>
  <c r="M107" i="6"/>
  <c r="O107" i="6"/>
  <c r="T107" i="6"/>
  <c r="U107" i="6"/>
  <c r="V107" i="6"/>
  <c r="J107" i="6"/>
  <c r="Q107" i="6"/>
  <c r="W107" i="6"/>
  <c r="X107" i="6"/>
  <c r="AA107" i="6"/>
  <c r="AB107" i="6"/>
  <c r="AJ107" i="6"/>
  <c r="AR107" i="6"/>
  <c r="AC107" i="6"/>
  <c r="AK107" i="6"/>
  <c r="AS107" i="6"/>
  <c r="F107" i="6"/>
  <c r="H107" i="6"/>
  <c r="P107" i="6"/>
  <c r="Z107" i="6"/>
  <c r="AD107" i="6"/>
  <c r="AL107" i="6"/>
  <c r="AT107" i="6"/>
  <c r="K107" i="6"/>
  <c r="N107" i="6"/>
  <c r="Y107" i="6"/>
  <c r="AG107" i="6"/>
  <c r="AO107" i="6"/>
  <c r="AF107" i="6"/>
  <c r="AZ107" i="6"/>
  <c r="AH107" i="6"/>
  <c r="AQ107" i="6"/>
  <c r="AP107" i="6"/>
  <c r="AW107" i="6"/>
  <c r="AN107" i="6"/>
  <c r="AU107" i="6"/>
  <c r="AY107" i="6"/>
  <c r="AV107" i="6"/>
  <c r="AE107" i="6"/>
  <c r="AM107" i="6"/>
  <c r="AI107" i="6"/>
  <c r="AX107" i="6"/>
  <c r="B111" i="6"/>
  <c r="BA107" i="6"/>
  <c r="E30" i="21"/>
  <c r="F139" i="1"/>
  <c r="F37" i="25" s="1"/>
  <c r="E20" i="21"/>
  <c r="I5" i="6"/>
  <c r="D19" i="28"/>
  <c r="D20" i="28" s="1"/>
  <c r="G25" i="6"/>
  <c r="J16" i="1"/>
  <c r="J116" i="1"/>
  <c r="J11" i="25"/>
  <c r="I25" i="25"/>
  <c r="I124" i="1"/>
  <c r="I7" i="25"/>
  <c r="G159" i="1" l="1"/>
  <c r="G155" i="1"/>
  <c r="G140" i="1" s="1"/>
  <c r="G141" i="1" s="1"/>
  <c r="G9" i="25" s="1"/>
  <c r="I40" i="1"/>
  <c r="G34" i="6"/>
  <c r="J5" i="6"/>
  <c r="J20" i="1"/>
  <c r="J22" i="1" s="1"/>
  <c r="J24" i="1" s="1"/>
  <c r="G40" i="6"/>
  <c r="G42" i="6"/>
  <c r="F9" i="25"/>
  <c r="J37" i="1"/>
  <c r="J39" i="1"/>
  <c r="J7" i="25"/>
  <c r="J25" i="25"/>
  <c r="J124" i="1"/>
  <c r="D113" i="6"/>
  <c r="D115" i="6" s="1"/>
  <c r="H113" i="6"/>
  <c r="I113" i="6"/>
  <c r="E113" i="6"/>
  <c r="J113" i="6"/>
  <c r="M113" i="6"/>
  <c r="F113" i="6"/>
  <c r="N113" i="6"/>
  <c r="O113" i="6"/>
  <c r="L113" i="6"/>
  <c r="P113" i="6"/>
  <c r="K113" i="6"/>
  <c r="Z113" i="6"/>
  <c r="Q113" i="6"/>
  <c r="W113" i="6"/>
  <c r="R113" i="6"/>
  <c r="Y113" i="6"/>
  <c r="AF113" i="6"/>
  <c r="AN113" i="6"/>
  <c r="AU113" i="6"/>
  <c r="G113" i="6"/>
  <c r="T113" i="6"/>
  <c r="U113" i="6"/>
  <c r="AG113" i="6"/>
  <c r="AO113" i="6"/>
  <c r="V113" i="6"/>
  <c r="AH113" i="6"/>
  <c r="AP113" i="6"/>
  <c r="AC113" i="6"/>
  <c r="AK113" i="6"/>
  <c r="AS113" i="6"/>
  <c r="AB113" i="6"/>
  <c r="AR113" i="6"/>
  <c r="AV113" i="6"/>
  <c r="AD113" i="6"/>
  <c r="AT113" i="6"/>
  <c r="AW113" i="6"/>
  <c r="AM113" i="6"/>
  <c r="AX113" i="6"/>
  <c r="AL113" i="6"/>
  <c r="X113" i="6"/>
  <c r="AQ113" i="6"/>
  <c r="AJ113" i="6"/>
  <c r="AZ113" i="6"/>
  <c r="AE113" i="6"/>
  <c r="B117" i="6"/>
  <c r="AY113" i="6"/>
  <c r="AA113" i="6"/>
  <c r="AI113" i="6"/>
  <c r="BA113" i="6"/>
  <c r="G17" i="21"/>
  <c r="H45" i="25"/>
  <c r="H122" i="1"/>
  <c r="G17" i="28"/>
  <c r="K14" i="24"/>
  <c r="K15" i="24" s="1"/>
  <c r="L10" i="1" s="1"/>
  <c r="L13" i="24"/>
  <c r="G36" i="28"/>
  <c r="G38" i="28"/>
  <c r="C36" i="28"/>
  <c r="H30" i="6"/>
  <c r="H28" i="6"/>
  <c r="K35" i="1"/>
  <c r="K34" i="1" s="1"/>
  <c r="K33" i="1" s="1"/>
  <c r="K32" i="1" s="1"/>
  <c r="K31" i="1" s="1"/>
  <c r="K30" i="1" s="1"/>
  <c r="K29" i="1" s="1"/>
  <c r="K28" i="1"/>
  <c r="E140" i="1"/>
  <c r="G62" i="1"/>
  <c r="G61" i="1" s="1"/>
  <c r="G60" i="1" s="1"/>
  <c r="G59" i="1" s="1"/>
  <c r="G58" i="1" s="1"/>
  <c r="G57" i="1" s="1"/>
  <c r="G56" i="1" s="1"/>
  <c r="G55" i="1" s="1"/>
  <c r="G54" i="1" s="1"/>
  <c r="G53" i="1" s="1"/>
  <c r="G52" i="1" s="1"/>
  <c r="G51" i="1" s="1"/>
  <c r="G50" i="1" s="1"/>
  <c r="G49" i="1" s="1"/>
  <c r="G48" i="1" s="1"/>
  <c r="G47" i="1" s="1"/>
  <c r="G46" i="1"/>
  <c r="H22" i="6"/>
  <c r="H24" i="6"/>
  <c r="K16" i="1"/>
  <c r="K116" i="1"/>
  <c r="K11" i="25"/>
  <c r="L1" i="1"/>
  <c r="L1" i="24"/>
  <c r="L1" i="25"/>
  <c r="K1" i="6"/>
  <c r="K1" i="28"/>
  <c r="K1" i="21"/>
  <c r="F54" i="6"/>
  <c r="F52" i="6"/>
  <c r="E26" i="28"/>
  <c r="C26" i="28"/>
  <c r="E28" i="28"/>
  <c r="E4" i="28" s="1"/>
  <c r="D22" i="28"/>
  <c r="L12" i="1"/>
  <c r="L12" i="25" s="1"/>
  <c r="L18" i="1"/>
  <c r="L115" i="1"/>
  <c r="L5" i="25"/>
  <c r="L27" i="1"/>
  <c r="L73" i="1"/>
  <c r="C31" i="28"/>
  <c r="F31" i="28"/>
  <c r="F33" i="28"/>
  <c r="G37" i="6"/>
  <c r="K4" i="6"/>
  <c r="K5" i="6" s="1"/>
  <c r="E68" i="1"/>
  <c r="L18" i="24"/>
  <c r="L6" i="6" s="1"/>
  <c r="L10" i="24"/>
  <c r="M8" i="1" s="1"/>
  <c r="M6" i="1" s="1"/>
  <c r="L21" i="24"/>
  <c r="L8" i="6" s="1"/>
  <c r="L9" i="6" s="1"/>
  <c r="M9" i="24"/>
  <c r="F65" i="1"/>
  <c r="F66" i="1" s="1"/>
  <c r="F63" i="1"/>
  <c r="K12" i="25"/>
  <c r="H46" i="1"/>
  <c r="H62" i="1"/>
  <c r="H61" i="1" s="1"/>
  <c r="H60" i="1" s="1"/>
  <c r="H59" i="1" s="1"/>
  <c r="H58" i="1" s="1"/>
  <c r="H57" i="1" s="1"/>
  <c r="H56" i="1" s="1"/>
  <c r="H55" i="1" s="1"/>
  <c r="H54" i="1" s="1"/>
  <c r="H53" i="1" s="1"/>
  <c r="H52" i="1" s="1"/>
  <c r="H51" i="1" s="1"/>
  <c r="H50" i="1" s="1"/>
  <c r="H49" i="1" s="1"/>
  <c r="H48" i="1" s="1"/>
  <c r="H47" i="1" s="1"/>
  <c r="E106" i="6"/>
  <c r="K84" i="1"/>
  <c r="E37" i="25"/>
  <c r="I24" i="1"/>
  <c r="C26" i="21"/>
  <c r="E26" i="21" s="1"/>
  <c r="D22" i="21"/>
  <c r="E28" i="21"/>
  <c r="E4" i="21" s="1"/>
  <c r="F74" i="1" s="1"/>
  <c r="C31" i="21"/>
  <c r="F31" i="21" s="1"/>
  <c r="F33" i="21"/>
  <c r="F49" i="6"/>
  <c r="C36" i="21"/>
  <c r="G36" i="21" s="1"/>
  <c r="G38" i="21"/>
  <c r="J117" i="1"/>
  <c r="K17" i="1"/>
  <c r="J13" i="21"/>
  <c r="J12" i="21" s="1"/>
  <c r="K110" i="1"/>
  <c r="AN68" i="9"/>
  <c r="J13" i="28"/>
  <c r="J12" i="28" s="1"/>
  <c r="J59" i="6"/>
  <c r="H17" i="21"/>
  <c r="I45" i="25"/>
  <c r="I122" i="1"/>
  <c r="H17" i="28"/>
  <c r="E161" i="1"/>
  <c r="K7" i="6"/>
  <c r="F32" i="21" l="1"/>
  <c r="F30" i="21" s="1"/>
  <c r="G33" i="21" s="1"/>
  <c r="E27" i="21"/>
  <c r="E275" i="21" s="1"/>
  <c r="J40" i="1"/>
  <c r="J42" i="1" s="1"/>
  <c r="F55" i="6"/>
  <c r="G52" i="6" s="1"/>
  <c r="H31" i="6"/>
  <c r="I28" i="6" s="1"/>
  <c r="H25" i="6"/>
  <c r="I24" i="6" s="1"/>
  <c r="K124" i="1"/>
  <c r="K7" i="25"/>
  <c r="K25" i="25"/>
  <c r="G37" i="21"/>
  <c r="G35" i="21" s="1"/>
  <c r="H18" i="21"/>
  <c r="I10" i="25"/>
  <c r="G48" i="6"/>
  <c r="G46" i="6"/>
  <c r="H63" i="1"/>
  <c r="H65" i="1"/>
  <c r="H66" i="1" s="1"/>
  <c r="K20" i="1"/>
  <c r="L4" i="6"/>
  <c r="L17" i="1"/>
  <c r="K13" i="21"/>
  <c r="K12" i="21" s="1"/>
  <c r="L110" i="1"/>
  <c r="AO68" i="9"/>
  <c r="K13" i="28"/>
  <c r="K12" i="28" s="1"/>
  <c r="K65" i="6"/>
  <c r="E66" i="6" s="1"/>
  <c r="E67" i="6" s="1"/>
  <c r="E27" i="28"/>
  <c r="L84" i="1"/>
  <c r="G63" i="1"/>
  <c r="G65" i="1"/>
  <c r="G66" i="1" s="1"/>
  <c r="L7" i="6"/>
  <c r="E60" i="6"/>
  <c r="E72" i="1"/>
  <c r="G37" i="28"/>
  <c r="G35" i="28" s="1"/>
  <c r="J45" i="1"/>
  <c r="G18" i="21"/>
  <c r="H10" i="25"/>
  <c r="J114" i="1"/>
  <c r="I45" i="1"/>
  <c r="I42" i="1"/>
  <c r="L16" i="1"/>
  <c r="L116" i="1"/>
  <c r="L11" i="25"/>
  <c r="F68" i="1"/>
  <c r="H18" i="28"/>
  <c r="H19" i="28" s="1"/>
  <c r="E36" i="25"/>
  <c r="M18" i="24"/>
  <c r="M6" i="6" s="1"/>
  <c r="M4" i="6" s="1"/>
  <c r="M10" i="24"/>
  <c r="N8" i="1" s="1"/>
  <c r="N6" i="1" s="1"/>
  <c r="M21" i="24"/>
  <c r="M8" i="6" s="1"/>
  <c r="M9" i="6" s="1"/>
  <c r="N9" i="24"/>
  <c r="H36" i="6"/>
  <c r="H34" i="6"/>
  <c r="E112" i="6"/>
  <c r="E141" i="1"/>
  <c r="L14" i="24"/>
  <c r="L15" i="24" s="1"/>
  <c r="M10" i="1" s="1"/>
  <c r="M13" i="24"/>
  <c r="K117" i="1"/>
  <c r="F27" i="25"/>
  <c r="F144" i="1"/>
  <c r="F13" i="25"/>
  <c r="F39" i="25"/>
  <c r="L28" i="1"/>
  <c r="L35" i="1"/>
  <c r="L34" i="1" s="1"/>
  <c r="L33" i="1" s="1"/>
  <c r="L32" i="1" s="1"/>
  <c r="L31" i="1" s="1"/>
  <c r="L30" i="1" s="1"/>
  <c r="L29" i="1" s="1"/>
  <c r="L5" i="6"/>
  <c r="K37" i="1"/>
  <c r="K39" i="1"/>
  <c r="G43" i="6"/>
  <c r="M12" i="1"/>
  <c r="M18" i="1"/>
  <c r="M115" i="1"/>
  <c r="M27" i="1"/>
  <c r="M5" i="25"/>
  <c r="M73" i="1"/>
  <c r="F32" i="28"/>
  <c r="F30" i="28" s="1"/>
  <c r="M1" i="1"/>
  <c r="L1" i="6"/>
  <c r="M1" i="24"/>
  <c r="L1" i="28"/>
  <c r="M1" i="25"/>
  <c r="L1" i="21"/>
  <c r="G18" i="28"/>
  <c r="G19" i="28" s="1"/>
  <c r="D119" i="6"/>
  <c r="D121" i="6" s="1"/>
  <c r="E119" i="6"/>
  <c r="F119" i="6"/>
  <c r="L119" i="6"/>
  <c r="I119" i="6"/>
  <c r="K119" i="6"/>
  <c r="R119" i="6"/>
  <c r="S119" i="6"/>
  <c r="H119" i="6"/>
  <c r="G119" i="6"/>
  <c r="O119" i="6"/>
  <c r="P119" i="6"/>
  <c r="V119" i="6"/>
  <c r="W119" i="6"/>
  <c r="J119" i="6"/>
  <c r="X119" i="6"/>
  <c r="Q119" i="6"/>
  <c r="N119" i="6"/>
  <c r="AB119" i="6"/>
  <c r="AJ119" i="6"/>
  <c r="AR119" i="6"/>
  <c r="M119" i="6"/>
  <c r="Y119" i="6"/>
  <c r="AC119" i="6"/>
  <c r="AK119" i="6"/>
  <c r="AS119" i="6"/>
  <c r="AD119" i="6"/>
  <c r="AL119" i="6"/>
  <c r="AT119" i="6"/>
  <c r="AG119" i="6"/>
  <c r="AO119" i="6"/>
  <c r="AN119" i="6"/>
  <c r="AU119" i="6"/>
  <c r="AZ119" i="6"/>
  <c r="Z119" i="6"/>
  <c r="AP119" i="6"/>
  <c r="AI119" i="6"/>
  <c r="AH119" i="6"/>
  <c r="AW119" i="6"/>
  <c r="AM119" i="6"/>
  <c r="U119" i="6"/>
  <c r="AF119" i="6"/>
  <c r="AV119" i="6"/>
  <c r="AQ119" i="6"/>
  <c r="AX119" i="6"/>
  <c r="AA119" i="6"/>
  <c r="AY119" i="6"/>
  <c r="B123" i="6"/>
  <c r="AE119" i="6"/>
  <c r="BA119" i="6"/>
  <c r="M5" i="6" l="1"/>
  <c r="G54" i="6"/>
  <c r="G55" i="6" s="1"/>
  <c r="H54" i="6" s="1"/>
  <c r="G31" i="21"/>
  <c r="G32" i="21" s="1"/>
  <c r="G30" i="21" s="1"/>
  <c r="H31" i="21" s="1"/>
  <c r="K40" i="1"/>
  <c r="I22" i="6"/>
  <c r="I25" i="6" s="1"/>
  <c r="E25" i="21"/>
  <c r="F26" i="21" s="1"/>
  <c r="I30" i="6"/>
  <c r="I31" i="6" s="1"/>
  <c r="G49" i="6"/>
  <c r="H46" i="6" s="1"/>
  <c r="N9" i="6"/>
  <c r="M28" i="1"/>
  <c r="M35" i="1"/>
  <c r="M34" i="1" s="1"/>
  <c r="M33" i="1" s="1"/>
  <c r="M32" i="1" s="1"/>
  <c r="M31" i="1" s="1"/>
  <c r="M30" i="1" s="1"/>
  <c r="M29" i="1" s="1"/>
  <c r="E9" i="25"/>
  <c r="F66" i="6"/>
  <c r="F64" i="6"/>
  <c r="H42" i="6"/>
  <c r="H40" i="6"/>
  <c r="D125" i="6"/>
  <c r="D127" i="6" s="1"/>
  <c r="H125" i="6"/>
  <c r="I125" i="6"/>
  <c r="J125" i="6"/>
  <c r="M125" i="6"/>
  <c r="G125" i="6"/>
  <c r="N125" i="6"/>
  <c r="F125" i="6"/>
  <c r="K125" i="6"/>
  <c r="O125" i="6"/>
  <c r="P125" i="6"/>
  <c r="S125" i="6"/>
  <c r="L125" i="6"/>
  <c r="Z125" i="6"/>
  <c r="T125" i="6"/>
  <c r="E125" i="6"/>
  <c r="W125" i="6"/>
  <c r="AF125" i="6"/>
  <c r="AN125" i="6"/>
  <c r="AU125" i="6"/>
  <c r="R125" i="6"/>
  <c r="AG125" i="6"/>
  <c r="AO125" i="6"/>
  <c r="AH125" i="6"/>
  <c r="AP125" i="6"/>
  <c r="AC125" i="6"/>
  <c r="AK125" i="6"/>
  <c r="AS125" i="6"/>
  <c r="Y125" i="6"/>
  <c r="AJ125" i="6"/>
  <c r="AV125" i="6"/>
  <c r="V125" i="6"/>
  <c r="AL125" i="6"/>
  <c r="AW125" i="6"/>
  <c r="Q125" i="6"/>
  <c r="AE125" i="6"/>
  <c r="AX125" i="6"/>
  <c r="AD125" i="6"/>
  <c r="AT125" i="6"/>
  <c r="AI125" i="6"/>
  <c r="AY125" i="6"/>
  <c r="AB125" i="6"/>
  <c r="X125" i="6"/>
  <c r="AM125" i="6"/>
  <c r="AQ125" i="6"/>
  <c r="AR125" i="6"/>
  <c r="AZ125" i="6"/>
  <c r="AA125" i="6"/>
  <c r="B129" i="6"/>
  <c r="BA125" i="6"/>
  <c r="E118" i="6"/>
  <c r="M14" i="24"/>
  <c r="M15" i="24" s="1"/>
  <c r="N10" i="1" s="1"/>
  <c r="N13" i="24"/>
  <c r="E275" i="28"/>
  <c r="E25" i="28"/>
  <c r="M17" i="1"/>
  <c r="M110" i="1"/>
  <c r="L13" i="21"/>
  <c r="L12" i="21" s="1"/>
  <c r="L13" i="28"/>
  <c r="L12" i="28" s="1"/>
  <c r="AP68" i="9"/>
  <c r="L71" i="6"/>
  <c r="H45" i="21"/>
  <c r="I139" i="1"/>
  <c r="I37" i="25" s="1"/>
  <c r="M16" i="1"/>
  <c r="M116" i="1"/>
  <c r="M11" i="25"/>
  <c r="H37" i="6"/>
  <c r="E48" i="25"/>
  <c r="I17" i="21"/>
  <c r="J122" i="1"/>
  <c r="J45" i="25"/>
  <c r="I17" i="28"/>
  <c r="K22" i="1"/>
  <c r="K24" i="1" s="1"/>
  <c r="H19" i="21"/>
  <c r="G68" i="1"/>
  <c r="F143" i="1"/>
  <c r="F14" i="25"/>
  <c r="E61" i="6"/>
  <c r="L117" i="1"/>
  <c r="L114" i="1" s="1"/>
  <c r="K114" i="1"/>
  <c r="H68" i="1"/>
  <c r="L124" i="1"/>
  <c r="L7" i="25"/>
  <c r="L25" i="25"/>
  <c r="L20" i="1"/>
  <c r="E76" i="1"/>
  <c r="H36" i="21"/>
  <c r="H38" i="21"/>
  <c r="M84" i="1"/>
  <c r="N18" i="24"/>
  <c r="N6" i="6" s="1"/>
  <c r="N10" i="24"/>
  <c r="O8" i="1" s="1"/>
  <c r="O6" i="1" s="1"/>
  <c r="N21" i="24"/>
  <c r="N8" i="6" s="1"/>
  <c r="O9" i="24"/>
  <c r="G40" i="28"/>
  <c r="G20" i="28"/>
  <c r="G33" i="28"/>
  <c r="G31" i="28"/>
  <c r="M12" i="25"/>
  <c r="N18" i="1"/>
  <c r="N12" i="1"/>
  <c r="N12" i="25" s="1"/>
  <c r="N115" i="1"/>
  <c r="N5" i="25"/>
  <c r="N27" i="1"/>
  <c r="N73" i="1"/>
  <c r="J46" i="1"/>
  <c r="J62" i="1"/>
  <c r="J61" i="1" s="1"/>
  <c r="J60" i="1" s="1"/>
  <c r="J59" i="1" s="1"/>
  <c r="J58" i="1" s="1"/>
  <c r="J57" i="1" s="1"/>
  <c r="J56" i="1" s="1"/>
  <c r="J55" i="1" s="1"/>
  <c r="J54" i="1" s="1"/>
  <c r="J53" i="1" s="1"/>
  <c r="J52" i="1" s="1"/>
  <c r="J51" i="1" s="1"/>
  <c r="J50" i="1" s="1"/>
  <c r="J49" i="1" s="1"/>
  <c r="J48" i="1" s="1"/>
  <c r="J47" i="1" s="1"/>
  <c r="M7" i="6"/>
  <c r="N7" i="6" s="1"/>
  <c r="N1" i="1"/>
  <c r="N1" i="24"/>
  <c r="N1" i="25"/>
  <c r="M1" i="21"/>
  <c r="M1" i="6"/>
  <c r="M1" i="28"/>
  <c r="F40" i="25"/>
  <c r="H38" i="28"/>
  <c r="H36" i="28"/>
  <c r="L37" i="1"/>
  <c r="L39" i="1"/>
  <c r="G40" i="21"/>
  <c r="H139" i="1"/>
  <c r="H45" i="28"/>
  <c r="H20" i="28"/>
  <c r="G19" i="21"/>
  <c r="G20" i="21" s="1"/>
  <c r="N17" i="1"/>
  <c r="M13" i="21"/>
  <c r="M12" i="21" s="1"/>
  <c r="N110" i="1"/>
  <c r="M13" i="28"/>
  <c r="M12" i="28" s="1"/>
  <c r="AQ68" i="9"/>
  <c r="M77" i="6"/>
  <c r="I46" i="1"/>
  <c r="I62" i="1"/>
  <c r="I61" i="1" s="1"/>
  <c r="I60" i="1" s="1"/>
  <c r="I59" i="1" s="1"/>
  <c r="I58" i="1" s="1"/>
  <c r="I57" i="1" s="1"/>
  <c r="I56" i="1" s="1"/>
  <c r="I55" i="1" s="1"/>
  <c r="I54" i="1" s="1"/>
  <c r="I53" i="1" s="1"/>
  <c r="I52" i="1" s="1"/>
  <c r="I51" i="1" s="1"/>
  <c r="I50" i="1" s="1"/>
  <c r="I49" i="1" s="1"/>
  <c r="I48" i="1" s="1"/>
  <c r="I47" i="1" s="1"/>
  <c r="F67" i="6" l="1"/>
  <c r="F28" i="21"/>
  <c r="F4" i="21" s="1"/>
  <c r="G74" i="1" s="1"/>
  <c r="G144" i="1" s="1"/>
  <c r="E22" i="21"/>
  <c r="H48" i="6"/>
  <c r="H49" i="6" s="1"/>
  <c r="H33" i="21"/>
  <c r="H32" i="21" s="1"/>
  <c r="H30" i="21" s="1"/>
  <c r="J28" i="6"/>
  <c r="J30" i="6"/>
  <c r="M20" i="1"/>
  <c r="M22" i="1" s="1"/>
  <c r="M24" i="1" s="1"/>
  <c r="H52" i="6"/>
  <c r="H55" i="6" s="1"/>
  <c r="I54" i="6" s="1"/>
  <c r="G32" i="28"/>
  <c r="G30" i="28" s="1"/>
  <c r="H33" i="28" s="1"/>
  <c r="H43" i="6"/>
  <c r="I42" i="6" s="1"/>
  <c r="K17" i="21"/>
  <c r="L122" i="1"/>
  <c r="L45" i="25"/>
  <c r="K17" i="28"/>
  <c r="J17" i="21"/>
  <c r="K122" i="1"/>
  <c r="K45" i="25"/>
  <c r="J17" i="28"/>
  <c r="N14" i="24"/>
  <c r="N15" i="24" s="1"/>
  <c r="O10" i="1" s="1"/>
  <c r="O13" i="24"/>
  <c r="N117" i="1"/>
  <c r="I48" i="28"/>
  <c r="I46" i="28"/>
  <c r="C46" i="28"/>
  <c r="O1" i="1"/>
  <c r="O1" i="24"/>
  <c r="O1" i="25"/>
  <c r="N1" i="6"/>
  <c r="E78" i="6" s="1"/>
  <c r="E79" i="6" s="1"/>
  <c r="N1" i="28"/>
  <c r="N1" i="21"/>
  <c r="K45" i="1"/>
  <c r="K42" i="1"/>
  <c r="I46" i="21"/>
  <c r="C46" i="21"/>
  <c r="I48" i="21"/>
  <c r="N84" i="1"/>
  <c r="E81" i="1"/>
  <c r="E87" i="1"/>
  <c r="E72" i="6"/>
  <c r="M37" i="1"/>
  <c r="M39" i="1"/>
  <c r="C41" i="21"/>
  <c r="H41" i="21" s="1"/>
  <c r="H43" i="21"/>
  <c r="H41" i="28"/>
  <c r="C41" i="28"/>
  <c r="H43" i="28"/>
  <c r="L40" i="1"/>
  <c r="N35" i="1"/>
  <c r="N34" i="1" s="1"/>
  <c r="N33" i="1" s="1"/>
  <c r="N32" i="1" s="1"/>
  <c r="N31" i="1" s="1"/>
  <c r="N30" i="1" s="1"/>
  <c r="N29" i="1" s="1"/>
  <c r="N28" i="1"/>
  <c r="G66" i="6"/>
  <c r="G64" i="6"/>
  <c r="G67" i="6" s="1"/>
  <c r="H37" i="21"/>
  <c r="H35" i="21" s="1"/>
  <c r="F142" i="1"/>
  <c r="F38" i="25"/>
  <c r="I155" i="1"/>
  <c r="I140" i="1" s="1"/>
  <c r="I141" i="1" s="1"/>
  <c r="I159" i="1"/>
  <c r="M117" i="1"/>
  <c r="M114" i="1" s="1"/>
  <c r="H37" i="25"/>
  <c r="I65" i="1"/>
  <c r="I66" i="1" s="1"/>
  <c r="I63" i="1"/>
  <c r="O18" i="24"/>
  <c r="O6" i="6" s="1"/>
  <c r="O4" i="6" s="1"/>
  <c r="O10" i="24"/>
  <c r="P8" i="1" s="1"/>
  <c r="P6" i="1" s="1"/>
  <c r="O21" i="24"/>
  <c r="O8" i="6" s="1"/>
  <c r="O9" i="6" s="1"/>
  <c r="P9" i="24"/>
  <c r="I34" i="6"/>
  <c r="I36" i="6"/>
  <c r="H155" i="1"/>
  <c r="H159" i="1"/>
  <c r="H37" i="28"/>
  <c r="H35" i="28" s="1"/>
  <c r="J63" i="1"/>
  <c r="J65" i="1"/>
  <c r="J66" i="1" s="1"/>
  <c r="O12" i="1"/>
  <c r="O12" i="25" s="1"/>
  <c r="O18" i="1"/>
  <c r="O115" i="1"/>
  <c r="O27" i="1"/>
  <c r="O5" i="25"/>
  <c r="O73" i="1"/>
  <c r="F58" i="6"/>
  <c r="F60" i="6"/>
  <c r="H20" i="21"/>
  <c r="D131" i="6"/>
  <c r="D133" i="6" s="1"/>
  <c r="E131" i="6"/>
  <c r="L131" i="6"/>
  <c r="I131" i="6"/>
  <c r="R131" i="6"/>
  <c r="G131" i="6"/>
  <c r="S131" i="6"/>
  <c r="F131" i="6"/>
  <c r="O131" i="6"/>
  <c r="H131" i="6"/>
  <c r="Q131" i="6"/>
  <c r="W131" i="6"/>
  <c r="X131" i="6"/>
  <c r="J131" i="6"/>
  <c r="T131" i="6"/>
  <c r="U131" i="6"/>
  <c r="K131" i="6"/>
  <c r="AB131" i="6"/>
  <c r="AJ131" i="6"/>
  <c r="AR131" i="6"/>
  <c r="N131" i="6"/>
  <c r="AC131" i="6"/>
  <c r="AK131" i="6"/>
  <c r="AS131" i="6"/>
  <c r="Z131" i="6"/>
  <c r="AD131" i="6"/>
  <c r="AL131" i="6"/>
  <c r="AT131" i="6"/>
  <c r="Y131" i="6"/>
  <c r="AG131" i="6"/>
  <c r="AO131" i="6"/>
  <c r="AF131" i="6"/>
  <c r="AZ131" i="6"/>
  <c r="P131" i="6"/>
  <c r="AH131" i="6"/>
  <c r="AA131" i="6"/>
  <c r="AQ131" i="6"/>
  <c r="AP131" i="6"/>
  <c r="AW131" i="6"/>
  <c r="AE131" i="6"/>
  <c r="AI131" i="6"/>
  <c r="M131" i="6"/>
  <c r="AM131" i="6"/>
  <c r="AY131" i="6"/>
  <c r="AN131" i="6"/>
  <c r="AU131" i="6"/>
  <c r="AV131" i="6"/>
  <c r="AX131" i="6"/>
  <c r="BA131" i="6"/>
  <c r="B135" i="6"/>
  <c r="L22" i="1"/>
  <c r="J24" i="6"/>
  <c r="J22" i="6"/>
  <c r="N16" i="1"/>
  <c r="N116" i="1"/>
  <c r="N114" i="1" s="1"/>
  <c r="N11" i="25"/>
  <c r="I18" i="28"/>
  <c r="I19" i="28" s="1"/>
  <c r="N4" i="6"/>
  <c r="I18" i="21"/>
  <c r="J10" i="25"/>
  <c r="M124" i="1"/>
  <c r="M7" i="25"/>
  <c r="M25" i="25"/>
  <c r="F26" i="28"/>
  <c r="F28" i="28"/>
  <c r="F4" i="28" s="1"/>
  <c r="E22" i="28"/>
  <c r="E124" i="6"/>
  <c r="J31" i="6" l="1"/>
  <c r="K28" i="6" s="1"/>
  <c r="G27" i="25"/>
  <c r="F27" i="21"/>
  <c r="G39" i="25"/>
  <c r="G13" i="25"/>
  <c r="H42" i="21"/>
  <c r="H40" i="21" s="1"/>
  <c r="I41" i="21" s="1"/>
  <c r="I47" i="21"/>
  <c r="I45" i="21" s="1"/>
  <c r="J46" i="21" s="1"/>
  <c r="I52" i="6"/>
  <c r="I55" i="6" s="1"/>
  <c r="H31" i="28"/>
  <c r="H32" i="28" s="1"/>
  <c r="H30" i="28" s="1"/>
  <c r="I31" i="28" s="1"/>
  <c r="F27" i="28"/>
  <c r="F275" i="28" s="1"/>
  <c r="M40" i="1"/>
  <c r="M42" i="1" s="1"/>
  <c r="I40" i="6"/>
  <c r="I43" i="6" s="1"/>
  <c r="F78" i="6"/>
  <c r="F76" i="6"/>
  <c r="M17" i="21"/>
  <c r="N45" i="25"/>
  <c r="N122" i="1"/>
  <c r="M17" i="28"/>
  <c r="D137" i="6"/>
  <c r="D139" i="6" s="1"/>
  <c r="H137" i="6"/>
  <c r="I137" i="6"/>
  <c r="E137" i="6"/>
  <c r="J137" i="6"/>
  <c r="M137" i="6"/>
  <c r="N137" i="6"/>
  <c r="O137" i="6"/>
  <c r="L137" i="6"/>
  <c r="P137" i="6"/>
  <c r="K137" i="6"/>
  <c r="S137" i="6"/>
  <c r="T137" i="6"/>
  <c r="U137" i="6"/>
  <c r="Z137" i="6"/>
  <c r="Q137" i="6"/>
  <c r="Y137" i="6"/>
  <c r="AF137" i="6"/>
  <c r="AN137" i="6"/>
  <c r="AU137" i="6"/>
  <c r="V137" i="6"/>
  <c r="AG137" i="6"/>
  <c r="AO137" i="6"/>
  <c r="AH137" i="6"/>
  <c r="AP137" i="6"/>
  <c r="AC137" i="6"/>
  <c r="AK137" i="6"/>
  <c r="AS137" i="6"/>
  <c r="AB137" i="6"/>
  <c r="AR137" i="6"/>
  <c r="AV137" i="6"/>
  <c r="AD137" i="6"/>
  <c r="AT137" i="6"/>
  <c r="AW137" i="6"/>
  <c r="AM137" i="6"/>
  <c r="AX137" i="6"/>
  <c r="AL137" i="6"/>
  <c r="AA137" i="6"/>
  <c r="G137" i="6"/>
  <c r="R137" i="6"/>
  <c r="AZ137" i="6"/>
  <c r="AE137" i="6"/>
  <c r="X137" i="6"/>
  <c r="AI137" i="6"/>
  <c r="F137" i="6"/>
  <c r="AJ137" i="6"/>
  <c r="AY137" i="6"/>
  <c r="B141" i="6"/>
  <c r="AQ137" i="6"/>
  <c r="BA137" i="6"/>
  <c r="O7" i="6"/>
  <c r="E73" i="6"/>
  <c r="J18" i="21"/>
  <c r="K10" i="25"/>
  <c r="E130" i="6"/>
  <c r="F61" i="6"/>
  <c r="I36" i="28"/>
  <c r="I38" i="28"/>
  <c r="K30" i="6"/>
  <c r="I46" i="6"/>
  <c r="I48" i="6"/>
  <c r="O17" i="1"/>
  <c r="N13" i="21"/>
  <c r="N12" i="21" s="1"/>
  <c r="O110" i="1"/>
  <c r="N13" i="28"/>
  <c r="N12" i="28" s="1"/>
  <c r="AR68" i="9"/>
  <c r="N83" i="6"/>
  <c r="E84" i="6" s="1"/>
  <c r="E85" i="6" s="1"/>
  <c r="N5" i="6"/>
  <c r="O5" i="6" s="1"/>
  <c r="J25" i="6"/>
  <c r="H42" i="28"/>
  <c r="H40" i="28" s="1"/>
  <c r="G40" i="25"/>
  <c r="P1" i="1"/>
  <c r="P1" i="24"/>
  <c r="O1" i="6"/>
  <c r="P1" i="25"/>
  <c r="O1" i="21"/>
  <c r="O1" i="28"/>
  <c r="K18" i="28"/>
  <c r="K19" i="28" s="1"/>
  <c r="P17" i="1"/>
  <c r="P110" i="1"/>
  <c r="O13" i="21"/>
  <c r="O12" i="21" s="1"/>
  <c r="AS68" i="9"/>
  <c r="O13" i="28"/>
  <c r="O12" i="28" s="1"/>
  <c r="O89" i="6"/>
  <c r="I36" i="21"/>
  <c r="I38" i="21"/>
  <c r="N7" i="25"/>
  <c r="N25" i="25"/>
  <c r="N124" i="1"/>
  <c r="N20" i="1"/>
  <c r="I37" i="6"/>
  <c r="I9" i="25"/>
  <c r="I50" i="21"/>
  <c r="J139" i="1"/>
  <c r="M45" i="1"/>
  <c r="O28" i="1"/>
  <c r="O35" i="1"/>
  <c r="O34" i="1" s="1"/>
  <c r="O33" i="1" s="1"/>
  <c r="O32" i="1" s="1"/>
  <c r="O31" i="1" s="1"/>
  <c r="O30" i="1" s="1"/>
  <c r="O29" i="1" s="1"/>
  <c r="I68" i="1"/>
  <c r="O84" i="1"/>
  <c r="O14" i="24"/>
  <c r="O15" i="24" s="1"/>
  <c r="P10" i="1" s="1"/>
  <c r="P13" i="24"/>
  <c r="I19" i="21"/>
  <c r="I20" i="21" s="1"/>
  <c r="I50" i="28"/>
  <c r="I20" i="28"/>
  <c r="H140" i="1"/>
  <c r="F36" i="25"/>
  <c r="K46" i="1"/>
  <c r="K62" i="1"/>
  <c r="K61" i="1" s="1"/>
  <c r="K60" i="1" s="1"/>
  <c r="K59" i="1" s="1"/>
  <c r="K58" i="1" s="1"/>
  <c r="K57" i="1" s="1"/>
  <c r="K56" i="1" s="1"/>
  <c r="K55" i="1" s="1"/>
  <c r="K54" i="1" s="1"/>
  <c r="K53" i="1" s="1"/>
  <c r="K52" i="1" s="1"/>
  <c r="K51" i="1" s="1"/>
  <c r="K50" i="1" s="1"/>
  <c r="K49" i="1" s="1"/>
  <c r="K48" i="1" s="1"/>
  <c r="K47" i="1" s="1"/>
  <c r="O16" i="1"/>
  <c r="O116" i="1"/>
  <c r="O11" i="25"/>
  <c r="J68" i="1"/>
  <c r="I31" i="21"/>
  <c r="I33" i="21"/>
  <c r="P18" i="24"/>
  <c r="P6" i="6" s="1"/>
  <c r="P21" i="24"/>
  <c r="P8" i="6" s="1"/>
  <c r="P9" i="6" s="1"/>
  <c r="Q9" i="24"/>
  <c r="P10" i="24"/>
  <c r="Q8" i="1" s="1"/>
  <c r="Q6" i="1" s="1"/>
  <c r="L17" i="21"/>
  <c r="M122" i="1"/>
  <c r="M45" i="25"/>
  <c r="L17" i="28"/>
  <c r="H66" i="6"/>
  <c r="H64" i="6"/>
  <c r="L24" i="1"/>
  <c r="P12" i="1"/>
  <c r="P12" i="25" s="1"/>
  <c r="P18" i="1"/>
  <c r="P115" i="1"/>
  <c r="P27" i="1"/>
  <c r="P5" i="25"/>
  <c r="P73" i="1"/>
  <c r="N37" i="1"/>
  <c r="N39" i="1"/>
  <c r="E88" i="1"/>
  <c r="E89" i="1" s="1"/>
  <c r="E92" i="1" s="1"/>
  <c r="K85" i="1"/>
  <c r="I47" i="28"/>
  <c r="I45" i="28" s="1"/>
  <c r="J18" i="28"/>
  <c r="J19" i="28" s="1"/>
  <c r="K18" i="21"/>
  <c r="L10" i="25"/>
  <c r="I43" i="21" l="1"/>
  <c r="I42" i="21" s="1"/>
  <c r="I40" i="21" s="1"/>
  <c r="F25" i="21"/>
  <c r="F275" i="21"/>
  <c r="J48" i="21"/>
  <c r="J47" i="21" s="1"/>
  <c r="J45" i="21" s="1"/>
  <c r="H67" i="6"/>
  <c r="I66" i="6" s="1"/>
  <c r="I33" i="28"/>
  <c r="I32" i="28" s="1"/>
  <c r="I30" i="28" s="1"/>
  <c r="F25" i="28"/>
  <c r="G26" i="28" s="1"/>
  <c r="N40" i="1"/>
  <c r="K31" i="6"/>
  <c r="L28" i="6" s="1"/>
  <c r="I37" i="28"/>
  <c r="I35" i="28" s="1"/>
  <c r="J36" i="28" s="1"/>
  <c r="O20" i="1"/>
  <c r="O22" i="1" s="1"/>
  <c r="O24" i="1" s="1"/>
  <c r="F79" i="6"/>
  <c r="G78" i="6" s="1"/>
  <c r="E94" i="1"/>
  <c r="E97" i="1"/>
  <c r="E96" i="1"/>
  <c r="E98" i="1"/>
  <c r="L45" i="1"/>
  <c r="L42" i="1"/>
  <c r="J37" i="25"/>
  <c r="J52" i="6"/>
  <c r="J54" i="6"/>
  <c r="E136" i="6"/>
  <c r="K60" i="21"/>
  <c r="L139" i="1"/>
  <c r="L37" i="25" s="1"/>
  <c r="J51" i="28"/>
  <c r="J53" i="28"/>
  <c r="C51" i="28"/>
  <c r="O117" i="1"/>
  <c r="O114" i="1" s="1"/>
  <c r="F70" i="6"/>
  <c r="F72" i="6"/>
  <c r="K19" i="21"/>
  <c r="P4" i="6"/>
  <c r="P5" i="6" s="1"/>
  <c r="I32" i="21"/>
  <c r="I30" i="21" s="1"/>
  <c r="J40" i="6"/>
  <c r="J42" i="6"/>
  <c r="J155" i="1"/>
  <c r="J159" i="1"/>
  <c r="P117" i="1"/>
  <c r="Q1" i="1"/>
  <c r="P1" i="6"/>
  <c r="E90" i="6" s="1"/>
  <c r="Q1" i="25"/>
  <c r="P1" i="21"/>
  <c r="P1" i="28"/>
  <c r="Q1" i="24"/>
  <c r="P7" i="6"/>
  <c r="L18" i="21"/>
  <c r="L19" i="21" s="1"/>
  <c r="M10" i="25"/>
  <c r="Q12" i="1"/>
  <c r="Q12" i="25" s="1"/>
  <c r="Q18" i="1"/>
  <c r="Q115" i="1"/>
  <c r="Q5" i="25"/>
  <c r="Q27" i="1"/>
  <c r="Q73" i="1"/>
  <c r="J46" i="28"/>
  <c r="J48" i="28"/>
  <c r="Q18" i="24"/>
  <c r="Q6" i="6" s="1"/>
  <c r="Q10" i="24"/>
  <c r="R8" i="1" s="1"/>
  <c r="R6" i="1" s="1"/>
  <c r="Q21" i="24"/>
  <c r="Q8" i="6" s="1"/>
  <c r="Q9" i="6" s="1"/>
  <c r="R9" i="24"/>
  <c r="I41" i="28"/>
  <c r="I43" i="28"/>
  <c r="D143" i="6"/>
  <c r="D145" i="6" s="1"/>
  <c r="E143" i="6"/>
  <c r="F143" i="6"/>
  <c r="L143" i="6"/>
  <c r="I143" i="6"/>
  <c r="K143" i="6"/>
  <c r="R143" i="6"/>
  <c r="S143" i="6"/>
  <c r="H143" i="6"/>
  <c r="M143" i="6"/>
  <c r="G143" i="6"/>
  <c r="O143" i="6"/>
  <c r="P143" i="6"/>
  <c r="W143" i="6"/>
  <c r="Q143" i="6"/>
  <c r="AB143" i="6"/>
  <c r="AJ143" i="6"/>
  <c r="AR143" i="6"/>
  <c r="Y143" i="6"/>
  <c r="AC143" i="6"/>
  <c r="AK143" i="6"/>
  <c r="AS143" i="6"/>
  <c r="T143" i="6"/>
  <c r="U143" i="6"/>
  <c r="AD143" i="6"/>
  <c r="AL143" i="6"/>
  <c r="AT143" i="6"/>
  <c r="AG143" i="6"/>
  <c r="AO143" i="6"/>
  <c r="N143" i="6"/>
  <c r="AN143" i="6"/>
  <c r="AU143" i="6"/>
  <c r="AZ143" i="6"/>
  <c r="AP143" i="6"/>
  <c r="J143" i="6"/>
  <c r="AI143" i="6"/>
  <c r="Z143" i="6"/>
  <c r="AH143" i="6"/>
  <c r="AW143" i="6"/>
  <c r="V143" i="6"/>
  <c r="AV143" i="6"/>
  <c r="AA143" i="6"/>
  <c r="AX143" i="6"/>
  <c r="AE143" i="6"/>
  <c r="AF143" i="6"/>
  <c r="AM143" i="6"/>
  <c r="AY143" i="6"/>
  <c r="AQ143" i="6"/>
  <c r="B147" i="6"/>
  <c r="BA143" i="6"/>
  <c r="P28" i="1"/>
  <c r="P35" i="1"/>
  <c r="P34" i="1" s="1"/>
  <c r="P33" i="1" s="1"/>
  <c r="P32" i="1" s="1"/>
  <c r="P31" i="1" s="1"/>
  <c r="P30" i="1" s="1"/>
  <c r="P29" i="1" s="1"/>
  <c r="L18" i="28"/>
  <c r="H141" i="1"/>
  <c r="O37" i="1"/>
  <c r="O39" i="1"/>
  <c r="M46" i="1"/>
  <c r="M62" i="1"/>
  <c r="M61" i="1" s="1"/>
  <c r="M60" i="1" s="1"/>
  <c r="M59" i="1" s="1"/>
  <c r="M58" i="1" s="1"/>
  <c r="M57" i="1" s="1"/>
  <c r="M56" i="1" s="1"/>
  <c r="M55" i="1" s="1"/>
  <c r="M54" i="1" s="1"/>
  <c r="M53" i="1" s="1"/>
  <c r="M52" i="1" s="1"/>
  <c r="M51" i="1" s="1"/>
  <c r="M50" i="1" s="1"/>
  <c r="M49" i="1" s="1"/>
  <c r="M48" i="1" s="1"/>
  <c r="M47" i="1" s="1"/>
  <c r="J36" i="6"/>
  <c r="J34" i="6"/>
  <c r="P84" i="1"/>
  <c r="M18" i="21"/>
  <c r="N10" i="25"/>
  <c r="F82" i="6"/>
  <c r="F84" i="6"/>
  <c r="J51" i="21"/>
  <c r="C51" i="21"/>
  <c r="J53" i="21"/>
  <c r="O124" i="1"/>
  <c r="O7" i="25"/>
  <c r="O25" i="25"/>
  <c r="G60" i="6"/>
  <c r="G58" i="6"/>
  <c r="M18" i="28"/>
  <c r="M19" i="28" s="1"/>
  <c r="K63" i="1"/>
  <c r="K65" i="1"/>
  <c r="K66" i="1" s="1"/>
  <c r="P14" i="24"/>
  <c r="P15" i="24" s="1"/>
  <c r="Q10" i="1" s="1"/>
  <c r="Q13" i="24"/>
  <c r="N22" i="1"/>
  <c r="K24" i="6"/>
  <c r="K22" i="6"/>
  <c r="J55" i="21"/>
  <c r="K139" i="1"/>
  <c r="K37" i="25" s="1"/>
  <c r="J55" i="28"/>
  <c r="J20" i="28"/>
  <c r="I49" i="6"/>
  <c r="F48" i="25"/>
  <c r="P16" i="1"/>
  <c r="P116" i="1"/>
  <c r="P114" i="1" s="1"/>
  <c r="P11" i="25"/>
  <c r="I37" i="21"/>
  <c r="I35" i="21" s="1"/>
  <c r="K60" i="28"/>
  <c r="K20" i="28"/>
  <c r="J19" i="21"/>
  <c r="J20" i="21" s="1"/>
  <c r="G14" i="25" l="1"/>
  <c r="G143" i="1"/>
  <c r="G26" i="21"/>
  <c r="F22" i="21"/>
  <c r="G28" i="21"/>
  <c r="G4" i="21" s="1"/>
  <c r="H74" i="1" s="1"/>
  <c r="K46" i="21"/>
  <c r="K48" i="21"/>
  <c r="K47" i="21" s="1"/>
  <c r="K45" i="21" s="1"/>
  <c r="I64" i="6"/>
  <c r="I67" i="6" s="1"/>
  <c r="Q7" i="6"/>
  <c r="F22" i="28"/>
  <c r="G28" i="28"/>
  <c r="G4" i="28" s="1"/>
  <c r="J38" i="28"/>
  <c r="J37" i="28" s="1"/>
  <c r="J35" i="28" s="1"/>
  <c r="L30" i="6"/>
  <c r="L31" i="6" s="1"/>
  <c r="M30" i="6" s="1"/>
  <c r="G76" i="6"/>
  <c r="G79" i="6" s="1"/>
  <c r="O40" i="1"/>
  <c r="O42" i="1" s="1"/>
  <c r="G61" i="6"/>
  <c r="H60" i="6" s="1"/>
  <c r="K25" i="6"/>
  <c r="L22" i="6" s="1"/>
  <c r="F85" i="6"/>
  <c r="G84" i="6" s="1"/>
  <c r="N17" i="21"/>
  <c r="O45" i="25"/>
  <c r="O122" i="1"/>
  <c r="N17" i="28"/>
  <c r="E91" i="6"/>
  <c r="O45" i="1"/>
  <c r="K56" i="21"/>
  <c r="C56" i="21"/>
  <c r="K58" i="21"/>
  <c r="Q16" i="1"/>
  <c r="Q116" i="1"/>
  <c r="Q11" i="25"/>
  <c r="G82" i="6"/>
  <c r="L65" i="28"/>
  <c r="E142" i="6"/>
  <c r="R18" i="1"/>
  <c r="R12" i="1"/>
  <c r="R12" i="25" s="1"/>
  <c r="R115" i="1"/>
  <c r="R5" i="25"/>
  <c r="R27" i="1"/>
  <c r="R73" i="1"/>
  <c r="M155" i="1"/>
  <c r="M140" i="1" s="1"/>
  <c r="M141" i="1" s="1"/>
  <c r="M159" i="1"/>
  <c r="J31" i="21"/>
  <c r="J33" i="21"/>
  <c r="K68" i="1"/>
  <c r="M63" i="1"/>
  <c r="M65" i="1"/>
  <c r="M66" i="1" s="1"/>
  <c r="Q4" i="6"/>
  <c r="Q17" i="1"/>
  <c r="Q110" i="1"/>
  <c r="P13" i="21"/>
  <c r="P12" i="21" s="1"/>
  <c r="P13" i="28"/>
  <c r="P12" i="28" s="1"/>
  <c r="AT68" i="9"/>
  <c r="P95" i="6"/>
  <c r="L61" i="21"/>
  <c r="C61" i="21"/>
  <c r="L63" i="21"/>
  <c r="J55" i="6"/>
  <c r="P37" i="1"/>
  <c r="P39" i="1"/>
  <c r="J47" i="28"/>
  <c r="J45" i="28" s="1"/>
  <c r="J52" i="28"/>
  <c r="J50" i="28" s="1"/>
  <c r="M70" i="28"/>
  <c r="M20" i="28"/>
  <c r="J52" i="21"/>
  <c r="J50" i="21" s="1"/>
  <c r="J140" i="1"/>
  <c r="M70" i="21"/>
  <c r="N139" i="1"/>
  <c r="N37" i="25" s="1"/>
  <c r="L155" i="1"/>
  <c r="L140" i="1" s="1"/>
  <c r="L141" i="1" s="1"/>
  <c r="L159" i="1"/>
  <c r="P25" i="25"/>
  <c r="P124" i="1"/>
  <c r="P7" i="25"/>
  <c r="P20" i="1"/>
  <c r="K58" i="28"/>
  <c r="K56" i="28"/>
  <c r="C56" i="28"/>
  <c r="H9" i="25"/>
  <c r="N24" i="1"/>
  <c r="R18" i="24"/>
  <c r="R6" i="6" s="1"/>
  <c r="R4" i="6" s="1"/>
  <c r="R10" i="24"/>
  <c r="S8" i="1" s="1"/>
  <c r="S6" i="1" s="1"/>
  <c r="S9" i="24"/>
  <c r="R21" i="24"/>
  <c r="R8" i="6" s="1"/>
  <c r="R9" i="6" s="1"/>
  <c r="R1" i="1"/>
  <c r="R1" i="24"/>
  <c r="R1" i="25"/>
  <c r="Q1" i="6"/>
  <c r="Q1" i="28"/>
  <c r="Q1" i="21"/>
  <c r="J41" i="21"/>
  <c r="J43" i="21"/>
  <c r="F73" i="6"/>
  <c r="L46" i="1"/>
  <c r="L62" i="1"/>
  <c r="L61" i="1" s="1"/>
  <c r="L60" i="1" s="1"/>
  <c r="L59" i="1" s="1"/>
  <c r="L58" i="1" s="1"/>
  <c r="L57" i="1" s="1"/>
  <c r="L56" i="1" s="1"/>
  <c r="L55" i="1" s="1"/>
  <c r="L54" i="1" s="1"/>
  <c r="L53" i="1" s="1"/>
  <c r="L52" i="1" s="1"/>
  <c r="L51" i="1" s="1"/>
  <c r="L50" i="1" s="1"/>
  <c r="L49" i="1" s="1"/>
  <c r="L48" i="1" s="1"/>
  <c r="L47" i="1" s="1"/>
  <c r="J36" i="21"/>
  <c r="J38" i="21"/>
  <c r="L24" i="6"/>
  <c r="J33" i="28"/>
  <c r="J31" i="28"/>
  <c r="O17" i="21"/>
  <c r="P122" i="1"/>
  <c r="P45" i="25"/>
  <c r="O17" i="28"/>
  <c r="K155" i="1"/>
  <c r="K140" i="1" s="1"/>
  <c r="K141" i="1" s="1"/>
  <c r="K159" i="1"/>
  <c r="M19" i="21"/>
  <c r="Q84" i="1"/>
  <c r="I42" i="28"/>
  <c r="I40" i="28" s="1"/>
  <c r="E8" i="25"/>
  <c r="E125" i="1"/>
  <c r="E26" i="25"/>
  <c r="L61" i="28"/>
  <c r="C61" i="28"/>
  <c r="L63" i="28"/>
  <c r="J48" i="6"/>
  <c r="J46" i="6"/>
  <c r="Q14" i="24"/>
  <c r="Q15" i="24" s="1"/>
  <c r="R10" i="1" s="1"/>
  <c r="R13" i="24"/>
  <c r="J37" i="6"/>
  <c r="L19" i="28"/>
  <c r="L20" i="28" s="1"/>
  <c r="D149" i="6"/>
  <c r="D151" i="6" s="1"/>
  <c r="H149" i="6"/>
  <c r="I149" i="6"/>
  <c r="J149" i="6"/>
  <c r="M149" i="6"/>
  <c r="G149" i="6"/>
  <c r="N149" i="6"/>
  <c r="K149" i="6"/>
  <c r="O149" i="6"/>
  <c r="P149" i="6"/>
  <c r="F149" i="6"/>
  <c r="S149" i="6"/>
  <c r="Z149" i="6"/>
  <c r="X149" i="6"/>
  <c r="AF149" i="6"/>
  <c r="AN149" i="6"/>
  <c r="AU149" i="6"/>
  <c r="AG149" i="6"/>
  <c r="AO149" i="6"/>
  <c r="L149" i="6"/>
  <c r="W149" i="6"/>
  <c r="AH149" i="6"/>
  <c r="AP149" i="6"/>
  <c r="R149" i="6"/>
  <c r="V149" i="6"/>
  <c r="AC149" i="6"/>
  <c r="AK149" i="6"/>
  <c r="AS149" i="6"/>
  <c r="U149" i="6"/>
  <c r="AJ149" i="6"/>
  <c r="AV149" i="6"/>
  <c r="AL149" i="6"/>
  <c r="AW149" i="6"/>
  <c r="AE149" i="6"/>
  <c r="AX149" i="6"/>
  <c r="AD149" i="6"/>
  <c r="AT149" i="6"/>
  <c r="AY149" i="6"/>
  <c r="AR149" i="6"/>
  <c r="E149" i="6"/>
  <c r="AA149" i="6"/>
  <c r="T149" i="6"/>
  <c r="AB149" i="6"/>
  <c r="AZ149" i="6"/>
  <c r="B153" i="6"/>
  <c r="Q149" i="6"/>
  <c r="AI149" i="6"/>
  <c r="AM149" i="6"/>
  <c r="BA149" i="6"/>
  <c r="AQ149" i="6"/>
  <c r="Q28" i="1"/>
  <c r="Q35" i="1"/>
  <c r="Q34" i="1" s="1"/>
  <c r="Q33" i="1" s="1"/>
  <c r="Q32" i="1" s="1"/>
  <c r="Q31" i="1" s="1"/>
  <c r="Q30" i="1" s="1"/>
  <c r="Q29" i="1" s="1"/>
  <c r="L65" i="21"/>
  <c r="M139" i="1"/>
  <c r="L20" i="21"/>
  <c r="J43" i="6"/>
  <c r="K20" i="21"/>
  <c r="E126" i="1"/>
  <c r="E28" i="25"/>
  <c r="E15" i="25"/>
  <c r="G27" i="21" l="1"/>
  <c r="G38" i="25"/>
  <c r="G36" i="25" s="1"/>
  <c r="G48" i="25" s="1"/>
  <c r="G142" i="1"/>
  <c r="H144" i="1"/>
  <c r="H39" i="25"/>
  <c r="H27" i="25"/>
  <c r="H40" i="25" s="1"/>
  <c r="H13" i="25"/>
  <c r="G27" i="28"/>
  <c r="G25" i="28" s="1"/>
  <c r="H76" i="6"/>
  <c r="H78" i="6"/>
  <c r="K38" i="28"/>
  <c r="K36" i="28"/>
  <c r="L62" i="21"/>
  <c r="L60" i="21" s="1"/>
  <c r="M63" i="21" s="1"/>
  <c r="M28" i="6"/>
  <c r="H79" i="6"/>
  <c r="I76" i="6" s="1"/>
  <c r="Q20" i="1"/>
  <c r="Q22" i="1" s="1"/>
  <c r="Q24" i="1" s="1"/>
  <c r="J32" i="28"/>
  <c r="J30" i="28" s="1"/>
  <c r="K33" i="28" s="1"/>
  <c r="H58" i="6"/>
  <c r="H61" i="6" s="1"/>
  <c r="J49" i="6"/>
  <c r="K46" i="6" s="1"/>
  <c r="S9" i="6"/>
  <c r="L9" i="25"/>
  <c r="K9" i="25"/>
  <c r="N155" i="1"/>
  <c r="N159" i="1"/>
  <c r="P40" i="1"/>
  <c r="R35" i="1"/>
  <c r="R34" i="1" s="1"/>
  <c r="R33" i="1" s="1"/>
  <c r="R32" i="1" s="1"/>
  <c r="R31" i="1" s="1"/>
  <c r="R30" i="1" s="1"/>
  <c r="R29" i="1" s="1"/>
  <c r="R28" i="1"/>
  <c r="Q37" i="1"/>
  <c r="Q39" i="1"/>
  <c r="O18" i="21"/>
  <c r="O19" i="21" s="1"/>
  <c r="P10" i="25"/>
  <c r="G72" i="6"/>
  <c r="G70" i="6"/>
  <c r="M31" i="6"/>
  <c r="M66" i="28"/>
  <c r="M68" i="28"/>
  <c r="C66" i="28"/>
  <c r="R14" i="24"/>
  <c r="R15" i="24" s="1"/>
  <c r="S10" i="1" s="1"/>
  <c r="S13" i="24"/>
  <c r="R84" i="1"/>
  <c r="K51" i="21"/>
  <c r="K53" i="21"/>
  <c r="L46" i="21"/>
  <c r="L48" i="21"/>
  <c r="M9" i="25"/>
  <c r="M66" i="21"/>
  <c r="C66" i="21"/>
  <c r="M68" i="21"/>
  <c r="R16" i="1"/>
  <c r="R116" i="1"/>
  <c r="R11" i="25"/>
  <c r="J37" i="21"/>
  <c r="J35" i="21" s="1"/>
  <c r="N71" i="21"/>
  <c r="C71" i="21"/>
  <c r="N73" i="21"/>
  <c r="K54" i="6"/>
  <c r="K52" i="6"/>
  <c r="G85" i="6"/>
  <c r="K57" i="21"/>
  <c r="K55" i="21" s="1"/>
  <c r="L63" i="1"/>
  <c r="L65" i="1"/>
  <c r="L66" i="1" s="1"/>
  <c r="R17" i="1"/>
  <c r="Q13" i="21"/>
  <c r="Q12" i="21" s="1"/>
  <c r="R110" i="1"/>
  <c r="AU68" i="9"/>
  <c r="Q13" i="28"/>
  <c r="Q12" i="28" s="1"/>
  <c r="Q101" i="6"/>
  <c r="K42" i="6"/>
  <c r="K40" i="6"/>
  <c r="J43" i="28"/>
  <c r="J41" i="28"/>
  <c r="J64" i="6"/>
  <c r="J66" i="6"/>
  <c r="F90" i="6"/>
  <c r="F88" i="6"/>
  <c r="Q5" i="6"/>
  <c r="R5" i="6" s="1"/>
  <c r="N45" i="1"/>
  <c r="N42" i="1"/>
  <c r="N18" i="28"/>
  <c r="N19" i="28" s="1"/>
  <c r="L62" i="28"/>
  <c r="L60" i="28" s="1"/>
  <c r="E121" i="1"/>
  <c r="J42" i="21"/>
  <c r="J40" i="21" s="1"/>
  <c r="S18" i="24"/>
  <c r="S6" i="6" s="1"/>
  <c r="S10" i="24"/>
  <c r="T8" i="1" s="1"/>
  <c r="T6" i="1" s="1"/>
  <c r="T9" i="24"/>
  <c r="S21" i="24"/>
  <c r="S8" i="6" s="1"/>
  <c r="K57" i="28"/>
  <c r="K55" i="28" s="1"/>
  <c r="N71" i="28"/>
  <c r="C71" i="28"/>
  <c r="N73" i="28"/>
  <c r="Q117" i="1"/>
  <c r="Q114" i="1" s="1"/>
  <c r="N18" i="21"/>
  <c r="N19" i="21" s="1"/>
  <c r="O10" i="25"/>
  <c r="P22" i="1"/>
  <c r="K36" i="6"/>
  <c r="K34" i="6"/>
  <c r="M68" i="1"/>
  <c r="Q25" i="25"/>
  <c r="Q7" i="25"/>
  <c r="Q124" i="1"/>
  <c r="S1" i="1"/>
  <c r="S1" i="24"/>
  <c r="S1" i="25"/>
  <c r="R1" i="6"/>
  <c r="R1" i="28"/>
  <c r="R1" i="21"/>
  <c r="S12" i="1"/>
  <c r="S12" i="25" s="1"/>
  <c r="S18" i="1"/>
  <c r="S115" i="1"/>
  <c r="S5" i="25"/>
  <c r="S27" i="1"/>
  <c r="S73" i="1"/>
  <c r="O46" i="1"/>
  <c r="O62" i="1"/>
  <c r="O61" i="1" s="1"/>
  <c r="O60" i="1" s="1"/>
  <c r="O59" i="1" s="1"/>
  <c r="O58" i="1" s="1"/>
  <c r="O57" i="1" s="1"/>
  <c r="O56" i="1" s="1"/>
  <c r="O55" i="1" s="1"/>
  <c r="O54" i="1" s="1"/>
  <c r="O53" i="1" s="1"/>
  <c r="O52" i="1" s="1"/>
  <c r="O51" i="1" s="1"/>
  <c r="O50" i="1" s="1"/>
  <c r="O49" i="1" s="1"/>
  <c r="O48" i="1" s="1"/>
  <c r="O47" i="1" s="1"/>
  <c r="K48" i="28"/>
  <c r="K46" i="28"/>
  <c r="J141" i="1"/>
  <c r="E96" i="6"/>
  <c r="J32" i="21"/>
  <c r="J30" i="21" s="1"/>
  <c r="D155" i="6"/>
  <c r="D157" i="6" s="1"/>
  <c r="E155" i="6"/>
  <c r="I155" i="6"/>
  <c r="R155" i="6"/>
  <c r="G155" i="6"/>
  <c r="L155" i="6"/>
  <c r="M155" i="6"/>
  <c r="S155" i="6"/>
  <c r="O155" i="6"/>
  <c r="F155" i="6"/>
  <c r="W155" i="6"/>
  <c r="J155" i="6"/>
  <c r="Q155" i="6"/>
  <c r="X155" i="6"/>
  <c r="Y155" i="6"/>
  <c r="V155" i="6"/>
  <c r="AB155" i="6"/>
  <c r="AJ155" i="6"/>
  <c r="AR155" i="6"/>
  <c r="K155" i="6"/>
  <c r="AC155" i="6"/>
  <c r="AK155" i="6"/>
  <c r="AS155" i="6"/>
  <c r="P155" i="6"/>
  <c r="AD155" i="6"/>
  <c r="AL155" i="6"/>
  <c r="AT155" i="6"/>
  <c r="N155" i="6"/>
  <c r="T155" i="6"/>
  <c r="U155" i="6"/>
  <c r="AG155" i="6"/>
  <c r="AO155" i="6"/>
  <c r="AF155" i="6"/>
  <c r="AZ155" i="6"/>
  <c r="H155" i="6"/>
  <c r="AH155" i="6"/>
  <c r="AA155" i="6"/>
  <c r="AQ155" i="6"/>
  <c r="AP155" i="6"/>
  <c r="AW155" i="6"/>
  <c r="AN155" i="6"/>
  <c r="AU155" i="6"/>
  <c r="AY155" i="6"/>
  <c r="AV155" i="6"/>
  <c r="AI155" i="6"/>
  <c r="AX155" i="6"/>
  <c r="AE155" i="6"/>
  <c r="B159" i="6"/>
  <c r="BA155" i="6"/>
  <c r="AM155" i="6"/>
  <c r="I78" i="6"/>
  <c r="M20" i="21"/>
  <c r="M37" i="25"/>
  <c r="E148" i="6"/>
  <c r="O18" i="28"/>
  <c r="O19" i="28" s="1"/>
  <c r="L25" i="6"/>
  <c r="S17" i="1"/>
  <c r="R13" i="21"/>
  <c r="R12" i="21" s="1"/>
  <c r="S110" i="1"/>
  <c r="AV68" i="9"/>
  <c r="R13" i="28"/>
  <c r="R12" i="28" s="1"/>
  <c r="R107" i="6"/>
  <c r="R7" i="6"/>
  <c r="S7" i="6" s="1"/>
  <c r="K53" i="28"/>
  <c r="K51" i="28"/>
  <c r="R20" i="1" l="1"/>
  <c r="K37" i="28"/>
  <c r="K35" i="28" s="1"/>
  <c r="L36" i="28" s="1"/>
  <c r="K31" i="28"/>
  <c r="G275" i="28"/>
  <c r="G275" i="21"/>
  <c r="G25" i="21"/>
  <c r="M61" i="21"/>
  <c r="M62" i="21" s="1"/>
  <c r="M60" i="21" s="1"/>
  <c r="M67" i="21"/>
  <c r="M65" i="21" s="1"/>
  <c r="N68" i="21" s="1"/>
  <c r="N72" i="21"/>
  <c r="N70" i="21" s="1"/>
  <c r="O71" i="21" s="1"/>
  <c r="Q40" i="1"/>
  <c r="Q42" i="1" s="1"/>
  <c r="H26" i="28"/>
  <c r="G22" i="28"/>
  <c r="H28" i="28"/>
  <c r="H4" i="28" s="1"/>
  <c r="J42" i="28"/>
  <c r="J40" i="28" s="1"/>
  <c r="K43" i="28" s="1"/>
  <c r="G73" i="6"/>
  <c r="H72" i="6" s="1"/>
  <c r="K32" i="28"/>
  <c r="K30" i="28" s="1"/>
  <c r="L31" i="28" s="1"/>
  <c r="I60" i="6"/>
  <c r="I58" i="6"/>
  <c r="K48" i="6"/>
  <c r="K49" i="6" s="1"/>
  <c r="K47" i="28"/>
  <c r="K45" i="28" s="1"/>
  <c r="L48" i="28" s="1"/>
  <c r="K52" i="28"/>
  <c r="K50" i="28" s="1"/>
  <c r="L51" i="28" s="1"/>
  <c r="M67" i="28"/>
  <c r="M65" i="28" s="1"/>
  <c r="N66" i="28" s="1"/>
  <c r="N72" i="28"/>
  <c r="N70" i="28" s="1"/>
  <c r="O73" i="28" s="1"/>
  <c r="R22" i="1"/>
  <c r="R24" i="1" s="1"/>
  <c r="K31" i="21"/>
  <c r="K33" i="21"/>
  <c r="K41" i="21"/>
  <c r="K43" i="21"/>
  <c r="M63" i="28"/>
  <c r="M61" i="28"/>
  <c r="E102" i="6"/>
  <c r="E103" i="6" s="1"/>
  <c r="D161" i="6"/>
  <c r="D163" i="6" s="1"/>
  <c r="H161" i="6"/>
  <c r="I161" i="6"/>
  <c r="E161" i="6"/>
  <c r="J161" i="6"/>
  <c r="M161" i="6"/>
  <c r="F161" i="6"/>
  <c r="N161" i="6"/>
  <c r="O161" i="6"/>
  <c r="P161" i="6"/>
  <c r="K161" i="6"/>
  <c r="L161" i="6"/>
  <c r="S161" i="6"/>
  <c r="Q161" i="6"/>
  <c r="X161" i="6"/>
  <c r="R161" i="6"/>
  <c r="AF161" i="6"/>
  <c r="AN161" i="6"/>
  <c r="V161" i="6"/>
  <c r="AG161" i="6"/>
  <c r="AO161" i="6"/>
  <c r="AH161" i="6"/>
  <c r="AP161" i="6"/>
  <c r="G161" i="6"/>
  <c r="AC161" i="6"/>
  <c r="AK161" i="6"/>
  <c r="AS161" i="6"/>
  <c r="Z161" i="6"/>
  <c r="AB161" i="6"/>
  <c r="AR161" i="6"/>
  <c r="AV161" i="6"/>
  <c r="W161" i="6"/>
  <c r="AD161" i="6"/>
  <c r="AT161" i="6"/>
  <c r="AW161" i="6"/>
  <c r="U161" i="6"/>
  <c r="AM161" i="6"/>
  <c r="AX161" i="6"/>
  <c r="AL161" i="6"/>
  <c r="AQ161" i="6"/>
  <c r="AJ161" i="6"/>
  <c r="AZ161" i="6"/>
  <c r="AU161" i="6"/>
  <c r="AI161" i="6"/>
  <c r="B165" i="6"/>
  <c r="Y161" i="6"/>
  <c r="AE161" i="6"/>
  <c r="T161" i="6"/>
  <c r="AY161" i="6"/>
  <c r="BA161" i="6"/>
  <c r="E154" i="6"/>
  <c r="E100" i="1"/>
  <c r="E102" i="1"/>
  <c r="E129" i="1"/>
  <c r="E104" i="1"/>
  <c r="J67" i="6"/>
  <c r="L47" i="21"/>
  <c r="L45" i="21" s="1"/>
  <c r="S14" i="24"/>
  <c r="S15" i="24" s="1"/>
  <c r="T10" i="1" s="1"/>
  <c r="T13" i="24"/>
  <c r="N28" i="6"/>
  <c r="N30" i="6"/>
  <c r="T7" i="6"/>
  <c r="Q45" i="1"/>
  <c r="N75" i="28"/>
  <c r="N20" i="28"/>
  <c r="R117" i="1"/>
  <c r="R114" i="1" s="1"/>
  <c r="N46" i="1"/>
  <c r="N62" i="1"/>
  <c r="N61" i="1" s="1"/>
  <c r="N60" i="1" s="1"/>
  <c r="N59" i="1" s="1"/>
  <c r="N58" i="1" s="1"/>
  <c r="N57" i="1" s="1"/>
  <c r="N56" i="1" s="1"/>
  <c r="N55" i="1" s="1"/>
  <c r="N54" i="1" s="1"/>
  <c r="N53" i="1" s="1"/>
  <c r="N52" i="1" s="1"/>
  <c r="N51" i="1" s="1"/>
  <c r="N50" i="1" s="1"/>
  <c r="N49" i="1" s="1"/>
  <c r="N48" i="1" s="1"/>
  <c r="N47" i="1" s="1"/>
  <c r="K52" i="21"/>
  <c r="K50" i="21" s="1"/>
  <c r="N140" i="1"/>
  <c r="M24" i="6"/>
  <c r="M22" i="6"/>
  <c r="J9" i="25"/>
  <c r="T18" i="24"/>
  <c r="T6" i="6" s="1"/>
  <c r="T10" i="24"/>
  <c r="U8" i="1" s="1"/>
  <c r="U6" i="1" s="1"/>
  <c r="T21" i="24"/>
  <c r="T8" i="6" s="1"/>
  <c r="T9" i="6" s="1"/>
  <c r="U9" i="24"/>
  <c r="H84" i="6"/>
  <c r="H82" i="6"/>
  <c r="K36" i="21"/>
  <c r="K38" i="21"/>
  <c r="O80" i="21"/>
  <c r="P139" i="1"/>
  <c r="P37" i="25" s="1"/>
  <c r="O20" i="21"/>
  <c r="E108" i="6"/>
  <c r="E109" i="6" s="1"/>
  <c r="E97" i="6"/>
  <c r="L56" i="28"/>
  <c r="L58" i="28"/>
  <c r="L56" i="21"/>
  <c r="L58" i="21"/>
  <c r="R124" i="1"/>
  <c r="R7" i="25"/>
  <c r="R25" i="25"/>
  <c r="R37" i="1"/>
  <c r="R39" i="1"/>
  <c r="P17" i="21"/>
  <c r="Q45" i="25"/>
  <c r="Q122" i="1"/>
  <c r="P17" i="28"/>
  <c r="S117" i="1"/>
  <c r="O80" i="28"/>
  <c r="O20" i="28"/>
  <c r="I79" i="6"/>
  <c r="T1" i="1"/>
  <c r="T1" i="25"/>
  <c r="T1" i="24"/>
  <c r="S1" i="6"/>
  <c r="S1" i="21"/>
  <c r="S1" i="28"/>
  <c r="N75" i="21"/>
  <c r="O139" i="1"/>
  <c r="N20" i="21"/>
  <c r="T12" i="1"/>
  <c r="T12" i="25" s="1"/>
  <c r="T18" i="1"/>
  <c r="T115" i="1"/>
  <c r="T5" i="25"/>
  <c r="T27" i="1"/>
  <c r="T73" i="1"/>
  <c r="F91" i="6"/>
  <c r="K43" i="6"/>
  <c r="P155" i="1"/>
  <c r="P140" i="1" s="1"/>
  <c r="P141" i="1" s="1"/>
  <c r="P159" i="1"/>
  <c r="S16" i="1"/>
  <c r="S20" i="1" s="1"/>
  <c r="S116" i="1"/>
  <c r="S114" i="1" s="1"/>
  <c r="S11" i="25"/>
  <c r="O63" i="1"/>
  <c r="O65" i="1"/>
  <c r="O66" i="1" s="1"/>
  <c r="P24" i="1"/>
  <c r="S35" i="1"/>
  <c r="S34" i="1" s="1"/>
  <c r="S33" i="1" s="1"/>
  <c r="S32" i="1" s="1"/>
  <c r="S31" i="1" s="1"/>
  <c r="S30" i="1" s="1"/>
  <c r="S29" i="1" s="1"/>
  <c r="S28" i="1"/>
  <c r="S84" i="1"/>
  <c r="K37" i="6"/>
  <c r="O155" i="1"/>
  <c r="O140" i="1" s="1"/>
  <c r="O141" i="1" s="1"/>
  <c r="O159" i="1"/>
  <c r="S4" i="6"/>
  <c r="S5" i="6" s="1"/>
  <c r="L68" i="1"/>
  <c r="K55" i="6"/>
  <c r="R40" i="1" l="1"/>
  <c r="I61" i="6"/>
  <c r="L38" i="28"/>
  <c r="L37" i="28" s="1"/>
  <c r="L35" i="28" s="1"/>
  <c r="M38" i="28" s="1"/>
  <c r="O73" i="21"/>
  <c r="L33" i="28"/>
  <c r="L32" i="28" s="1"/>
  <c r="L30" i="28" s="1"/>
  <c r="M33" i="28" s="1"/>
  <c r="H143" i="1"/>
  <c r="H14" i="25"/>
  <c r="H26" i="21"/>
  <c r="G22" i="21"/>
  <c r="H28" i="21"/>
  <c r="H4" i="21" s="1"/>
  <c r="I74" i="1" s="1"/>
  <c r="N61" i="21"/>
  <c r="N63" i="21"/>
  <c r="K37" i="21"/>
  <c r="K35" i="21" s="1"/>
  <c r="L36" i="21" s="1"/>
  <c r="N66" i="21"/>
  <c r="N67" i="21" s="1"/>
  <c r="N65" i="21" s="1"/>
  <c r="O66" i="21" s="1"/>
  <c r="L53" i="28"/>
  <c r="L52" i="28" s="1"/>
  <c r="L50" i="28" s="1"/>
  <c r="K41" i="28"/>
  <c r="K42" i="28" s="1"/>
  <c r="K40" i="28" s="1"/>
  <c r="H70" i="6"/>
  <c r="H73" i="6" s="1"/>
  <c r="I70" i="6" s="1"/>
  <c r="H27" i="28"/>
  <c r="L46" i="28"/>
  <c r="L47" i="28" s="1"/>
  <c r="L45" i="28" s="1"/>
  <c r="L46" i="6"/>
  <c r="L48" i="6"/>
  <c r="L49" i="6" s="1"/>
  <c r="O71" i="28"/>
  <c r="O72" i="28" s="1"/>
  <c r="O70" i="28" s="1"/>
  <c r="N68" i="28"/>
  <c r="N67" i="28" s="1"/>
  <c r="N65" i="28" s="1"/>
  <c r="L57" i="28"/>
  <c r="L55" i="28" s="1"/>
  <c r="M58" i="28" s="1"/>
  <c r="H85" i="6"/>
  <c r="I84" i="6" s="1"/>
  <c r="R17" i="21"/>
  <c r="S122" i="1"/>
  <c r="S45" i="25"/>
  <c r="R17" i="28"/>
  <c r="S22" i="1"/>
  <c r="S24" i="1" s="1"/>
  <c r="U1" i="1"/>
  <c r="T1" i="6"/>
  <c r="U1" i="24"/>
  <c r="T1" i="28"/>
  <c r="U1" i="25"/>
  <c r="T1" i="21"/>
  <c r="Q46" i="1"/>
  <c r="Q62" i="1"/>
  <c r="Q61" i="1" s="1"/>
  <c r="Q60" i="1" s="1"/>
  <c r="Q59" i="1" s="1"/>
  <c r="Q58" i="1" s="1"/>
  <c r="Q57" i="1" s="1"/>
  <c r="Q56" i="1" s="1"/>
  <c r="Q55" i="1" s="1"/>
  <c r="Q54" i="1" s="1"/>
  <c r="Q53" i="1" s="1"/>
  <c r="Q52" i="1" s="1"/>
  <c r="Q51" i="1" s="1"/>
  <c r="Q50" i="1" s="1"/>
  <c r="Q49" i="1" s="1"/>
  <c r="Q48" i="1" s="1"/>
  <c r="Q47" i="1" s="1"/>
  <c r="G90" i="6"/>
  <c r="G88" i="6"/>
  <c r="F94" i="6"/>
  <c r="F96" i="6"/>
  <c r="L51" i="21"/>
  <c r="L53" i="21"/>
  <c r="T84" i="1"/>
  <c r="S37" i="1"/>
  <c r="S39" i="1"/>
  <c r="S40" i="1" s="1"/>
  <c r="P45" i="1"/>
  <c r="P42" i="1"/>
  <c r="P9" i="25"/>
  <c r="U12" i="1"/>
  <c r="U12" i="25" s="1"/>
  <c r="U18" i="1"/>
  <c r="U115" i="1"/>
  <c r="U27" i="1"/>
  <c r="U5" i="25"/>
  <c r="U73" i="1"/>
  <c r="O78" i="28"/>
  <c r="O76" i="28"/>
  <c r="C76" i="28"/>
  <c r="M46" i="21"/>
  <c r="M48" i="21"/>
  <c r="T17" i="1"/>
  <c r="S13" i="21"/>
  <c r="S12" i="21" s="1"/>
  <c r="T110" i="1"/>
  <c r="AW68" i="9"/>
  <c r="S13" i="28"/>
  <c r="S12" i="28" s="1"/>
  <c r="S113" i="6"/>
  <c r="E114" i="6" s="1"/>
  <c r="O68" i="1"/>
  <c r="T4" i="6"/>
  <c r="T5" i="6" s="1"/>
  <c r="Q17" i="21"/>
  <c r="R122" i="1"/>
  <c r="R45" i="25"/>
  <c r="Q17" i="28"/>
  <c r="K66" i="6"/>
  <c r="K64" i="6"/>
  <c r="M62" i="28"/>
  <c r="M60" i="28" s="1"/>
  <c r="N63" i="1"/>
  <c r="N65" i="1"/>
  <c r="N66" i="1" s="1"/>
  <c r="E128" i="1"/>
  <c r="K32" i="21"/>
  <c r="K30" i="21" s="1"/>
  <c r="L34" i="6"/>
  <c r="L36" i="6"/>
  <c r="T28" i="1"/>
  <c r="T35" i="1"/>
  <c r="T34" i="1" s="1"/>
  <c r="T33" i="1" s="1"/>
  <c r="T32" i="1" s="1"/>
  <c r="T31" i="1" s="1"/>
  <c r="T30" i="1" s="1"/>
  <c r="T29" i="1" s="1"/>
  <c r="O37" i="25"/>
  <c r="J76" i="6"/>
  <c r="J78" i="6"/>
  <c r="P18" i="21"/>
  <c r="Q10" i="25"/>
  <c r="N31" i="6"/>
  <c r="E103" i="1"/>
  <c r="P18" i="28"/>
  <c r="P19" i="28" s="1"/>
  <c r="E105" i="1"/>
  <c r="R45" i="1"/>
  <c r="R42" i="1"/>
  <c r="O9" i="25"/>
  <c r="L57" i="21"/>
  <c r="L55" i="21" s="1"/>
  <c r="K42" i="21"/>
  <c r="K40" i="21" s="1"/>
  <c r="J58" i="6"/>
  <c r="J60" i="6"/>
  <c r="O72" i="21"/>
  <c r="O70" i="21" s="1"/>
  <c r="O76" i="21"/>
  <c r="C76" i="21"/>
  <c r="O78" i="21"/>
  <c r="U18" i="24"/>
  <c r="U6" i="6" s="1"/>
  <c r="U7" i="6" s="1"/>
  <c r="U10" i="24"/>
  <c r="V8" i="1" s="1"/>
  <c r="V6" i="1" s="1"/>
  <c r="U21" i="24"/>
  <c r="U8" i="6" s="1"/>
  <c r="U9" i="6" s="1"/>
  <c r="V9" i="24"/>
  <c r="T14" i="24"/>
  <c r="T15" i="24" s="1"/>
  <c r="U10" i="1" s="1"/>
  <c r="U13" i="24"/>
  <c r="E101" i="1"/>
  <c r="D167" i="6"/>
  <c r="D169" i="6" s="1"/>
  <c r="E167" i="6"/>
  <c r="F167" i="6"/>
  <c r="I167" i="6"/>
  <c r="K167" i="6"/>
  <c r="L167" i="6"/>
  <c r="M167" i="6"/>
  <c r="R167" i="6"/>
  <c r="S167" i="6"/>
  <c r="H167" i="6"/>
  <c r="G167" i="6"/>
  <c r="O167" i="6"/>
  <c r="P167" i="6"/>
  <c r="W167" i="6"/>
  <c r="X167" i="6"/>
  <c r="J167" i="6"/>
  <c r="T167" i="6"/>
  <c r="U167" i="6"/>
  <c r="Y167" i="6"/>
  <c r="Q167" i="6"/>
  <c r="N167" i="6"/>
  <c r="AJ167" i="6"/>
  <c r="AR167" i="6"/>
  <c r="AC167" i="6"/>
  <c r="AK167" i="6"/>
  <c r="AS167" i="6"/>
  <c r="AD167" i="6"/>
  <c r="AL167" i="6"/>
  <c r="AT167" i="6"/>
  <c r="Z167" i="6"/>
  <c r="AG167" i="6"/>
  <c r="AO167" i="6"/>
  <c r="V167" i="6"/>
  <c r="AN167" i="6"/>
  <c r="AZ167" i="6"/>
  <c r="AP167" i="6"/>
  <c r="AI167" i="6"/>
  <c r="AA167" i="6"/>
  <c r="AH167" i="6"/>
  <c r="AW167" i="6"/>
  <c r="AM167" i="6"/>
  <c r="AF167" i="6"/>
  <c r="AV167" i="6"/>
  <c r="AQ167" i="6"/>
  <c r="AX167" i="6"/>
  <c r="AY167" i="6"/>
  <c r="AE167" i="6"/>
  <c r="AU167" i="6"/>
  <c r="B171" i="6"/>
  <c r="BA167" i="6"/>
  <c r="L54" i="6"/>
  <c r="L52" i="6"/>
  <c r="L40" i="6"/>
  <c r="L42" i="6"/>
  <c r="N141" i="1"/>
  <c r="E160" i="6"/>
  <c r="S124" i="1"/>
  <c r="S7" i="25"/>
  <c r="S25" i="25"/>
  <c r="F106" i="6"/>
  <c r="F108" i="6"/>
  <c r="P83" i="28"/>
  <c r="P81" i="28"/>
  <c r="C81" i="28"/>
  <c r="P81" i="21"/>
  <c r="C81" i="21"/>
  <c r="P83" i="21"/>
  <c r="M25" i="6"/>
  <c r="T16" i="1"/>
  <c r="T116" i="1"/>
  <c r="T11" i="25"/>
  <c r="F102" i="6"/>
  <c r="F100" i="6"/>
  <c r="M36" i="28" l="1"/>
  <c r="M37" i="28" s="1"/>
  <c r="M35" i="28" s="1"/>
  <c r="N36" i="28" s="1"/>
  <c r="H27" i="21"/>
  <c r="H275" i="21" s="1"/>
  <c r="I14" i="25" s="1"/>
  <c r="N62" i="21"/>
  <c r="N60" i="21" s="1"/>
  <c r="O63" i="21" s="1"/>
  <c r="I39" i="25"/>
  <c r="I144" i="1"/>
  <c r="I13" i="25"/>
  <c r="I27" i="25"/>
  <c r="I40" i="25" s="1"/>
  <c r="H25" i="21"/>
  <c r="H22" i="21" s="1"/>
  <c r="H38" i="25"/>
  <c r="H36" i="25" s="1"/>
  <c r="H48" i="25" s="1"/>
  <c r="H142" i="1"/>
  <c r="L38" i="21"/>
  <c r="L37" i="21" s="1"/>
  <c r="L35" i="21" s="1"/>
  <c r="M38" i="21" s="1"/>
  <c r="G91" i="6"/>
  <c r="H88" i="6" s="1"/>
  <c r="O68" i="21"/>
  <c r="O67" i="21" s="1"/>
  <c r="O65" i="21" s="1"/>
  <c r="I143" i="1"/>
  <c r="O77" i="21"/>
  <c r="O75" i="21" s="1"/>
  <c r="P76" i="21" s="1"/>
  <c r="O77" i="28"/>
  <c r="O75" i="28" s="1"/>
  <c r="P76" i="28" s="1"/>
  <c r="M56" i="28"/>
  <c r="M57" i="28" s="1"/>
  <c r="M55" i="28" s="1"/>
  <c r="I82" i="6"/>
  <c r="N38" i="28"/>
  <c r="N37" i="28" s="1"/>
  <c r="N35" i="28" s="1"/>
  <c r="H25" i="28"/>
  <c r="H275" i="28"/>
  <c r="M31" i="28"/>
  <c r="M32" i="28" s="1"/>
  <c r="M30" i="28" s="1"/>
  <c r="N31" i="28" s="1"/>
  <c r="L43" i="6"/>
  <c r="M40" i="6" s="1"/>
  <c r="I72" i="6"/>
  <c r="I73" i="6" s="1"/>
  <c r="L55" i="6"/>
  <c r="M54" i="6" s="1"/>
  <c r="J61" i="6"/>
  <c r="K60" i="6" s="1"/>
  <c r="N68" i="1"/>
  <c r="T37" i="1"/>
  <c r="T39" i="1"/>
  <c r="Q18" i="21"/>
  <c r="Q19" i="21" s="1"/>
  <c r="R10" i="25"/>
  <c r="L52" i="21"/>
  <c r="L50" i="21" s="1"/>
  <c r="R18" i="28"/>
  <c r="R19" i="28" s="1"/>
  <c r="P82" i="21"/>
  <c r="P80" i="21" s="1"/>
  <c r="F109" i="6"/>
  <c r="D173" i="6"/>
  <c r="D175" i="6" s="1"/>
  <c r="H173" i="6"/>
  <c r="I173" i="6"/>
  <c r="J173" i="6"/>
  <c r="M173" i="6"/>
  <c r="G173" i="6"/>
  <c r="N173" i="6"/>
  <c r="F173" i="6"/>
  <c r="K173" i="6"/>
  <c r="O173" i="6"/>
  <c r="P173" i="6"/>
  <c r="S173" i="6"/>
  <c r="E173" i="6"/>
  <c r="T173" i="6"/>
  <c r="U173" i="6"/>
  <c r="X173" i="6"/>
  <c r="Z173" i="6"/>
  <c r="AF173" i="6"/>
  <c r="AN173" i="6"/>
  <c r="R173" i="6"/>
  <c r="AG173" i="6"/>
  <c r="AO173" i="6"/>
  <c r="W173" i="6"/>
  <c r="AA173" i="6"/>
  <c r="AH173" i="6"/>
  <c r="AP173" i="6"/>
  <c r="L173" i="6"/>
  <c r="V173" i="6"/>
  <c r="AK173" i="6"/>
  <c r="AS173" i="6"/>
  <c r="AJ173" i="6"/>
  <c r="AV173" i="6"/>
  <c r="AL173" i="6"/>
  <c r="AW173" i="6"/>
  <c r="AE173" i="6"/>
  <c r="AX173" i="6"/>
  <c r="AD173" i="6"/>
  <c r="AT173" i="6"/>
  <c r="AB173" i="6"/>
  <c r="AI173" i="6"/>
  <c r="AY173" i="6"/>
  <c r="AM173" i="6"/>
  <c r="AQ173" i="6"/>
  <c r="AR173" i="6"/>
  <c r="AZ173" i="6"/>
  <c r="Q173" i="6"/>
  <c r="B177" i="6"/>
  <c r="AU173" i="6"/>
  <c r="Y173" i="6"/>
  <c r="BA173" i="6"/>
  <c r="M48" i="28"/>
  <c r="M46" i="28"/>
  <c r="S45" i="1"/>
  <c r="S42" i="1"/>
  <c r="T124" i="1"/>
  <c r="T7" i="25"/>
  <c r="T25" i="25"/>
  <c r="T20" i="1"/>
  <c r="P82" i="28"/>
  <c r="P80" i="28" s="1"/>
  <c r="E166" i="6"/>
  <c r="M46" i="6"/>
  <c r="M48" i="6"/>
  <c r="L41" i="21"/>
  <c r="L43" i="21"/>
  <c r="O28" i="6"/>
  <c r="O30" i="6"/>
  <c r="J79" i="6"/>
  <c r="E138" i="1"/>
  <c r="E131" i="1"/>
  <c r="Q18" i="28"/>
  <c r="P46" i="1"/>
  <c r="P62" i="1"/>
  <c r="P61" i="1" s="1"/>
  <c r="P60" i="1" s="1"/>
  <c r="P59" i="1" s="1"/>
  <c r="P58" i="1" s="1"/>
  <c r="P57" i="1" s="1"/>
  <c r="P56" i="1" s="1"/>
  <c r="P55" i="1" s="1"/>
  <c r="P54" i="1" s="1"/>
  <c r="P53" i="1" s="1"/>
  <c r="P52" i="1" s="1"/>
  <c r="P51" i="1" s="1"/>
  <c r="P50" i="1" s="1"/>
  <c r="P49" i="1" s="1"/>
  <c r="P48" i="1" s="1"/>
  <c r="P47" i="1" s="1"/>
  <c r="V18" i="24"/>
  <c r="V6" i="6" s="1"/>
  <c r="V4" i="6" s="1"/>
  <c r="V10" i="24"/>
  <c r="W8" i="1" s="1"/>
  <c r="W6" i="1" s="1"/>
  <c r="V21" i="24"/>
  <c r="V8" i="6" s="1"/>
  <c r="V9" i="6" s="1"/>
  <c r="W9" i="24"/>
  <c r="F103" i="6"/>
  <c r="P71" i="28"/>
  <c r="P73" i="28"/>
  <c r="P71" i="21"/>
  <c r="P73" i="21"/>
  <c r="N61" i="28"/>
  <c r="N63" i="28"/>
  <c r="M47" i="21"/>
  <c r="M45" i="21" s="1"/>
  <c r="V1" i="1"/>
  <c r="V1" i="24"/>
  <c r="V1" i="25"/>
  <c r="U1" i="6"/>
  <c r="U1" i="21"/>
  <c r="U1" i="28"/>
  <c r="N24" i="6"/>
  <c r="N22" i="6"/>
  <c r="M56" i="21"/>
  <c r="M58" i="21"/>
  <c r="M53" i="28"/>
  <c r="M51" i="28"/>
  <c r="P85" i="28"/>
  <c r="P20" i="28"/>
  <c r="N9" i="25"/>
  <c r="O68" i="28"/>
  <c r="O66" i="28"/>
  <c r="U14" i="24"/>
  <c r="U15" i="24" s="1"/>
  <c r="V10" i="1" s="1"/>
  <c r="V13" i="24"/>
  <c r="V18" i="1"/>
  <c r="V12" i="1"/>
  <c r="V12" i="25" s="1"/>
  <c r="V115" i="1"/>
  <c r="V5" i="25"/>
  <c r="V27" i="1"/>
  <c r="V73" i="1"/>
  <c r="R46" i="1"/>
  <c r="R62" i="1"/>
  <c r="R61" i="1" s="1"/>
  <c r="R60" i="1" s="1"/>
  <c r="R59" i="1" s="1"/>
  <c r="R58" i="1" s="1"/>
  <c r="R57" i="1" s="1"/>
  <c r="R56" i="1" s="1"/>
  <c r="R55" i="1" s="1"/>
  <c r="R54" i="1" s="1"/>
  <c r="R53" i="1" s="1"/>
  <c r="R52" i="1" s="1"/>
  <c r="R51" i="1" s="1"/>
  <c r="R50" i="1" s="1"/>
  <c r="R49" i="1" s="1"/>
  <c r="R48" i="1" s="1"/>
  <c r="R47" i="1" s="1"/>
  <c r="P85" i="21"/>
  <c r="Q139" i="1"/>
  <c r="Q37" i="25" s="1"/>
  <c r="L37" i="6"/>
  <c r="K67" i="6"/>
  <c r="U17" i="1"/>
  <c r="T13" i="21"/>
  <c r="T12" i="21" s="1"/>
  <c r="U110" i="1"/>
  <c r="T13" i="28"/>
  <c r="T12" i="28" s="1"/>
  <c r="AX68" i="9"/>
  <c r="T119" i="6"/>
  <c r="F97" i="6"/>
  <c r="Q63" i="1"/>
  <c r="Q65" i="1"/>
  <c r="Q66" i="1" s="1"/>
  <c r="T117" i="1"/>
  <c r="T114" i="1" s="1"/>
  <c r="E106" i="1"/>
  <c r="L43" i="28"/>
  <c r="L41" i="28"/>
  <c r="U16" i="1"/>
  <c r="U116" i="1"/>
  <c r="U11" i="25"/>
  <c r="U4" i="6"/>
  <c r="U5" i="6" s="1"/>
  <c r="P19" i="21"/>
  <c r="L31" i="21"/>
  <c r="L33" i="21"/>
  <c r="I85" i="6"/>
  <c r="E115" i="6"/>
  <c r="U28" i="1"/>
  <c r="U35" i="1"/>
  <c r="U34" i="1" s="1"/>
  <c r="U33" i="1" s="1"/>
  <c r="U32" i="1" s="1"/>
  <c r="U31" i="1" s="1"/>
  <c r="U30" i="1" s="1"/>
  <c r="U29" i="1" s="1"/>
  <c r="U84" i="1"/>
  <c r="R18" i="21"/>
  <c r="R19" i="21" s="1"/>
  <c r="S10" i="25"/>
  <c r="H90" i="6" l="1"/>
  <c r="N25" i="6"/>
  <c r="I26" i="21"/>
  <c r="O61" i="21"/>
  <c r="O62" i="21" s="1"/>
  <c r="O60" i="21" s="1"/>
  <c r="I28" i="21"/>
  <c r="I4" i="21" s="1"/>
  <c r="J74" i="1" s="1"/>
  <c r="J39" i="25" s="1"/>
  <c r="M36" i="21"/>
  <c r="M37" i="21" s="1"/>
  <c r="M35" i="21" s="1"/>
  <c r="I27" i="21"/>
  <c r="I275" i="21" s="1"/>
  <c r="P78" i="28"/>
  <c r="P77" i="28" s="1"/>
  <c r="P75" i="28" s="1"/>
  <c r="Q76" i="28" s="1"/>
  <c r="I25" i="21"/>
  <c r="V5" i="6"/>
  <c r="I38" i="25"/>
  <c r="I36" i="25" s="1"/>
  <c r="I48" i="25" s="1"/>
  <c r="I142" i="1"/>
  <c r="P78" i="21"/>
  <c r="P77" i="21" s="1"/>
  <c r="P75" i="21" s="1"/>
  <c r="Q78" i="21" s="1"/>
  <c r="M57" i="21"/>
  <c r="M55" i="21" s="1"/>
  <c r="N58" i="21" s="1"/>
  <c r="L42" i="21"/>
  <c r="L40" i="21" s="1"/>
  <c r="M41" i="21" s="1"/>
  <c r="O36" i="28"/>
  <c r="O38" i="28"/>
  <c r="L32" i="21"/>
  <c r="L30" i="21" s="1"/>
  <c r="M33" i="21" s="1"/>
  <c r="H22" i="28"/>
  <c r="I26" i="28"/>
  <c r="I28" i="28"/>
  <c r="I4" i="28" s="1"/>
  <c r="N33" i="28"/>
  <c r="N32" i="28" s="1"/>
  <c r="N30" i="28" s="1"/>
  <c r="M47" i="28"/>
  <c r="M45" i="28" s="1"/>
  <c r="N48" i="28" s="1"/>
  <c r="M42" i="6"/>
  <c r="M43" i="6" s="1"/>
  <c r="M52" i="6"/>
  <c r="M55" i="6" s="1"/>
  <c r="K58" i="6"/>
  <c r="K61" i="6" s="1"/>
  <c r="N62" i="28"/>
  <c r="N60" i="28" s="1"/>
  <c r="O63" i="28" s="1"/>
  <c r="H91" i="6"/>
  <c r="I90" i="6" s="1"/>
  <c r="O31" i="6"/>
  <c r="P28" i="6" s="1"/>
  <c r="N56" i="21"/>
  <c r="N56" i="28"/>
  <c r="N58" i="28"/>
  <c r="E16" i="25"/>
  <c r="E29" i="25"/>
  <c r="E108" i="1"/>
  <c r="Q88" i="28"/>
  <c r="Q86" i="28"/>
  <c r="C86" i="28"/>
  <c r="S155" i="1"/>
  <c r="S140" i="1" s="1"/>
  <c r="S141" i="1" s="1"/>
  <c r="S159" i="1"/>
  <c r="N46" i="21"/>
  <c r="N48" i="21"/>
  <c r="R95" i="21"/>
  <c r="S139" i="1"/>
  <c r="S37" i="25" s="1"/>
  <c r="R20" i="21"/>
  <c r="U37" i="1"/>
  <c r="U39" i="1"/>
  <c r="U25" i="25"/>
  <c r="U7" i="25"/>
  <c r="U124" i="1"/>
  <c r="U20" i="1"/>
  <c r="M36" i="6"/>
  <c r="M34" i="6"/>
  <c r="Q90" i="28"/>
  <c r="S17" i="21"/>
  <c r="T122" i="1"/>
  <c r="T45" i="25"/>
  <c r="S17" i="28"/>
  <c r="Q155" i="1"/>
  <c r="Q140" i="1" s="1"/>
  <c r="Q159" i="1"/>
  <c r="L42" i="28"/>
  <c r="L40" i="28" s="1"/>
  <c r="E120" i="6"/>
  <c r="P20" i="21"/>
  <c r="P72" i="28"/>
  <c r="P70" i="28" s="1"/>
  <c r="Q83" i="28"/>
  <c r="Q81" i="28"/>
  <c r="R95" i="28"/>
  <c r="R20" i="28"/>
  <c r="T22" i="1"/>
  <c r="T24" i="1" s="1"/>
  <c r="Q86" i="21"/>
  <c r="C86" i="21"/>
  <c r="Q88" i="21"/>
  <c r="J70" i="6"/>
  <c r="J72" i="6"/>
  <c r="Q68" i="1"/>
  <c r="U117" i="1"/>
  <c r="U114" i="1" s="1"/>
  <c r="O22" i="6"/>
  <c r="O24" i="6"/>
  <c r="W18" i="24"/>
  <c r="W6" i="6" s="1"/>
  <c r="W4" i="6" s="1"/>
  <c r="W10" i="24"/>
  <c r="X8" i="1" s="1"/>
  <c r="X6" i="1" s="1"/>
  <c r="W21" i="24"/>
  <c r="W8" i="6" s="1"/>
  <c r="W9" i="6" s="1"/>
  <c r="X9" i="24"/>
  <c r="R155" i="1"/>
  <c r="R140" i="1" s="1"/>
  <c r="R141" i="1" s="1"/>
  <c r="R159" i="1"/>
  <c r="J82" i="6"/>
  <c r="J84" i="6"/>
  <c r="V17" i="1"/>
  <c r="V110" i="1"/>
  <c r="U13" i="21"/>
  <c r="U12" i="21" s="1"/>
  <c r="AY68" i="9"/>
  <c r="U13" i="28"/>
  <c r="U12" i="28" s="1"/>
  <c r="U125" i="6"/>
  <c r="V14" i="24"/>
  <c r="V15" i="24" s="1"/>
  <c r="W10" i="1" s="1"/>
  <c r="W13" i="24"/>
  <c r="M52" i="28"/>
  <c r="M50" i="28" s="1"/>
  <c r="V84" i="1"/>
  <c r="E137" i="1"/>
  <c r="M49" i="6"/>
  <c r="E172" i="6"/>
  <c r="Q90" i="21"/>
  <c r="R139" i="1"/>
  <c r="R37" i="25" s="1"/>
  <c r="Q20" i="21"/>
  <c r="G96" i="6"/>
  <c r="G94" i="6"/>
  <c r="V16" i="1"/>
  <c r="V116" i="1"/>
  <c r="V11" i="25"/>
  <c r="P72" i="21"/>
  <c r="P70" i="21" s="1"/>
  <c r="G102" i="6"/>
  <c r="G100" i="6"/>
  <c r="W12" i="1"/>
  <c r="W12" i="25" s="1"/>
  <c r="W18" i="1"/>
  <c r="W115" i="1"/>
  <c r="W27" i="1"/>
  <c r="W5" i="25"/>
  <c r="W73" i="1"/>
  <c r="P61" i="21"/>
  <c r="P63" i="21"/>
  <c r="K76" i="6"/>
  <c r="K78" i="6"/>
  <c r="D179" i="6"/>
  <c r="D181" i="6" s="1"/>
  <c r="E179" i="6"/>
  <c r="I179" i="6"/>
  <c r="R179" i="6"/>
  <c r="G179" i="6"/>
  <c r="S179" i="6"/>
  <c r="F179" i="6"/>
  <c r="O179" i="6"/>
  <c r="H179" i="6"/>
  <c r="W179" i="6"/>
  <c r="Q179" i="6"/>
  <c r="T179" i="6"/>
  <c r="U179" i="6"/>
  <c r="X179" i="6"/>
  <c r="Y179" i="6"/>
  <c r="J179" i="6"/>
  <c r="L179" i="6"/>
  <c r="M179" i="6"/>
  <c r="V179" i="6"/>
  <c r="AC179" i="6"/>
  <c r="AJ179" i="6"/>
  <c r="AR179" i="6"/>
  <c r="N179" i="6"/>
  <c r="Z179" i="6"/>
  <c r="AK179" i="6"/>
  <c r="AS179" i="6"/>
  <c r="AL179" i="6"/>
  <c r="AT179" i="6"/>
  <c r="AG179" i="6"/>
  <c r="AO179" i="6"/>
  <c r="K179" i="6"/>
  <c r="AF179" i="6"/>
  <c r="AZ179" i="6"/>
  <c r="AA179" i="6"/>
  <c r="AH179" i="6"/>
  <c r="AQ179" i="6"/>
  <c r="P179" i="6"/>
  <c r="AP179" i="6"/>
  <c r="AW179" i="6"/>
  <c r="AE179" i="6"/>
  <c r="AU179" i="6"/>
  <c r="AB179" i="6"/>
  <c r="AI179" i="6"/>
  <c r="AM179" i="6"/>
  <c r="AY179" i="6"/>
  <c r="AN179" i="6"/>
  <c r="AV179" i="6"/>
  <c r="AX179" i="6"/>
  <c r="BA179" i="6"/>
  <c r="B183" i="6"/>
  <c r="G108" i="6"/>
  <c r="G106" i="6"/>
  <c r="T40" i="1"/>
  <c r="M51" i="21"/>
  <c r="M53" i="21"/>
  <c r="F114" i="6"/>
  <c r="F112" i="6"/>
  <c r="R65" i="1"/>
  <c r="R66" i="1" s="1"/>
  <c r="R63" i="1"/>
  <c r="W1" i="1"/>
  <c r="W1" i="24"/>
  <c r="W1" i="25"/>
  <c r="V1" i="6"/>
  <c r="V1" i="21"/>
  <c r="V1" i="28"/>
  <c r="L66" i="6"/>
  <c r="L64" i="6"/>
  <c r="V35" i="1"/>
  <c r="V34" i="1" s="1"/>
  <c r="V33" i="1" s="1"/>
  <c r="V32" i="1" s="1"/>
  <c r="V31" i="1" s="1"/>
  <c r="V30" i="1" s="1"/>
  <c r="V29" i="1" s="1"/>
  <c r="V28" i="1"/>
  <c r="O67" i="28"/>
  <c r="O65" i="28" s="1"/>
  <c r="P66" i="21"/>
  <c r="P68" i="21"/>
  <c r="W17" i="1"/>
  <c r="W110" i="1"/>
  <c r="V13" i="21"/>
  <c r="V12" i="21" s="1"/>
  <c r="V13" i="28"/>
  <c r="V12" i="28" s="1"/>
  <c r="AZ68" i="9"/>
  <c r="V131" i="6"/>
  <c r="P63" i="1"/>
  <c r="P65" i="1"/>
  <c r="P66" i="1" s="1"/>
  <c r="Q19" i="28"/>
  <c r="Q20" i="28" s="1"/>
  <c r="S46" i="1"/>
  <c r="S62" i="1"/>
  <c r="S61" i="1" s="1"/>
  <c r="S60" i="1" s="1"/>
  <c r="S59" i="1" s="1"/>
  <c r="S58" i="1" s="1"/>
  <c r="S57" i="1" s="1"/>
  <c r="S56" i="1" s="1"/>
  <c r="S55" i="1" s="1"/>
  <c r="S54" i="1" s="1"/>
  <c r="S53" i="1" s="1"/>
  <c r="S52" i="1" s="1"/>
  <c r="S51" i="1" s="1"/>
  <c r="S50" i="1" s="1"/>
  <c r="S49" i="1" s="1"/>
  <c r="S48" i="1" s="1"/>
  <c r="S47" i="1" s="1"/>
  <c r="Q81" i="21"/>
  <c r="Q83" i="21"/>
  <c r="V7" i="6"/>
  <c r="J13" i="25" l="1"/>
  <c r="J27" i="25"/>
  <c r="J40" i="25" s="1"/>
  <c r="J144" i="1"/>
  <c r="Q82" i="28"/>
  <c r="Q80" i="28" s="1"/>
  <c r="R83" i="28" s="1"/>
  <c r="O37" i="28"/>
  <c r="O35" i="28" s="1"/>
  <c r="P38" i="28" s="1"/>
  <c r="N46" i="28"/>
  <c r="N47" i="28" s="1"/>
  <c r="N45" i="28" s="1"/>
  <c r="M43" i="21"/>
  <c r="M42" i="21" s="1"/>
  <c r="M40" i="21" s="1"/>
  <c r="N41" i="21" s="1"/>
  <c r="J26" i="21"/>
  <c r="I22" i="21"/>
  <c r="J28" i="21"/>
  <c r="J4" i="21" s="1"/>
  <c r="K74" i="1" s="1"/>
  <c r="J14" i="25"/>
  <c r="J143" i="1"/>
  <c r="Q76" i="21"/>
  <c r="Q77" i="21" s="1"/>
  <c r="Q75" i="21" s="1"/>
  <c r="Q82" i="21"/>
  <c r="Q80" i="21" s="1"/>
  <c r="R83" i="21" s="1"/>
  <c r="M52" i="21"/>
  <c r="M50" i="21" s="1"/>
  <c r="N53" i="21" s="1"/>
  <c r="P62" i="21"/>
  <c r="P60" i="21" s="1"/>
  <c r="Q63" i="21" s="1"/>
  <c r="M31" i="21"/>
  <c r="M32" i="21" s="1"/>
  <c r="M30" i="21" s="1"/>
  <c r="N57" i="21"/>
  <c r="N55" i="21" s="1"/>
  <c r="O56" i="21" s="1"/>
  <c r="P30" i="6"/>
  <c r="P31" i="6" s="1"/>
  <c r="Q30" i="6" s="1"/>
  <c r="Q78" i="28"/>
  <c r="Q77" i="28" s="1"/>
  <c r="Q75" i="28" s="1"/>
  <c r="I27" i="28"/>
  <c r="I88" i="6"/>
  <c r="I91" i="6" s="1"/>
  <c r="N57" i="28"/>
  <c r="N55" i="28" s="1"/>
  <c r="O58" i="28" s="1"/>
  <c r="O61" i="28"/>
  <c r="O62" i="28" s="1"/>
  <c r="O60" i="28" s="1"/>
  <c r="Q87" i="28"/>
  <c r="Q85" i="28" s="1"/>
  <c r="R86" i="28" s="1"/>
  <c r="M37" i="6"/>
  <c r="N34" i="6" s="1"/>
  <c r="J85" i="6"/>
  <c r="K84" i="6" s="1"/>
  <c r="U40" i="1"/>
  <c r="G103" i="6"/>
  <c r="H102" i="6" s="1"/>
  <c r="O25" i="6"/>
  <c r="P24" i="6" s="1"/>
  <c r="T45" i="1"/>
  <c r="T42" i="1"/>
  <c r="S9" i="25"/>
  <c r="T17" i="21"/>
  <c r="U122" i="1"/>
  <c r="T17" i="28"/>
  <c r="U45" i="25"/>
  <c r="E132" i="6"/>
  <c r="E133" i="6" s="1"/>
  <c r="V37" i="1"/>
  <c r="V39" i="1"/>
  <c r="X1" i="1"/>
  <c r="X1" i="24"/>
  <c r="W1" i="6"/>
  <c r="W1" i="21"/>
  <c r="W1" i="28"/>
  <c r="X1" i="25"/>
  <c r="R91" i="21"/>
  <c r="C91" i="21"/>
  <c r="R93" i="21"/>
  <c r="O33" i="28"/>
  <c r="O31" i="28"/>
  <c r="W16" i="1"/>
  <c r="W20" i="1" s="1"/>
  <c r="W116" i="1"/>
  <c r="W11" i="25"/>
  <c r="X17" i="1"/>
  <c r="X110" i="1"/>
  <c r="W13" i="21"/>
  <c r="W12" i="21" s="1"/>
  <c r="BA68" i="9"/>
  <c r="W13" i="28"/>
  <c r="W12" i="28" s="1"/>
  <c r="W137" i="6"/>
  <c r="W84" i="1"/>
  <c r="E178" i="6"/>
  <c r="E126" i="6"/>
  <c r="E127" i="6" s="1"/>
  <c r="Q87" i="21"/>
  <c r="Q85" i="21" s="1"/>
  <c r="Q73" i="28"/>
  <c r="Q71" i="28"/>
  <c r="S18" i="28"/>
  <c r="S19" i="28" s="1"/>
  <c r="N47" i="21"/>
  <c r="N45" i="21" s="1"/>
  <c r="L58" i="6"/>
  <c r="L60" i="6"/>
  <c r="W117" i="1"/>
  <c r="N53" i="28"/>
  <c r="N51" i="28"/>
  <c r="S18" i="21"/>
  <c r="S19" i="21" s="1"/>
  <c r="T10" i="25"/>
  <c r="F115" i="6"/>
  <c r="G109" i="6"/>
  <c r="V7" i="25"/>
  <c r="V25" i="25"/>
  <c r="V124" i="1"/>
  <c r="N36" i="21"/>
  <c r="N38" i="21"/>
  <c r="E145" i="1"/>
  <c r="V117" i="1"/>
  <c r="V114" i="1" s="1"/>
  <c r="X18" i="24"/>
  <c r="X6" i="6" s="1"/>
  <c r="X10" i="24"/>
  <c r="Y8" i="1" s="1"/>
  <c r="Y6" i="1" s="1"/>
  <c r="X21" i="24"/>
  <c r="X8" i="6" s="1"/>
  <c r="X9" i="6" s="1"/>
  <c r="Y9" i="24"/>
  <c r="J73" i="6"/>
  <c r="M43" i="28"/>
  <c r="M41" i="28"/>
  <c r="S98" i="28"/>
  <c r="S96" i="28"/>
  <c r="C96" i="28"/>
  <c r="R91" i="28"/>
  <c r="R93" i="28"/>
  <c r="C91" i="28"/>
  <c r="N40" i="6"/>
  <c r="N42" i="6"/>
  <c r="K79" i="6"/>
  <c r="E121" i="6"/>
  <c r="S63" i="1"/>
  <c r="S65" i="1"/>
  <c r="S66" i="1" s="1"/>
  <c r="P68" i="1"/>
  <c r="P66" i="28"/>
  <c r="P68" i="28"/>
  <c r="G97" i="6"/>
  <c r="V20" i="1"/>
  <c r="U22" i="1"/>
  <c r="Q71" i="21"/>
  <c r="Q73" i="21"/>
  <c r="R9" i="25"/>
  <c r="R68" i="1"/>
  <c r="W28" i="1"/>
  <c r="W35" i="1"/>
  <c r="W34" i="1" s="1"/>
  <c r="W33" i="1" s="1"/>
  <c r="W32" i="1" s="1"/>
  <c r="W31" i="1" s="1"/>
  <c r="W30" i="1" s="1"/>
  <c r="W29" i="1" s="1"/>
  <c r="N48" i="6"/>
  <c r="N46" i="6"/>
  <c r="P67" i="21"/>
  <c r="P65" i="21" s="1"/>
  <c r="N54" i="6"/>
  <c r="N52" i="6"/>
  <c r="W7" i="6"/>
  <c r="L67" i="6"/>
  <c r="W5" i="6"/>
  <c r="D185" i="6"/>
  <c r="D187" i="6" s="1"/>
  <c r="H185" i="6"/>
  <c r="I185" i="6"/>
  <c r="E185" i="6"/>
  <c r="J185" i="6"/>
  <c r="M185" i="6"/>
  <c r="N185" i="6"/>
  <c r="O185" i="6"/>
  <c r="P185" i="6"/>
  <c r="K185" i="6"/>
  <c r="S185" i="6"/>
  <c r="Q185" i="6"/>
  <c r="X185" i="6"/>
  <c r="G185" i="6"/>
  <c r="AF185" i="6"/>
  <c r="AN185" i="6"/>
  <c r="V185" i="6"/>
  <c r="AG185" i="6"/>
  <c r="AO185" i="6"/>
  <c r="AA185" i="6"/>
  <c r="AH185" i="6"/>
  <c r="AP185" i="6"/>
  <c r="F185" i="6"/>
  <c r="AD185" i="6"/>
  <c r="AK185" i="6"/>
  <c r="AS185" i="6"/>
  <c r="R185" i="6"/>
  <c r="AR185" i="6"/>
  <c r="AV185" i="6"/>
  <c r="T185" i="6"/>
  <c r="AT185" i="6"/>
  <c r="AW185" i="6"/>
  <c r="Y185" i="6"/>
  <c r="AM185" i="6"/>
  <c r="AX185" i="6"/>
  <c r="U185" i="6"/>
  <c r="W185" i="6"/>
  <c r="AL185" i="6"/>
  <c r="Z185" i="6"/>
  <c r="AZ185" i="6"/>
  <c r="L185" i="6"/>
  <c r="AB185" i="6"/>
  <c r="AI185" i="6"/>
  <c r="AU185" i="6"/>
  <c r="AC185" i="6"/>
  <c r="AJ185" i="6"/>
  <c r="AQ185" i="6"/>
  <c r="B189" i="6"/>
  <c r="AY185" i="6"/>
  <c r="BA185" i="6"/>
  <c r="W14" i="24"/>
  <c r="W15" i="24" s="1"/>
  <c r="X10" i="1" s="1"/>
  <c r="X13" i="24"/>
  <c r="X12" i="1"/>
  <c r="X12" i="25" s="1"/>
  <c r="X18" i="1"/>
  <c r="X115" i="1"/>
  <c r="X27" i="1"/>
  <c r="X5" i="25"/>
  <c r="X73" i="1"/>
  <c r="Q141" i="1"/>
  <c r="S96" i="21"/>
  <c r="C96" i="21"/>
  <c r="S98" i="21"/>
  <c r="E109" i="1"/>
  <c r="P36" i="28" l="1"/>
  <c r="R81" i="28"/>
  <c r="R81" i="21"/>
  <c r="N36" i="6"/>
  <c r="N37" i="6" s="1"/>
  <c r="N43" i="21"/>
  <c r="W114" i="1"/>
  <c r="W122" i="1" s="1"/>
  <c r="N51" i="21"/>
  <c r="N52" i="21" s="1"/>
  <c r="N50" i="21" s="1"/>
  <c r="O51" i="21" s="1"/>
  <c r="J142" i="1"/>
  <c r="J38" i="25"/>
  <c r="J36" i="25" s="1"/>
  <c r="J48" i="25" s="1"/>
  <c r="K27" i="25"/>
  <c r="K40" i="25" s="1"/>
  <c r="K144" i="1"/>
  <c r="K13" i="25"/>
  <c r="K39" i="25"/>
  <c r="J27" i="21"/>
  <c r="O58" i="21"/>
  <c r="O57" i="21" s="1"/>
  <c r="O55" i="21" s="1"/>
  <c r="R76" i="21"/>
  <c r="R78" i="21"/>
  <c r="Q61" i="21"/>
  <c r="Q62" i="21" s="1"/>
  <c r="Q60" i="21" s="1"/>
  <c r="R61" i="21" s="1"/>
  <c r="O56" i="28"/>
  <c r="O57" i="28" s="1"/>
  <c r="O55" i="28" s="1"/>
  <c r="R82" i="21"/>
  <c r="R80" i="21" s="1"/>
  <c r="S81" i="21" s="1"/>
  <c r="Q72" i="21"/>
  <c r="Q70" i="21" s="1"/>
  <c r="R92" i="21"/>
  <c r="R90" i="21" s="1"/>
  <c r="S93" i="21" s="1"/>
  <c r="S97" i="21"/>
  <c r="S95" i="21" s="1"/>
  <c r="T98" i="21" s="1"/>
  <c r="O32" i="28"/>
  <c r="O30" i="28" s="1"/>
  <c r="P33" i="28" s="1"/>
  <c r="R92" i="28"/>
  <c r="R90" i="28" s="1"/>
  <c r="S93" i="28" s="1"/>
  <c r="H100" i="6"/>
  <c r="H103" i="6" s="1"/>
  <c r="I102" i="6" s="1"/>
  <c r="R82" i="28"/>
  <c r="R80" i="28" s="1"/>
  <c r="S81" i="28" s="1"/>
  <c r="I275" i="28"/>
  <c r="I25" i="28"/>
  <c r="P22" i="6"/>
  <c r="P25" i="6" s="1"/>
  <c r="Q28" i="6"/>
  <c r="Q31" i="6" s="1"/>
  <c r="P63" i="28"/>
  <c r="P61" i="28"/>
  <c r="R88" i="28"/>
  <c r="R87" i="28" s="1"/>
  <c r="R85" i="28" s="1"/>
  <c r="Q72" i="28"/>
  <c r="Q70" i="28" s="1"/>
  <c r="R71" i="28" s="1"/>
  <c r="K82" i="6"/>
  <c r="K85" i="6" s="1"/>
  <c r="L82" i="6" s="1"/>
  <c r="L61" i="6"/>
  <c r="M60" i="6" s="1"/>
  <c r="N55" i="6"/>
  <c r="O52" i="6" s="1"/>
  <c r="P67" i="28"/>
  <c r="P65" i="28" s="1"/>
  <c r="Q66" i="28" s="1"/>
  <c r="M42" i="28"/>
  <c r="M40" i="28" s="1"/>
  <c r="N41" i="28" s="1"/>
  <c r="S91" i="21"/>
  <c r="T159" i="1"/>
  <c r="T155" i="1"/>
  <c r="T140" i="1" s="1"/>
  <c r="T141" i="1" s="1"/>
  <c r="D191" i="6"/>
  <c r="D193" i="6" s="1"/>
  <c r="E191" i="6"/>
  <c r="F191" i="6"/>
  <c r="I191" i="6"/>
  <c r="K191" i="6"/>
  <c r="R191" i="6"/>
  <c r="S191" i="6"/>
  <c r="H191" i="6"/>
  <c r="G191" i="6"/>
  <c r="O191" i="6"/>
  <c r="L191" i="6"/>
  <c r="M191" i="6"/>
  <c r="P191" i="6"/>
  <c r="T191" i="6"/>
  <c r="U191" i="6"/>
  <c r="W191" i="6"/>
  <c r="X191" i="6"/>
  <c r="Y191" i="6"/>
  <c r="Q191" i="6"/>
  <c r="AC191" i="6"/>
  <c r="AJ191" i="6"/>
  <c r="AR191" i="6"/>
  <c r="AD191" i="6"/>
  <c r="AK191" i="6"/>
  <c r="AS191" i="6"/>
  <c r="AE191" i="6"/>
  <c r="AL191" i="6"/>
  <c r="AT191" i="6"/>
  <c r="Z191" i="6"/>
  <c r="AG191" i="6"/>
  <c r="AO191" i="6"/>
  <c r="AN191" i="6"/>
  <c r="AZ191" i="6"/>
  <c r="AP191" i="6"/>
  <c r="AB191" i="6"/>
  <c r="AI191" i="6"/>
  <c r="AA191" i="6"/>
  <c r="AH191" i="6"/>
  <c r="AW191" i="6"/>
  <c r="N191" i="6"/>
  <c r="AV191" i="6"/>
  <c r="AX191" i="6"/>
  <c r="V191" i="6"/>
  <c r="AY191" i="6"/>
  <c r="AQ191" i="6"/>
  <c r="AM191" i="6"/>
  <c r="AU191" i="6"/>
  <c r="B195" i="6"/>
  <c r="J191" i="6"/>
  <c r="BA191" i="6"/>
  <c r="X28" i="1"/>
  <c r="X35" i="1"/>
  <c r="X34" i="1" s="1"/>
  <c r="X33" i="1" s="1"/>
  <c r="X32" i="1" s="1"/>
  <c r="X31" i="1" s="1"/>
  <c r="X30" i="1" s="1"/>
  <c r="X29" i="1" s="1"/>
  <c r="Y12" i="1"/>
  <c r="Y12" i="25" s="1"/>
  <c r="Y18" i="1"/>
  <c r="Y115" i="1"/>
  <c r="Y5" i="25"/>
  <c r="Y27" i="1"/>
  <c r="Y73" i="1"/>
  <c r="X14" i="24"/>
  <c r="X15" i="24" s="1"/>
  <c r="Y10" i="1" s="1"/>
  <c r="Y13" i="24"/>
  <c r="Q66" i="21"/>
  <c r="Q68" i="21"/>
  <c r="F118" i="6"/>
  <c r="F120" i="6"/>
  <c r="K72" i="6"/>
  <c r="K70" i="6"/>
  <c r="O46" i="21"/>
  <c r="O48" i="21"/>
  <c r="X16" i="1"/>
  <c r="X116" i="1"/>
  <c r="X11" i="25"/>
  <c r="N49" i="6"/>
  <c r="L78" i="6"/>
  <c r="L76" i="6"/>
  <c r="Y18" i="24"/>
  <c r="Y6" i="6" s="1"/>
  <c r="Y4" i="6" s="1"/>
  <c r="Y10" i="24"/>
  <c r="Z8" i="1" s="1"/>
  <c r="Z6" i="1" s="1"/>
  <c r="Y21" i="24"/>
  <c r="Y8" i="6" s="1"/>
  <c r="Y9" i="6" s="1"/>
  <c r="Z9" i="24"/>
  <c r="E165" i="1"/>
  <c r="E156" i="1"/>
  <c r="E147" i="1"/>
  <c r="E162" i="1"/>
  <c r="N52" i="28"/>
  <c r="N50" i="28" s="1"/>
  <c r="F126" i="6"/>
  <c r="F124" i="6"/>
  <c r="H96" i="6"/>
  <c r="H94" i="6"/>
  <c r="N43" i="6"/>
  <c r="H108" i="6"/>
  <c r="H106" i="6"/>
  <c r="S100" i="28"/>
  <c r="S20" i="28"/>
  <c r="X84" i="1"/>
  <c r="Q9" i="25"/>
  <c r="M64" i="6"/>
  <c r="M66" i="6"/>
  <c r="X4" i="6"/>
  <c r="X7" i="6"/>
  <c r="W37" i="1"/>
  <c r="W39" i="1"/>
  <c r="W40" i="1" s="1"/>
  <c r="S68" i="1"/>
  <c r="S97" i="28"/>
  <c r="S95" i="28" s="1"/>
  <c r="O48" i="28"/>
  <c r="O46" i="28"/>
  <c r="T18" i="28"/>
  <c r="T19" i="28" s="1"/>
  <c r="V22" i="1"/>
  <c r="V24" i="1" s="1"/>
  <c r="Y1" i="1"/>
  <c r="Y1" i="24"/>
  <c r="X1" i="6"/>
  <c r="E138" i="6" s="1"/>
  <c r="X1" i="21"/>
  <c r="Y1" i="25"/>
  <c r="X1" i="28"/>
  <c r="V17" i="21"/>
  <c r="W45" i="25"/>
  <c r="G114" i="6"/>
  <c r="G112" i="6"/>
  <c r="W124" i="1"/>
  <c r="W7" i="25"/>
  <c r="W25" i="25"/>
  <c r="U24" i="1"/>
  <c r="U17" i="21"/>
  <c r="V122" i="1"/>
  <c r="U17" i="28"/>
  <c r="V45" i="25"/>
  <c r="N31" i="21"/>
  <c r="N33" i="21"/>
  <c r="S100" i="21"/>
  <c r="T139" i="1"/>
  <c r="T37" i="25" s="1"/>
  <c r="S20" i="21"/>
  <c r="X117" i="1"/>
  <c r="F130" i="6"/>
  <c r="F132" i="6"/>
  <c r="T46" i="1"/>
  <c r="T62" i="1"/>
  <c r="T61" i="1" s="1"/>
  <c r="T60" i="1" s="1"/>
  <c r="T59" i="1" s="1"/>
  <c r="T58" i="1" s="1"/>
  <c r="T57" i="1" s="1"/>
  <c r="T56" i="1" s="1"/>
  <c r="T55" i="1" s="1"/>
  <c r="T54" i="1" s="1"/>
  <c r="T53" i="1" s="1"/>
  <c r="T52" i="1" s="1"/>
  <c r="T51" i="1" s="1"/>
  <c r="T50" i="1" s="1"/>
  <c r="T49" i="1" s="1"/>
  <c r="T48" i="1" s="1"/>
  <c r="T47" i="1" s="1"/>
  <c r="E184" i="6"/>
  <c r="R71" i="21"/>
  <c r="R73" i="21"/>
  <c r="R76" i="28"/>
  <c r="R78" i="28"/>
  <c r="W22" i="1"/>
  <c r="N37" i="21"/>
  <c r="N35" i="21" s="1"/>
  <c r="V40" i="1"/>
  <c r="P37" i="28"/>
  <c r="P35" i="28" s="1"/>
  <c r="J88" i="6"/>
  <c r="J90" i="6"/>
  <c r="N42" i="21"/>
  <c r="N40" i="21" s="1"/>
  <c r="R86" i="21"/>
  <c r="R88" i="21"/>
  <c r="T18" i="21"/>
  <c r="T19" i="21" s="1"/>
  <c r="U10" i="25"/>
  <c r="V17" i="28" l="1"/>
  <c r="R77" i="21"/>
  <c r="R75" i="21" s="1"/>
  <c r="S76" i="21" s="1"/>
  <c r="R73" i="28"/>
  <c r="R72" i="28" s="1"/>
  <c r="R70" i="28" s="1"/>
  <c r="S73" i="28" s="1"/>
  <c r="R63" i="21"/>
  <c r="R62" i="21" s="1"/>
  <c r="R60" i="21" s="1"/>
  <c r="S63" i="21" s="1"/>
  <c r="J275" i="21"/>
  <c r="J25" i="21"/>
  <c r="O54" i="6"/>
  <c r="O55" i="6" s="1"/>
  <c r="S78" i="21"/>
  <c r="S77" i="21" s="1"/>
  <c r="S75" i="21" s="1"/>
  <c r="R87" i="21"/>
  <c r="R85" i="21" s="1"/>
  <c r="S86" i="21" s="1"/>
  <c r="S83" i="28"/>
  <c r="S82" i="28" s="1"/>
  <c r="S80" i="28" s="1"/>
  <c r="S83" i="21"/>
  <c r="S82" i="21" s="1"/>
  <c r="S80" i="21" s="1"/>
  <c r="P31" i="28"/>
  <c r="P32" i="28" s="1"/>
  <c r="P30" i="28" s="1"/>
  <c r="T96" i="21"/>
  <c r="T97" i="21" s="1"/>
  <c r="T95" i="21" s="1"/>
  <c r="X114" i="1"/>
  <c r="W17" i="21" s="1"/>
  <c r="O53" i="21"/>
  <c r="O52" i="21" s="1"/>
  <c r="O50" i="21" s="1"/>
  <c r="S91" i="28"/>
  <c r="S92" i="28" s="1"/>
  <c r="S90" i="28" s="1"/>
  <c r="S92" i="21"/>
  <c r="S90" i="21" s="1"/>
  <c r="T91" i="21" s="1"/>
  <c r="Q22" i="6"/>
  <c r="Q24" i="6"/>
  <c r="I100" i="6"/>
  <c r="I103" i="6" s="1"/>
  <c r="J100" i="6" s="1"/>
  <c r="L84" i="6"/>
  <c r="L85" i="6" s="1"/>
  <c r="J28" i="28"/>
  <c r="J4" i="28" s="1"/>
  <c r="I22" i="28"/>
  <c r="J26" i="28"/>
  <c r="N43" i="28"/>
  <c r="N42" i="28" s="1"/>
  <c r="N40" i="28" s="1"/>
  <c r="P62" i="28"/>
  <c r="P60" i="28" s="1"/>
  <c r="Q68" i="28"/>
  <c r="Q67" i="28" s="1"/>
  <c r="Q65" i="28" s="1"/>
  <c r="M58" i="6"/>
  <c r="M61" i="6" s="1"/>
  <c r="K73" i="6"/>
  <c r="L70" i="6" s="1"/>
  <c r="O47" i="28"/>
  <c r="O45" i="28" s="1"/>
  <c r="P46" i="28" s="1"/>
  <c r="L79" i="6"/>
  <c r="M76" i="6" s="1"/>
  <c r="R77" i="28"/>
  <c r="R75" i="28" s="1"/>
  <c r="S78" i="28" s="1"/>
  <c r="H109" i="6"/>
  <c r="I106" i="6" s="1"/>
  <c r="Q25" i="6"/>
  <c r="R22" i="6" s="1"/>
  <c r="E139" i="6"/>
  <c r="U155" i="1"/>
  <c r="U140" i="1" s="1"/>
  <c r="U141" i="1" s="1"/>
  <c r="U159" i="1"/>
  <c r="O36" i="21"/>
  <c r="O38" i="21"/>
  <c r="U45" i="1"/>
  <c r="U42" i="1"/>
  <c r="Z17" i="1"/>
  <c r="Y13" i="21"/>
  <c r="Y12" i="21" s="1"/>
  <c r="Z110" i="1"/>
  <c r="BC68" i="9"/>
  <c r="Y13" i="28"/>
  <c r="Y12" i="28" s="1"/>
  <c r="Y149" i="6"/>
  <c r="Y17" i="1"/>
  <c r="Y110" i="1"/>
  <c r="X13" i="21"/>
  <c r="X12" i="21" s="1"/>
  <c r="X13" i="28"/>
  <c r="X12" i="28" s="1"/>
  <c r="BB68" i="9"/>
  <c r="X143" i="6"/>
  <c r="E148" i="1"/>
  <c r="E146" i="1" s="1"/>
  <c r="Y14" i="24"/>
  <c r="Y15" i="24" s="1"/>
  <c r="Z10" i="1" s="1"/>
  <c r="Z13" i="24"/>
  <c r="D197" i="6"/>
  <c r="D199" i="6" s="1"/>
  <c r="H197" i="6"/>
  <c r="I197" i="6"/>
  <c r="J197" i="6"/>
  <c r="M197" i="6"/>
  <c r="G197" i="6"/>
  <c r="N197" i="6"/>
  <c r="K197" i="6"/>
  <c r="O197" i="6"/>
  <c r="L197" i="6"/>
  <c r="P197" i="6"/>
  <c r="F197" i="6"/>
  <c r="S197" i="6"/>
  <c r="E197" i="6"/>
  <c r="X197" i="6"/>
  <c r="Z197" i="6"/>
  <c r="AN197" i="6"/>
  <c r="T197" i="6"/>
  <c r="U197" i="6"/>
  <c r="AO197" i="6"/>
  <c r="W197" i="6"/>
  <c r="AA197" i="6"/>
  <c r="AH197" i="6"/>
  <c r="AP197" i="6"/>
  <c r="R197" i="6"/>
  <c r="V197" i="6"/>
  <c r="AD197" i="6"/>
  <c r="AK197" i="6"/>
  <c r="AS197" i="6"/>
  <c r="AC197" i="6"/>
  <c r="AJ197" i="6"/>
  <c r="AV197" i="6"/>
  <c r="AE197" i="6"/>
  <c r="AL197" i="6"/>
  <c r="AW197" i="6"/>
  <c r="AX197" i="6"/>
  <c r="AT197" i="6"/>
  <c r="Y197" i="6"/>
  <c r="AY197" i="6"/>
  <c r="AR197" i="6"/>
  <c r="AZ197" i="6"/>
  <c r="AU197" i="6"/>
  <c r="Q197" i="6"/>
  <c r="AF197" i="6"/>
  <c r="AI197" i="6"/>
  <c r="AQ197" i="6"/>
  <c r="B201" i="6"/>
  <c r="AB197" i="6"/>
  <c r="AM197" i="6"/>
  <c r="BA197" i="6"/>
  <c r="U18" i="28"/>
  <c r="U19" i="28" s="1"/>
  <c r="X5" i="6"/>
  <c r="Y5" i="6" s="1"/>
  <c r="T9" i="25"/>
  <c r="O41" i="21"/>
  <c r="O43" i="21"/>
  <c r="V18" i="28"/>
  <c r="V19" i="28" s="1"/>
  <c r="O40" i="6"/>
  <c r="O42" i="6"/>
  <c r="O53" i="28"/>
  <c r="O51" i="28"/>
  <c r="P56" i="28"/>
  <c r="P58" i="28"/>
  <c r="T63" i="1"/>
  <c r="T65" i="1"/>
  <c r="T66" i="1" s="1"/>
  <c r="N32" i="21"/>
  <c r="N30" i="21" s="1"/>
  <c r="Y7" i="6"/>
  <c r="H97" i="6"/>
  <c r="Z18" i="1"/>
  <c r="Z12" i="1"/>
  <c r="Z12" i="25" s="1"/>
  <c r="Z115" i="1"/>
  <c r="Z5" i="25"/>
  <c r="Z27" i="1"/>
  <c r="Z73" i="1"/>
  <c r="O47" i="21"/>
  <c r="O45" i="21" s="1"/>
  <c r="Q67" i="21"/>
  <c r="Q65" i="21" s="1"/>
  <c r="Y28" i="1"/>
  <c r="Y35" i="1"/>
  <c r="Y34" i="1" s="1"/>
  <c r="Y33" i="1" s="1"/>
  <c r="Y32" i="1" s="1"/>
  <c r="Y31" i="1" s="1"/>
  <c r="Y30" i="1" s="1"/>
  <c r="Y29" i="1" s="1"/>
  <c r="X7" i="25"/>
  <c r="X124" i="1"/>
  <c r="X25" i="25"/>
  <c r="X20" i="1"/>
  <c r="W24" i="1"/>
  <c r="Q38" i="28"/>
  <c r="Q36" i="28"/>
  <c r="Y84" i="1"/>
  <c r="T105" i="28"/>
  <c r="T20" i="28"/>
  <c r="M67" i="6"/>
  <c r="T103" i="28"/>
  <c r="C101" i="28"/>
  <c r="T101" i="28"/>
  <c r="F127" i="6"/>
  <c r="E166" i="1"/>
  <c r="E167" i="1" s="1"/>
  <c r="V18" i="21"/>
  <c r="V19" i="21" s="1"/>
  <c r="W10" i="25"/>
  <c r="P56" i="21"/>
  <c r="P58" i="21"/>
  <c r="E190" i="6"/>
  <c r="J91" i="6"/>
  <c r="Y16" i="1"/>
  <c r="Y116" i="1"/>
  <c r="Y11" i="25"/>
  <c r="T105" i="21"/>
  <c r="U139" i="1"/>
  <c r="U37" i="25" s="1"/>
  <c r="T20" i="21"/>
  <c r="T101" i="21"/>
  <c r="C101" i="21"/>
  <c r="T103" i="21"/>
  <c r="U18" i="21"/>
  <c r="U19" i="21" s="1"/>
  <c r="V10" i="25"/>
  <c r="G115" i="6"/>
  <c r="I108" i="6"/>
  <c r="O34" i="6"/>
  <c r="O36" i="6"/>
  <c r="V45" i="1"/>
  <c r="V42" i="1"/>
  <c r="E163" i="1"/>
  <c r="R72" i="21"/>
  <c r="R70" i="21" s="1"/>
  <c r="F133" i="6"/>
  <c r="Z1" i="1"/>
  <c r="Z1" i="24"/>
  <c r="Y1" i="6"/>
  <c r="Z1" i="25"/>
  <c r="Y1" i="28"/>
  <c r="Y1" i="21"/>
  <c r="R30" i="6"/>
  <c r="R28" i="6"/>
  <c r="S88" i="28"/>
  <c r="S86" i="28"/>
  <c r="T96" i="28"/>
  <c r="T98" i="28"/>
  <c r="Z18" i="24"/>
  <c r="Z6" i="6" s="1"/>
  <c r="Z4" i="6" s="1"/>
  <c r="Z10" i="24"/>
  <c r="AA8" i="1" s="1"/>
  <c r="AA6" i="1" s="1"/>
  <c r="AA9" i="24"/>
  <c r="Z21" i="24"/>
  <c r="Z8" i="6" s="1"/>
  <c r="Z9" i="6" s="1"/>
  <c r="O46" i="6"/>
  <c r="O48" i="6"/>
  <c r="F121" i="6"/>
  <c r="X37" i="1"/>
  <c r="X39" i="1"/>
  <c r="T93" i="21" l="1"/>
  <c r="Q37" i="28"/>
  <c r="Q35" i="28" s="1"/>
  <c r="R38" i="28" s="1"/>
  <c r="S61" i="21"/>
  <c r="W17" i="28"/>
  <c r="W18" i="28" s="1"/>
  <c r="X45" i="25"/>
  <c r="S88" i="21"/>
  <c r="S87" i="21" s="1"/>
  <c r="S85" i="21" s="1"/>
  <c r="X122" i="1"/>
  <c r="K26" i="21"/>
  <c r="J22" i="21"/>
  <c r="K28" i="21"/>
  <c r="K4" i="21" s="1"/>
  <c r="L74" i="1" s="1"/>
  <c r="K143" i="1"/>
  <c r="K14" i="25"/>
  <c r="Q31" i="28"/>
  <c r="Q33" i="28"/>
  <c r="O37" i="21"/>
  <c r="O35" i="21" s="1"/>
  <c r="P38" i="21" s="1"/>
  <c r="P53" i="21"/>
  <c r="P51" i="21"/>
  <c r="T92" i="21"/>
  <c r="T90" i="21" s="1"/>
  <c r="U93" i="21" s="1"/>
  <c r="P57" i="21"/>
  <c r="P55" i="21" s="1"/>
  <c r="Q56" i="21" s="1"/>
  <c r="O42" i="21"/>
  <c r="O40" i="21" s="1"/>
  <c r="P41" i="21" s="1"/>
  <c r="P48" i="28"/>
  <c r="P47" i="28" s="1"/>
  <c r="P45" i="28" s="1"/>
  <c r="M84" i="6"/>
  <c r="M82" i="6"/>
  <c r="M85" i="6" s="1"/>
  <c r="N84" i="6" s="1"/>
  <c r="J27" i="28"/>
  <c r="S87" i="28"/>
  <c r="S85" i="28" s="1"/>
  <c r="T86" i="28" s="1"/>
  <c r="J102" i="6"/>
  <c r="J103" i="6" s="1"/>
  <c r="Q63" i="28"/>
  <c r="Q61" i="28"/>
  <c r="L72" i="6"/>
  <c r="L73" i="6" s="1"/>
  <c r="S76" i="28"/>
  <c r="S77" i="28" s="1"/>
  <c r="S75" i="28" s="1"/>
  <c r="T76" i="28" s="1"/>
  <c r="R24" i="6"/>
  <c r="R25" i="6" s="1"/>
  <c r="S24" i="6" s="1"/>
  <c r="M78" i="6"/>
  <c r="M79" i="6" s="1"/>
  <c r="N76" i="6" s="1"/>
  <c r="S71" i="28"/>
  <c r="S72" i="28" s="1"/>
  <c r="S70" i="28" s="1"/>
  <c r="Y20" i="1"/>
  <c r="Y22" i="1" s="1"/>
  <c r="Y24" i="1" s="1"/>
  <c r="P57" i="28"/>
  <c r="P55" i="28" s="1"/>
  <c r="Q58" i="28" s="1"/>
  <c r="O52" i="28"/>
  <c r="O50" i="28" s="1"/>
  <c r="P53" i="28" s="1"/>
  <c r="T97" i="28"/>
  <c r="T95" i="28" s="1"/>
  <c r="U98" i="28" s="1"/>
  <c r="O49" i="6"/>
  <c r="P48" i="6" s="1"/>
  <c r="X40" i="1"/>
  <c r="W155" i="1"/>
  <c r="W140" i="1" s="1"/>
  <c r="W141" i="1" s="1"/>
  <c r="W159" i="1"/>
  <c r="AA18" i="24"/>
  <c r="AA6" i="6" s="1"/>
  <c r="AA4" i="6" s="1"/>
  <c r="AA10" i="24"/>
  <c r="AB8" i="1" s="1"/>
  <c r="AB6" i="1" s="1"/>
  <c r="AB9" i="24"/>
  <c r="AA21" i="24"/>
  <c r="AA8" i="6" s="1"/>
  <c r="AA9" i="6" s="1"/>
  <c r="E30" i="25"/>
  <c r="E18" i="25"/>
  <c r="N64" i="6"/>
  <c r="N66" i="6"/>
  <c r="AA12" i="1"/>
  <c r="AA12" i="25" s="1"/>
  <c r="AA18" i="1"/>
  <c r="AA115" i="1"/>
  <c r="AA5" i="25"/>
  <c r="AA27" i="1"/>
  <c r="AA73" i="1"/>
  <c r="AA1" i="1"/>
  <c r="AA1" i="24"/>
  <c r="AA1" i="25"/>
  <c r="Z1" i="6"/>
  <c r="Z1" i="28"/>
  <c r="Z1" i="21"/>
  <c r="N60" i="6"/>
  <c r="N58" i="6"/>
  <c r="V155" i="1"/>
  <c r="V140" i="1" s="1"/>
  <c r="V141" i="1" s="1"/>
  <c r="V159" i="1"/>
  <c r="D203" i="6"/>
  <c r="D205" i="6" s="1"/>
  <c r="E203" i="6"/>
  <c r="I203" i="6"/>
  <c r="R203" i="6"/>
  <c r="G203" i="6"/>
  <c r="S203" i="6"/>
  <c r="L203" i="6"/>
  <c r="M203" i="6"/>
  <c r="O203" i="6"/>
  <c r="W203" i="6"/>
  <c r="J203" i="6"/>
  <c r="Q203" i="6"/>
  <c r="X203" i="6"/>
  <c r="Y203" i="6"/>
  <c r="V203" i="6"/>
  <c r="AC203" i="6"/>
  <c r="AJ203" i="6"/>
  <c r="AR203" i="6"/>
  <c r="Z203" i="6"/>
  <c r="AD203" i="6"/>
  <c r="AK203" i="6"/>
  <c r="AS203" i="6"/>
  <c r="H203" i="6"/>
  <c r="P203" i="6"/>
  <c r="AE203" i="6"/>
  <c r="AL203" i="6"/>
  <c r="AT203" i="6"/>
  <c r="K203" i="6"/>
  <c r="N203" i="6"/>
  <c r="AO203" i="6"/>
  <c r="U203" i="6"/>
  <c r="AZ203" i="6"/>
  <c r="AA203" i="6"/>
  <c r="AQ203" i="6"/>
  <c r="F203" i="6"/>
  <c r="AP203" i="6"/>
  <c r="AW203" i="6"/>
  <c r="AU203" i="6"/>
  <c r="T203" i="6"/>
  <c r="AG203" i="6"/>
  <c r="AN203" i="6"/>
  <c r="AY203" i="6"/>
  <c r="AV203" i="6"/>
  <c r="AX203" i="6"/>
  <c r="AM203" i="6"/>
  <c r="AB203" i="6"/>
  <c r="AF203" i="6"/>
  <c r="B207" i="6"/>
  <c r="BA203" i="6"/>
  <c r="AI203" i="6"/>
  <c r="Z14" i="24"/>
  <c r="Z15" i="24" s="1"/>
  <c r="AA10" i="1" s="1"/>
  <c r="AA13" i="24"/>
  <c r="E150" i="6"/>
  <c r="E151" i="6" s="1"/>
  <c r="U110" i="21"/>
  <c r="V139" i="1"/>
  <c r="V37" i="25" s="1"/>
  <c r="U20" i="21"/>
  <c r="U106" i="21"/>
  <c r="C106" i="21"/>
  <c r="U108" i="21"/>
  <c r="W45" i="1"/>
  <c r="W42" i="1"/>
  <c r="T76" i="21"/>
  <c r="T78" i="21"/>
  <c r="Z5" i="6"/>
  <c r="Z16" i="1"/>
  <c r="Z116" i="1"/>
  <c r="Z114" i="1" s="1"/>
  <c r="Z11" i="25"/>
  <c r="W18" i="21"/>
  <c r="W19" i="21" s="1"/>
  <c r="X10" i="25"/>
  <c r="F138" i="6"/>
  <c r="F136" i="6"/>
  <c r="R66" i="21"/>
  <c r="R68" i="21"/>
  <c r="Y117" i="1"/>
  <c r="Y114" i="1" s="1"/>
  <c r="R66" i="28"/>
  <c r="R68" i="28"/>
  <c r="E31" i="25"/>
  <c r="E17" i="25"/>
  <c r="Z117" i="1"/>
  <c r="S62" i="21"/>
  <c r="S60" i="21" s="1"/>
  <c r="Z84" i="1"/>
  <c r="Y25" i="25"/>
  <c r="Y7" i="25"/>
  <c r="Y124" i="1"/>
  <c r="R31" i="6"/>
  <c r="P52" i="6"/>
  <c r="P54" i="6"/>
  <c r="O37" i="6"/>
  <c r="I109" i="6"/>
  <c r="K88" i="6"/>
  <c r="K90" i="6"/>
  <c r="U96" i="21"/>
  <c r="U98" i="21"/>
  <c r="G126" i="6"/>
  <c r="G124" i="6"/>
  <c r="O31" i="21"/>
  <c r="O33" i="21"/>
  <c r="T91" i="28"/>
  <c r="T93" i="28"/>
  <c r="U9" i="25"/>
  <c r="P46" i="21"/>
  <c r="P48" i="21"/>
  <c r="V115" i="28"/>
  <c r="V20" i="28"/>
  <c r="U110" i="28"/>
  <c r="U20" i="28"/>
  <c r="O43" i="28"/>
  <c r="O41" i="28"/>
  <c r="T102" i="21"/>
  <c r="T100" i="21" s="1"/>
  <c r="U108" i="28"/>
  <c r="U106" i="28"/>
  <c r="C106" i="28"/>
  <c r="I96" i="6"/>
  <c r="I94" i="6"/>
  <c r="H114" i="6"/>
  <c r="H112" i="6"/>
  <c r="V115" i="21"/>
  <c r="W139" i="1"/>
  <c r="W37" i="25" s="1"/>
  <c r="V20" i="21"/>
  <c r="T102" i="28"/>
  <c r="T100" i="28" s="1"/>
  <c r="Z35" i="1"/>
  <c r="Z34" i="1" s="1"/>
  <c r="Z33" i="1" s="1"/>
  <c r="Z32" i="1" s="1"/>
  <c r="Z31" i="1" s="1"/>
  <c r="Z30" i="1" s="1"/>
  <c r="Z29" i="1" s="1"/>
  <c r="Z28" i="1"/>
  <c r="T68" i="1"/>
  <c r="E144" i="6"/>
  <c r="E149" i="1"/>
  <c r="F158" i="1"/>
  <c r="AA17" i="1"/>
  <c r="Z13" i="21"/>
  <c r="Z12" i="21" s="1"/>
  <c r="AA110" i="1"/>
  <c r="BD68" i="9"/>
  <c r="Z13" i="28"/>
  <c r="Z12" i="28" s="1"/>
  <c r="Z155" i="6"/>
  <c r="X22" i="1"/>
  <c r="X24" i="1" s="1"/>
  <c r="T81" i="21"/>
  <c r="T83" i="21"/>
  <c r="G120" i="6"/>
  <c r="G118" i="6"/>
  <c r="G132" i="6"/>
  <c r="G130" i="6"/>
  <c r="S71" i="21"/>
  <c r="S73" i="21"/>
  <c r="V46" i="1"/>
  <c r="V62" i="1"/>
  <c r="V61" i="1" s="1"/>
  <c r="V60" i="1" s="1"/>
  <c r="V59" i="1" s="1"/>
  <c r="V58" i="1" s="1"/>
  <c r="V57" i="1" s="1"/>
  <c r="V56" i="1" s="1"/>
  <c r="V55" i="1" s="1"/>
  <c r="V54" i="1" s="1"/>
  <c r="V53" i="1" s="1"/>
  <c r="V52" i="1" s="1"/>
  <c r="V51" i="1" s="1"/>
  <c r="V50" i="1" s="1"/>
  <c r="V49" i="1" s="1"/>
  <c r="V48" i="1" s="1"/>
  <c r="V47" i="1" s="1"/>
  <c r="T83" i="28"/>
  <c r="T81" i="28"/>
  <c r="Y37" i="1"/>
  <c r="Y39" i="1"/>
  <c r="Z7" i="6"/>
  <c r="O43" i="6"/>
  <c r="E196" i="6"/>
  <c r="U46" i="1"/>
  <c r="U62" i="1"/>
  <c r="U61" i="1" s="1"/>
  <c r="U60" i="1" s="1"/>
  <c r="U59" i="1" s="1"/>
  <c r="U58" i="1" s="1"/>
  <c r="U57" i="1" s="1"/>
  <c r="U56" i="1" s="1"/>
  <c r="U55" i="1" s="1"/>
  <c r="U54" i="1" s="1"/>
  <c r="U53" i="1" s="1"/>
  <c r="U52" i="1" s="1"/>
  <c r="U51" i="1" s="1"/>
  <c r="U50" i="1" s="1"/>
  <c r="U49" i="1" s="1"/>
  <c r="U48" i="1" s="1"/>
  <c r="U47" i="1" s="1"/>
  <c r="T88" i="28" l="1"/>
  <c r="Q62" i="28"/>
  <c r="Q60" i="28" s="1"/>
  <c r="R63" i="28" s="1"/>
  <c r="Q58" i="21"/>
  <c r="R36" i="28"/>
  <c r="Q32" i="28"/>
  <c r="Q30" i="28" s="1"/>
  <c r="R31" i="28" s="1"/>
  <c r="P43" i="21"/>
  <c r="P42" i="21" s="1"/>
  <c r="P40" i="21" s="1"/>
  <c r="K27" i="21"/>
  <c r="K275" i="21" s="1"/>
  <c r="L143" i="1" s="1"/>
  <c r="U91" i="21"/>
  <c r="U92" i="21" s="1"/>
  <c r="U90" i="21" s="1"/>
  <c r="K142" i="1"/>
  <c r="K38" i="25"/>
  <c r="K36" i="25" s="1"/>
  <c r="K48" i="25" s="1"/>
  <c r="G127" i="6"/>
  <c r="P52" i="21"/>
  <c r="P50" i="21" s="1"/>
  <c r="Q53" i="21" s="1"/>
  <c r="L39" i="25"/>
  <c r="L27" i="25"/>
  <c r="L40" i="25" s="1"/>
  <c r="L13" i="25"/>
  <c r="L144" i="1"/>
  <c r="P36" i="21"/>
  <c r="P37" i="21" s="1"/>
  <c r="P35" i="21" s="1"/>
  <c r="U97" i="21"/>
  <c r="U95" i="21" s="1"/>
  <c r="V96" i="21" s="1"/>
  <c r="T77" i="21"/>
  <c r="T75" i="21" s="1"/>
  <c r="U76" i="21" s="1"/>
  <c r="Y40" i="1"/>
  <c r="Y42" i="1" s="1"/>
  <c r="T78" i="28"/>
  <c r="T77" i="28" s="1"/>
  <c r="T75" i="28" s="1"/>
  <c r="U76" i="28" s="1"/>
  <c r="Q57" i="21"/>
  <c r="Q55" i="21" s="1"/>
  <c r="R58" i="21" s="1"/>
  <c r="M70" i="6"/>
  <c r="M72" i="6"/>
  <c r="R61" i="28"/>
  <c r="R62" i="28" s="1"/>
  <c r="R60" i="28" s="1"/>
  <c r="S61" i="28" s="1"/>
  <c r="J275" i="28"/>
  <c r="J25" i="28"/>
  <c r="T82" i="28"/>
  <c r="T80" i="28" s="1"/>
  <c r="U83" i="28" s="1"/>
  <c r="G121" i="6"/>
  <c r="H120" i="6" s="1"/>
  <c r="K91" i="6"/>
  <c r="L90" i="6" s="1"/>
  <c r="N78" i="6"/>
  <c r="N79" i="6" s="1"/>
  <c r="R33" i="28"/>
  <c r="R32" i="28" s="1"/>
  <c r="R30" i="28" s="1"/>
  <c r="N82" i="6"/>
  <c r="N85" i="6" s="1"/>
  <c r="U107" i="28"/>
  <c r="U105" i="28" s="1"/>
  <c r="V106" i="28" s="1"/>
  <c r="T73" i="28"/>
  <c r="T71" i="28"/>
  <c r="H115" i="6"/>
  <c r="I112" i="6" s="1"/>
  <c r="Q56" i="28"/>
  <c r="Q57" i="28" s="1"/>
  <c r="Q55" i="28" s="1"/>
  <c r="P51" i="28"/>
  <c r="P52" i="28" s="1"/>
  <c r="P50" i="28" s="1"/>
  <c r="Q53" i="28" s="1"/>
  <c r="U96" i="28"/>
  <c r="U97" i="28" s="1"/>
  <c r="U95" i="28" s="1"/>
  <c r="S22" i="6"/>
  <c r="S25" i="6" s="1"/>
  <c r="T22" i="6" s="1"/>
  <c r="N67" i="6"/>
  <c r="O66" i="6" s="1"/>
  <c r="P46" i="6"/>
  <c r="P49" i="6" s="1"/>
  <c r="P55" i="6"/>
  <c r="Q52" i="6" s="1"/>
  <c r="R37" i="28"/>
  <c r="R35" i="28" s="1"/>
  <c r="S38" i="28" s="1"/>
  <c r="Y17" i="21"/>
  <c r="Z122" i="1"/>
  <c r="Z45" i="25"/>
  <c r="Y17" i="28"/>
  <c r="AB9" i="6"/>
  <c r="V9" i="25"/>
  <c r="Y45" i="1"/>
  <c r="Z37" i="1"/>
  <c r="Z39" i="1"/>
  <c r="U63" i="1"/>
  <c r="U65" i="1"/>
  <c r="U66" i="1" s="1"/>
  <c r="X45" i="1"/>
  <c r="X42" i="1"/>
  <c r="W120" i="28"/>
  <c r="X155" i="1"/>
  <c r="X140" i="1" s="1"/>
  <c r="X141" i="1" s="1"/>
  <c r="X159" i="1"/>
  <c r="AA84" i="1"/>
  <c r="AB18" i="24"/>
  <c r="AB6" i="6" s="1"/>
  <c r="AB4" i="6" s="1"/>
  <c r="AB10" i="24"/>
  <c r="AC8" i="1" s="1"/>
  <c r="AC6" i="1" s="1"/>
  <c r="AB21" i="24"/>
  <c r="AB8" i="6" s="1"/>
  <c r="AC9" i="24"/>
  <c r="X17" i="21"/>
  <c r="Y122" i="1"/>
  <c r="Y45" i="25"/>
  <c r="X17" i="28"/>
  <c r="W9" i="25"/>
  <c r="Q48" i="28"/>
  <c r="Q46" i="28"/>
  <c r="V63" i="1"/>
  <c r="V65" i="1"/>
  <c r="V66" i="1" s="1"/>
  <c r="O32" i="21"/>
  <c r="O30" i="21" s="1"/>
  <c r="E4" i="25"/>
  <c r="W120" i="21"/>
  <c r="X139" i="1"/>
  <c r="X37" i="25" s="1"/>
  <c r="W20" i="21"/>
  <c r="V111" i="21"/>
  <c r="C111" i="21"/>
  <c r="V113" i="21"/>
  <c r="D209" i="6"/>
  <c r="D211" i="6" s="1"/>
  <c r="H209" i="6"/>
  <c r="I209" i="6"/>
  <c r="E209" i="6"/>
  <c r="J209" i="6"/>
  <c r="M209" i="6"/>
  <c r="F209" i="6"/>
  <c r="N209" i="6"/>
  <c r="L209" i="6"/>
  <c r="O209" i="6"/>
  <c r="P209" i="6"/>
  <c r="K209" i="6"/>
  <c r="S209" i="6"/>
  <c r="Q209" i="6"/>
  <c r="T209" i="6"/>
  <c r="U209" i="6"/>
  <c r="X209" i="6"/>
  <c r="R209" i="6"/>
  <c r="AG209" i="6"/>
  <c r="AN209" i="6"/>
  <c r="G209" i="6"/>
  <c r="V209" i="6"/>
  <c r="AH209" i="6"/>
  <c r="AO209" i="6"/>
  <c r="AA209" i="6"/>
  <c r="AP209" i="6"/>
  <c r="AD209" i="6"/>
  <c r="AK209" i="6"/>
  <c r="AS209" i="6"/>
  <c r="Z209" i="6"/>
  <c r="AR209" i="6"/>
  <c r="AV209" i="6"/>
  <c r="W209" i="6"/>
  <c r="AT209" i="6"/>
  <c r="AW209" i="6"/>
  <c r="AF209" i="6"/>
  <c r="AM209" i="6"/>
  <c r="AX209" i="6"/>
  <c r="AE209" i="6"/>
  <c r="AL209" i="6"/>
  <c r="AQ209" i="6"/>
  <c r="AC209" i="6"/>
  <c r="AJ209" i="6"/>
  <c r="AZ209" i="6"/>
  <c r="Y209" i="6"/>
  <c r="AU209" i="6"/>
  <c r="AB209" i="6"/>
  <c r="AY209" i="6"/>
  <c r="B213" i="6"/>
  <c r="BA209" i="6"/>
  <c r="E202" i="6"/>
  <c r="AB12" i="1"/>
  <c r="AB12" i="25" s="1"/>
  <c r="AB18" i="1"/>
  <c r="AB115" i="1"/>
  <c r="AB5" i="25"/>
  <c r="AB27" i="1"/>
  <c r="AB73" i="1"/>
  <c r="W46" i="1"/>
  <c r="W62" i="1"/>
  <c r="W61" i="1" s="1"/>
  <c r="W60" i="1" s="1"/>
  <c r="W59" i="1" s="1"/>
  <c r="W58" i="1" s="1"/>
  <c r="W57" i="1" s="1"/>
  <c r="W56" i="1" s="1"/>
  <c r="W55" i="1" s="1"/>
  <c r="W54" i="1" s="1"/>
  <c r="W53" i="1" s="1"/>
  <c r="W52" i="1" s="1"/>
  <c r="W51" i="1" s="1"/>
  <c r="W50" i="1" s="1"/>
  <c r="W49" i="1" s="1"/>
  <c r="W48" i="1" s="1"/>
  <c r="W47" i="1" s="1"/>
  <c r="AB17" i="1"/>
  <c r="AA13" i="21"/>
  <c r="AA12" i="21" s="1"/>
  <c r="AB110" i="1"/>
  <c r="BE68" i="9"/>
  <c r="AA13" i="28"/>
  <c r="AA12" i="28" s="1"/>
  <c r="AA161" i="6"/>
  <c r="J106" i="6"/>
  <c r="J108" i="6"/>
  <c r="H126" i="6"/>
  <c r="H124" i="6"/>
  <c r="T86" i="21"/>
  <c r="T88" i="21"/>
  <c r="F150" i="6"/>
  <c r="F148" i="6"/>
  <c r="G133" i="6"/>
  <c r="T82" i="21"/>
  <c r="T80" i="21" s="1"/>
  <c r="AA117" i="1"/>
  <c r="F160" i="1"/>
  <c r="U101" i="21"/>
  <c r="U103" i="21"/>
  <c r="T61" i="21"/>
  <c r="T63" i="21"/>
  <c r="F139" i="6"/>
  <c r="AA5" i="6"/>
  <c r="AA14" i="24"/>
  <c r="AA15" i="24" s="1"/>
  <c r="AB10" i="1" s="1"/>
  <c r="AB13" i="24"/>
  <c r="T87" i="28"/>
  <c r="T85" i="28" s="1"/>
  <c r="W116" i="21"/>
  <c r="C116" i="21"/>
  <c r="W118" i="21"/>
  <c r="V113" i="28"/>
  <c r="V111" i="28"/>
  <c r="C111" i="28"/>
  <c r="P40" i="6"/>
  <c r="P42" i="6"/>
  <c r="P47" i="21"/>
  <c r="P45" i="21" s="1"/>
  <c r="T92" i="28"/>
  <c r="T90" i="28" s="1"/>
  <c r="Q54" i="6"/>
  <c r="U107" i="21"/>
  <c r="U105" i="21" s="1"/>
  <c r="AA16" i="1"/>
  <c r="AA20" i="1" s="1"/>
  <c r="AA116" i="1"/>
  <c r="AA11" i="25"/>
  <c r="E145" i="6"/>
  <c r="AA35" i="1"/>
  <c r="AA34" i="1" s="1"/>
  <c r="AA33" i="1" s="1"/>
  <c r="AA32" i="1" s="1"/>
  <c r="AA31" i="1" s="1"/>
  <c r="AA30" i="1" s="1"/>
  <c r="AA29" i="1" s="1"/>
  <c r="AA28" i="1"/>
  <c r="S72" i="21"/>
  <c r="S70" i="21" s="1"/>
  <c r="W118" i="28"/>
  <c r="C116" i="28"/>
  <c r="W116" i="28"/>
  <c r="P36" i="6"/>
  <c r="P34" i="6"/>
  <c r="R67" i="21"/>
  <c r="R65" i="21" s="1"/>
  <c r="Z7" i="25"/>
  <c r="Z124" i="1"/>
  <c r="Z25" i="25"/>
  <c r="Z20" i="1"/>
  <c r="E23" i="25"/>
  <c r="AA7" i="6"/>
  <c r="AB7" i="6" s="1"/>
  <c r="K100" i="6"/>
  <c r="K102" i="6"/>
  <c r="W19" i="28"/>
  <c r="W20" i="28" s="1"/>
  <c r="U103" i="28"/>
  <c r="U101" i="28"/>
  <c r="I97" i="6"/>
  <c r="O42" i="28"/>
  <c r="O40" i="28" s="1"/>
  <c r="S28" i="6"/>
  <c r="S30" i="6"/>
  <c r="R67" i="28"/>
  <c r="R65" i="28" s="1"/>
  <c r="N61" i="6"/>
  <c r="AB1" i="1"/>
  <c r="AB1" i="24"/>
  <c r="AB1" i="25"/>
  <c r="AA1" i="6"/>
  <c r="E156" i="6" s="1"/>
  <c r="AA1" i="28"/>
  <c r="AA1" i="21"/>
  <c r="M73" i="6" l="1"/>
  <c r="N72" i="6" s="1"/>
  <c r="I114" i="6"/>
  <c r="I115" i="6" s="1"/>
  <c r="J112" i="6" s="1"/>
  <c r="AB5" i="6"/>
  <c r="H118" i="6"/>
  <c r="H121" i="6" s="1"/>
  <c r="I118" i="6" s="1"/>
  <c r="L88" i="6"/>
  <c r="L91" i="6" s="1"/>
  <c r="M88" i="6" s="1"/>
  <c r="K25" i="21"/>
  <c r="L26" i="21" s="1"/>
  <c r="V98" i="21"/>
  <c r="V97" i="21" s="1"/>
  <c r="V95" i="21" s="1"/>
  <c r="Q51" i="21"/>
  <c r="U78" i="21"/>
  <c r="L14" i="25"/>
  <c r="W117" i="28"/>
  <c r="W115" i="28" s="1"/>
  <c r="X116" i="28" s="1"/>
  <c r="R56" i="21"/>
  <c r="R57" i="21" s="1"/>
  <c r="R55" i="21" s="1"/>
  <c r="T87" i="21"/>
  <c r="T85" i="21" s="1"/>
  <c r="U86" i="21" s="1"/>
  <c r="H127" i="6"/>
  <c r="I126" i="6" s="1"/>
  <c r="T72" i="28"/>
  <c r="T70" i="28" s="1"/>
  <c r="U71" i="28" s="1"/>
  <c r="S31" i="28"/>
  <c r="S33" i="28"/>
  <c r="AA114" i="1"/>
  <c r="AA122" i="1" s="1"/>
  <c r="S63" i="28"/>
  <c r="S62" i="28" s="1"/>
  <c r="S60" i="28" s="1"/>
  <c r="T63" i="28" s="1"/>
  <c r="L142" i="1"/>
  <c r="L38" i="25"/>
  <c r="L36" i="25" s="1"/>
  <c r="L48" i="25" s="1"/>
  <c r="U77" i="21"/>
  <c r="U75" i="21" s="1"/>
  <c r="V76" i="21" s="1"/>
  <c r="Q52" i="21"/>
  <c r="Q50" i="21" s="1"/>
  <c r="R51" i="21" s="1"/>
  <c r="K26" i="28"/>
  <c r="J22" i="28"/>
  <c r="K28" i="28"/>
  <c r="K4" i="28" s="1"/>
  <c r="O64" i="6"/>
  <c r="O67" i="6" s="1"/>
  <c r="T24" i="6"/>
  <c r="T25" i="6" s="1"/>
  <c r="U24" i="6" s="1"/>
  <c r="U81" i="28"/>
  <c r="U82" i="28" s="1"/>
  <c r="U80" i="28" s="1"/>
  <c r="V83" i="28" s="1"/>
  <c r="U78" i="28"/>
  <c r="U77" i="28" s="1"/>
  <c r="U75" i="28" s="1"/>
  <c r="O84" i="6"/>
  <c r="O82" i="6"/>
  <c r="V108" i="28"/>
  <c r="V107" i="28" s="1"/>
  <c r="V105" i="28" s="1"/>
  <c r="S36" i="28"/>
  <c r="S37" i="28" s="1"/>
  <c r="S35" i="28" s="1"/>
  <c r="Q51" i="28"/>
  <c r="Q52" i="28" s="1"/>
  <c r="Q50" i="28" s="1"/>
  <c r="P37" i="6"/>
  <c r="Q34" i="6" s="1"/>
  <c r="Q55" i="6"/>
  <c r="R54" i="6" s="1"/>
  <c r="Q47" i="28"/>
  <c r="Q45" i="28" s="1"/>
  <c r="R48" i="28" s="1"/>
  <c r="V112" i="28"/>
  <c r="V110" i="28" s="1"/>
  <c r="W113" i="28" s="1"/>
  <c r="X9" i="25"/>
  <c r="E157" i="6"/>
  <c r="AA22" i="1"/>
  <c r="T71" i="21"/>
  <c r="T73" i="21"/>
  <c r="G138" i="6"/>
  <c r="G136" i="6"/>
  <c r="V91" i="21"/>
  <c r="V93" i="21"/>
  <c r="AC1" i="1"/>
  <c r="AB1" i="6"/>
  <c r="E162" i="6" s="1"/>
  <c r="AC1" i="25"/>
  <c r="AC1" i="24"/>
  <c r="AB1" i="28"/>
  <c r="AB1" i="21"/>
  <c r="Q46" i="21"/>
  <c r="Q48" i="21"/>
  <c r="AB14" i="24"/>
  <c r="AB15" i="24" s="1"/>
  <c r="AC10" i="1" s="1"/>
  <c r="AC13" i="24"/>
  <c r="P31" i="21"/>
  <c r="P33" i="21"/>
  <c r="AC17" i="1"/>
  <c r="AC110" i="1"/>
  <c r="AB13" i="21"/>
  <c r="AB12" i="21" s="1"/>
  <c r="AB13" i="28"/>
  <c r="AB12" i="28" s="1"/>
  <c r="BF68" i="9"/>
  <c r="AB167" i="6"/>
  <c r="AB84" i="1"/>
  <c r="U102" i="28"/>
  <c r="U100" i="28" s="1"/>
  <c r="V96" i="28"/>
  <c r="V98" i="28"/>
  <c r="W117" i="21"/>
  <c r="W115" i="21" s="1"/>
  <c r="AB16" i="1"/>
  <c r="AB116" i="1"/>
  <c r="AB11" i="25"/>
  <c r="U102" i="21"/>
  <c r="U100" i="21" s="1"/>
  <c r="U81" i="21"/>
  <c r="U83" i="21"/>
  <c r="J109" i="6"/>
  <c r="D215" i="6"/>
  <c r="D217" i="6" s="1"/>
  <c r="E215" i="6"/>
  <c r="F215" i="6"/>
  <c r="I215" i="6"/>
  <c r="K215" i="6"/>
  <c r="R215" i="6"/>
  <c r="S215" i="6"/>
  <c r="H215" i="6"/>
  <c r="G215" i="6"/>
  <c r="O215" i="6"/>
  <c r="P215" i="6"/>
  <c r="W215" i="6"/>
  <c r="X215" i="6"/>
  <c r="J215" i="6"/>
  <c r="Y215" i="6"/>
  <c r="Q215" i="6"/>
  <c r="M215" i="6"/>
  <c r="N215" i="6"/>
  <c r="AC215" i="6"/>
  <c r="AR215" i="6"/>
  <c r="AD215" i="6"/>
  <c r="AK215" i="6"/>
  <c r="AS215" i="6"/>
  <c r="AE215" i="6"/>
  <c r="AL215" i="6"/>
  <c r="AT215" i="6"/>
  <c r="Z215" i="6"/>
  <c r="AH215" i="6"/>
  <c r="AO215" i="6"/>
  <c r="L215" i="6"/>
  <c r="V215" i="6"/>
  <c r="AG215" i="6"/>
  <c r="AN215" i="6"/>
  <c r="AZ215" i="6"/>
  <c r="AI215" i="6"/>
  <c r="AP215" i="6"/>
  <c r="U215" i="6"/>
  <c r="AB215" i="6"/>
  <c r="AA215" i="6"/>
  <c r="AW215" i="6"/>
  <c r="AF215" i="6"/>
  <c r="AM215" i="6"/>
  <c r="AV215" i="6"/>
  <c r="T215" i="6"/>
  <c r="AQ215" i="6"/>
  <c r="AX215" i="6"/>
  <c r="AU215" i="6"/>
  <c r="B219" i="6"/>
  <c r="AY215" i="6"/>
  <c r="BA215" i="6"/>
  <c r="X18" i="28"/>
  <c r="X19" i="28" s="1"/>
  <c r="X46" i="1"/>
  <c r="X62" i="1"/>
  <c r="X61" i="1" s="1"/>
  <c r="X60" i="1" s="1"/>
  <c r="X59" i="1" s="1"/>
  <c r="X58" i="1" s="1"/>
  <c r="X57" i="1" s="1"/>
  <c r="X56" i="1" s="1"/>
  <c r="X55" i="1" s="1"/>
  <c r="X54" i="1" s="1"/>
  <c r="X53" i="1" s="1"/>
  <c r="X52" i="1" s="1"/>
  <c r="X51" i="1" s="1"/>
  <c r="X50" i="1" s="1"/>
  <c r="X49" i="1" s="1"/>
  <c r="X48" i="1" s="1"/>
  <c r="X47" i="1" s="1"/>
  <c r="H132" i="6"/>
  <c r="H130" i="6"/>
  <c r="X121" i="21"/>
  <c r="C121" i="21"/>
  <c r="X123" i="21"/>
  <c r="E47" i="25"/>
  <c r="V106" i="21"/>
  <c r="V108" i="21"/>
  <c r="E46" i="25"/>
  <c r="AA37" i="1"/>
  <c r="AA39" i="1"/>
  <c r="AA40" i="1" s="1"/>
  <c r="O76" i="6"/>
  <c r="O78" i="6"/>
  <c r="Y18" i="28"/>
  <c r="Y19" i="28" s="1"/>
  <c r="S31" i="6"/>
  <c r="K103" i="6"/>
  <c r="P43" i="6"/>
  <c r="U88" i="28"/>
  <c r="U86" i="28"/>
  <c r="T62" i="21"/>
  <c r="T60" i="21" s="1"/>
  <c r="Q48" i="6"/>
  <c r="Q46" i="6"/>
  <c r="AC18" i="24"/>
  <c r="AC6" i="6" s="1"/>
  <c r="AC7" i="6" s="1"/>
  <c r="AC10" i="24"/>
  <c r="AD8" i="1" s="1"/>
  <c r="AD6" i="1" s="1"/>
  <c r="AD9" i="24"/>
  <c r="AC21" i="24"/>
  <c r="AC8" i="6" s="1"/>
  <c r="Y46" i="1"/>
  <c r="Y62" i="1"/>
  <c r="Y61" i="1" s="1"/>
  <c r="Y60" i="1" s="1"/>
  <c r="Y59" i="1" s="1"/>
  <c r="Y58" i="1" s="1"/>
  <c r="Y57" i="1" s="1"/>
  <c r="Y56" i="1" s="1"/>
  <c r="Y55" i="1" s="1"/>
  <c r="Y54" i="1" s="1"/>
  <c r="Y53" i="1" s="1"/>
  <c r="Y52" i="1" s="1"/>
  <c r="Y51" i="1" s="1"/>
  <c r="Y50" i="1" s="1"/>
  <c r="Y49" i="1" s="1"/>
  <c r="Y48" i="1" s="1"/>
  <c r="Y47" i="1" s="1"/>
  <c r="V68" i="1"/>
  <c r="X123" i="28"/>
  <c r="X121" i="28"/>
  <c r="C121" i="28"/>
  <c r="U68" i="1"/>
  <c r="R56" i="28"/>
  <c r="R58" i="28"/>
  <c r="W63" i="1"/>
  <c r="W65" i="1"/>
  <c r="W66" i="1" s="1"/>
  <c r="Q41" i="21"/>
  <c r="Q43" i="21"/>
  <c r="F161" i="1"/>
  <c r="AB117" i="1"/>
  <c r="V112" i="21"/>
  <c r="V110" i="21" s="1"/>
  <c r="O58" i="6"/>
  <c r="O60" i="6"/>
  <c r="S66" i="21"/>
  <c r="S68" i="21"/>
  <c r="AA124" i="1"/>
  <c r="AA7" i="25"/>
  <c r="AA25" i="25"/>
  <c r="E208" i="6"/>
  <c r="S68" i="28"/>
  <c r="S66" i="28"/>
  <c r="AC9" i="6"/>
  <c r="F142" i="6"/>
  <c r="F144" i="6"/>
  <c r="X18" i="21"/>
  <c r="Y10" i="25"/>
  <c r="P41" i="28"/>
  <c r="P43" i="28"/>
  <c r="Z22" i="1"/>
  <c r="Z24" i="1" s="1"/>
  <c r="Q36" i="21"/>
  <c r="Q38" i="21"/>
  <c r="J94" i="6"/>
  <c r="J96" i="6"/>
  <c r="U93" i="28"/>
  <c r="U91" i="28"/>
  <c r="F151" i="6"/>
  <c r="AB28" i="1"/>
  <c r="AB35" i="1"/>
  <c r="AB34" i="1" s="1"/>
  <c r="AB33" i="1" s="1"/>
  <c r="AB32" i="1" s="1"/>
  <c r="AB31" i="1" s="1"/>
  <c r="AB30" i="1" s="1"/>
  <c r="AB29" i="1" s="1"/>
  <c r="AC12" i="1"/>
  <c r="AC12" i="25" s="1"/>
  <c r="AC18" i="1"/>
  <c r="AC115" i="1"/>
  <c r="AC27" i="1"/>
  <c r="AC5" i="25"/>
  <c r="AC73" i="1"/>
  <c r="Z40" i="1"/>
  <c r="Y18" i="21"/>
  <c r="Z10" i="25"/>
  <c r="N70" i="6" l="1"/>
  <c r="N73" i="6" s="1"/>
  <c r="I124" i="6"/>
  <c r="O85" i="6"/>
  <c r="L28" i="21"/>
  <c r="L4" i="21" s="1"/>
  <c r="M74" i="1" s="1"/>
  <c r="M39" i="25" s="1"/>
  <c r="K22" i="21"/>
  <c r="X118" i="28"/>
  <c r="X117" i="28" s="1"/>
  <c r="X115" i="28" s="1"/>
  <c r="U88" i="21"/>
  <c r="U87" i="21" s="1"/>
  <c r="U85" i="21" s="1"/>
  <c r="X122" i="28"/>
  <c r="X120" i="28" s="1"/>
  <c r="Y123" i="28" s="1"/>
  <c r="R53" i="21"/>
  <c r="R52" i="21" s="1"/>
  <c r="R50" i="21" s="1"/>
  <c r="S32" i="28"/>
  <c r="S30" i="28" s="1"/>
  <c r="T33" i="28" s="1"/>
  <c r="AB114" i="1"/>
  <c r="AB122" i="1" s="1"/>
  <c r="W111" i="28"/>
  <c r="W112" i="28" s="1"/>
  <c r="W110" i="28" s="1"/>
  <c r="I120" i="6"/>
  <c r="I121" i="6" s="1"/>
  <c r="J118" i="6" s="1"/>
  <c r="U73" i="28"/>
  <c r="U72" i="28" s="1"/>
  <c r="U70" i="28" s="1"/>
  <c r="V73" i="28" s="1"/>
  <c r="AA45" i="25"/>
  <c r="V78" i="21"/>
  <c r="V77" i="21" s="1"/>
  <c r="V75" i="21" s="1"/>
  <c r="W78" i="21" s="1"/>
  <c r="Z17" i="21"/>
  <c r="Z18" i="21" s="1"/>
  <c r="T61" i="28"/>
  <c r="T62" i="28" s="1"/>
  <c r="T60" i="28" s="1"/>
  <c r="Z17" i="28"/>
  <c r="Z18" i="28" s="1"/>
  <c r="Z19" i="28" s="1"/>
  <c r="Q47" i="21"/>
  <c r="Q45" i="21" s="1"/>
  <c r="R46" i="21" s="1"/>
  <c r="P32" i="21"/>
  <c r="P30" i="21" s="1"/>
  <c r="Q31" i="21" s="1"/>
  <c r="Q37" i="21"/>
  <c r="Q35" i="21" s="1"/>
  <c r="R36" i="21" s="1"/>
  <c r="V107" i="21"/>
  <c r="V105" i="21" s="1"/>
  <c r="W106" i="21" s="1"/>
  <c r="U82" i="21"/>
  <c r="U80" i="21" s="1"/>
  <c r="V83" i="21" s="1"/>
  <c r="S67" i="21"/>
  <c r="S65" i="21" s="1"/>
  <c r="T66" i="21" s="1"/>
  <c r="V76" i="28"/>
  <c r="V78" i="28"/>
  <c r="T36" i="28"/>
  <c r="T38" i="28"/>
  <c r="R46" i="28"/>
  <c r="R47" i="28" s="1"/>
  <c r="R45" i="28" s="1"/>
  <c r="R52" i="6"/>
  <c r="R55" i="6" s="1"/>
  <c r="S54" i="6" s="1"/>
  <c r="M90" i="6"/>
  <c r="M91" i="6" s="1"/>
  <c r="K27" i="28"/>
  <c r="Q36" i="6"/>
  <c r="W106" i="28"/>
  <c r="W108" i="28"/>
  <c r="Q37" i="6"/>
  <c r="R34" i="6" s="1"/>
  <c r="U92" i="28"/>
  <c r="U90" i="28" s="1"/>
  <c r="V93" i="28" s="1"/>
  <c r="H133" i="6"/>
  <c r="I132" i="6" s="1"/>
  <c r="U22" i="6"/>
  <c r="U25" i="6" s="1"/>
  <c r="V24" i="6" s="1"/>
  <c r="V81" i="28"/>
  <c r="V82" i="28" s="1"/>
  <c r="V80" i="28" s="1"/>
  <c r="W83" i="28" s="1"/>
  <c r="S67" i="28"/>
  <c r="S65" i="28" s="1"/>
  <c r="T68" i="28" s="1"/>
  <c r="G139" i="6"/>
  <c r="H138" i="6" s="1"/>
  <c r="J114" i="6"/>
  <c r="J115" i="6" s="1"/>
  <c r="Q49" i="6"/>
  <c r="R46" i="6" s="1"/>
  <c r="O61" i="6"/>
  <c r="P58" i="6" s="1"/>
  <c r="V97" i="28"/>
  <c r="V95" i="28" s="1"/>
  <c r="W98" i="28" s="1"/>
  <c r="E163" i="6"/>
  <c r="Z45" i="1"/>
  <c r="Z42" i="1"/>
  <c r="X125" i="21"/>
  <c r="Y139" i="1"/>
  <c r="Y37" i="25" s="1"/>
  <c r="S56" i="21"/>
  <c r="S58" i="21"/>
  <c r="Y130" i="21"/>
  <c r="Z139" i="1"/>
  <c r="Z37" i="25" s="1"/>
  <c r="AC28" i="1"/>
  <c r="AC35" i="1"/>
  <c r="AC34" i="1" s="1"/>
  <c r="AC33" i="1" s="1"/>
  <c r="AC32" i="1" s="1"/>
  <c r="AC31" i="1" s="1"/>
  <c r="AC30" i="1" s="1"/>
  <c r="AC29" i="1" s="1"/>
  <c r="AD18" i="1"/>
  <c r="AD12" i="1"/>
  <c r="AD12" i="25" s="1"/>
  <c r="AD115" i="1"/>
  <c r="AD5" i="25"/>
  <c r="AD27" i="1"/>
  <c r="AD73" i="1"/>
  <c r="K108" i="6"/>
  <c r="K106" i="6"/>
  <c r="X116" i="21"/>
  <c r="X118" i="21"/>
  <c r="R53" i="28"/>
  <c r="R51" i="28"/>
  <c r="X19" i="21"/>
  <c r="W111" i="21"/>
  <c r="W113" i="21"/>
  <c r="W96" i="21"/>
  <c r="W98" i="21"/>
  <c r="AC4" i="6"/>
  <c r="Y20" i="28"/>
  <c r="Y130" i="28"/>
  <c r="AD1" i="1"/>
  <c r="AD1" i="24"/>
  <c r="AD1" i="25"/>
  <c r="AC1" i="21"/>
  <c r="AC1" i="28"/>
  <c r="AC1" i="6"/>
  <c r="AA24" i="1"/>
  <c r="X63" i="1"/>
  <c r="X65" i="1"/>
  <c r="X66" i="1" s="1"/>
  <c r="E168" i="6"/>
  <c r="E169" i="6" s="1"/>
  <c r="T72" i="21"/>
  <c r="T70" i="21" s="1"/>
  <c r="P84" i="6"/>
  <c r="P82" i="6"/>
  <c r="V101" i="21"/>
  <c r="V103" i="21"/>
  <c r="Y63" i="1"/>
  <c r="Y65" i="1"/>
  <c r="Y66" i="1" s="1"/>
  <c r="P64" i="6"/>
  <c r="P66" i="6"/>
  <c r="AC14" i="24"/>
  <c r="AC15" i="24" s="1"/>
  <c r="AD10" i="1" s="1"/>
  <c r="AD13" i="24"/>
  <c r="W68" i="1"/>
  <c r="Q42" i="6"/>
  <c r="Q40" i="6"/>
  <c r="X125" i="28"/>
  <c r="X20" i="28"/>
  <c r="I130" i="6"/>
  <c r="F154" i="6"/>
  <c r="F156" i="6"/>
  <c r="F145" i="6"/>
  <c r="AC84" i="1"/>
  <c r="AB37" i="1"/>
  <c r="AB39" i="1"/>
  <c r="J97" i="6"/>
  <c r="R57" i="28"/>
  <c r="R55" i="28" s="1"/>
  <c r="U61" i="21"/>
  <c r="U63" i="21"/>
  <c r="L102" i="6"/>
  <c r="L100" i="6"/>
  <c r="O79" i="6"/>
  <c r="D221" i="6"/>
  <c r="D223" i="6" s="1"/>
  <c r="H221" i="6"/>
  <c r="I221" i="6"/>
  <c r="J221" i="6"/>
  <c r="M221" i="6"/>
  <c r="G221" i="6"/>
  <c r="L221" i="6"/>
  <c r="N221" i="6"/>
  <c r="F221" i="6"/>
  <c r="K221" i="6"/>
  <c r="O221" i="6"/>
  <c r="P221" i="6"/>
  <c r="S221" i="6"/>
  <c r="T221" i="6"/>
  <c r="U221" i="6"/>
  <c r="E221" i="6"/>
  <c r="X221" i="6"/>
  <c r="Z221" i="6"/>
  <c r="AG221" i="6"/>
  <c r="AN221" i="6"/>
  <c r="R221" i="6"/>
  <c r="AH221" i="6"/>
  <c r="AO221" i="6"/>
  <c r="W221" i="6"/>
  <c r="AA221" i="6"/>
  <c r="AI221" i="6"/>
  <c r="AP221" i="6"/>
  <c r="V221" i="6"/>
  <c r="AD221" i="6"/>
  <c r="AS221" i="6"/>
  <c r="AC221" i="6"/>
  <c r="AV221" i="6"/>
  <c r="AE221" i="6"/>
  <c r="AL221" i="6"/>
  <c r="AW221" i="6"/>
  <c r="Q221" i="6"/>
  <c r="AX221" i="6"/>
  <c r="AT221" i="6"/>
  <c r="AB221" i="6"/>
  <c r="AY221" i="6"/>
  <c r="AF221" i="6"/>
  <c r="AM221" i="6"/>
  <c r="Y221" i="6"/>
  <c r="AJ221" i="6"/>
  <c r="AQ221" i="6"/>
  <c r="AR221" i="6"/>
  <c r="AZ221" i="6"/>
  <c r="B225" i="6"/>
  <c r="AU221" i="6"/>
  <c r="BA221" i="6"/>
  <c r="E214" i="6"/>
  <c r="AC16" i="1"/>
  <c r="AC116" i="1"/>
  <c r="AC11" i="25"/>
  <c r="E44" i="25"/>
  <c r="I127" i="6"/>
  <c r="G150" i="6"/>
  <c r="G148" i="6"/>
  <c r="P42" i="28"/>
  <c r="P40" i="28" s="1"/>
  <c r="AD9" i="6"/>
  <c r="Y19" i="21"/>
  <c r="O70" i="6"/>
  <c r="O72" i="6"/>
  <c r="Q42" i="21"/>
  <c r="Q40" i="21" s="1"/>
  <c r="AD18" i="24"/>
  <c r="AD6" i="6" s="1"/>
  <c r="AD4" i="6" s="1"/>
  <c r="AD10" i="24"/>
  <c r="AE8" i="1" s="1"/>
  <c r="AE6" i="1" s="1"/>
  <c r="AE9" i="24"/>
  <c r="AD21" i="24"/>
  <c r="AD8" i="6" s="1"/>
  <c r="U87" i="28"/>
  <c r="U85" i="28" s="1"/>
  <c r="T30" i="6"/>
  <c r="T28" i="6"/>
  <c r="X122" i="21"/>
  <c r="X120" i="21" s="1"/>
  <c r="AB124" i="1"/>
  <c r="AB7" i="25"/>
  <c r="AB25" i="25"/>
  <c r="AB20" i="1"/>
  <c r="V101" i="28"/>
  <c r="V103" i="28"/>
  <c r="AC117" i="1"/>
  <c r="V92" i="21"/>
  <c r="V90" i="21" s="1"/>
  <c r="M144" i="1" l="1"/>
  <c r="V22" i="6"/>
  <c r="M13" i="25"/>
  <c r="Y121" i="28"/>
  <c r="Y122" i="28" s="1"/>
  <c r="Y120" i="28" s="1"/>
  <c r="Z123" i="28" s="1"/>
  <c r="M27" i="25"/>
  <c r="M40" i="25" s="1"/>
  <c r="L27" i="21"/>
  <c r="P85" i="6"/>
  <c r="Q82" i="6" s="1"/>
  <c r="V77" i="28"/>
  <c r="V75" i="28" s="1"/>
  <c r="W76" i="28" s="1"/>
  <c r="R48" i="21"/>
  <c r="Z19" i="21"/>
  <c r="AA155" i="1" s="1"/>
  <c r="AA140" i="1" s="1"/>
  <c r="AA141" i="1" s="1"/>
  <c r="V81" i="21"/>
  <c r="V82" i="21" s="1"/>
  <c r="V80" i="21" s="1"/>
  <c r="W81" i="21" s="1"/>
  <c r="W108" i="21"/>
  <c r="W107" i="21" s="1"/>
  <c r="W105" i="21" s="1"/>
  <c r="AA17" i="28"/>
  <c r="AA18" i="28" s="1"/>
  <c r="AA19" i="28" s="1"/>
  <c r="AA10" i="25"/>
  <c r="AB45" i="25"/>
  <c r="T31" i="28"/>
  <c r="T32" i="28" s="1"/>
  <c r="T30" i="28" s="1"/>
  <c r="U33" i="28" s="1"/>
  <c r="AA17" i="21"/>
  <c r="AB10" i="25" s="1"/>
  <c r="T37" i="28"/>
  <c r="T35" i="28" s="1"/>
  <c r="U36" i="28" s="1"/>
  <c r="Q33" i="21"/>
  <c r="Q32" i="21" s="1"/>
  <c r="Q30" i="21" s="1"/>
  <c r="R31" i="21" s="1"/>
  <c r="R38" i="21"/>
  <c r="R37" i="21" s="1"/>
  <c r="R35" i="21" s="1"/>
  <c r="R47" i="21"/>
  <c r="R45" i="21" s="1"/>
  <c r="S46" i="21" s="1"/>
  <c r="J120" i="6"/>
  <c r="J121" i="6" s="1"/>
  <c r="V71" i="28"/>
  <c r="V72" i="28" s="1"/>
  <c r="V70" i="28" s="1"/>
  <c r="W73" i="28" s="1"/>
  <c r="W76" i="21"/>
  <c r="W77" i="21" s="1"/>
  <c r="W75" i="21" s="1"/>
  <c r="W112" i="21"/>
  <c r="W110" i="21" s="1"/>
  <c r="X113" i="21" s="1"/>
  <c r="AC114" i="1"/>
  <c r="AB17" i="21" s="1"/>
  <c r="V102" i="21"/>
  <c r="V100" i="21" s="1"/>
  <c r="W103" i="21" s="1"/>
  <c r="T68" i="21"/>
  <c r="T67" i="21" s="1"/>
  <c r="T65" i="21" s="1"/>
  <c r="U62" i="21"/>
  <c r="U60" i="21" s="1"/>
  <c r="V61" i="21" s="1"/>
  <c r="N90" i="6"/>
  <c r="N88" i="6"/>
  <c r="N91" i="6" s="1"/>
  <c r="O88" i="6" s="1"/>
  <c r="K275" i="28"/>
  <c r="K25" i="28"/>
  <c r="S52" i="6"/>
  <c r="S55" i="6" s="1"/>
  <c r="T66" i="28"/>
  <c r="T67" i="28" s="1"/>
  <c r="T65" i="28" s="1"/>
  <c r="R36" i="6"/>
  <c r="R37" i="6" s="1"/>
  <c r="T31" i="6"/>
  <c r="U30" i="6" s="1"/>
  <c r="W96" i="28"/>
  <c r="W97" i="28" s="1"/>
  <c r="W95" i="28" s="1"/>
  <c r="V91" i="28"/>
  <c r="V92" i="28" s="1"/>
  <c r="V90" i="28" s="1"/>
  <c r="H136" i="6"/>
  <c r="H139" i="6" s="1"/>
  <c r="R48" i="6"/>
  <c r="R49" i="6" s="1"/>
  <c r="W107" i="28"/>
  <c r="W105" i="28" s="1"/>
  <c r="G151" i="6"/>
  <c r="H148" i="6" s="1"/>
  <c r="O73" i="6"/>
  <c r="P72" i="6" s="1"/>
  <c r="P60" i="6"/>
  <c r="P61" i="6" s="1"/>
  <c r="Q60" i="6" s="1"/>
  <c r="W81" i="28"/>
  <c r="W82" i="28" s="1"/>
  <c r="W80" i="28" s="1"/>
  <c r="AB40" i="1"/>
  <c r="R52" i="28"/>
  <c r="R50" i="28" s="1"/>
  <c r="S53" i="28" s="1"/>
  <c r="L103" i="6"/>
  <c r="M102" i="6" s="1"/>
  <c r="Z155" i="1"/>
  <c r="Z140" i="1" s="1"/>
  <c r="Z141" i="1" s="1"/>
  <c r="Z159" i="1"/>
  <c r="AC25" i="25"/>
  <c r="AC7" i="25"/>
  <c r="AC124" i="1"/>
  <c r="AC20" i="1"/>
  <c r="P76" i="6"/>
  <c r="P78" i="6"/>
  <c r="C126" i="28"/>
  <c r="Y128" i="28"/>
  <c r="Y126" i="28"/>
  <c r="Y155" i="1"/>
  <c r="Y140" i="1" s="1"/>
  <c r="Y141" i="1" s="1"/>
  <c r="Y159" i="1"/>
  <c r="W91" i="21"/>
  <c r="W93" i="21"/>
  <c r="AE18" i="24"/>
  <c r="AE6" i="6" s="1"/>
  <c r="AE10" i="24"/>
  <c r="AF8" i="1" s="1"/>
  <c r="AF6" i="1" s="1"/>
  <c r="AE21" i="24"/>
  <c r="AE8" i="6" s="1"/>
  <c r="AE9" i="6" s="1"/>
  <c r="AF9" i="24"/>
  <c r="S58" i="28"/>
  <c r="S56" i="28"/>
  <c r="F166" i="6"/>
  <c r="F168" i="6"/>
  <c r="K112" i="6"/>
  <c r="K114" i="6"/>
  <c r="Z46" i="1"/>
  <c r="Z62" i="1"/>
  <c r="Z61" i="1" s="1"/>
  <c r="Z60" i="1" s="1"/>
  <c r="Z59" i="1" s="1"/>
  <c r="Z58" i="1" s="1"/>
  <c r="Z57" i="1" s="1"/>
  <c r="Z56" i="1" s="1"/>
  <c r="Z55" i="1" s="1"/>
  <c r="Z54" i="1" s="1"/>
  <c r="Z53" i="1" s="1"/>
  <c r="Z52" i="1" s="1"/>
  <c r="Z51" i="1" s="1"/>
  <c r="Z50" i="1" s="1"/>
  <c r="Z49" i="1" s="1"/>
  <c r="Z48" i="1" s="1"/>
  <c r="Z47" i="1" s="1"/>
  <c r="AE12" i="1"/>
  <c r="AE12" i="25" s="1"/>
  <c r="AE18" i="1"/>
  <c r="AE115" i="1"/>
  <c r="AE27" i="1"/>
  <c r="AE5" i="25"/>
  <c r="AE73" i="1"/>
  <c r="K96" i="6"/>
  <c r="K94" i="6"/>
  <c r="G144" i="6"/>
  <c r="G142" i="6"/>
  <c r="P67" i="6"/>
  <c r="AD7" i="6"/>
  <c r="AD17" i="1"/>
  <c r="AC13" i="21"/>
  <c r="AC12" i="21" s="1"/>
  <c r="AD110" i="1"/>
  <c r="BG68" i="9"/>
  <c r="AC13" i="28"/>
  <c r="AC12" i="28" s="1"/>
  <c r="AC173" i="6"/>
  <c r="AC5" i="6"/>
  <c r="AD5" i="6" s="1"/>
  <c r="X111" i="28"/>
  <c r="X113" i="28"/>
  <c r="AD35" i="1"/>
  <c r="AD34" i="1" s="1"/>
  <c r="AD33" i="1" s="1"/>
  <c r="AD32" i="1" s="1"/>
  <c r="AD31" i="1" s="1"/>
  <c r="AD30" i="1" s="1"/>
  <c r="AD29" i="1" s="1"/>
  <c r="AD28" i="1"/>
  <c r="Y20" i="21"/>
  <c r="S57" i="21"/>
  <c r="S55" i="21" s="1"/>
  <c r="Y68" i="1"/>
  <c r="Y121" i="21"/>
  <c r="Y123" i="21"/>
  <c r="F162" i="6"/>
  <c r="F160" i="6"/>
  <c r="U63" i="28"/>
  <c r="U61" i="28"/>
  <c r="V102" i="28"/>
  <c r="V100" i="28" s="1"/>
  <c r="R41" i="21"/>
  <c r="R43" i="21"/>
  <c r="Q43" i="28"/>
  <c r="Q41" i="28"/>
  <c r="I133" i="6"/>
  <c r="Q43" i="6"/>
  <c r="AD14" i="24"/>
  <c r="AD15" i="24" s="1"/>
  <c r="AE10" i="1" s="1"/>
  <c r="AE13" i="24"/>
  <c r="AE1" i="1"/>
  <c r="AE1" i="24"/>
  <c r="AE1" i="25"/>
  <c r="AD1" i="6"/>
  <c r="AD1" i="28"/>
  <c r="AD1" i="21"/>
  <c r="K109" i="6"/>
  <c r="AE17" i="1"/>
  <c r="AD13" i="21"/>
  <c r="AD12" i="21" s="1"/>
  <c r="AE110" i="1"/>
  <c r="AD13" i="28"/>
  <c r="AD12" i="28" s="1"/>
  <c r="BH68" i="9"/>
  <c r="AD179" i="6"/>
  <c r="X68" i="1"/>
  <c r="Z131" i="21"/>
  <c r="C131" i="21"/>
  <c r="Z133" i="21"/>
  <c r="W97" i="21"/>
  <c r="W95" i="21" s="1"/>
  <c r="X20" i="21"/>
  <c r="V86" i="28"/>
  <c r="V88" i="28"/>
  <c r="V86" i="21"/>
  <c r="V88" i="21"/>
  <c r="AD16" i="1"/>
  <c r="AD116" i="1"/>
  <c r="AD11" i="25"/>
  <c r="AD84" i="1"/>
  <c r="AC37" i="1"/>
  <c r="AC39" i="1"/>
  <c r="Y126" i="21"/>
  <c r="C126" i="21"/>
  <c r="Y128" i="21"/>
  <c r="F157" i="6"/>
  <c r="X117" i="21"/>
  <c r="X115" i="21" s="1"/>
  <c r="S48" i="28"/>
  <c r="S46" i="28"/>
  <c r="J124" i="6"/>
  <c r="J126" i="6"/>
  <c r="Q84" i="6"/>
  <c r="Z135" i="28"/>
  <c r="Z20" i="28"/>
  <c r="AB22" i="1"/>
  <c r="S51" i="21"/>
  <c r="S53" i="21"/>
  <c r="Z135" i="21"/>
  <c r="AA139" i="1"/>
  <c r="AA37" i="25" s="1"/>
  <c r="Y118" i="28"/>
  <c r="Y116" i="28"/>
  <c r="D227" i="6"/>
  <c r="D229" i="6" s="1"/>
  <c r="E227" i="6"/>
  <c r="I227" i="6"/>
  <c r="R227" i="6"/>
  <c r="G227" i="6"/>
  <c r="S227" i="6"/>
  <c r="F227" i="6"/>
  <c r="O227" i="6"/>
  <c r="H227" i="6"/>
  <c r="W227" i="6"/>
  <c r="Q227" i="6"/>
  <c r="X227" i="6"/>
  <c r="L227" i="6"/>
  <c r="M227" i="6"/>
  <c r="Y227" i="6"/>
  <c r="J227" i="6"/>
  <c r="T227" i="6"/>
  <c r="U227" i="6"/>
  <c r="K227" i="6"/>
  <c r="V227" i="6"/>
  <c r="AC227" i="6"/>
  <c r="AK227" i="6"/>
  <c r="AR227" i="6"/>
  <c r="N227" i="6"/>
  <c r="Z227" i="6"/>
  <c r="AD227" i="6"/>
  <c r="AS227" i="6"/>
  <c r="AE227" i="6"/>
  <c r="AT227" i="6"/>
  <c r="AH227" i="6"/>
  <c r="AO227" i="6"/>
  <c r="AZ227" i="6"/>
  <c r="P227" i="6"/>
  <c r="AA227" i="6"/>
  <c r="AJ227" i="6"/>
  <c r="AQ227" i="6"/>
  <c r="AI227" i="6"/>
  <c r="AP227" i="6"/>
  <c r="AW227" i="6"/>
  <c r="AU227" i="6"/>
  <c r="AB227" i="6"/>
  <c r="AF227" i="6"/>
  <c r="AM227" i="6"/>
  <c r="AY227" i="6"/>
  <c r="AG227" i="6"/>
  <c r="AN227" i="6"/>
  <c r="AV227" i="6"/>
  <c r="AX227" i="6"/>
  <c r="BA227" i="6"/>
  <c r="B231" i="6"/>
  <c r="E220" i="6"/>
  <c r="U71" i="21"/>
  <c r="U73" i="21"/>
  <c r="AA45" i="1"/>
  <c r="AA42" i="1"/>
  <c r="Z133" i="28"/>
  <c r="Z131" i="28"/>
  <c r="C131" i="28"/>
  <c r="V25" i="6"/>
  <c r="W78" i="28" l="1"/>
  <c r="M100" i="6"/>
  <c r="U28" i="6"/>
  <c r="L275" i="21"/>
  <c r="L25" i="21"/>
  <c r="U38" i="28"/>
  <c r="U37" i="28" s="1"/>
  <c r="U35" i="28" s="1"/>
  <c r="Z20" i="21"/>
  <c r="AA159" i="1"/>
  <c r="AA18" i="21"/>
  <c r="AB139" i="1" s="1"/>
  <c r="AB37" i="25" s="1"/>
  <c r="W101" i="21"/>
  <c r="U31" i="28"/>
  <c r="U32" i="28" s="1"/>
  <c r="U30" i="28" s="1"/>
  <c r="V33" i="28" s="1"/>
  <c r="W83" i="21"/>
  <c r="W82" i="21" s="1"/>
  <c r="W80" i="21" s="1"/>
  <c r="Z121" i="28"/>
  <c r="Z122" i="28" s="1"/>
  <c r="Z120" i="28" s="1"/>
  <c r="AA123" i="28" s="1"/>
  <c r="R33" i="21"/>
  <c r="R32" i="21" s="1"/>
  <c r="R30" i="21" s="1"/>
  <c r="W71" i="28"/>
  <c r="W72" i="28" s="1"/>
  <c r="W70" i="28" s="1"/>
  <c r="S48" i="21"/>
  <c r="S47" i="21" s="1"/>
  <c r="S45" i="21" s="1"/>
  <c r="V63" i="21"/>
  <c r="V62" i="21" s="1"/>
  <c r="V60" i="21" s="1"/>
  <c r="U66" i="21"/>
  <c r="U68" i="21"/>
  <c r="X111" i="21"/>
  <c r="X112" i="21" s="1"/>
  <c r="X110" i="21" s="1"/>
  <c r="S52" i="21"/>
  <c r="S50" i="21" s="1"/>
  <c r="T51" i="21" s="1"/>
  <c r="W92" i="21"/>
  <c r="W90" i="21" s="1"/>
  <c r="X91" i="21" s="1"/>
  <c r="AC122" i="1"/>
  <c r="AB17" i="28"/>
  <c r="AB18" i="28" s="1"/>
  <c r="AB19" i="28" s="1"/>
  <c r="AC45" i="25"/>
  <c r="U72" i="21"/>
  <c r="U70" i="21" s="1"/>
  <c r="V71" i="21" s="1"/>
  <c r="S34" i="6"/>
  <c r="S36" i="6"/>
  <c r="S37" i="6" s="1"/>
  <c r="T36" i="6" s="1"/>
  <c r="U66" i="28"/>
  <c r="U68" i="28"/>
  <c r="S51" i="28"/>
  <c r="S52" i="28" s="1"/>
  <c r="S50" i="28" s="1"/>
  <c r="T53" i="28" s="1"/>
  <c r="H150" i="6"/>
  <c r="H151" i="6" s="1"/>
  <c r="L28" i="28"/>
  <c r="L4" i="28" s="1"/>
  <c r="K22" i="28"/>
  <c r="L26" i="28"/>
  <c r="P70" i="6"/>
  <c r="P73" i="6" s="1"/>
  <c r="Q42" i="28"/>
  <c r="Q40" i="28" s="1"/>
  <c r="R43" i="28" s="1"/>
  <c r="Q58" i="6"/>
  <c r="Q61" i="6" s="1"/>
  <c r="AC40" i="1"/>
  <c r="X108" i="28"/>
  <c r="X106" i="28"/>
  <c r="O90" i="6"/>
  <c r="O91" i="6" s="1"/>
  <c r="V87" i="28"/>
  <c r="V85" i="28" s="1"/>
  <c r="W88" i="28" s="1"/>
  <c r="U62" i="28"/>
  <c r="U60" i="28" s="1"/>
  <c r="V61" i="28" s="1"/>
  <c r="W77" i="28"/>
  <c r="W75" i="28" s="1"/>
  <c r="X76" i="28" s="1"/>
  <c r="Y127" i="28"/>
  <c r="Y125" i="28" s="1"/>
  <c r="Z128" i="28" s="1"/>
  <c r="S47" i="28"/>
  <c r="S45" i="28" s="1"/>
  <c r="T46" i="28" s="1"/>
  <c r="F163" i="6"/>
  <c r="G160" i="6" s="1"/>
  <c r="P79" i="6"/>
  <c r="Q78" i="6" s="1"/>
  <c r="F169" i="6"/>
  <c r="G168" i="6" s="1"/>
  <c r="Q85" i="6"/>
  <c r="R82" i="6" s="1"/>
  <c r="S57" i="28"/>
  <c r="S55" i="28" s="1"/>
  <c r="T56" i="28" s="1"/>
  <c r="I136" i="6"/>
  <c r="I138" i="6"/>
  <c r="W24" i="6"/>
  <c r="W22" i="6"/>
  <c r="W25" i="6" s="1"/>
  <c r="AA138" i="21"/>
  <c r="AA136" i="21"/>
  <c r="C136" i="21"/>
  <c r="AA20" i="28"/>
  <c r="AA140" i="28"/>
  <c r="AA140" i="21"/>
  <c r="S36" i="21"/>
  <c r="S38" i="21"/>
  <c r="AF1" i="1"/>
  <c r="AF1" i="24"/>
  <c r="AF1" i="25"/>
  <c r="AE1" i="6"/>
  <c r="AE1" i="21"/>
  <c r="AE1" i="28"/>
  <c r="W93" i="28"/>
  <c r="W91" i="28"/>
  <c r="AE28" i="1"/>
  <c r="AE35" i="1"/>
  <c r="AE34" i="1" s="1"/>
  <c r="AE33" i="1" s="1"/>
  <c r="AE32" i="1" s="1"/>
  <c r="AE31" i="1" s="1"/>
  <c r="AE30" i="1" s="1"/>
  <c r="AE29" i="1" s="1"/>
  <c r="Z132" i="28"/>
  <c r="Z130" i="28" s="1"/>
  <c r="T54" i="6"/>
  <c r="T52" i="6"/>
  <c r="AB24" i="1"/>
  <c r="X106" i="21"/>
  <c r="X108" i="21"/>
  <c r="V87" i="21"/>
  <c r="V85" i="21" s="1"/>
  <c r="E180" i="6"/>
  <c r="E181" i="6" s="1"/>
  <c r="AE84" i="1"/>
  <c r="Y122" i="21"/>
  <c r="Y120" i="21" s="1"/>
  <c r="T56" i="21"/>
  <c r="T58" i="21"/>
  <c r="K97" i="6"/>
  <c r="AF18" i="24"/>
  <c r="AF6" i="6" s="1"/>
  <c r="AF10" i="24"/>
  <c r="AG8" i="1" s="1"/>
  <c r="AG6" i="1" s="1"/>
  <c r="AF21" i="24"/>
  <c r="AF8" i="6" s="1"/>
  <c r="AF9" i="6" s="1"/>
  <c r="AG9" i="24"/>
  <c r="W102" i="21"/>
  <c r="W100" i="21" s="1"/>
  <c r="AC22" i="1"/>
  <c r="AC24" i="1" s="1"/>
  <c r="AB18" i="21"/>
  <c r="AB19" i="21" s="1"/>
  <c r="AC10" i="25"/>
  <c r="S46" i="6"/>
  <c r="S48" i="6"/>
  <c r="AD117" i="1"/>
  <c r="AD114" i="1" s="1"/>
  <c r="AA138" i="28"/>
  <c r="AA136" i="28"/>
  <c r="C136" i="28"/>
  <c r="X96" i="21"/>
  <c r="X98" i="21"/>
  <c r="AE14" i="24"/>
  <c r="AE15" i="24" s="1"/>
  <c r="AF10" i="1" s="1"/>
  <c r="AF13" i="24"/>
  <c r="AA62" i="1"/>
  <c r="AA61" i="1" s="1"/>
  <c r="AA60" i="1" s="1"/>
  <c r="AA59" i="1" s="1"/>
  <c r="AA58" i="1" s="1"/>
  <c r="AA57" i="1" s="1"/>
  <c r="AA56" i="1" s="1"/>
  <c r="AA55" i="1" s="1"/>
  <c r="AA54" i="1" s="1"/>
  <c r="AA53" i="1" s="1"/>
  <c r="AA52" i="1" s="1"/>
  <c r="AA51" i="1" s="1"/>
  <c r="AA50" i="1" s="1"/>
  <c r="AA49" i="1" s="1"/>
  <c r="AA48" i="1" s="1"/>
  <c r="AA47" i="1" s="1"/>
  <c r="AA46" i="1"/>
  <c r="Y127" i="21"/>
  <c r="Y125" i="21" s="1"/>
  <c r="AE16" i="1"/>
  <c r="AE116" i="1"/>
  <c r="AE11" i="25"/>
  <c r="R42" i="6"/>
  <c r="R40" i="6"/>
  <c r="U31" i="6"/>
  <c r="X112" i="28"/>
  <c r="X110" i="28" s="1"/>
  <c r="AE7" i="6"/>
  <c r="L108" i="6"/>
  <c r="L106" i="6"/>
  <c r="AD37" i="1"/>
  <c r="AD39" i="1"/>
  <c r="K120" i="6"/>
  <c r="K118" i="6"/>
  <c r="AE117" i="1"/>
  <c r="X96" i="28"/>
  <c r="X98" i="28"/>
  <c r="AE4" i="6"/>
  <c r="E226" i="6"/>
  <c r="Y116" i="21"/>
  <c r="Y118" i="21"/>
  <c r="J130" i="6"/>
  <c r="J132" i="6"/>
  <c r="W103" i="28"/>
  <c r="W101" i="28"/>
  <c r="AE5" i="6"/>
  <c r="Q66" i="6"/>
  <c r="Q64" i="6"/>
  <c r="X81" i="28"/>
  <c r="X83" i="28"/>
  <c r="K115" i="6"/>
  <c r="Z9" i="25"/>
  <c r="G162" i="6"/>
  <c r="R42" i="21"/>
  <c r="R40" i="21" s="1"/>
  <c r="AF12" i="1"/>
  <c r="AF12" i="25" s="1"/>
  <c r="AF18" i="1"/>
  <c r="AF115" i="1"/>
  <c r="AF27" i="1"/>
  <c r="AF5" i="25"/>
  <c r="AF73" i="1"/>
  <c r="D233" i="6"/>
  <c r="D235" i="6" s="1"/>
  <c r="H233" i="6"/>
  <c r="I233" i="6"/>
  <c r="E233" i="6"/>
  <c r="J233" i="6"/>
  <c r="M233" i="6"/>
  <c r="N233" i="6"/>
  <c r="O233" i="6"/>
  <c r="P233" i="6"/>
  <c r="K233" i="6"/>
  <c r="S233" i="6"/>
  <c r="T233" i="6"/>
  <c r="U233" i="6"/>
  <c r="Q233" i="6"/>
  <c r="L233" i="6"/>
  <c r="X233" i="6"/>
  <c r="F233" i="6"/>
  <c r="AG233" i="6"/>
  <c r="AN233" i="6"/>
  <c r="V233" i="6"/>
  <c r="AH233" i="6"/>
  <c r="AO233" i="6"/>
  <c r="AA233" i="6"/>
  <c r="AI233" i="6"/>
  <c r="AP233" i="6"/>
  <c r="AD233" i="6"/>
  <c r="AL233" i="6"/>
  <c r="AS233" i="6"/>
  <c r="G233" i="6"/>
  <c r="AK233" i="6"/>
  <c r="AR233" i="6"/>
  <c r="AV233" i="6"/>
  <c r="AT233" i="6"/>
  <c r="AW233" i="6"/>
  <c r="Y233" i="6"/>
  <c r="AF233" i="6"/>
  <c r="AX233" i="6"/>
  <c r="W233" i="6"/>
  <c r="AE233" i="6"/>
  <c r="AZ233" i="6"/>
  <c r="AB233" i="6"/>
  <c r="AU233" i="6"/>
  <c r="R233" i="6"/>
  <c r="Z233" i="6"/>
  <c r="AC233" i="6"/>
  <c r="B237" i="6"/>
  <c r="AY233" i="6"/>
  <c r="AJ233" i="6"/>
  <c r="BA233" i="6"/>
  <c r="AQ233" i="6"/>
  <c r="AA9" i="25"/>
  <c r="M103" i="6"/>
  <c r="Y9" i="25"/>
  <c r="Y117" i="28"/>
  <c r="Y115" i="28" s="1"/>
  <c r="J127" i="6"/>
  <c r="G156" i="6"/>
  <c r="G154" i="6"/>
  <c r="AD7" i="25"/>
  <c r="AD25" i="25"/>
  <c r="AD124" i="1"/>
  <c r="Z132" i="21"/>
  <c r="Z130" i="21" s="1"/>
  <c r="X76" i="21"/>
  <c r="X78" i="21"/>
  <c r="E174" i="6"/>
  <c r="G145" i="6"/>
  <c r="Z63" i="1"/>
  <c r="Z65" i="1"/>
  <c r="Z66" i="1" s="1"/>
  <c r="AD20" i="1"/>
  <c r="K121" i="6" l="1"/>
  <c r="M28" i="21"/>
  <c r="M4" i="21" s="1"/>
  <c r="N74" i="1" s="1"/>
  <c r="M26" i="21"/>
  <c r="M27" i="21" s="1"/>
  <c r="L22" i="21"/>
  <c r="M143" i="1"/>
  <c r="M14" i="25"/>
  <c r="AA19" i="21"/>
  <c r="AA20" i="21" s="1"/>
  <c r="V31" i="28"/>
  <c r="V32" i="28" s="1"/>
  <c r="V30" i="28" s="1"/>
  <c r="W31" i="28" s="1"/>
  <c r="W102" i="28"/>
  <c r="W100" i="28" s="1"/>
  <c r="X101" i="28" s="1"/>
  <c r="AA137" i="21"/>
  <c r="AA135" i="21" s="1"/>
  <c r="W86" i="28"/>
  <c r="W87" i="28" s="1"/>
  <c r="W85" i="28" s="1"/>
  <c r="R41" i="28"/>
  <c r="R42" i="28" s="1"/>
  <c r="R40" i="28" s="1"/>
  <c r="S43" i="28" s="1"/>
  <c r="T53" i="21"/>
  <c r="T52" i="21" s="1"/>
  <c r="T50" i="21" s="1"/>
  <c r="AF7" i="6"/>
  <c r="AE114" i="1"/>
  <c r="AE122" i="1" s="1"/>
  <c r="V73" i="21"/>
  <c r="V72" i="21" s="1"/>
  <c r="V70" i="21" s="1"/>
  <c r="U67" i="28"/>
  <c r="U65" i="28" s="1"/>
  <c r="V66" i="28" s="1"/>
  <c r="M275" i="21"/>
  <c r="M25" i="21"/>
  <c r="Y117" i="21"/>
  <c r="Y115" i="21" s="1"/>
  <c r="Z116" i="21" s="1"/>
  <c r="T51" i="28"/>
  <c r="T52" i="28" s="1"/>
  <c r="T50" i="28" s="1"/>
  <c r="U53" i="28" s="1"/>
  <c r="X77" i="21"/>
  <c r="X75" i="21" s="1"/>
  <c r="Y76" i="21" s="1"/>
  <c r="X93" i="21"/>
  <c r="X92" i="21" s="1"/>
  <c r="X90" i="21" s="1"/>
  <c r="AA121" i="28"/>
  <c r="AA122" i="28" s="1"/>
  <c r="AA120" i="28" s="1"/>
  <c r="X107" i="28"/>
  <c r="X105" i="28" s="1"/>
  <c r="Y108" i="28" s="1"/>
  <c r="U67" i="21"/>
  <c r="U65" i="21" s="1"/>
  <c r="I148" i="6"/>
  <c r="I150" i="6"/>
  <c r="I151" i="6" s="1"/>
  <c r="J148" i="6" s="1"/>
  <c r="R58" i="6"/>
  <c r="R60" i="6"/>
  <c r="G166" i="6"/>
  <c r="G169" i="6" s="1"/>
  <c r="H168" i="6" s="1"/>
  <c r="L27" i="28"/>
  <c r="T48" i="28"/>
  <c r="T47" i="28" s="1"/>
  <c r="T45" i="28" s="1"/>
  <c r="T55" i="6"/>
  <c r="U52" i="6" s="1"/>
  <c r="Z126" i="28"/>
  <c r="Z127" i="28" s="1"/>
  <c r="Z125" i="28" s="1"/>
  <c r="X78" i="28"/>
  <c r="X77" i="28" s="1"/>
  <c r="X75" i="28" s="1"/>
  <c r="T58" i="28"/>
  <c r="T57" i="28" s="1"/>
  <c r="T55" i="28" s="1"/>
  <c r="U58" i="28" s="1"/>
  <c r="V63" i="28"/>
  <c r="V62" i="28" s="1"/>
  <c r="V60" i="28" s="1"/>
  <c r="Q76" i="6"/>
  <c r="Q79" i="6" s="1"/>
  <c r="G163" i="6"/>
  <c r="H162" i="6" s="1"/>
  <c r="R84" i="6"/>
  <c r="R85" i="6" s="1"/>
  <c r="J133" i="6"/>
  <c r="K132" i="6" s="1"/>
  <c r="T34" i="6"/>
  <c r="T37" i="6" s="1"/>
  <c r="U34" i="6" s="1"/>
  <c r="AA137" i="28"/>
  <c r="AA135" i="28" s="1"/>
  <c r="AB138" i="28" s="1"/>
  <c r="Q67" i="6"/>
  <c r="R66" i="6" s="1"/>
  <c r="AB136" i="21"/>
  <c r="AB138" i="21"/>
  <c r="P88" i="6"/>
  <c r="P90" i="6"/>
  <c r="F178" i="6"/>
  <c r="F180" i="6"/>
  <c r="Q72" i="6"/>
  <c r="Q70" i="6"/>
  <c r="N100" i="6"/>
  <c r="N102" i="6"/>
  <c r="AF17" i="1"/>
  <c r="AF110" i="1"/>
  <c r="AE13" i="21"/>
  <c r="AE12" i="21" s="1"/>
  <c r="AE13" i="28"/>
  <c r="AE12" i="28" s="1"/>
  <c r="BI68" i="9"/>
  <c r="AE185" i="6"/>
  <c r="X81" i="21"/>
  <c r="X83" i="21"/>
  <c r="L96" i="6"/>
  <c r="L94" i="6"/>
  <c r="AA131" i="21"/>
  <c r="AA133" i="21"/>
  <c r="AA133" i="28"/>
  <c r="AA131" i="28"/>
  <c r="E175" i="6"/>
  <c r="AB155" i="1"/>
  <c r="AB140" i="1" s="1"/>
  <c r="AB141" i="1" s="1"/>
  <c r="AB159" i="1"/>
  <c r="E232" i="6"/>
  <c r="AF28" i="1"/>
  <c r="AF35" i="1"/>
  <c r="AF34" i="1" s="1"/>
  <c r="AF33" i="1" s="1"/>
  <c r="AF32" i="1" s="1"/>
  <c r="AF31" i="1" s="1"/>
  <c r="AF30" i="1" s="1"/>
  <c r="AF29" i="1" s="1"/>
  <c r="Z126" i="21"/>
  <c r="Z128" i="21"/>
  <c r="AA63" i="1"/>
  <c r="AA65" i="1"/>
  <c r="AA66" i="1" s="1"/>
  <c r="V36" i="28"/>
  <c r="V38" i="28"/>
  <c r="X22" i="6"/>
  <c r="X24" i="6"/>
  <c r="G157" i="6"/>
  <c r="S49" i="6"/>
  <c r="AB45" i="1"/>
  <c r="AB42" i="1"/>
  <c r="S37" i="21"/>
  <c r="S35" i="21" s="1"/>
  <c r="AB143" i="28"/>
  <c r="AB141" i="28"/>
  <c r="C141" i="28"/>
  <c r="K124" i="6"/>
  <c r="K126" i="6"/>
  <c r="S31" i="21"/>
  <c r="S33" i="21"/>
  <c r="X101" i="21"/>
  <c r="X103" i="21"/>
  <c r="X73" i="28"/>
  <c r="X71" i="28"/>
  <c r="L114" i="6"/>
  <c r="L112" i="6"/>
  <c r="AG18" i="24"/>
  <c r="AG6" i="6" s="1"/>
  <c r="AG10" i="24"/>
  <c r="AH8" i="1" s="1"/>
  <c r="AH6" i="1" s="1"/>
  <c r="AH9" i="24"/>
  <c r="AG21" i="24"/>
  <c r="AG8" i="6" s="1"/>
  <c r="AG9" i="6" s="1"/>
  <c r="AD40" i="1"/>
  <c r="Y113" i="28"/>
  <c r="Y111" i="28"/>
  <c r="AF16" i="1"/>
  <c r="AF116" i="1"/>
  <c r="AF11" i="25"/>
  <c r="AG1" i="1"/>
  <c r="AG1" i="24"/>
  <c r="AG1" i="25"/>
  <c r="AF1" i="6"/>
  <c r="AF1" i="21"/>
  <c r="AF1" i="28"/>
  <c r="D239" i="6"/>
  <c r="D241" i="6" s="1"/>
  <c r="E239" i="6"/>
  <c r="F239" i="6"/>
  <c r="I239" i="6"/>
  <c r="K239" i="6"/>
  <c r="R239" i="6"/>
  <c r="S239" i="6"/>
  <c r="H239" i="6"/>
  <c r="L239" i="6"/>
  <c r="M239" i="6"/>
  <c r="G239" i="6"/>
  <c r="O239" i="6"/>
  <c r="P239" i="6"/>
  <c r="W239" i="6"/>
  <c r="X239" i="6"/>
  <c r="Y239" i="6"/>
  <c r="Q239" i="6"/>
  <c r="AC239" i="6"/>
  <c r="AK239" i="6"/>
  <c r="AR239" i="6"/>
  <c r="AD239" i="6"/>
  <c r="AL239" i="6"/>
  <c r="AS239" i="6"/>
  <c r="AE239" i="6"/>
  <c r="AM239" i="6"/>
  <c r="AT239" i="6"/>
  <c r="Z239" i="6"/>
  <c r="AH239" i="6"/>
  <c r="AO239" i="6"/>
  <c r="N239" i="6"/>
  <c r="AG239" i="6"/>
  <c r="AZ239" i="6"/>
  <c r="T239" i="6"/>
  <c r="AI239" i="6"/>
  <c r="AP239" i="6"/>
  <c r="AB239" i="6"/>
  <c r="U239" i="6"/>
  <c r="AA239" i="6"/>
  <c r="AW239" i="6"/>
  <c r="V239" i="6"/>
  <c r="AV239" i="6"/>
  <c r="AX239" i="6"/>
  <c r="AJ239" i="6"/>
  <c r="J239" i="6"/>
  <c r="AY239" i="6"/>
  <c r="B243" i="6"/>
  <c r="AU239" i="6"/>
  <c r="AF239" i="6"/>
  <c r="BA239" i="6"/>
  <c r="AQ239" i="6"/>
  <c r="U54" i="6"/>
  <c r="Z68" i="1"/>
  <c r="W86" i="21"/>
  <c r="W88" i="21"/>
  <c r="AB141" i="21"/>
  <c r="AB143" i="21"/>
  <c r="C141" i="21"/>
  <c r="I139" i="6"/>
  <c r="X82" i="28"/>
  <c r="X80" i="28" s="1"/>
  <c r="X97" i="28"/>
  <c r="X95" i="28" s="1"/>
  <c r="V28" i="6"/>
  <c r="V30" i="6"/>
  <c r="AC159" i="1"/>
  <c r="AC155" i="1"/>
  <c r="AC140" i="1" s="1"/>
  <c r="AC141" i="1" s="1"/>
  <c r="AG12" i="1"/>
  <c r="AG12" i="25" s="1"/>
  <c r="AG18" i="1"/>
  <c r="AG115" i="1"/>
  <c r="AG5" i="25"/>
  <c r="AG27" i="1"/>
  <c r="AG73" i="1"/>
  <c r="T57" i="21"/>
  <c r="T55" i="21" s="1"/>
  <c r="X107" i="21"/>
  <c r="X105" i="21" s="1"/>
  <c r="AE37" i="1"/>
  <c r="AE39" i="1"/>
  <c r="AF84" i="1"/>
  <c r="T46" i="21"/>
  <c r="T48" i="21"/>
  <c r="AC45" i="1"/>
  <c r="AC42" i="1"/>
  <c r="L120" i="6"/>
  <c r="L118" i="6"/>
  <c r="AF14" i="24"/>
  <c r="AF15" i="24" s="1"/>
  <c r="AG10" i="1" s="1"/>
  <c r="AG13" i="24"/>
  <c r="S41" i="21"/>
  <c r="S43" i="21"/>
  <c r="AD22" i="1"/>
  <c r="AD24" i="1" s="1"/>
  <c r="Z116" i="28"/>
  <c r="Z118" i="28"/>
  <c r="W61" i="21"/>
  <c r="W63" i="21"/>
  <c r="H144" i="6"/>
  <c r="H142" i="6"/>
  <c r="Y111" i="21"/>
  <c r="Y113" i="21"/>
  <c r="AB145" i="28"/>
  <c r="AB20" i="28"/>
  <c r="L109" i="6"/>
  <c r="R43" i="6"/>
  <c r="AE124" i="1"/>
  <c r="AE7" i="25"/>
  <c r="AE25" i="25"/>
  <c r="AE20" i="1"/>
  <c r="X97" i="21"/>
  <c r="X95" i="21" s="1"/>
  <c r="AC17" i="21"/>
  <c r="AD122" i="1"/>
  <c r="AC17" i="28"/>
  <c r="AD45" i="25"/>
  <c r="AB145" i="21"/>
  <c r="AC139" i="1"/>
  <c r="AC37" i="25" s="1"/>
  <c r="AB20" i="21"/>
  <c r="AF4" i="6"/>
  <c r="AF5" i="6" s="1"/>
  <c r="Z121" i="21"/>
  <c r="Z123" i="21"/>
  <c r="W92" i="28"/>
  <c r="W90" i="28" s="1"/>
  <c r="H160" i="6" l="1"/>
  <c r="W33" i="28"/>
  <c r="W32" i="28" s="1"/>
  <c r="W30" i="28" s="1"/>
  <c r="X33" i="28" s="1"/>
  <c r="V68" i="28"/>
  <c r="V67" i="28" s="1"/>
  <c r="V65" i="28" s="1"/>
  <c r="W66" i="28" s="1"/>
  <c r="M38" i="25"/>
  <c r="M36" i="25" s="1"/>
  <c r="M48" i="25" s="1"/>
  <c r="M142" i="1"/>
  <c r="X103" i="28"/>
  <c r="X102" i="28" s="1"/>
  <c r="X100" i="28" s="1"/>
  <c r="N39" i="25"/>
  <c r="N144" i="1"/>
  <c r="N13" i="25"/>
  <c r="N27" i="25"/>
  <c r="N40" i="25" s="1"/>
  <c r="K130" i="6"/>
  <c r="K133" i="6" s="1"/>
  <c r="AD17" i="28"/>
  <c r="AD18" i="28" s="1"/>
  <c r="AD19" i="28" s="1"/>
  <c r="AE45" i="25"/>
  <c r="Z127" i="21"/>
  <c r="Z125" i="21" s="1"/>
  <c r="AA128" i="21" s="1"/>
  <c r="R61" i="6"/>
  <c r="S60" i="6" s="1"/>
  <c r="AD17" i="21"/>
  <c r="AE10" i="25" s="1"/>
  <c r="AB136" i="28"/>
  <c r="AB137" i="28" s="1"/>
  <c r="AB135" i="28" s="1"/>
  <c r="AC138" i="28" s="1"/>
  <c r="Z118" i="21"/>
  <c r="Z117" i="21" s="1"/>
  <c r="Z115" i="21" s="1"/>
  <c r="M22" i="21"/>
  <c r="N28" i="21"/>
  <c r="N4" i="21" s="1"/>
  <c r="O74" i="1" s="1"/>
  <c r="N26" i="21"/>
  <c r="N143" i="1"/>
  <c r="N14" i="25"/>
  <c r="AB142" i="28"/>
  <c r="AB140" i="28" s="1"/>
  <c r="AC143" i="28" s="1"/>
  <c r="Y78" i="21"/>
  <c r="Y77" i="21" s="1"/>
  <c r="Y75" i="21" s="1"/>
  <c r="Y91" i="21"/>
  <c r="Y93" i="21"/>
  <c r="AE40" i="1"/>
  <c r="X102" i="21"/>
  <c r="X100" i="21" s="1"/>
  <c r="V66" i="21"/>
  <c r="V68" i="21"/>
  <c r="S42" i="21"/>
  <c r="S40" i="21" s="1"/>
  <c r="T41" i="21" s="1"/>
  <c r="W87" i="21"/>
  <c r="W85" i="21" s="1"/>
  <c r="X88" i="21" s="1"/>
  <c r="Y106" i="28"/>
  <c r="Y107" i="28" s="1"/>
  <c r="Y105" i="28" s="1"/>
  <c r="Z106" i="28" s="1"/>
  <c r="R78" i="6"/>
  <c r="R76" i="6"/>
  <c r="R79" i="6" s="1"/>
  <c r="H166" i="6"/>
  <c r="H169" i="6" s="1"/>
  <c r="I168" i="6" s="1"/>
  <c r="L275" i="28"/>
  <c r="L25" i="28"/>
  <c r="Y78" i="28"/>
  <c r="Y76" i="28"/>
  <c r="U51" i="28"/>
  <c r="U52" i="28" s="1"/>
  <c r="U50" i="28" s="1"/>
  <c r="V53" i="28" s="1"/>
  <c r="U36" i="6"/>
  <c r="U37" i="6" s="1"/>
  <c r="L121" i="6"/>
  <c r="M120" i="6" s="1"/>
  <c r="K127" i="6"/>
  <c r="L124" i="6" s="1"/>
  <c r="V37" i="28"/>
  <c r="V35" i="28" s="1"/>
  <c r="W38" i="28" s="1"/>
  <c r="S41" i="28"/>
  <c r="S42" i="28" s="1"/>
  <c r="S40" i="28" s="1"/>
  <c r="U56" i="28"/>
  <c r="U57" i="28" s="1"/>
  <c r="U55" i="28" s="1"/>
  <c r="U55" i="6"/>
  <c r="V52" i="6" s="1"/>
  <c r="AA132" i="28"/>
  <c r="AA130" i="28" s="1"/>
  <c r="AB131" i="28" s="1"/>
  <c r="Y112" i="28"/>
  <c r="Y110" i="28" s="1"/>
  <c r="Z113" i="28" s="1"/>
  <c r="R64" i="6"/>
  <c r="R67" i="6" s="1"/>
  <c r="S64" i="6" s="1"/>
  <c r="F181" i="6"/>
  <c r="G178" i="6" s="1"/>
  <c r="J150" i="6"/>
  <c r="J151" i="6" s="1"/>
  <c r="X93" i="28"/>
  <c r="X91" i="28"/>
  <c r="AC18" i="28"/>
  <c r="AC19" i="28" s="1"/>
  <c r="W71" i="21"/>
  <c r="W73" i="21"/>
  <c r="AD45" i="1"/>
  <c r="AD42" i="1"/>
  <c r="AC9" i="25"/>
  <c r="U51" i="21"/>
  <c r="U53" i="21"/>
  <c r="T36" i="21"/>
  <c r="T38" i="21"/>
  <c r="H156" i="6"/>
  <c r="H154" i="6"/>
  <c r="AA128" i="28"/>
  <c r="AA126" i="28"/>
  <c r="AC146" i="21"/>
  <c r="C146" i="21"/>
  <c r="AC148" i="21"/>
  <c r="W62" i="21"/>
  <c r="W60" i="21" s="1"/>
  <c r="AC46" i="1"/>
  <c r="AC62" i="1"/>
  <c r="AC61" i="1" s="1"/>
  <c r="AC60" i="1" s="1"/>
  <c r="AC59" i="1" s="1"/>
  <c r="AC58" i="1" s="1"/>
  <c r="AC57" i="1" s="1"/>
  <c r="AC56" i="1" s="1"/>
  <c r="AC55" i="1" s="1"/>
  <c r="AC54" i="1" s="1"/>
  <c r="AC53" i="1" s="1"/>
  <c r="AC52" i="1" s="1"/>
  <c r="AC51" i="1" s="1"/>
  <c r="AC50" i="1" s="1"/>
  <c r="AC49" i="1" s="1"/>
  <c r="AC48" i="1" s="1"/>
  <c r="AC47" i="1" s="1"/>
  <c r="J136" i="6"/>
  <c r="J138" i="6"/>
  <c r="D245" i="6"/>
  <c r="D247" i="6" s="1"/>
  <c r="H245" i="6"/>
  <c r="I245" i="6"/>
  <c r="J245" i="6"/>
  <c r="M245" i="6"/>
  <c r="G245" i="6"/>
  <c r="N245" i="6"/>
  <c r="K245" i="6"/>
  <c r="O245" i="6"/>
  <c r="P245" i="6"/>
  <c r="F245" i="6"/>
  <c r="S245" i="6"/>
  <c r="L245" i="6"/>
  <c r="X245" i="6"/>
  <c r="T245" i="6"/>
  <c r="U245" i="6"/>
  <c r="Z245" i="6"/>
  <c r="AG245" i="6"/>
  <c r="AH245" i="6"/>
  <c r="W245" i="6"/>
  <c r="AA245" i="6"/>
  <c r="AI245" i="6"/>
  <c r="AP245" i="6"/>
  <c r="R245" i="6"/>
  <c r="V245" i="6"/>
  <c r="AD245" i="6"/>
  <c r="AL245" i="6"/>
  <c r="AS245" i="6"/>
  <c r="AC245" i="6"/>
  <c r="AV245" i="6"/>
  <c r="AE245" i="6"/>
  <c r="AW245" i="6"/>
  <c r="AN245" i="6"/>
  <c r="AX245" i="6"/>
  <c r="AM245" i="6"/>
  <c r="AT245" i="6"/>
  <c r="Q245" i="6"/>
  <c r="AY245" i="6"/>
  <c r="AK245" i="6"/>
  <c r="AR245" i="6"/>
  <c r="E245" i="6"/>
  <c r="AZ245" i="6"/>
  <c r="AB245" i="6"/>
  <c r="AJ245" i="6"/>
  <c r="B249" i="6"/>
  <c r="AF245" i="6"/>
  <c r="AQ245" i="6"/>
  <c r="AU245" i="6"/>
  <c r="BA245" i="6"/>
  <c r="Y245" i="6"/>
  <c r="AF7" i="25"/>
  <c r="AF124" i="1"/>
  <c r="AF25" i="25"/>
  <c r="AF20" i="1"/>
  <c r="F174" i="6"/>
  <c r="F172" i="6"/>
  <c r="L97" i="6"/>
  <c r="Y101" i="21"/>
  <c r="Y103" i="21"/>
  <c r="S40" i="6"/>
  <c r="S42" i="6"/>
  <c r="M108" i="6"/>
  <c r="M106" i="6"/>
  <c r="T47" i="21"/>
  <c r="T45" i="21" s="1"/>
  <c r="V31" i="6"/>
  <c r="AC18" i="21"/>
  <c r="AD10" i="25"/>
  <c r="Z117" i="28"/>
  <c r="Z115" i="28" s="1"/>
  <c r="AG14" i="24"/>
  <c r="AG15" i="24" s="1"/>
  <c r="AH10" i="1" s="1"/>
  <c r="AH13" i="24"/>
  <c r="AH14" i="24" s="1"/>
  <c r="AH15" i="24" s="1"/>
  <c r="AI10" i="1" s="1"/>
  <c r="Y98" i="28"/>
  <c r="Y96" i="28"/>
  <c r="AB142" i="21"/>
  <c r="AB140" i="21" s="1"/>
  <c r="AH1" i="1"/>
  <c r="AH1" i="24"/>
  <c r="AG1" i="6"/>
  <c r="AH1" i="25"/>
  <c r="AG1" i="28"/>
  <c r="AG1" i="21"/>
  <c r="AG4" i="6"/>
  <c r="S32" i="21"/>
  <c r="S30" i="21" s="1"/>
  <c r="X86" i="28"/>
  <c r="X88" i="28"/>
  <c r="X25" i="6"/>
  <c r="X82" i="21"/>
  <c r="X80" i="21" s="1"/>
  <c r="AB46" i="1"/>
  <c r="AB62" i="1"/>
  <c r="AB61" i="1" s="1"/>
  <c r="AB60" i="1" s="1"/>
  <c r="AB59" i="1" s="1"/>
  <c r="AB58" i="1" s="1"/>
  <c r="AB57" i="1" s="1"/>
  <c r="AB56" i="1" s="1"/>
  <c r="AB55" i="1" s="1"/>
  <c r="AB54" i="1" s="1"/>
  <c r="AB53" i="1" s="1"/>
  <c r="AB52" i="1" s="1"/>
  <c r="AB51" i="1" s="1"/>
  <c r="AB50" i="1" s="1"/>
  <c r="AB49" i="1" s="1"/>
  <c r="AB48" i="1" s="1"/>
  <c r="AB47" i="1" s="1"/>
  <c r="AF37" i="1"/>
  <c r="AF39" i="1"/>
  <c r="AF117" i="1"/>
  <c r="AF114" i="1" s="1"/>
  <c r="AH18" i="24"/>
  <c r="AH6" i="6" s="1"/>
  <c r="AH10" i="24"/>
  <c r="AI8" i="1" s="1"/>
  <c r="AI6" i="1" s="1"/>
  <c r="AI9" i="24"/>
  <c r="AH21" i="24"/>
  <c r="AH8" i="6" s="1"/>
  <c r="AH9" i="6" s="1"/>
  <c r="U48" i="28"/>
  <c r="U46" i="28"/>
  <c r="AH18" i="1"/>
  <c r="AH12" i="1"/>
  <c r="AH12" i="25" s="1"/>
  <c r="AH115" i="1"/>
  <c r="AH5" i="25"/>
  <c r="AH27" i="1"/>
  <c r="AH73" i="1"/>
  <c r="P91" i="6"/>
  <c r="Z122" i="21"/>
  <c r="Z120" i="21" s="1"/>
  <c r="AG17" i="1"/>
  <c r="AG110" i="1"/>
  <c r="AF13" i="21"/>
  <c r="AF12" i="21" s="1"/>
  <c r="BJ68" i="9"/>
  <c r="AF13" i="28"/>
  <c r="AF12" i="28" s="1"/>
  <c r="AF191" i="6"/>
  <c r="E192" i="6" s="1"/>
  <c r="E193" i="6" s="1"/>
  <c r="Y96" i="21"/>
  <c r="Y98" i="21"/>
  <c r="H145" i="6"/>
  <c r="AG16" i="1"/>
  <c r="AG116" i="1"/>
  <c r="AG11" i="25"/>
  <c r="W63" i="28"/>
  <c r="W61" i="28"/>
  <c r="Y106" i="21"/>
  <c r="Y108" i="21"/>
  <c r="Y83" i="28"/>
  <c r="Y81" i="28"/>
  <c r="AG84" i="1"/>
  <c r="AG7" i="6"/>
  <c r="AB121" i="28"/>
  <c r="AB123" i="28"/>
  <c r="T46" i="6"/>
  <c r="T48" i="6"/>
  <c r="AB9" i="25"/>
  <c r="E186" i="6"/>
  <c r="N103" i="6"/>
  <c r="AG28" i="1"/>
  <c r="AG35" i="1"/>
  <c r="AG34" i="1" s="1"/>
  <c r="AG33" i="1" s="1"/>
  <c r="AG32" i="1" s="1"/>
  <c r="AG31" i="1" s="1"/>
  <c r="AG30" i="1" s="1"/>
  <c r="AG29" i="1" s="1"/>
  <c r="Y112" i="21"/>
  <c r="Y110" i="21" s="1"/>
  <c r="AE22" i="1"/>
  <c r="AE24" i="1" s="1"/>
  <c r="AC146" i="28"/>
  <c r="C146" i="28"/>
  <c r="AC148" i="28"/>
  <c r="H163" i="6"/>
  <c r="S82" i="6"/>
  <c r="S84" i="6"/>
  <c r="U56" i="21"/>
  <c r="U58" i="21"/>
  <c r="E238" i="6"/>
  <c r="L115" i="6"/>
  <c r="X72" i="28"/>
  <c r="X70" i="28" s="1"/>
  <c r="AA68" i="1"/>
  <c r="AA132" i="21"/>
  <c r="AA130" i="21" s="1"/>
  <c r="Q73" i="6"/>
  <c r="AB137" i="21"/>
  <c r="AB135" i="21" s="1"/>
  <c r="X31" i="28" l="1"/>
  <c r="S78" i="6"/>
  <c r="S76" i="6"/>
  <c r="I166" i="6"/>
  <c r="S58" i="6"/>
  <c r="F175" i="6"/>
  <c r="G174" i="6" s="1"/>
  <c r="AA126" i="21"/>
  <c r="AD18" i="21"/>
  <c r="AD19" i="21" s="1"/>
  <c r="AE159" i="1" s="1"/>
  <c r="V51" i="28"/>
  <c r="V52" i="28" s="1"/>
  <c r="V50" i="28" s="1"/>
  <c r="W68" i="28"/>
  <c r="W67" i="28" s="1"/>
  <c r="W65" i="28" s="1"/>
  <c r="Y92" i="21"/>
  <c r="Y90" i="21" s="1"/>
  <c r="Z91" i="21" s="1"/>
  <c r="X86" i="21"/>
  <c r="X87" i="21" s="1"/>
  <c r="X85" i="21" s="1"/>
  <c r="Y86" i="21" s="1"/>
  <c r="AG20" i="1"/>
  <c r="AG22" i="1" s="1"/>
  <c r="G180" i="6"/>
  <c r="G181" i="6" s="1"/>
  <c r="AA127" i="21"/>
  <c r="AA125" i="21" s="1"/>
  <c r="AB126" i="21" s="1"/>
  <c r="Z108" i="28"/>
  <c r="Z107" i="28" s="1"/>
  <c r="Z105" i="28" s="1"/>
  <c r="AA108" i="28" s="1"/>
  <c r="N27" i="21"/>
  <c r="Y82" i="28"/>
  <c r="Y80" i="28" s="1"/>
  <c r="Z83" i="28" s="1"/>
  <c r="U52" i="21"/>
  <c r="U50" i="21" s="1"/>
  <c r="V51" i="21" s="1"/>
  <c r="AC141" i="28"/>
  <c r="AC142" i="28" s="1"/>
  <c r="AC140" i="28" s="1"/>
  <c r="AD143" i="28" s="1"/>
  <c r="T43" i="21"/>
  <c r="T42" i="21" s="1"/>
  <c r="T40" i="21" s="1"/>
  <c r="O27" i="25"/>
  <c r="O40" i="25" s="1"/>
  <c r="O39" i="25"/>
  <c r="O144" i="1"/>
  <c r="O13" i="25"/>
  <c r="N142" i="1"/>
  <c r="N38" i="25"/>
  <c r="N36" i="25" s="1"/>
  <c r="N48" i="25" s="1"/>
  <c r="V67" i="21"/>
  <c r="V65" i="21" s="1"/>
  <c r="Z111" i="28"/>
  <c r="Z112" i="28" s="1"/>
  <c r="Z110" i="28" s="1"/>
  <c r="AA113" i="28" s="1"/>
  <c r="T37" i="21"/>
  <c r="T35" i="21" s="1"/>
  <c r="U38" i="21" s="1"/>
  <c r="V54" i="6"/>
  <c r="V55" i="6" s="1"/>
  <c r="Y77" i="28"/>
  <c r="Y75" i="28" s="1"/>
  <c r="L22" i="28"/>
  <c r="M28" i="28"/>
  <c r="M4" i="28" s="1"/>
  <c r="M26" i="28"/>
  <c r="AF40" i="1"/>
  <c r="AB133" i="28"/>
  <c r="AB132" i="28" s="1"/>
  <c r="AB130" i="28" s="1"/>
  <c r="W62" i="28"/>
  <c r="W60" i="28" s="1"/>
  <c r="X61" i="28" s="1"/>
  <c r="U47" i="28"/>
  <c r="U45" i="28" s="1"/>
  <c r="V46" i="28" s="1"/>
  <c r="X32" i="28"/>
  <c r="X30" i="28" s="1"/>
  <c r="X87" i="28"/>
  <c r="X85" i="28" s="1"/>
  <c r="Y86" i="28" s="1"/>
  <c r="L126" i="6"/>
  <c r="L127" i="6" s="1"/>
  <c r="M126" i="6" s="1"/>
  <c r="W36" i="28"/>
  <c r="W37" i="28" s="1"/>
  <c r="W35" i="28" s="1"/>
  <c r="M118" i="6"/>
  <c r="M121" i="6" s="1"/>
  <c r="V58" i="28"/>
  <c r="V56" i="28"/>
  <c r="T43" i="28"/>
  <c r="T41" i="28"/>
  <c r="AC136" i="28"/>
  <c r="AC137" i="28" s="1"/>
  <c r="AC135" i="28" s="1"/>
  <c r="M109" i="6"/>
  <c r="N106" i="6" s="1"/>
  <c r="Y97" i="28"/>
  <c r="Y95" i="28" s="1"/>
  <c r="Z96" i="28" s="1"/>
  <c r="X92" i="28"/>
  <c r="X90" i="28" s="1"/>
  <c r="Y91" i="28" s="1"/>
  <c r="K148" i="6"/>
  <c r="K150" i="6"/>
  <c r="S66" i="6"/>
  <c r="S67" i="6" s="1"/>
  <c r="T49" i="6"/>
  <c r="U46" i="6" s="1"/>
  <c r="S79" i="6"/>
  <c r="T78" i="6" s="1"/>
  <c r="H157" i="6"/>
  <c r="I156" i="6" s="1"/>
  <c r="AE17" i="21"/>
  <c r="AF122" i="1"/>
  <c r="AF45" i="25"/>
  <c r="AE17" i="28"/>
  <c r="I160" i="6"/>
  <c r="I162" i="6"/>
  <c r="F190" i="6"/>
  <c r="F192" i="6"/>
  <c r="AI18" i="24"/>
  <c r="AI6" i="6" s="1"/>
  <c r="AI10" i="24"/>
  <c r="AJ8" i="1" s="1"/>
  <c r="AJ6" i="1" s="1"/>
  <c r="AJ9" i="24"/>
  <c r="AI21" i="24"/>
  <c r="AI8" i="6" s="1"/>
  <c r="AI9" i="6" s="1"/>
  <c r="AI15" i="24"/>
  <c r="AJ10" i="1" s="1"/>
  <c r="AH17" i="1"/>
  <c r="AG13" i="21"/>
  <c r="AG12" i="21" s="1"/>
  <c r="AH110" i="1"/>
  <c r="BK68" i="9"/>
  <c r="AG13" i="28"/>
  <c r="AG12" i="28" s="1"/>
  <c r="AG197" i="6"/>
  <c r="E198" i="6" s="1"/>
  <c r="E199" i="6" s="1"/>
  <c r="S61" i="6"/>
  <c r="AH7" i="6"/>
  <c r="AI12" i="1"/>
  <c r="AI12" i="25" s="1"/>
  <c r="AI18" i="1"/>
  <c r="AI115" i="1"/>
  <c r="AI5" i="25"/>
  <c r="AI27" i="1"/>
  <c r="AI73" i="1"/>
  <c r="Y81" i="21"/>
  <c r="Y83" i="21"/>
  <c r="AC141" i="21"/>
  <c r="AC143" i="21"/>
  <c r="W30" i="6"/>
  <c r="W28" i="6"/>
  <c r="Y102" i="21"/>
  <c r="Y100" i="21" s="1"/>
  <c r="V34" i="6"/>
  <c r="V36" i="6"/>
  <c r="E244" i="6"/>
  <c r="E187" i="6"/>
  <c r="AI1" i="1"/>
  <c r="AI1" i="24"/>
  <c r="AI1" i="25"/>
  <c r="AH1" i="6"/>
  <c r="AH1" i="28"/>
  <c r="AH1" i="21"/>
  <c r="Y97" i="21"/>
  <c r="Y95" i="21" s="1"/>
  <c r="Z76" i="21"/>
  <c r="Z78" i="21"/>
  <c r="AH16" i="1"/>
  <c r="AH116" i="1"/>
  <c r="AH11" i="25"/>
  <c r="AB122" i="28"/>
  <c r="AB120" i="28" s="1"/>
  <c r="AH4" i="6"/>
  <c r="L132" i="6"/>
  <c r="L130" i="6"/>
  <c r="U46" i="21"/>
  <c r="U48" i="21"/>
  <c r="AC147" i="21"/>
  <c r="AC145" i="21" s="1"/>
  <c r="AC150" i="28"/>
  <c r="AC20" i="28"/>
  <c r="R70" i="6"/>
  <c r="R72" i="6"/>
  <c r="AB63" i="1"/>
  <c r="AB65" i="1"/>
  <c r="AB66" i="1" s="1"/>
  <c r="AC150" i="21"/>
  <c r="AD139" i="1"/>
  <c r="AD37" i="25" s="1"/>
  <c r="AC63" i="1"/>
  <c r="AC65" i="1"/>
  <c r="AC66" i="1" s="1"/>
  <c r="AG37" i="1"/>
  <c r="AG39" i="1"/>
  <c r="AH84" i="1"/>
  <c r="X61" i="21"/>
  <c r="X63" i="21"/>
  <c r="AC147" i="28"/>
  <c r="AC145" i="28" s="1"/>
  <c r="AA118" i="28"/>
  <c r="AA116" i="28"/>
  <c r="AD155" i="28"/>
  <c r="AD20" i="28"/>
  <c r="Z111" i="21"/>
  <c r="Z113" i="21"/>
  <c r="AA116" i="21"/>
  <c r="AA118" i="21"/>
  <c r="Y107" i="21"/>
  <c r="Y105" i="21" s="1"/>
  <c r="AG25" i="25"/>
  <c r="AG7" i="25"/>
  <c r="AG124" i="1"/>
  <c r="AH35" i="1"/>
  <c r="AH34" i="1" s="1"/>
  <c r="AH33" i="1" s="1"/>
  <c r="AH32" i="1" s="1"/>
  <c r="AH31" i="1" s="1"/>
  <c r="AH30" i="1" s="1"/>
  <c r="AH29" i="1" s="1"/>
  <c r="AH28" i="1"/>
  <c r="Y22" i="6"/>
  <c r="Y24" i="6"/>
  <c r="AF22" i="1"/>
  <c r="AD46" i="1"/>
  <c r="AD62" i="1"/>
  <c r="AD61" i="1" s="1"/>
  <c r="AD60" i="1" s="1"/>
  <c r="AD59" i="1" s="1"/>
  <c r="AD58" i="1" s="1"/>
  <c r="AD57" i="1" s="1"/>
  <c r="AD56" i="1" s="1"/>
  <c r="AD55" i="1" s="1"/>
  <c r="AD54" i="1" s="1"/>
  <c r="AD53" i="1" s="1"/>
  <c r="AD52" i="1" s="1"/>
  <c r="AD51" i="1" s="1"/>
  <c r="AD50" i="1" s="1"/>
  <c r="AD49" i="1" s="1"/>
  <c r="AD48" i="1" s="1"/>
  <c r="AD47" i="1" s="1"/>
  <c r="AG5" i="6"/>
  <c r="M112" i="6"/>
  <c r="M114" i="6"/>
  <c r="AB131" i="21"/>
  <c r="AB133" i="21"/>
  <c r="AE155" i="1"/>
  <c r="AE140" i="1" s="1"/>
  <c r="AE141" i="1" s="1"/>
  <c r="AA121" i="21"/>
  <c r="AA123" i="21"/>
  <c r="AI16" i="1"/>
  <c r="AI11" i="25"/>
  <c r="M96" i="6"/>
  <c r="M94" i="6"/>
  <c r="I169" i="6"/>
  <c r="Q90" i="6"/>
  <c r="Q88" i="6"/>
  <c r="T31" i="21"/>
  <c r="T33" i="21"/>
  <c r="W72" i="21"/>
  <c r="W70" i="21" s="1"/>
  <c r="S43" i="6"/>
  <c r="U57" i="21"/>
  <c r="U55" i="21" s="1"/>
  <c r="AE45" i="1"/>
  <c r="AE42" i="1"/>
  <c r="AC136" i="21"/>
  <c r="AC138" i="21"/>
  <c r="Y103" i="28"/>
  <c r="Y101" i="28"/>
  <c r="Y73" i="28"/>
  <c r="Y71" i="28"/>
  <c r="S85" i="6"/>
  <c r="O100" i="6"/>
  <c r="O102" i="6"/>
  <c r="I144" i="6"/>
  <c r="I142" i="6"/>
  <c r="AG117" i="1"/>
  <c r="AG114" i="1" s="1"/>
  <c r="AC19" i="21"/>
  <c r="D251" i="6"/>
  <c r="D253" i="6" s="1"/>
  <c r="E251" i="6"/>
  <c r="I251" i="6"/>
  <c r="R251" i="6"/>
  <c r="G251" i="6"/>
  <c r="L251" i="6"/>
  <c r="M251" i="6"/>
  <c r="S251" i="6"/>
  <c r="O251" i="6"/>
  <c r="F251" i="6"/>
  <c r="W251" i="6"/>
  <c r="J251" i="6"/>
  <c r="Q251" i="6"/>
  <c r="X251" i="6"/>
  <c r="Y251" i="6"/>
  <c r="V251" i="6"/>
  <c r="AC251" i="6"/>
  <c r="AK251" i="6"/>
  <c r="AR251" i="6"/>
  <c r="K251" i="6"/>
  <c r="T251" i="6"/>
  <c r="U251" i="6"/>
  <c r="Z251" i="6"/>
  <c r="AD251" i="6"/>
  <c r="AL251" i="6"/>
  <c r="AS251" i="6"/>
  <c r="P251" i="6"/>
  <c r="AE251" i="6"/>
  <c r="AM251" i="6"/>
  <c r="AT251" i="6"/>
  <c r="N251" i="6"/>
  <c r="AH251" i="6"/>
  <c r="AO251" i="6"/>
  <c r="AZ251" i="6"/>
  <c r="AA251" i="6"/>
  <c r="AJ251" i="6"/>
  <c r="AQ251" i="6"/>
  <c r="H251" i="6"/>
  <c r="AI251" i="6"/>
  <c r="AW251" i="6"/>
  <c r="AN251" i="6"/>
  <c r="AU251" i="6"/>
  <c r="AG251" i="6"/>
  <c r="AY251" i="6"/>
  <c r="AV251" i="6"/>
  <c r="AB251" i="6"/>
  <c r="AF251" i="6"/>
  <c r="AX251" i="6"/>
  <c r="B255" i="6"/>
  <c r="BA251" i="6"/>
  <c r="J139" i="6"/>
  <c r="AA127" i="28"/>
  <c r="AA125" i="28" s="1"/>
  <c r="AG40" i="1" l="1"/>
  <c r="G172" i="6"/>
  <c r="G175" i="6" s="1"/>
  <c r="H174" i="6" s="1"/>
  <c r="AD155" i="21"/>
  <c r="AI7" i="6"/>
  <c r="Z93" i="21"/>
  <c r="AD20" i="21"/>
  <c r="AE139" i="1"/>
  <c r="AE37" i="25" s="1"/>
  <c r="V53" i="21"/>
  <c r="V52" i="21" s="1"/>
  <c r="V50" i="21" s="1"/>
  <c r="AD141" i="28"/>
  <c r="AD142" i="28" s="1"/>
  <c r="AD140" i="28" s="1"/>
  <c r="Z81" i="28"/>
  <c r="Z82" i="28" s="1"/>
  <c r="Z80" i="28" s="1"/>
  <c r="AA83" i="28" s="1"/>
  <c r="U36" i="21"/>
  <c r="U37" i="21" s="1"/>
  <c r="U35" i="21" s="1"/>
  <c r="V38" i="21" s="1"/>
  <c r="AA106" i="28"/>
  <c r="AA107" i="28" s="1"/>
  <c r="AA105" i="28" s="1"/>
  <c r="AB106" i="28" s="1"/>
  <c r="V57" i="28"/>
  <c r="V55" i="28" s="1"/>
  <c r="W58" i="28" s="1"/>
  <c r="AB128" i="21"/>
  <c r="AB127" i="21" s="1"/>
  <c r="AB125" i="21" s="1"/>
  <c r="AH20" i="1"/>
  <c r="AH22" i="1" s="1"/>
  <c r="AH24" i="1" s="1"/>
  <c r="N275" i="21"/>
  <c r="N25" i="21"/>
  <c r="M27" i="28"/>
  <c r="M275" i="28" s="1"/>
  <c r="U43" i="21"/>
  <c r="U41" i="21"/>
  <c r="T32" i="21"/>
  <c r="T30" i="21" s="1"/>
  <c r="U33" i="21" s="1"/>
  <c r="V48" i="28"/>
  <c r="V47" i="28" s="1"/>
  <c r="V45" i="28" s="1"/>
  <c r="Y88" i="28"/>
  <c r="Y87" i="28" s="1"/>
  <c r="Y85" i="28" s="1"/>
  <c r="AA111" i="28"/>
  <c r="AA112" i="28" s="1"/>
  <c r="AA110" i="28" s="1"/>
  <c r="AA117" i="21"/>
  <c r="AA115" i="21" s="1"/>
  <c r="AB118" i="21" s="1"/>
  <c r="AC137" i="21"/>
  <c r="AC135" i="21" s="1"/>
  <c r="AD138" i="21" s="1"/>
  <c r="X62" i="21"/>
  <c r="X60" i="21" s="1"/>
  <c r="Y63" i="21" s="1"/>
  <c r="Y88" i="21"/>
  <c r="Y87" i="21" s="1"/>
  <c r="Y85" i="21" s="1"/>
  <c r="Z112" i="21"/>
  <c r="Z110" i="21" s="1"/>
  <c r="AA113" i="21" s="1"/>
  <c r="X63" i="28"/>
  <c r="X62" i="28" s="1"/>
  <c r="X60" i="28" s="1"/>
  <c r="AI116" i="1"/>
  <c r="W68" i="21"/>
  <c r="W66" i="21"/>
  <c r="N118" i="6"/>
  <c r="N120" i="6"/>
  <c r="W54" i="6"/>
  <c r="W52" i="6"/>
  <c r="W55" i="6" s="1"/>
  <c r="X52" i="6" s="1"/>
  <c r="Y33" i="28"/>
  <c r="Y31" i="28"/>
  <c r="Q91" i="6"/>
  <c r="R90" i="6" s="1"/>
  <c r="M124" i="6"/>
  <c r="M127" i="6" s="1"/>
  <c r="N126" i="6" s="1"/>
  <c r="T42" i="28"/>
  <c r="T40" i="28" s="1"/>
  <c r="U43" i="28" s="1"/>
  <c r="Z78" i="28"/>
  <c r="Z76" i="28"/>
  <c r="N108" i="6"/>
  <c r="N109" i="6" s="1"/>
  <c r="AC133" i="28"/>
  <c r="AC131" i="28"/>
  <c r="Z98" i="28"/>
  <c r="Z97" i="28" s="1"/>
  <c r="Z95" i="28" s="1"/>
  <c r="U48" i="6"/>
  <c r="U49" i="6" s="1"/>
  <c r="I154" i="6"/>
  <c r="I157" i="6" s="1"/>
  <c r="AD136" i="28"/>
  <c r="AD138" i="28"/>
  <c r="Y93" i="28"/>
  <c r="Y92" i="28" s="1"/>
  <c r="Y90" i="28" s="1"/>
  <c r="V37" i="6"/>
  <c r="W34" i="6" s="1"/>
  <c r="F193" i="6"/>
  <c r="G192" i="6" s="1"/>
  <c r="W31" i="6"/>
  <c r="X28" i="6" s="1"/>
  <c r="T76" i="6"/>
  <c r="T79" i="6" s="1"/>
  <c r="U78" i="6" s="1"/>
  <c r="I145" i="6"/>
  <c r="J142" i="6" s="1"/>
  <c r="Y102" i="28"/>
  <c r="Y100" i="28" s="1"/>
  <c r="Z101" i="28" s="1"/>
  <c r="Y25" i="6"/>
  <c r="Z24" i="6" s="1"/>
  <c r="O103" i="6"/>
  <c r="P100" i="6" s="1"/>
  <c r="L133" i="6"/>
  <c r="M132" i="6" s="1"/>
  <c r="I163" i="6"/>
  <c r="J160" i="6" s="1"/>
  <c r="K151" i="6"/>
  <c r="AE9" i="25"/>
  <c r="AD153" i="21"/>
  <c r="AD151" i="21"/>
  <c r="C151" i="21"/>
  <c r="AC142" i="21"/>
  <c r="AC140" i="21" s="1"/>
  <c r="T58" i="6"/>
  <c r="T60" i="6"/>
  <c r="D257" i="6"/>
  <c r="D259" i="6" s="1"/>
  <c r="H257" i="6"/>
  <c r="I257" i="6"/>
  <c r="E257" i="6"/>
  <c r="J257" i="6"/>
  <c r="M257" i="6"/>
  <c r="F257" i="6"/>
  <c r="N257" i="6"/>
  <c r="O257" i="6"/>
  <c r="P257" i="6"/>
  <c r="K257" i="6"/>
  <c r="L257" i="6"/>
  <c r="S257" i="6"/>
  <c r="Q257" i="6"/>
  <c r="X257" i="6"/>
  <c r="R257" i="6"/>
  <c r="AG257" i="6"/>
  <c r="AO257" i="6"/>
  <c r="V257" i="6"/>
  <c r="AH257" i="6"/>
  <c r="AP257" i="6"/>
  <c r="AA257" i="6"/>
  <c r="AI257" i="6"/>
  <c r="G257" i="6"/>
  <c r="AD257" i="6"/>
  <c r="AL257" i="6"/>
  <c r="AS257" i="6"/>
  <c r="Z257" i="6"/>
  <c r="AK257" i="6"/>
  <c r="AR257" i="6"/>
  <c r="AV257" i="6"/>
  <c r="W257" i="6"/>
  <c r="AM257" i="6"/>
  <c r="AT257" i="6"/>
  <c r="AW257" i="6"/>
  <c r="AF257" i="6"/>
  <c r="AX257" i="6"/>
  <c r="AE257" i="6"/>
  <c r="AJ257" i="6"/>
  <c r="AC257" i="6"/>
  <c r="AZ257" i="6"/>
  <c r="AN257" i="6"/>
  <c r="U257" i="6"/>
  <c r="AU257" i="6"/>
  <c r="Y257" i="6"/>
  <c r="T257" i="6"/>
  <c r="B261" i="6"/>
  <c r="AY257" i="6"/>
  <c r="BA257" i="6"/>
  <c r="AB257" i="6"/>
  <c r="Z92" i="21"/>
  <c r="Z90" i="21" s="1"/>
  <c r="AH37" i="1"/>
  <c r="AH39" i="1"/>
  <c r="X66" i="28"/>
  <c r="X68" i="28"/>
  <c r="AD155" i="1"/>
  <c r="AD140" i="1" s="1"/>
  <c r="AD141" i="1" s="1"/>
  <c r="AD159" i="1"/>
  <c r="T82" i="6"/>
  <c r="T84" i="6"/>
  <c r="T42" i="6"/>
  <c r="T40" i="6"/>
  <c r="AD151" i="28"/>
  <c r="AD153" i="28"/>
  <c r="C151" i="28"/>
  <c r="AJ1" i="1"/>
  <c r="AJ1" i="24"/>
  <c r="AI1" i="6"/>
  <c r="AJ1" i="25"/>
  <c r="AI1" i="21"/>
  <c r="AI1" i="28"/>
  <c r="AB126" i="28"/>
  <c r="AB128" i="28"/>
  <c r="Y72" i="28"/>
  <c r="Y70" i="28" s="1"/>
  <c r="AF24" i="1"/>
  <c r="AC20" i="21"/>
  <c r="AC123" i="28"/>
  <c r="AC121" i="28"/>
  <c r="AE156" i="21"/>
  <c r="AE158" i="21"/>
  <c r="C156" i="21"/>
  <c r="AI84" i="1"/>
  <c r="F186" i="6"/>
  <c r="F184" i="6"/>
  <c r="Z101" i="21"/>
  <c r="Z103" i="21"/>
  <c r="AI35" i="1"/>
  <c r="AI34" i="1" s="1"/>
  <c r="AI33" i="1" s="1"/>
  <c r="AI32" i="1" s="1"/>
  <c r="AI31" i="1" s="1"/>
  <c r="AI30" i="1" s="1"/>
  <c r="AI29" i="1" s="1"/>
  <c r="AI28" i="1"/>
  <c r="AE18" i="21"/>
  <c r="AE19" i="21" s="1"/>
  <c r="AF10" i="25"/>
  <c r="AG24" i="1"/>
  <c r="K136" i="6"/>
  <c r="K138" i="6"/>
  <c r="W53" i="28"/>
  <c r="W51" i="28"/>
  <c r="AJ16" i="1"/>
  <c r="AJ11" i="25"/>
  <c r="AB132" i="21"/>
  <c r="AB130" i="21" s="1"/>
  <c r="X71" i="21"/>
  <c r="X73" i="21"/>
  <c r="AD146" i="21"/>
  <c r="AD148" i="21"/>
  <c r="F198" i="6"/>
  <c r="F196" i="6"/>
  <c r="AA122" i="21"/>
  <c r="AA120" i="21" s="1"/>
  <c r="AH5" i="6"/>
  <c r="AE158" i="28"/>
  <c r="AE156" i="28"/>
  <c r="C156" i="28"/>
  <c r="Z96" i="21"/>
  <c r="Z98" i="21"/>
  <c r="AJ12" i="1"/>
  <c r="AJ12" i="25" s="1"/>
  <c r="AJ18" i="1"/>
  <c r="AJ93" i="1"/>
  <c r="AJ95" i="1" s="1"/>
  <c r="AJ115" i="1"/>
  <c r="AJ73" i="1"/>
  <c r="AJ27" i="1"/>
  <c r="AJ5" i="25"/>
  <c r="R73" i="6"/>
  <c r="AB68" i="1"/>
  <c r="Z77" i="21"/>
  <c r="Z75" i="21" s="1"/>
  <c r="E250" i="6"/>
  <c r="AE46" i="1"/>
  <c r="AE62" i="1"/>
  <c r="AE61" i="1" s="1"/>
  <c r="AE60" i="1" s="1"/>
  <c r="AE59" i="1" s="1"/>
  <c r="AE58" i="1" s="1"/>
  <c r="AE57" i="1" s="1"/>
  <c r="AE56" i="1" s="1"/>
  <c r="AE55" i="1" s="1"/>
  <c r="AE54" i="1" s="1"/>
  <c r="AE53" i="1" s="1"/>
  <c r="AE52" i="1" s="1"/>
  <c r="AE51" i="1" s="1"/>
  <c r="AE50" i="1" s="1"/>
  <c r="AE49" i="1" s="1"/>
  <c r="AE48" i="1" s="1"/>
  <c r="AE47" i="1" s="1"/>
  <c r="M97" i="6"/>
  <c r="AD63" i="1"/>
  <c r="AD65" i="1"/>
  <c r="AD66" i="1" s="1"/>
  <c r="AA117" i="28"/>
  <c r="AA115" i="28" s="1"/>
  <c r="AH7" i="25"/>
  <c r="AH124" i="1"/>
  <c r="AH25" i="25"/>
  <c r="Y82" i="21"/>
  <c r="Y80" i="21" s="1"/>
  <c r="AI4" i="6"/>
  <c r="AE18" i="28"/>
  <c r="AI124" i="1"/>
  <c r="AI25" i="25"/>
  <c r="AI7" i="25"/>
  <c r="AF17" i="21"/>
  <c r="AG122" i="1"/>
  <c r="AG45" i="25"/>
  <c r="AF17" i="28"/>
  <c r="X36" i="28"/>
  <c r="X38" i="28"/>
  <c r="J166" i="6"/>
  <c r="J168" i="6"/>
  <c r="M115" i="6"/>
  <c r="Z106" i="21"/>
  <c r="Z108" i="21"/>
  <c r="AI17" i="1"/>
  <c r="AI20" i="1" s="1"/>
  <c r="AH13" i="21"/>
  <c r="AH12" i="21" s="1"/>
  <c r="AI110" i="1"/>
  <c r="BL68" i="9"/>
  <c r="AH13" i="28"/>
  <c r="AH12" i="28" s="1"/>
  <c r="AH203" i="6"/>
  <c r="E204" i="6" s="1"/>
  <c r="E205" i="6" s="1"/>
  <c r="T66" i="6"/>
  <c r="T64" i="6"/>
  <c r="AJ18" i="24"/>
  <c r="AJ6" i="6" s="1"/>
  <c r="AJ7" i="6" s="1"/>
  <c r="AJ10" i="24"/>
  <c r="AK8" i="1" s="1"/>
  <c r="AK6" i="1" s="1"/>
  <c r="AJ21" i="24"/>
  <c r="AJ8" i="6" s="1"/>
  <c r="AJ9" i="6" s="1"/>
  <c r="AK9" i="24"/>
  <c r="AJ15" i="24"/>
  <c r="AK10" i="1" s="1"/>
  <c r="H180" i="6"/>
  <c r="H178" i="6"/>
  <c r="V56" i="21"/>
  <c r="V58" i="21"/>
  <c r="AD146" i="28"/>
  <c r="AD148" i="28"/>
  <c r="AC68" i="1"/>
  <c r="U47" i="21"/>
  <c r="U45" i="21" s="1"/>
  <c r="AH117" i="1"/>
  <c r="AH114" i="1" s="1"/>
  <c r="R88" i="6" l="1"/>
  <c r="W36" i="6"/>
  <c r="W37" i="6" s="1"/>
  <c r="X34" i="6" s="1"/>
  <c r="G190" i="6"/>
  <c r="Y61" i="21"/>
  <c r="U42" i="21"/>
  <c r="U40" i="21" s="1"/>
  <c r="Z77" i="28"/>
  <c r="Z75" i="28" s="1"/>
  <c r="V36" i="21"/>
  <c r="V37" i="21" s="1"/>
  <c r="V35" i="21" s="1"/>
  <c r="U31" i="21"/>
  <c r="AB108" i="28"/>
  <c r="AB107" i="28" s="1"/>
  <c r="AB105" i="28" s="1"/>
  <c r="AC108" i="28" s="1"/>
  <c r="Y32" i="28"/>
  <c r="Y30" i="28" s="1"/>
  <c r="Z33" i="28" s="1"/>
  <c r="W56" i="28"/>
  <c r="W57" i="28" s="1"/>
  <c r="W55" i="28" s="1"/>
  <c r="X56" i="28" s="1"/>
  <c r="AA111" i="21"/>
  <c r="AA112" i="21" s="1"/>
  <c r="AA110" i="21" s="1"/>
  <c r="AB113" i="21" s="1"/>
  <c r="Z103" i="28"/>
  <c r="Z102" i="28" s="1"/>
  <c r="Z100" i="28" s="1"/>
  <c r="AA101" i="28" s="1"/>
  <c r="N22" i="21"/>
  <c r="O28" i="21"/>
  <c r="O4" i="21" s="1"/>
  <c r="P74" i="1" s="1"/>
  <c r="O26" i="21"/>
  <c r="AC122" i="28"/>
  <c r="AC120" i="28" s="1"/>
  <c r="AD123" i="28" s="1"/>
  <c r="X54" i="6"/>
  <c r="X55" i="6" s="1"/>
  <c r="M25" i="28"/>
  <c r="O143" i="1"/>
  <c r="O14" i="25"/>
  <c r="AH40" i="1"/>
  <c r="AH42" i="1" s="1"/>
  <c r="V57" i="21"/>
  <c r="V55" i="21" s="1"/>
  <c r="W56" i="21" s="1"/>
  <c r="Y61" i="28"/>
  <c r="Y63" i="28"/>
  <c r="AB111" i="28"/>
  <c r="AB113" i="28"/>
  <c r="AJ116" i="1"/>
  <c r="AB116" i="21"/>
  <c r="AB117" i="21" s="1"/>
  <c r="AB115" i="21" s="1"/>
  <c r="AC116" i="21" s="1"/>
  <c r="W67" i="21"/>
  <c r="W65" i="21" s="1"/>
  <c r="AD136" i="21"/>
  <c r="AD137" i="21" s="1"/>
  <c r="AD135" i="21" s="1"/>
  <c r="AD152" i="21"/>
  <c r="AD150" i="21" s="1"/>
  <c r="AE151" i="21" s="1"/>
  <c r="AA81" i="28"/>
  <c r="AA82" i="28" s="1"/>
  <c r="AA80" i="28" s="1"/>
  <c r="AB81" i="28" s="1"/>
  <c r="U41" i="28"/>
  <c r="U42" i="28" s="1"/>
  <c r="U40" i="28" s="1"/>
  <c r="V43" i="28" s="1"/>
  <c r="AC132" i="28"/>
  <c r="AC130" i="28" s="1"/>
  <c r="AD133" i="28" s="1"/>
  <c r="Y62" i="21"/>
  <c r="Y60" i="21" s="1"/>
  <c r="Z61" i="21" s="1"/>
  <c r="AD147" i="21"/>
  <c r="AD145" i="21" s="1"/>
  <c r="AE146" i="21" s="1"/>
  <c r="Z97" i="21"/>
  <c r="Z95" i="21" s="1"/>
  <c r="AA96" i="21" s="1"/>
  <c r="Z102" i="21"/>
  <c r="Z100" i="21" s="1"/>
  <c r="AA101" i="21" s="1"/>
  <c r="O106" i="6"/>
  <c r="O108" i="6"/>
  <c r="R91" i="6"/>
  <c r="S88" i="6" s="1"/>
  <c r="AD137" i="28"/>
  <c r="AD135" i="28" s="1"/>
  <c r="AE136" i="28" s="1"/>
  <c r="H172" i="6"/>
  <c r="H175" i="6" s="1"/>
  <c r="X30" i="6"/>
  <c r="X31" i="6" s="1"/>
  <c r="AA76" i="28"/>
  <c r="AA78" i="28"/>
  <c r="AE157" i="28"/>
  <c r="AE155" i="28" s="1"/>
  <c r="AF156" i="28" s="1"/>
  <c r="N121" i="6"/>
  <c r="Z91" i="28"/>
  <c r="Z93" i="28"/>
  <c r="U76" i="6"/>
  <c r="U79" i="6" s="1"/>
  <c r="N124" i="6"/>
  <c r="N127" i="6" s="1"/>
  <c r="W52" i="28"/>
  <c r="W50" i="28" s="1"/>
  <c r="X51" i="28" s="1"/>
  <c r="H181" i="6"/>
  <c r="I178" i="6" s="1"/>
  <c r="M130" i="6"/>
  <c r="M133" i="6" s="1"/>
  <c r="N132" i="6" s="1"/>
  <c r="J162" i="6"/>
  <c r="J163" i="6" s="1"/>
  <c r="J144" i="6"/>
  <c r="J145" i="6" s="1"/>
  <c r="K144" i="6" s="1"/>
  <c r="F187" i="6"/>
  <c r="G186" i="6" s="1"/>
  <c r="T43" i="6"/>
  <c r="U42" i="6" s="1"/>
  <c r="Z22" i="6"/>
  <c r="Z25" i="6" s="1"/>
  <c r="X37" i="28"/>
  <c r="X35" i="28" s="1"/>
  <c r="Y38" i="28" s="1"/>
  <c r="P102" i="6"/>
  <c r="P103" i="6" s="1"/>
  <c r="L148" i="6"/>
  <c r="L150" i="6"/>
  <c r="T61" i="6"/>
  <c r="U58" i="6" s="1"/>
  <c r="AD9" i="25"/>
  <c r="AG17" i="21"/>
  <c r="AH122" i="1"/>
  <c r="AH45" i="25"/>
  <c r="AG17" i="28"/>
  <c r="AK16" i="1"/>
  <c r="AK11" i="25"/>
  <c r="F202" i="6"/>
  <c r="F204" i="6"/>
  <c r="AJ17" i="1"/>
  <c r="AJ20" i="1" s="1"/>
  <c r="AI13" i="21"/>
  <c r="AI12" i="21" s="1"/>
  <c r="AJ110" i="1"/>
  <c r="BM68" i="9"/>
  <c r="AI13" i="28"/>
  <c r="AI12" i="28" s="1"/>
  <c r="AI209" i="6"/>
  <c r="AD68" i="1"/>
  <c r="AA76" i="21"/>
  <c r="AA78" i="21"/>
  <c r="W51" i="21"/>
  <c r="W53" i="21"/>
  <c r="AC131" i="21"/>
  <c r="AC133" i="21"/>
  <c r="AK1" i="1"/>
  <c r="AJ1" i="6"/>
  <c r="AK1" i="24"/>
  <c r="AK1" i="25"/>
  <c r="AJ1" i="28"/>
  <c r="AJ1" i="21"/>
  <c r="E256" i="6"/>
  <c r="AK18" i="24"/>
  <c r="AK6" i="6" s="1"/>
  <c r="AK4" i="6" s="1"/>
  <c r="AK10" i="24"/>
  <c r="AL8" i="1" s="1"/>
  <c r="AL6" i="1" s="1"/>
  <c r="AK21" i="24"/>
  <c r="AK8" i="6" s="1"/>
  <c r="AK9" i="6" s="1"/>
  <c r="AL9" i="24"/>
  <c r="AK15" i="24"/>
  <c r="AL10" i="1" s="1"/>
  <c r="N114" i="6"/>
  <c r="N112" i="6"/>
  <c r="Z81" i="21"/>
  <c r="Z83" i="21"/>
  <c r="K139" i="6"/>
  <c r="AE157" i="21"/>
  <c r="AE155" i="21" s="1"/>
  <c r="AF45" i="1"/>
  <c r="AF42" i="1"/>
  <c r="AJ84" i="1"/>
  <c r="D263" i="6"/>
  <c r="D265" i="6" s="1"/>
  <c r="E263" i="6"/>
  <c r="F263" i="6"/>
  <c r="I263" i="6"/>
  <c r="K263" i="6"/>
  <c r="L263" i="6"/>
  <c r="M263" i="6"/>
  <c r="R263" i="6"/>
  <c r="S263" i="6"/>
  <c r="H263" i="6"/>
  <c r="G263" i="6"/>
  <c r="O263" i="6"/>
  <c r="P263" i="6"/>
  <c r="W263" i="6"/>
  <c r="X263" i="6"/>
  <c r="J263" i="6"/>
  <c r="T263" i="6"/>
  <c r="U263" i="6"/>
  <c r="Y263" i="6"/>
  <c r="Q263" i="6"/>
  <c r="N263" i="6"/>
  <c r="AC263" i="6"/>
  <c r="AK263" i="6"/>
  <c r="AD263" i="6"/>
  <c r="AL263" i="6"/>
  <c r="AS263" i="6"/>
  <c r="AE263" i="6"/>
  <c r="AM263" i="6"/>
  <c r="AT263" i="6"/>
  <c r="Z263" i="6"/>
  <c r="AH263" i="6"/>
  <c r="AP263" i="6"/>
  <c r="V263" i="6"/>
  <c r="AG263" i="6"/>
  <c r="AZ263" i="6"/>
  <c r="AI263" i="6"/>
  <c r="AB263" i="6"/>
  <c r="AA263" i="6"/>
  <c r="AQ263" i="6"/>
  <c r="AW263" i="6"/>
  <c r="AF263" i="6"/>
  <c r="AV263" i="6"/>
  <c r="AJ263" i="6"/>
  <c r="AX263" i="6"/>
  <c r="AN263" i="6"/>
  <c r="AO263" i="6"/>
  <c r="AY263" i="6"/>
  <c r="B267" i="6"/>
  <c r="BA263" i="6"/>
  <c r="AU263" i="6"/>
  <c r="U32" i="21"/>
  <c r="U30" i="21" s="1"/>
  <c r="AK12" i="1"/>
  <c r="AK12" i="25" s="1"/>
  <c r="AK18" i="1"/>
  <c r="AK115" i="1"/>
  <c r="AK73" i="1"/>
  <c r="AK93" i="1"/>
  <c r="AK95" i="1" s="1"/>
  <c r="AK27" i="1"/>
  <c r="AK5" i="25"/>
  <c r="N96" i="6"/>
  <c r="N94" i="6"/>
  <c r="AE143" i="28"/>
  <c r="AE141" i="28"/>
  <c r="AI22" i="1"/>
  <c r="AI24" i="1" s="1"/>
  <c r="AJ4" i="6"/>
  <c r="AF18" i="28"/>
  <c r="AF19" i="28" s="1"/>
  <c r="Z73" i="28"/>
  <c r="Z71" i="28"/>
  <c r="J154" i="6"/>
  <c r="J156" i="6"/>
  <c r="T67" i="6"/>
  <c r="S70" i="6"/>
  <c r="S72" i="6"/>
  <c r="F199" i="6"/>
  <c r="AE160" i="21"/>
  <c r="AF139" i="1"/>
  <c r="AF37" i="25" s="1"/>
  <c r="AE20" i="21"/>
  <c r="X67" i="28"/>
  <c r="X65" i="28" s="1"/>
  <c r="AA91" i="21"/>
  <c r="AA93" i="21"/>
  <c r="Z86" i="28"/>
  <c r="Z88" i="28"/>
  <c r="AJ28" i="1"/>
  <c r="AJ35" i="1"/>
  <c r="AJ34" i="1" s="1"/>
  <c r="AJ33" i="1" s="1"/>
  <c r="AJ32" i="1" s="1"/>
  <c r="AJ31" i="1" s="1"/>
  <c r="AJ30" i="1" s="1"/>
  <c r="AJ29" i="1" s="1"/>
  <c r="V48" i="6"/>
  <c r="V46" i="6"/>
  <c r="AI117" i="1"/>
  <c r="AI114" i="1" s="1"/>
  <c r="AJ124" i="1"/>
  <c r="AJ7" i="25"/>
  <c r="AJ25" i="25"/>
  <c r="AD143" i="21"/>
  <c r="AD141" i="21"/>
  <c r="AE63" i="1"/>
  <c r="AE65" i="1"/>
  <c r="AE66" i="1" s="1"/>
  <c r="AD147" i="28"/>
  <c r="AD145" i="28" s="1"/>
  <c r="AE160" i="28"/>
  <c r="AH45" i="1"/>
  <c r="AI5" i="6"/>
  <c r="X72" i="21"/>
  <c r="X70" i="21" s="1"/>
  <c r="Z86" i="21"/>
  <c r="Z88" i="21"/>
  <c r="AD152" i="28"/>
  <c r="AD150" i="28" s="1"/>
  <c r="S90" i="6"/>
  <c r="AG45" i="1"/>
  <c r="AG42" i="1"/>
  <c r="J169" i="6"/>
  <c r="AF155" i="1"/>
  <c r="AF140" i="1" s="1"/>
  <c r="AF141" i="1" s="1"/>
  <c r="AF159" i="1"/>
  <c r="AC126" i="21"/>
  <c r="AC128" i="21"/>
  <c r="AA98" i="28"/>
  <c r="AA96" i="28"/>
  <c r="V46" i="21"/>
  <c r="V48" i="21"/>
  <c r="W48" i="28"/>
  <c r="W46" i="28"/>
  <c r="Z107" i="21"/>
  <c r="Z105" i="21" s="1"/>
  <c r="V41" i="21"/>
  <c r="V43" i="21"/>
  <c r="AF18" i="21"/>
  <c r="AF19" i="21" s="1"/>
  <c r="AG10" i="25"/>
  <c r="AE19" i="28"/>
  <c r="AE20" i="28" s="1"/>
  <c r="AB116" i="28"/>
  <c r="AB118" i="28"/>
  <c r="AB121" i="21"/>
  <c r="AB123" i="21"/>
  <c r="AI37" i="1"/>
  <c r="AI39" i="1"/>
  <c r="AI40" i="1" s="1"/>
  <c r="AB127" i="28"/>
  <c r="AB125" i="28" s="1"/>
  <c r="G193" i="6"/>
  <c r="T85" i="6"/>
  <c r="O109" i="6" l="1"/>
  <c r="W58" i="21"/>
  <c r="AC106" i="28"/>
  <c r="Z31" i="28"/>
  <c r="AE148" i="21"/>
  <c r="AE147" i="21" s="1"/>
  <c r="AE145" i="21" s="1"/>
  <c r="AF148" i="21" s="1"/>
  <c r="O27" i="21"/>
  <c r="O25" i="21" s="1"/>
  <c r="P26" i="21" s="1"/>
  <c r="AD131" i="28"/>
  <c r="AD132" i="28" s="1"/>
  <c r="AD130" i="28" s="1"/>
  <c r="AE131" i="28" s="1"/>
  <c r="AB112" i="28"/>
  <c r="AB110" i="28" s="1"/>
  <c r="AC113" i="28" s="1"/>
  <c r="AA103" i="21"/>
  <c r="AA102" i="21" s="1"/>
  <c r="AA100" i="21" s="1"/>
  <c r="AA98" i="21"/>
  <c r="AA97" i="21" s="1"/>
  <c r="AA95" i="21" s="1"/>
  <c r="AJ5" i="6"/>
  <c r="G184" i="6"/>
  <c r="G187" i="6" s="1"/>
  <c r="O142" i="1"/>
  <c r="O38" i="25"/>
  <c r="O36" i="25" s="1"/>
  <c r="O48" i="25" s="1"/>
  <c r="AD121" i="28"/>
  <c r="AD122" i="28" s="1"/>
  <c r="AD120" i="28" s="1"/>
  <c r="AE123" i="28" s="1"/>
  <c r="Y62" i="28"/>
  <c r="Y60" i="28" s="1"/>
  <c r="Z61" i="28" s="1"/>
  <c r="AE153" i="21"/>
  <c r="AE152" i="21" s="1"/>
  <c r="AE150" i="21" s="1"/>
  <c r="P39" i="25"/>
  <c r="P13" i="25"/>
  <c r="P144" i="1"/>
  <c r="P27" i="25"/>
  <c r="P40" i="25" s="1"/>
  <c r="N28" i="28"/>
  <c r="N4" i="28" s="1"/>
  <c r="N26" i="28"/>
  <c r="M22" i="28"/>
  <c r="U60" i="6"/>
  <c r="U61" i="6" s="1"/>
  <c r="AB122" i="21"/>
  <c r="AB120" i="21" s="1"/>
  <c r="AC123" i="21" s="1"/>
  <c r="AB111" i="21"/>
  <c r="AB112" i="21" s="1"/>
  <c r="AB110" i="21" s="1"/>
  <c r="X58" i="28"/>
  <c r="X57" i="28" s="1"/>
  <c r="X55" i="28" s="1"/>
  <c r="Y58" i="28" s="1"/>
  <c r="AB83" i="28"/>
  <c r="AB82" i="28" s="1"/>
  <c r="AB80" i="28" s="1"/>
  <c r="AC81" i="28" s="1"/>
  <c r="Z92" i="28"/>
  <c r="Z90" i="28" s="1"/>
  <c r="AA93" i="28" s="1"/>
  <c r="AF158" i="28"/>
  <c r="AF157" i="28" s="1"/>
  <c r="AF155" i="28" s="1"/>
  <c r="AG156" i="28" s="1"/>
  <c r="X66" i="21"/>
  <c r="X68" i="21"/>
  <c r="AD142" i="21"/>
  <c r="AD140" i="21" s="1"/>
  <c r="AE141" i="21" s="1"/>
  <c r="Z82" i="21"/>
  <c r="Z80" i="21" s="1"/>
  <c r="AA81" i="21" s="1"/>
  <c r="AC118" i="21"/>
  <c r="AC117" i="21" s="1"/>
  <c r="AC115" i="21" s="1"/>
  <c r="Y36" i="28"/>
  <c r="Y37" i="28" s="1"/>
  <c r="Y35" i="28" s="1"/>
  <c r="Z36" i="28" s="1"/>
  <c r="V41" i="28"/>
  <c r="V42" i="28" s="1"/>
  <c r="V40" i="28" s="1"/>
  <c r="W43" i="28" s="1"/>
  <c r="Z63" i="21"/>
  <c r="Z62" i="21" s="1"/>
  <c r="Z60" i="21" s="1"/>
  <c r="AC127" i="21"/>
  <c r="AC125" i="21" s="1"/>
  <c r="AD126" i="21" s="1"/>
  <c r="AA97" i="28"/>
  <c r="AA95" i="28" s="1"/>
  <c r="AB98" i="28" s="1"/>
  <c r="AE138" i="28"/>
  <c r="AE137" i="28" s="1"/>
  <c r="AE135" i="28" s="1"/>
  <c r="O120" i="6"/>
  <c r="O118" i="6"/>
  <c r="I180" i="6"/>
  <c r="I181" i="6" s="1"/>
  <c r="AA77" i="28"/>
  <c r="AA75" i="28" s="1"/>
  <c r="N97" i="6"/>
  <c r="O94" i="6" s="1"/>
  <c r="Z32" i="28"/>
  <c r="Z30" i="28" s="1"/>
  <c r="V78" i="6"/>
  <c r="V76" i="6"/>
  <c r="W47" i="28"/>
  <c r="W45" i="28" s="1"/>
  <c r="X46" i="28" s="1"/>
  <c r="X36" i="6"/>
  <c r="X37" i="6" s="1"/>
  <c r="U40" i="6"/>
  <c r="U43" i="6" s="1"/>
  <c r="X53" i="28"/>
  <c r="X52" i="28" s="1"/>
  <c r="X50" i="28" s="1"/>
  <c r="AA103" i="28"/>
  <c r="AA102" i="28" s="1"/>
  <c r="AA100" i="28" s="1"/>
  <c r="J157" i="6"/>
  <c r="K156" i="6" s="1"/>
  <c r="K142" i="6"/>
  <c r="K145" i="6" s="1"/>
  <c r="AC107" i="28"/>
  <c r="AC105" i="28" s="1"/>
  <c r="AD108" i="28" s="1"/>
  <c r="N130" i="6"/>
  <c r="N133" i="6" s="1"/>
  <c r="N115" i="6"/>
  <c r="O114" i="6" s="1"/>
  <c r="S73" i="6"/>
  <c r="T70" i="6" s="1"/>
  <c r="L151" i="6"/>
  <c r="AI45" i="1"/>
  <c r="AI42" i="1"/>
  <c r="AJ22" i="1"/>
  <c r="AJ24" i="1" s="1"/>
  <c r="AF9" i="25"/>
  <c r="Y71" i="21"/>
  <c r="Y73" i="21"/>
  <c r="D269" i="6"/>
  <c r="D271" i="6" s="1"/>
  <c r="H269" i="6"/>
  <c r="I269" i="6"/>
  <c r="J269" i="6"/>
  <c r="M269" i="6"/>
  <c r="G269" i="6"/>
  <c r="N269" i="6"/>
  <c r="F269" i="6"/>
  <c r="K269" i="6"/>
  <c r="O269" i="6"/>
  <c r="P269" i="6"/>
  <c r="S269" i="6"/>
  <c r="E269" i="6"/>
  <c r="T269" i="6"/>
  <c r="U269" i="6"/>
  <c r="X269" i="6"/>
  <c r="Z269" i="6"/>
  <c r="AG269" i="6"/>
  <c r="AO269" i="6"/>
  <c r="R269" i="6"/>
  <c r="AH269" i="6"/>
  <c r="AP269" i="6"/>
  <c r="W269" i="6"/>
  <c r="AA269" i="6"/>
  <c r="AI269" i="6"/>
  <c r="AQ269" i="6"/>
  <c r="V269" i="6"/>
  <c r="AD269" i="6"/>
  <c r="AL269" i="6"/>
  <c r="AC269" i="6"/>
  <c r="AV269" i="6"/>
  <c r="AE269" i="6"/>
  <c r="AW269" i="6"/>
  <c r="AN269" i="6"/>
  <c r="AX269" i="6"/>
  <c r="AM269" i="6"/>
  <c r="AT269" i="6"/>
  <c r="AB269" i="6"/>
  <c r="AY269" i="6"/>
  <c r="Q269" i="6"/>
  <c r="AF269" i="6"/>
  <c r="AJ269" i="6"/>
  <c r="L269" i="6"/>
  <c r="AK269" i="6"/>
  <c r="AZ269" i="6"/>
  <c r="AR269" i="6"/>
  <c r="Y269" i="6"/>
  <c r="AU269" i="6"/>
  <c r="B273" i="6"/>
  <c r="BA269" i="6"/>
  <c r="C161" i="28"/>
  <c r="AF163" i="28"/>
  <c r="AF161" i="28"/>
  <c r="Z72" i="28"/>
  <c r="Z70" i="28" s="1"/>
  <c r="AF156" i="21"/>
  <c r="AF158" i="21"/>
  <c r="AJ117" i="1"/>
  <c r="AJ114" i="1" s="1"/>
  <c r="Z87" i="21"/>
  <c r="Z85" i="21" s="1"/>
  <c r="AE68" i="1"/>
  <c r="Z87" i="28"/>
  <c r="Z85" i="28" s="1"/>
  <c r="AF161" i="21"/>
  <c r="C161" i="21"/>
  <c r="AF163" i="21"/>
  <c r="L138" i="6"/>
  <c r="L136" i="6"/>
  <c r="AL12" i="1"/>
  <c r="AL12" i="25" s="1"/>
  <c r="AL18" i="1"/>
  <c r="AL115" i="1"/>
  <c r="AL73" i="1"/>
  <c r="AL93" i="1"/>
  <c r="AL95" i="1" s="1"/>
  <c r="AL5" i="25"/>
  <c r="AL27" i="1"/>
  <c r="AG155" i="1"/>
  <c r="AG140" i="1" s="1"/>
  <c r="AG141" i="1" s="1"/>
  <c r="AG159" i="1"/>
  <c r="O124" i="6"/>
  <c r="O126" i="6"/>
  <c r="AE136" i="21"/>
  <c r="AE138" i="21"/>
  <c r="U84" i="6"/>
  <c r="U82" i="6"/>
  <c r="U66" i="6"/>
  <c r="U64" i="6"/>
  <c r="F205" i="6"/>
  <c r="AA22" i="6"/>
  <c r="AA24" i="6"/>
  <c r="S91" i="6"/>
  <c r="AE148" i="28"/>
  <c r="AE146" i="28"/>
  <c r="V49" i="6"/>
  <c r="Y68" i="28"/>
  <c r="Y66" i="28"/>
  <c r="Q102" i="6"/>
  <c r="Q100" i="6"/>
  <c r="AK28" i="1"/>
  <c r="AK35" i="1"/>
  <c r="AK34" i="1" s="1"/>
  <c r="AK33" i="1" s="1"/>
  <c r="AK32" i="1" s="1"/>
  <c r="AK31" i="1" s="1"/>
  <c r="AK30" i="1" s="1"/>
  <c r="AK29" i="1" s="1"/>
  <c r="I172" i="6"/>
  <c r="I174" i="6"/>
  <c r="AC132" i="21"/>
  <c r="AC130" i="21" s="1"/>
  <c r="E210" i="6"/>
  <c r="Y30" i="6"/>
  <c r="Y28" i="6"/>
  <c r="AF165" i="28"/>
  <c r="AF20" i="28"/>
  <c r="E262" i="6"/>
  <c r="Y54" i="6"/>
  <c r="Y52" i="6"/>
  <c r="P106" i="6"/>
  <c r="P108" i="6"/>
  <c r="V42" i="21"/>
  <c r="V40" i="21" s="1"/>
  <c r="K168" i="6"/>
  <c r="K166" i="6"/>
  <c r="AG46" i="1"/>
  <c r="AG62" i="1"/>
  <c r="AG61" i="1" s="1"/>
  <c r="AG60" i="1" s="1"/>
  <c r="AG59" i="1" s="1"/>
  <c r="AG58" i="1" s="1"/>
  <c r="AG57" i="1" s="1"/>
  <c r="AG56" i="1" s="1"/>
  <c r="AG55" i="1" s="1"/>
  <c r="AG54" i="1" s="1"/>
  <c r="AG53" i="1" s="1"/>
  <c r="AG52" i="1" s="1"/>
  <c r="AG51" i="1" s="1"/>
  <c r="AG50" i="1" s="1"/>
  <c r="AG49" i="1" s="1"/>
  <c r="AG48" i="1" s="1"/>
  <c r="AG47" i="1" s="1"/>
  <c r="AE153" i="28"/>
  <c r="AE151" i="28"/>
  <c r="AJ37" i="1"/>
  <c r="AJ39" i="1"/>
  <c r="AJ40" i="1" s="1"/>
  <c r="AL16" i="1"/>
  <c r="AL11" i="25"/>
  <c r="AK84" i="1"/>
  <c r="AK116" i="1"/>
  <c r="AL17" i="1"/>
  <c r="AL110" i="1"/>
  <c r="AK13" i="21"/>
  <c r="AK12" i="21" s="1"/>
  <c r="BO68" i="9"/>
  <c r="AK13" i="28"/>
  <c r="AK12" i="28" s="1"/>
  <c r="AK221" i="6"/>
  <c r="AG18" i="21"/>
  <c r="AG19" i="21" s="1"/>
  <c r="AH10" i="25"/>
  <c r="AF165" i="21"/>
  <c r="AG139" i="1"/>
  <c r="AG37" i="25" s="1"/>
  <c r="AF20" i="21"/>
  <c r="AK5" i="6"/>
  <c r="AA92" i="21"/>
  <c r="AA90" i="21" s="1"/>
  <c r="G198" i="6"/>
  <c r="G196" i="6"/>
  <c r="AK17" i="1"/>
  <c r="AK20" i="1" s="1"/>
  <c r="AJ13" i="21"/>
  <c r="AJ12" i="21" s="1"/>
  <c r="AK110" i="1"/>
  <c r="BN68" i="9"/>
  <c r="AJ13" i="28"/>
  <c r="AJ12" i="28" s="1"/>
  <c r="AJ215" i="6"/>
  <c r="W36" i="21"/>
  <c r="W38" i="21"/>
  <c r="K160" i="6"/>
  <c r="K162" i="6"/>
  <c r="V47" i="21"/>
  <c r="V45" i="21" s="1"/>
  <c r="AH17" i="21"/>
  <c r="AI122" i="1"/>
  <c r="AI45" i="25"/>
  <c r="AH17" i="28"/>
  <c r="AL1" i="1"/>
  <c r="AL1" i="24"/>
  <c r="AL1" i="25"/>
  <c r="AK1" i="6"/>
  <c r="AK1" i="21"/>
  <c r="AK1" i="28"/>
  <c r="W52" i="21"/>
  <c r="W50" i="21" s="1"/>
  <c r="H192" i="6"/>
  <c r="H190" i="6"/>
  <c r="AC128" i="28"/>
  <c r="AC126" i="28"/>
  <c r="AB117" i="28"/>
  <c r="AB115" i="28" s="1"/>
  <c r="AA106" i="21"/>
  <c r="AA108" i="21"/>
  <c r="AK7" i="6"/>
  <c r="AH46" i="1"/>
  <c r="AH62" i="1"/>
  <c r="AH61" i="1" s="1"/>
  <c r="AH60" i="1" s="1"/>
  <c r="AH59" i="1" s="1"/>
  <c r="AH58" i="1" s="1"/>
  <c r="AH57" i="1" s="1"/>
  <c r="AH56" i="1" s="1"/>
  <c r="AH55" i="1" s="1"/>
  <c r="AH54" i="1" s="1"/>
  <c r="AH53" i="1" s="1"/>
  <c r="AH52" i="1" s="1"/>
  <c r="AH51" i="1" s="1"/>
  <c r="AH50" i="1" s="1"/>
  <c r="AH49" i="1" s="1"/>
  <c r="AH48" i="1" s="1"/>
  <c r="AH47" i="1" s="1"/>
  <c r="AE142" i="28"/>
  <c r="AE140" i="28" s="1"/>
  <c r="V31" i="21"/>
  <c r="V33" i="21"/>
  <c r="AF46" i="1"/>
  <c r="AF62" i="1"/>
  <c r="AF61" i="1" s="1"/>
  <c r="AF60" i="1" s="1"/>
  <c r="AF59" i="1" s="1"/>
  <c r="AF58" i="1" s="1"/>
  <c r="AF57" i="1" s="1"/>
  <c r="AF56" i="1" s="1"/>
  <c r="AF55" i="1" s="1"/>
  <c r="AF54" i="1" s="1"/>
  <c r="AF53" i="1" s="1"/>
  <c r="AF52" i="1" s="1"/>
  <c r="AF51" i="1" s="1"/>
  <c r="AF50" i="1" s="1"/>
  <c r="AF49" i="1" s="1"/>
  <c r="AF48" i="1" s="1"/>
  <c r="AF47" i="1" s="1"/>
  <c r="AL18" i="24"/>
  <c r="AL6" i="6" s="1"/>
  <c r="AL10" i="24"/>
  <c r="AM8" i="1" s="1"/>
  <c r="AM6" i="1" s="1"/>
  <c r="AM9" i="24"/>
  <c r="AL21" i="24"/>
  <c r="AL8" i="6" s="1"/>
  <c r="AL9" i="6" s="1"/>
  <c r="AL15" i="24"/>
  <c r="AM10" i="1" s="1"/>
  <c r="AA77" i="21"/>
  <c r="AA75" i="21" s="1"/>
  <c r="AK25" i="25"/>
  <c r="AK7" i="25"/>
  <c r="AK124" i="1"/>
  <c r="W57" i="21"/>
  <c r="W55" i="21" s="1"/>
  <c r="AG18" i="28"/>
  <c r="AG19" i="28" s="1"/>
  <c r="O121" i="6" l="1"/>
  <c r="P118" i="6" s="1"/>
  <c r="V79" i="6"/>
  <c r="W76" i="6" s="1"/>
  <c r="P28" i="21"/>
  <c r="P4" i="21" s="1"/>
  <c r="Q74" i="1" s="1"/>
  <c r="O22" i="21"/>
  <c r="AE143" i="21"/>
  <c r="AC111" i="28"/>
  <c r="AC112" i="28" s="1"/>
  <c r="AC110" i="28" s="1"/>
  <c r="AD113" i="28" s="1"/>
  <c r="O275" i="21"/>
  <c r="P143" i="1" s="1"/>
  <c r="P38" i="25" s="1"/>
  <c r="P36" i="25" s="1"/>
  <c r="P48" i="25" s="1"/>
  <c r="O96" i="6"/>
  <c r="O97" i="6" s="1"/>
  <c r="AE133" i="28"/>
  <c r="AE132" i="28" s="1"/>
  <c r="AE130" i="28" s="1"/>
  <c r="AF131" i="28" s="1"/>
  <c r="AB96" i="28"/>
  <c r="AB97" i="28" s="1"/>
  <c r="AB95" i="28" s="1"/>
  <c r="N27" i="28"/>
  <c r="N275" i="28" s="1"/>
  <c r="AA83" i="21"/>
  <c r="AA82" i="21" s="1"/>
  <c r="AA80" i="21" s="1"/>
  <c r="AB81" i="21" s="1"/>
  <c r="AC121" i="21"/>
  <c r="AC122" i="21" s="1"/>
  <c r="AC120" i="21" s="1"/>
  <c r="AL116" i="1"/>
  <c r="Z63" i="28"/>
  <c r="Z62" i="28" s="1"/>
  <c r="Z60" i="28" s="1"/>
  <c r="AA63" i="28" s="1"/>
  <c r="V60" i="6"/>
  <c r="V58" i="6"/>
  <c r="AL7" i="6"/>
  <c r="AD128" i="21"/>
  <c r="AD127" i="21" s="1"/>
  <c r="AD125" i="21" s="1"/>
  <c r="AE128" i="21" s="1"/>
  <c r="T72" i="6"/>
  <c r="T73" i="6" s="1"/>
  <c r="P120" i="6"/>
  <c r="P121" i="6" s="1"/>
  <c r="AF146" i="21"/>
  <c r="AF147" i="21" s="1"/>
  <c r="AF145" i="21" s="1"/>
  <c r="L139" i="6"/>
  <c r="M136" i="6" s="1"/>
  <c r="W41" i="28"/>
  <c r="W42" i="28" s="1"/>
  <c r="W40" i="28" s="1"/>
  <c r="X43" i="28" s="1"/>
  <c r="AA91" i="28"/>
  <c r="AA92" i="28" s="1"/>
  <c r="AA90" i="28" s="1"/>
  <c r="AE142" i="21"/>
  <c r="AE140" i="21" s="1"/>
  <c r="AF141" i="21" s="1"/>
  <c r="AD118" i="21"/>
  <c r="AD116" i="21"/>
  <c r="AF138" i="28"/>
  <c r="AF136" i="28"/>
  <c r="AE137" i="21"/>
  <c r="AE135" i="21" s="1"/>
  <c r="AF136" i="21" s="1"/>
  <c r="X67" i="21"/>
  <c r="X65" i="21" s="1"/>
  <c r="W37" i="21"/>
  <c r="W35" i="21" s="1"/>
  <c r="X36" i="21" s="1"/>
  <c r="U67" i="6"/>
  <c r="V64" i="6" s="1"/>
  <c r="AA33" i="28"/>
  <c r="AA31" i="28"/>
  <c r="AD106" i="28"/>
  <c r="AD107" i="28" s="1"/>
  <c r="AD105" i="28" s="1"/>
  <c r="AE147" i="28"/>
  <c r="AE145" i="28" s="1"/>
  <c r="AF148" i="28" s="1"/>
  <c r="U85" i="6"/>
  <c r="V82" i="6" s="1"/>
  <c r="Z38" i="28"/>
  <c r="Z37" i="28" s="1"/>
  <c r="Z35" i="28" s="1"/>
  <c r="Q103" i="6"/>
  <c r="R102" i="6" s="1"/>
  <c r="AB76" i="28"/>
  <c r="AB78" i="28"/>
  <c r="V42" i="6"/>
  <c r="V40" i="6"/>
  <c r="X48" i="28"/>
  <c r="X47" i="28" s="1"/>
  <c r="X45" i="28" s="1"/>
  <c r="Y48" i="28" s="1"/>
  <c r="K154" i="6"/>
  <c r="K157" i="6" s="1"/>
  <c r="L156" i="6" s="1"/>
  <c r="O112" i="6"/>
  <c r="O115" i="6" s="1"/>
  <c r="AB101" i="28"/>
  <c r="AB103" i="28"/>
  <c r="AC83" i="28"/>
  <c r="AC82" i="28" s="1"/>
  <c r="AC80" i="28" s="1"/>
  <c r="AC127" i="28"/>
  <c r="AC125" i="28" s="1"/>
  <c r="AD126" i="28" s="1"/>
  <c r="K169" i="6"/>
  <c r="L168" i="6" s="1"/>
  <c r="Y31" i="6"/>
  <c r="Z30" i="6" s="1"/>
  <c r="Y67" i="28"/>
  <c r="Y65" i="28" s="1"/>
  <c r="Z66" i="28" s="1"/>
  <c r="Y56" i="28"/>
  <c r="Y57" i="28" s="1"/>
  <c r="Y55" i="28" s="1"/>
  <c r="Z56" i="28" s="1"/>
  <c r="K163" i="6"/>
  <c r="L162" i="6" s="1"/>
  <c r="H193" i="6"/>
  <c r="I192" i="6" s="1"/>
  <c r="AG158" i="28"/>
  <c r="AG157" i="28" s="1"/>
  <c r="AG155" i="28" s="1"/>
  <c r="AE121" i="28"/>
  <c r="AE122" i="28" s="1"/>
  <c r="AE120" i="28" s="1"/>
  <c r="G199" i="6"/>
  <c r="H198" i="6" s="1"/>
  <c r="AE152" i="28"/>
  <c r="AE150" i="28" s="1"/>
  <c r="AF153" i="28" s="1"/>
  <c r="M148" i="6"/>
  <c r="M150" i="6"/>
  <c r="AJ45" i="1"/>
  <c r="AJ42" i="1"/>
  <c r="AA61" i="21"/>
  <c r="AA63" i="21"/>
  <c r="AL7" i="25"/>
  <c r="AL25" i="25"/>
  <c r="AL124" i="1"/>
  <c r="AM12" i="1"/>
  <c r="AM12" i="25" s="1"/>
  <c r="AM18" i="1"/>
  <c r="AM115" i="1"/>
  <c r="AM73" i="1"/>
  <c r="AM93" i="1"/>
  <c r="AM95" i="1" s="1"/>
  <c r="AM27" i="1"/>
  <c r="AM5" i="25"/>
  <c r="X51" i="21"/>
  <c r="X53" i="21"/>
  <c r="AG166" i="21"/>
  <c r="C166" i="21"/>
  <c r="AG168" i="21"/>
  <c r="AL117" i="1"/>
  <c r="H186" i="6"/>
  <c r="H184" i="6"/>
  <c r="AC111" i="21"/>
  <c r="AC113" i="21"/>
  <c r="E211" i="6"/>
  <c r="W46" i="6"/>
  <c r="W48" i="6"/>
  <c r="G204" i="6"/>
  <c r="G202" i="6"/>
  <c r="AL35" i="1"/>
  <c r="AL34" i="1" s="1"/>
  <c r="AL33" i="1" s="1"/>
  <c r="AL32" i="1" s="1"/>
  <c r="AL31" i="1" s="1"/>
  <c r="AL30" i="1" s="1"/>
  <c r="AL29" i="1" s="1"/>
  <c r="AL28" i="1"/>
  <c r="AA86" i="21"/>
  <c r="AA88" i="21"/>
  <c r="AL4" i="6"/>
  <c r="AL5" i="6" s="1"/>
  <c r="AA107" i="21"/>
  <c r="AA105" i="21" s="1"/>
  <c r="AH18" i="28"/>
  <c r="AH19" i="28" s="1"/>
  <c r="W78" i="6"/>
  <c r="AF151" i="21"/>
  <c r="AF153" i="21"/>
  <c r="AD131" i="21"/>
  <c r="AD133" i="21"/>
  <c r="AF162" i="21"/>
  <c r="AF160" i="21" s="1"/>
  <c r="AB96" i="21"/>
  <c r="AB98" i="21"/>
  <c r="AF157" i="21"/>
  <c r="AF155" i="21" s="1"/>
  <c r="Y72" i="21"/>
  <c r="Y70" i="21" s="1"/>
  <c r="B45" i="25"/>
  <c r="AB76" i="21"/>
  <c r="AB78" i="21"/>
  <c r="AK22" i="1"/>
  <c r="D275" i="6"/>
  <c r="D277" i="6" s="1"/>
  <c r="E275" i="6"/>
  <c r="I275" i="6"/>
  <c r="R275" i="6"/>
  <c r="G275" i="6"/>
  <c r="S275" i="6"/>
  <c r="F275" i="6"/>
  <c r="O275" i="6"/>
  <c r="H275" i="6"/>
  <c r="W275" i="6"/>
  <c r="L275" i="6"/>
  <c r="M275" i="6"/>
  <c r="Q275" i="6"/>
  <c r="T275" i="6"/>
  <c r="U275" i="6"/>
  <c r="X275" i="6"/>
  <c r="Y275" i="6"/>
  <c r="J275" i="6"/>
  <c r="V275" i="6"/>
  <c r="AC275" i="6"/>
  <c r="AK275" i="6"/>
  <c r="AS275" i="6"/>
  <c r="N275" i="6"/>
  <c r="Z275" i="6"/>
  <c r="AD275" i="6"/>
  <c r="AL275" i="6"/>
  <c r="AE275" i="6"/>
  <c r="AM275" i="6"/>
  <c r="AH275" i="6"/>
  <c r="AP275" i="6"/>
  <c r="AO275" i="6"/>
  <c r="AZ275" i="6"/>
  <c r="AA275" i="6"/>
  <c r="AQ275" i="6"/>
  <c r="AJ275" i="6"/>
  <c r="P275" i="6"/>
  <c r="AI275" i="6"/>
  <c r="AW275" i="6"/>
  <c r="AU275" i="6"/>
  <c r="AB275" i="6"/>
  <c r="AF275" i="6"/>
  <c r="AY275" i="6"/>
  <c r="K275" i="6"/>
  <c r="AG275" i="6"/>
  <c r="AV275" i="6"/>
  <c r="AR275" i="6"/>
  <c r="AX275" i="6"/>
  <c r="AN275" i="6"/>
  <c r="B279" i="6"/>
  <c r="BA275" i="6"/>
  <c r="Y53" i="28"/>
  <c r="Y51" i="28"/>
  <c r="T90" i="6"/>
  <c r="T88" i="6"/>
  <c r="O127" i="6"/>
  <c r="AM16" i="1"/>
  <c r="AM11" i="25"/>
  <c r="AF63" i="1"/>
  <c r="AF65" i="1"/>
  <c r="AF66" i="1" s="1"/>
  <c r="V32" i="21"/>
  <c r="V30" i="21" s="1"/>
  <c r="AH63" i="1"/>
  <c r="AH65" i="1"/>
  <c r="AH66" i="1" s="1"/>
  <c r="AM1" i="1"/>
  <c r="AM1" i="24"/>
  <c r="AM1" i="25"/>
  <c r="AL1" i="6"/>
  <c r="E222" i="6" s="1"/>
  <c r="AL1" i="28"/>
  <c r="AL1" i="21"/>
  <c r="J178" i="6"/>
  <c r="J180" i="6"/>
  <c r="L144" i="6"/>
  <c r="L142" i="6"/>
  <c r="L145" i="6" s="1"/>
  <c r="AK37" i="1"/>
  <c r="AK39" i="1"/>
  <c r="AK40" i="1" s="1"/>
  <c r="AL20" i="1"/>
  <c r="AC118" i="28"/>
  <c r="AC116" i="28"/>
  <c r="AH155" i="1"/>
  <c r="AH140" i="1" s="1"/>
  <c r="AH141" i="1" s="1"/>
  <c r="AH159" i="1"/>
  <c r="AG168" i="28"/>
  <c r="AG166" i="28"/>
  <c r="C166" i="28"/>
  <c r="AA88" i="28"/>
  <c r="AA86" i="28"/>
  <c r="AB101" i="21"/>
  <c r="AB103" i="21"/>
  <c r="AH18" i="21"/>
  <c r="AH19" i="21" s="1"/>
  <c r="AI10" i="25"/>
  <c r="AB91" i="21"/>
  <c r="AB93" i="21"/>
  <c r="AG65" i="1"/>
  <c r="AG66" i="1" s="1"/>
  <c r="AG63" i="1"/>
  <c r="AA73" i="28"/>
  <c r="AA71" i="28"/>
  <c r="E268" i="6"/>
  <c r="AG20" i="28"/>
  <c r="AG170" i="28"/>
  <c r="AL84" i="1"/>
  <c r="W46" i="21"/>
  <c r="W48" i="21"/>
  <c r="P109" i="6"/>
  <c r="AF162" i="28"/>
  <c r="AF160" i="28" s="1"/>
  <c r="Q27" i="25"/>
  <c r="Q40" i="25" s="1"/>
  <c r="Q144" i="1"/>
  <c r="Q39" i="25"/>
  <c r="Q13" i="25"/>
  <c r="AG170" i="21"/>
  <c r="AH139" i="1"/>
  <c r="AH37" i="25" s="1"/>
  <c r="AG20" i="21"/>
  <c r="I175" i="6"/>
  <c r="O132" i="6"/>
  <c r="O130" i="6"/>
  <c r="E216" i="6"/>
  <c r="E217" i="6" s="1"/>
  <c r="V66" i="6"/>
  <c r="AG9" i="25"/>
  <c r="P27" i="21"/>
  <c r="X56" i="21"/>
  <c r="X58" i="21"/>
  <c r="AM18" i="24"/>
  <c r="AM6" i="6" s="1"/>
  <c r="AM10" i="24"/>
  <c r="AN8" i="1" s="1"/>
  <c r="AN6" i="1" s="1"/>
  <c r="AN9" i="24"/>
  <c r="AM21" i="24"/>
  <c r="AM8" i="6" s="1"/>
  <c r="AM9" i="6" s="1"/>
  <c r="AM15" i="24"/>
  <c r="AN10" i="1" s="1"/>
  <c r="AF143" i="28"/>
  <c r="AF141" i="28"/>
  <c r="AK117" i="1"/>
  <c r="AK114" i="1" s="1"/>
  <c r="W41" i="21"/>
  <c r="W43" i="21"/>
  <c r="Y55" i="6"/>
  <c r="Y34" i="6"/>
  <c r="Y36" i="6"/>
  <c r="AA25" i="6"/>
  <c r="AI17" i="21"/>
  <c r="AJ122" i="1"/>
  <c r="AJ45" i="25"/>
  <c r="AI17" i="28"/>
  <c r="AI46" i="1"/>
  <c r="AI62" i="1"/>
  <c r="AI61" i="1" s="1"/>
  <c r="AI60" i="1" s="1"/>
  <c r="AI59" i="1" s="1"/>
  <c r="AI58" i="1" s="1"/>
  <c r="AI57" i="1" s="1"/>
  <c r="AI56" i="1" s="1"/>
  <c r="AI55" i="1" s="1"/>
  <c r="AI54" i="1" s="1"/>
  <c r="AI53" i="1" s="1"/>
  <c r="AI52" i="1" s="1"/>
  <c r="AI51" i="1" s="1"/>
  <c r="AI50" i="1" s="1"/>
  <c r="AI49" i="1" s="1"/>
  <c r="AI48" i="1" s="1"/>
  <c r="AI47" i="1" s="1"/>
  <c r="V61" i="6" l="1"/>
  <c r="W58" i="6" s="1"/>
  <c r="P142" i="1"/>
  <c r="AM7" i="6"/>
  <c r="P14" i="25"/>
  <c r="AL114" i="1"/>
  <c r="AL122" i="1" s="1"/>
  <c r="AD117" i="21"/>
  <c r="AD115" i="21" s="1"/>
  <c r="AE116" i="21" s="1"/>
  <c r="N25" i="28"/>
  <c r="O26" i="28" s="1"/>
  <c r="AF137" i="28"/>
  <c r="AF135" i="28" s="1"/>
  <c r="AG138" i="28" s="1"/>
  <c r="AA61" i="28"/>
  <c r="AA62" i="28" s="1"/>
  <c r="AA60" i="28" s="1"/>
  <c r="AB61" i="28" s="1"/>
  <c r="X41" i="28"/>
  <c r="X42" i="28" s="1"/>
  <c r="X40" i="28" s="1"/>
  <c r="Y43" i="28" s="1"/>
  <c r="AG148" i="21"/>
  <c r="AG146" i="21"/>
  <c r="AG147" i="21" s="1"/>
  <c r="AG145" i="21" s="1"/>
  <c r="AH146" i="21" s="1"/>
  <c r="AM116" i="1"/>
  <c r="AB83" i="21"/>
  <c r="V84" i="6"/>
  <c r="V85" i="6" s="1"/>
  <c r="AA72" i="28"/>
  <c r="AA70" i="28" s="1"/>
  <c r="AB71" i="28" s="1"/>
  <c r="AF138" i="21"/>
  <c r="AF137" i="21" s="1"/>
  <c r="AF135" i="21" s="1"/>
  <c r="V43" i="6"/>
  <c r="W42" i="6" s="1"/>
  <c r="W47" i="21"/>
  <c r="W45" i="21" s="1"/>
  <c r="X48" i="21" s="1"/>
  <c r="Z28" i="6"/>
  <c r="Z31" i="6" s="1"/>
  <c r="AA30" i="6" s="1"/>
  <c r="M138" i="6"/>
  <c r="M139" i="6" s="1"/>
  <c r="N138" i="6" s="1"/>
  <c r="R100" i="6"/>
  <c r="R103" i="6" s="1"/>
  <c r="S100" i="6" s="1"/>
  <c r="T91" i="6"/>
  <c r="U88" i="6" s="1"/>
  <c r="AF133" i="28"/>
  <c r="AF132" i="28" s="1"/>
  <c r="AF130" i="28" s="1"/>
  <c r="AG131" i="28" s="1"/>
  <c r="Y52" i="28"/>
  <c r="Y50" i="28" s="1"/>
  <c r="Z53" i="28" s="1"/>
  <c r="AF143" i="21"/>
  <c r="AF142" i="21" s="1"/>
  <c r="AF140" i="21" s="1"/>
  <c r="X38" i="21"/>
  <c r="X37" i="21" s="1"/>
  <c r="X35" i="21" s="1"/>
  <c r="AA32" i="28"/>
  <c r="AA30" i="28" s="1"/>
  <c r="AB31" i="28" s="1"/>
  <c r="AE126" i="21"/>
  <c r="AE127" i="21" s="1"/>
  <c r="AE125" i="21" s="1"/>
  <c r="Y66" i="21"/>
  <c r="Y68" i="21"/>
  <c r="AB97" i="21"/>
  <c r="AB95" i="21" s="1"/>
  <c r="AC96" i="21" s="1"/>
  <c r="P114" i="6"/>
  <c r="P112" i="6"/>
  <c r="AA38" i="28"/>
  <c r="AA36" i="28"/>
  <c r="AA37" i="28" s="1"/>
  <c r="AA35" i="28" s="1"/>
  <c r="AD111" i="28"/>
  <c r="AD112" i="28" s="1"/>
  <c r="AD110" i="28" s="1"/>
  <c r="AF142" i="28"/>
  <c r="AF140" i="28" s="1"/>
  <c r="AG141" i="28" s="1"/>
  <c r="H187" i="6"/>
  <c r="I186" i="6" s="1"/>
  <c r="L166" i="6"/>
  <c r="L169" i="6" s="1"/>
  <c r="AB102" i="28"/>
  <c r="AB100" i="28" s="1"/>
  <c r="AC103" i="28" s="1"/>
  <c r="AF146" i="28"/>
  <c r="AF147" i="28" s="1"/>
  <c r="AF145" i="28" s="1"/>
  <c r="AG146" i="28" s="1"/>
  <c r="AB77" i="28"/>
  <c r="AB75" i="28" s="1"/>
  <c r="I190" i="6"/>
  <c r="I193" i="6" s="1"/>
  <c r="Y46" i="28"/>
  <c r="Y47" i="28" s="1"/>
  <c r="Y45" i="28" s="1"/>
  <c r="Z46" i="28" s="1"/>
  <c r="AD83" i="28"/>
  <c r="AD81" i="28"/>
  <c r="AD128" i="28"/>
  <c r="AD127" i="28" s="1"/>
  <c r="AD125" i="28" s="1"/>
  <c r="O133" i="6"/>
  <c r="P132" i="6" s="1"/>
  <c r="AA87" i="28"/>
  <c r="AA85" i="28" s="1"/>
  <c r="AB88" i="28" s="1"/>
  <c r="AF151" i="28"/>
  <c r="AF152" i="28" s="1"/>
  <c r="AF150" i="28" s="1"/>
  <c r="Z68" i="28"/>
  <c r="Z67" i="28" s="1"/>
  <c r="Z65" i="28" s="1"/>
  <c r="H196" i="6"/>
  <c r="H199" i="6" s="1"/>
  <c r="I198" i="6" s="1"/>
  <c r="L160" i="6"/>
  <c r="L163" i="6" s="1"/>
  <c r="M162" i="6" s="1"/>
  <c r="Z58" i="28"/>
  <c r="Z57" i="28" s="1"/>
  <c r="Z55" i="28" s="1"/>
  <c r="AH156" i="28"/>
  <c r="AH158" i="28"/>
  <c r="AC98" i="28"/>
  <c r="L154" i="6"/>
  <c r="L157" i="6" s="1"/>
  <c r="M154" i="6" s="1"/>
  <c r="Y37" i="6"/>
  <c r="Z36" i="6" s="1"/>
  <c r="AC96" i="28"/>
  <c r="M151" i="6"/>
  <c r="V67" i="6"/>
  <c r="W66" i="6" s="1"/>
  <c r="G205" i="6"/>
  <c r="H204" i="6" s="1"/>
  <c r="X46" i="21"/>
  <c r="E223" i="6"/>
  <c r="AN12" i="1"/>
  <c r="AN12" i="25" s="1"/>
  <c r="AN18" i="1"/>
  <c r="AN115" i="1"/>
  <c r="AN73" i="1"/>
  <c r="AN93" i="1"/>
  <c r="AN95" i="1" s="1"/>
  <c r="AN27" i="1"/>
  <c r="AN5" i="25"/>
  <c r="E274" i="6"/>
  <c r="AB22" i="6"/>
  <c r="AB24" i="6"/>
  <c r="AK17" i="21"/>
  <c r="AI155" i="1"/>
  <c r="AI140" i="1" s="1"/>
  <c r="AI141" i="1" s="1"/>
  <c r="AI159" i="1"/>
  <c r="AH9" i="25"/>
  <c r="W31" i="21"/>
  <c r="W33" i="21"/>
  <c r="AG156" i="21"/>
  <c r="AG158" i="21"/>
  <c r="I184" i="6"/>
  <c r="AN18" i="24"/>
  <c r="AN6" i="6" s="1"/>
  <c r="AN7" i="6" s="1"/>
  <c r="AN10" i="24"/>
  <c r="AO8" i="1" s="1"/>
  <c r="AO6" i="1" s="1"/>
  <c r="AO9" i="24"/>
  <c r="AN21" i="24"/>
  <c r="AN8" i="6" s="1"/>
  <c r="AN9" i="6" s="1"/>
  <c r="AN15" i="24"/>
  <c r="AO10" i="1" s="1"/>
  <c r="F214" i="6"/>
  <c r="F216" i="6"/>
  <c r="Q120" i="6"/>
  <c r="Q118" i="6"/>
  <c r="AH175" i="21"/>
  <c r="AI139" i="1"/>
  <c r="AI37" i="25" s="1"/>
  <c r="AH20" i="21"/>
  <c r="AD123" i="21"/>
  <c r="AD121" i="21"/>
  <c r="AF68" i="1"/>
  <c r="P124" i="6"/>
  <c r="P126" i="6"/>
  <c r="H281" i="6"/>
  <c r="I281" i="6"/>
  <c r="E281" i="6"/>
  <c r="J281" i="6"/>
  <c r="D281" i="6"/>
  <c r="D283" i="6" s="1"/>
  <c r="M281" i="6"/>
  <c r="N281" i="6"/>
  <c r="O281" i="6"/>
  <c r="P281" i="6"/>
  <c r="K281" i="6"/>
  <c r="S281" i="6"/>
  <c r="L281" i="6"/>
  <c r="Q281" i="6"/>
  <c r="X281" i="6"/>
  <c r="G281" i="6"/>
  <c r="AG281" i="6"/>
  <c r="AO281" i="6"/>
  <c r="F281" i="6"/>
  <c r="V281" i="6"/>
  <c r="AH281" i="6"/>
  <c r="AP281" i="6"/>
  <c r="T281" i="6"/>
  <c r="U281" i="6"/>
  <c r="AA281" i="6"/>
  <c r="AI281" i="6"/>
  <c r="AQ281" i="6"/>
  <c r="AD281" i="6"/>
  <c r="AL281" i="6"/>
  <c r="R281" i="6"/>
  <c r="AK281" i="6"/>
  <c r="AV281" i="6"/>
  <c r="AM281" i="6"/>
  <c r="AT281" i="6"/>
  <c r="AW281" i="6"/>
  <c r="Y281" i="6"/>
  <c r="AF281" i="6"/>
  <c r="AX281" i="6"/>
  <c r="W281" i="6"/>
  <c r="AE281" i="6"/>
  <c r="Z281" i="6"/>
  <c r="AS281" i="6"/>
  <c r="AZ281" i="6"/>
  <c r="AB281" i="6"/>
  <c r="AC281" i="6"/>
  <c r="B285" i="6"/>
  <c r="AJ281" i="6"/>
  <c r="AR281" i="6"/>
  <c r="AY281" i="6"/>
  <c r="AN281" i="6"/>
  <c r="BA281" i="6"/>
  <c r="AD132" i="21"/>
  <c r="AD130" i="21" s="1"/>
  <c r="AI63" i="1"/>
  <c r="AI65" i="1"/>
  <c r="AI66" i="1" s="1"/>
  <c r="AG68" i="1"/>
  <c r="M144" i="6"/>
  <c r="M142" i="6"/>
  <c r="AB91" i="28"/>
  <c r="AB93" i="28"/>
  <c r="AF123" i="28"/>
  <c r="AF121" i="28"/>
  <c r="AI18" i="28"/>
  <c r="AI19" i="28" s="1"/>
  <c r="U72" i="6"/>
  <c r="U70" i="6"/>
  <c r="AB102" i="21"/>
  <c r="AB100" i="21" s="1"/>
  <c r="AG161" i="21"/>
  <c r="AG163" i="21"/>
  <c r="AL37" i="1"/>
  <c r="AL39" i="1"/>
  <c r="AL40" i="1" s="1"/>
  <c r="X57" i="21"/>
  <c r="X55" i="21" s="1"/>
  <c r="AG167" i="28"/>
  <c r="AG165" i="28" s="1"/>
  <c r="AC117" i="28"/>
  <c r="AC115" i="28" s="1"/>
  <c r="AM84" i="1"/>
  <c r="AM124" i="1"/>
  <c r="AM7" i="25"/>
  <c r="AM25" i="25"/>
  <c r="AM17" i="1"/>
  <c r="AM20" i="1" s="1"/>
  <c r="AL13" i="21"/>
  <c r="AL12" i="21" s="1"/>
  <c r="AM110" i="1"/>
  <c r="BP68" i="9"/>
  <c r="AL13" i="28"/>
  <c r="AL12" i="28" s="1"/>
  <c r="AL227" i="6"/>
  <c r="AA62" i="21"/>
  <c r="AA60" i="21" s="1"/>
  <c r="AH171" i="21"/>
  <c r="AH173" i="21"/>
  <c r="C171" i="21"/>
  <c r="AE108" i="28"/>
  <c r="AE106" i="28"/>
  <c r="AJ17" i="21"/>
  <c r="AK122" i="1"/>
  <c r="AK45" i="25"/>
  <c r="AJ17" i="28"/>
  <c r="F210" i="6"/>
  <c r="F208" i="6"/>
  <c r="J172" i="6"/>
  <c r="J174" i="6"/>
  <c r="AL22" i="1"/>
  <c r="AL24" i="1" s="1"/>
  <c r="AB92" i="21"/>
  <c r="AB90" i="21" s="1"/>
  <c r="AH68" i="1"/>
  <c r="AF152" i="21"/>
  <c r="AF150" i="21" s="1"/>
  <c r="AG167" i="21"/>
  <c r="AG165" i="21" s="1"/>
  <c r="P130" i="6"/>
  <c r="P94" i="6"/>
  <c r="P96" i="6"/>
  <c r="AH175" i="28"/>
  <c r="AH20" i="28"/>
  <c r="AM4" i="6"/>
  <c r="Q108" i="6"/>
  <c r="Q106" i="6"/>
  <c r="AB77" i="21"/>
  <c r="AB75" i="21" s="1"/>
  <c r="AB106" i="21"/>
  <c r="AB108" i="21"/>
  <c r="AM28" i="1"/>
  <c r="AM35" i="1"/>
  <c r="AM34" i="1" s="1"/>
  <c r="AM33" i="1" s="1"/>
  <c r="AM32" i="1" s="1"/>
  <c r="AM31" i="1" s="1"/>
  <c r="AM30" i="1" s="1"/>
  <c r="AM29" i="1" s="1"/>
  <c r="AJ62" i="1"/>
  <c r="AJ61" i="1" s="1"/>
  <c r="AJ60" i="1" s="1"/>
  <c r="AJ59" i="1" s="1"/>
  <c r="AJ58" i="1" s="1"/>
  <c r="AJ57" i="1" s="1"/>
  <c r="AJ56" i="1" s="1"/>
  <c r="AJ55" i="1" s="1"/>
  <c r="AJ54" i="1" s="1"/>
  <c r="AJ53" i="1" s="1"/>
  <c r="AJ52" i="1" s="1"/>
  <c r="AJ51" i="1" s="1"/>
  <c r="AJ50" i="1" s="1"/>
  <c r="AJ49" i="1" s="1"/>
  <c r="AJ48" i="1" s="1"/>
  <c r="AJ47" i="1" s="1"/>
  <c r="AJ46" i="1"/>
  <c r="Z54" i="6"/>
  <c r="Z52" i="6"/>
  <c r="AG161" i="28"/>
  <c r="AG163" i="28"/>
  <c r="AN1" i="1"/>
  <c r="AN1" i="24"/>
  <c r="AM1" i="6"/>
  <c r="AN1" i="25"/>
  <c r="AM1" i="21"/>
  <c r="AM1" i="28"/>
  <c r="W42" i="21"/>
  <c r="W40" i="21" s="1"/>
  <c r="AH171" i="28"/>
  <c r="AH173" i="28"/>
  <c r="C171" i="28"/>
  <c r="AI18" i="21"/>
  <c r="AI19" i="21" s="1"/>
  <c r="AJ10" i="25"/>
  <c r="AN16" i="1"/>
  <c r="AN11" i="25"/>
  <c r="P275" i="21"/>
  <c r="P25" i="21"/>
  <c r="J181" i="6"/>
  <c r="AK24" i="1"/>
  <c r="Z71" i="21"/>
  <c r="Z73" i="21"/>
  <c r="W79" i="6"/>
  <c r="AA87" i="21"/>
  <c r="AA85" i="21" s="1"/>
  <c r="W49" i="6"/>
  <c r="AC112" i="21"/>
  <c r="AC110" i="21" s="1"/>
  <c r="X52" i="21"/>
  <c r="X50" i="21" s="1"/>
  <c r="AB82" i="21"/>
  <c r="AB80" i="21" s="1"/>
  <c r="P115" i="6" l="1"/>
  <c r="Q112" i="6" s="1"/>
  <c r="W60" i="6"/>
  <c r="W61" i="6" s="1"/>
  <c r="X58" i="6" s="1"/>
  <c r="AB73" i="28"/>
  <c r="AB72" i="28" s="1"/>
  <c r="AB70" i="28" s="1"/>
  <c r="AC73" i="28" s="1"/>
  <c r="AE118" i="21"/>
  <c r="AK17" i="28"/>
  <c r="AK18" i="28" s="1"/>
  <c r="AK19" i="28" s="1"/>
  <c r="AL45" i="25"/>
  <c r="N22" i="28"/>
  <c r="AG136" i="28"/>
  <c r="AG137" i="28" s="1"/>
  <c r="AG135" i="28" s="1"/>
  <c r="AH138" i="28" s="1"/>
  <c r="O28" i="28"/>
  <c r="O4" i="28" s="1"/>
  <c r="Q114" i="6"/>
  <c r="W40" i="6"/>
  <c r="W43" i="6" s="1"/>
  <c r="X40" i="6" s="1"/>
  <c r="S102" i="6"/>
  <c r="S103" i="6" s="1"/>
  <c r="U90" i="6"/>
  <c r="U91" i="6" s="1"/>
  <c r="V90" i="6" s="1"/>
  <c r="AB86" i="28"/>
  <c r="AB87" i="28" s="1"/>
  <c r="AB85" i="28" s="1"/>
  <c r="AC88" i="28" s="1"/>
  <c r="Y41" i="28"/>
  <c r="Y42" i="28" s="1"/>
  <c r="Y40" i="28" s="1"/>
  <c r="Z41" i="28" s="1"/>
  <c r="AN116" i="1"/>
  <c r="AB33" i="28"/>
  <c r="AB32" i="28" s="1"/>
  <c r="AB30" i="28" s="1"/>
  <c r="Z51" i="28"/>
  <c r="Z52" i="28" s="1"/>
  <c r="Z50" i="28" s="1"/>
  <c r="AA51" i="28" s="1"/>
  <c r="AA28" i="6"/>
  <c r="AA31" i="6" s="1"/>
  <c r="AE117" i="21"/>
  <c r="AE115" i="21" s="1"/>
  <c r="AF118" i="21" s="1"/>
  <c r="U73" i="6"/>
  <c r="V70" i="6" s="1"/>
  <c r="AB63" i="28"/>
  <c r="AB62" i="28" s="1"/>
  <c r="AB60" i="28" s="1"/>
  <c r="AC63" i="28" s="1"/>
  <c r="Z72" i="21"/>
  <c r="Z70" i="21" s="1"/>
  <c r="AA71" i="21" s="1"/>
  <c r="AD122" i="21"/>
  <c r="AD120" i="21" s="1"/>
  <c r="AE121" i="21" s="1"/>
  <c r="AG148" i="28"/>
  <c r="AG147" i="28" s="1"/>
  <c r="AG145" i="28" s="1"/>
  <c r="AC98" i="21"/>
  <c r="AC97" i="21" s="1"/>
  <c r="AC95" i="21" s="1"/>
  <c r="Y67" i="21"/>
  <c r="Y65" i="21" s="1"/>
  <c r="AG162" i="21"/>
  <c r="AG160" i="21" s="1"/>
  <c r="AH161" i="21" s="1"/>
  <c r="AH148" i="21"/>
  <c r="AH147" i="21" s="1"/>
  <c r="AH145" i="21" s="1"/>
  <c r="W32" i="21"/>
  <c r="W30" i="21" s="1"/>
  <c r="X31" i="21" s="1"/>
  <c r="AG157" i="21"/>
  <c r="AG155" i="21" s="1"/>
  <c r="AH156" i="21" s="1"/>
  <c r="AE113" i="28"/>
  <c r="AE111" i="28"/>
  <c r="M168" i="6"/>
  <c r="M166" i="6"/>
  <c r="AC101" i="28"/>
  <c r="AC102" i="28" s="1"/>
  <c r="AC100" i="28" s="1"/>
  <c r="AD101" i="28" s="1"/>
  <c r="AC76" i="28"/>
  <c r="AC78" i="28"/>
  <c r="W64" i="6"/>
  <c r="W67" i="6" s="1"/>
  <c r="X64" i="6" s="1"/>
  <c r="AG133" i="28"/>
  <c r="AG132" i="28" s="1"/>
  <c r="AG130" i="28" s="1"/>
  <c r="Z48" i="28"/>
  <c r="Z47" i="28" s="1"/>
  <c r="Z45" i="28" s="1"/>
  <c r="AG143" i="28"/>
  <c r="AG142" i="28" s="1"/>
  <c r="AG140" i="28" s="1"/>
  <c r="J192" i="6"/>
  <c r="J190" i="6"/>
  <c r="AD82" i="28"/>
  <c r="AD80" i="28" s="1"/>
  <c r="AE83" i="28" s="1"/>
  <c r="H202" i="6"/>
  <c r="H205" i="6" s="1"/>
  <c r="AE128" i="28"/>
  <c r="AE126" i="28"/>
  <c r="AB25" i="6"/>
  <c r="AC24" i="6" s="1"/>
  <c r="F211" i="6"/>
  <c r="G208" i="6" s="1"/>
  <c r="AE107" i="28"/>
  <c r="AE105" i="28" s="1"/>
  <c r="AF106" i="28" s="1"/>
  <c r="Z34" i="6"/>
  <c r="Z37" i="6" s="1"/>
  <c r="AA34" i="6" s="1"/>
  <c r="M145" i="6"/>
  <c r="N144" i="6" s="1"/>
  <c r="P127" i="6"/>
  <c r="Q124" i="6" s="1"/>
  <c r="Q115" i="6"/>
  <c r="R114" i="6" s="1"/>
  <c r="M160" i="6"/>
  <c r="M163" i="6" s="1"/>
  <c r="N162" i="6" s="1"/>
  <c r="Q109" i="6"/>
  <c r="R108" i="6" s="1"/>
  <c r="I196" i="6"/>
  <c r="I199" i="6" s="1"/>
  <c r="J198" i="6" s="1"/>
  <c r="AC97" i="28"/>
  <c r="AC95" i="28" s="1"/>
  <c r="AH172" i="28"/>
  <c r="AH170" i="28" s="1"/>
  <c r="AI173" i="28" s="1"/>
  <c r="M156" i="6"/>
  <c r="M157" i="6" s="1"/>
  <c r="N136" i="6"/>
  <c r="N139" i="6" s="1"/>
  <c r="O136" i="6" s="1"/>
  <c r="AF122" i="28"/>
  <c r="AF120" i="28" s="1"/>
  <c r="AG121" i="28" s="1"/>
  <c r="Q121" i="6"/>
  <c r="R120" i="6" s="1"/>
  <c r="N148" i="6"/>
  <c r="N150" i="6"/>
  <c r="AH157" i="28"/>
  <c r="AH155" i="28" s="1"/>
  <c r="AE123" i="21"/>
  <c r="AI9" i="25"/>
  <c r="AL45" i="1"/>
  <c r="AL42" i="1"/>
  <c r="AI68" i="1"/>
  <c r="AN7" i="25"/>
  <c r="AN25" i="25"/>
  <c r="AN124" i="1"/>
  <c r="AC101" i="21"/>
  <c r="AC103" i="21"/>
  <c r="AO1" i="1"/>
  <c r="AO1" i="24"/>
  <c r="AN1" i="6"/>
  <c r="AN1" i="21"/>
  <c r="AN1" i="28"/>
  <c r="AO1" i="25"/>
  <c r="AM117" i="1"/>
  <c r="AM114" i="1" s="1"/>
  <c r="AA58" i="28"/>
  <c r="AA56" i="28"/>
  <c r="AJ155" i="1"/>
  <c r="AJ140" i="1" s="1"/>
  <c r="AJ141" i="1" s="1"/>
  <c r="AJ159" i="1"/>
  <c r="AN17" i="1"/>
  <c r="AN20" i="1" s="1"/>
  <c r="AM13" i="21"/>
  <c r="AM12" i="21" s="1"/>
  <c r="AN110" i="1"/>
  <c r="BQ68" i="9"/>
  <c r="AM13" i="28"/>
  <c r="AM12" i="28" s="1"/>
  <c r="AM233" i="6"/>
  <c r="J175" i="6"/>
  <c r="AH172" i="21"/>
  <c r="AH170" i="21" s="1"/>
  <c r="Y36" i="21"/>
  <c r="Y38" i="21"/>
  <c r="AB36" i="28"/>
  <c r="AB38" i="28"/>
  <c r="W82" i="6"/>
  <c r="W84" i="6"/>
  <c r="AN4" i="6"/>
  <c r="Y51" i="21"/>
  <c r="Y53" i="21"/>
  <c r="AI180" i="21"/>
  <c r="AJ139" i="1"/>
  <c r="AJ37" i="25" s="1"/>
  <c r="AI20" i="21"/>
  <c r="AM37" i="1"/>
  <c r="AM39" i="1"/>
  <c r="AM40" i="1" s="1"/>
  <c r="P133" i="6"/>
  <c r="AJ18" i="21"/>
  <c r="AJ19" i="21" s="1"/>
  <c r="AK10" i="25"/>
  <c r="AI20" i="28"/>
  <c r="AI180" i="28"/>
  <c r="I187" i="6"/>
  <c r="AK18" i="21"/>
  <c r="AK19" i="21" s="1"/>
  <c r="AL10" i="25"/>
  <c r="AG141" i="21"/>
  <c r="AG143" i="21"/>
  <c r="K180" i="6"/>
  <c r="K178" i="6"/>
  <c r="AH166" i="21"/>
  <c r="AH168" i="21"/>
  <c r="Y56" i="21"/>
  <c r="Y58" i="21"/>
  <c r="AC81" i="21"/>
  <c r="AC83" i="21"/>
  <c r="AG151" i="21"/>
  <c r="AG153" i="21"/>
  <c r="X47" i="21"/>
  <c r="X45" i="21" s="1"/>
  <c r="AN84" i="1"/>
  <c r="AB107" i="21"/>
  <c r="AB105" i="21" s="1"/>
  <c r="AF128" i="21"/>
  <c r="AF126" i="21"/>
  <c r="Q126" i="6"/>
  <c r="AA68" i="28"/>
  <c r="AA66" i="28"/>
  <c r="Q143" i="1"/>
  <c r="Q14" i="25"/>
  <c r="AG162" i="28"/>
  <c r="AG160" i="28" s="1"/>
  <c r="AI176" i="28"/>
  <c r="C176" i="28"/>
  <c r="AI178" i="28"/>
  <c r="AB61" i="21"/>
  <c r="AB63" i="21"/>
  <c r="AM5" i="6"/>
  <c r="AB92" i="28"/>
  <c r="AB90" i="28" s="1"/>
  <c r="D287" i="6"/>
  <c r="D289" i="6" s="1"/>
  <c r="E287" i="6"/>
  <c r="F287" i="6"/>
  <c r="I287" i="6"/>
  <c r="K287" i="6"/>
  <c r="R287" i="6"/>
  <c r="S287" i="6"/>
  <c r="H287" i="6"/>
  <c r="G287" i="6"/>
  <c r="O287" i="6"/>
  <c r="P287" i="6"/>
  <c r="T287" i="6"/>
  <c r="U287" i="6"/>
  <c r="W287" i="6"/>
  <c r="X287" i="6"/>
  <c r="Y287" i="6"/>
  <c r="Q287" i="6"/>
  <c r="AC287" i="6"/>
  <c r="AK287" i="6"/>
  <c r="AS287" i="6"/>
  <c r="AD287" i="6"/>
  <c r="AL287" i="6"/>
  <c r="M287" i="6"/>
  <c r="AE287" i="6"/>
  <c r="AM287" i="6"/>
  <c r="AT287" i="6"/>
  <c r="Z287" i="6"/>
  <c r="AH287" i="6"/>
  <c r="AP287" i="6"/>
  <c r="AG287" i="6"/>
  <c r="AZ287" i="6"/>
  <c r="AI287" i="6"/>
  <c r="AB287" i="6"/>
  <c r="AR287" i="6"/>
  <c r="AU287" i="6"/>
  <c r="L287" i="6"/>
  <c r="AA287" i="6"/>
  <c r="AQ287" i="6"/>
  <c r="AW287" i="6"/>
  <c r="AO287" i="6"/>
  <c r="AX287" i="6"/>
  <c r="N287" i="6"/>
  <c r="V287" i="6"/>
  <c r="J287" i="6"/>
  <c r="AF287" i="6"/>
  <c r="AN287" i="6"/>
  <c r="AJ287" i="6"/>
  <c r="B291" i="6"/>
  <c r="AY287" i="6"/>
  <c r="BA287" i="6"/>
  <c r="F217" i="6"/>
  <c r="X76" i="6"/>
  <c r="X78" i="6"/>
  <c r="AH168" i="28"/>
  <c r="AH166" i="28"/>
  <c r="Z43" i="28"/>
  <c r="X41" i="21"/>
  <c r="X43" i="21"/>
  <c r="AJ18" i="28"/>
  <c r="AO18" i="24"/>
  <c r="AO6" i="6" s="1"/>
  <c r="AO4" i="6" s="1"/>
  <c r="AO10" i="24"/>
  <c r="AP8" i="1" s="1"/>
  <c r="AP6" i="1" s="1"/>
  <c r="AP9" i="24"/>
  <c r="AO21" i="24"/>
  <c r="AO8" i="6" s="1"/>
  <c r="AO9" i="6" s="1"/>
  <c r="AO15" i="24"/>
  <c r="AP10" i="1" s="1"/>
  <c r="P97" i="6"/>
  <c r="AO12" i="1"/>
  <c r="AO12" i="25" s="1"/>
  <c r="AO18" i="1"/>
  <c r="AO115" i="1"/>
  <c r="AO93" i="1"/>
  <c r="AO95" i="1" s="1"/>
  <c r="AO5" i="25"/>
  <c r="AO27" i="1"/>
  <c r="AO73" i="1"/>
  <c r="F222" i="6"/>
  <c r="F220" i="6"/>
  <c r="AM22" i="1"/>
  <c r="AM24" i="1" s="1"/>
  <c r="AD111" i="21"/>
  <c r="AD113" i="21"/>
  <c r="Q26" i="21"/>
  <c r="P22" i="21"/>
  <c r="Q28" i="21"/>
  <c r="Q4" i="21" s="1"/>
  <c r="R74" i="1" s="1"/>
  <c r="AJ63" i="1"/>
  <c r="AJ65" i="1"/>
  <c r="AJ66" i="1" s="1"/>
  <c r="AC76" i="21"/>
  <c r="AC78" i="21"/>
  <c r="AC91" i="21"/>
  <c r="AC93" i="21"/>
  <c r="AG151" i="28"/>
  <c r="AG153" i="28"/>
  <c r="X46" i="6"/>
  <c r="X48" i="6"/>
  <c r="AG136" i="21"/>
  <c r="AG138" i="21"/>
  <c r="AB86" i="21"/>
  <c r="AB88" i="21"/>
  <c r="AK45" i="1"/>
  <c r="AK42" i="1"/>
  <c r="Z55" i="6"/>
  <c r="E228" i="6"/>
  <c r="AD116" i="28"/>
  <c r="AD118" i="28"/>
  <c r="AE131" i="21"/>
  <c r="AE133" i="21"/>
  <c r="E280" i="6"/>
  <c r="AI178" i="21"/>
  <c r="AI176" i="21"/>
  <c r="C176" i="21"/>
  <c r="AO16" i="1"/>
  <c r="AO11" i="25"/>
  <c r="AN28" i="1"/>
  <c r="AN35" i="1"/>
  <c r="AN34" i="1" s="1"/>
  <c r="AN33" i="1" s="1"/>
  <c r="AN32" i="1" s="1"/>
  <c r="AN31" i="1" s="1"/>
  <c r="AN30" i="1" s="1"/>
  <c r="AN29" i="1" s="1"/>
  <c r="K181" i="6" l="1"/>
  <c r="X60" i="6"/>
  <c r="X42" i="6"/>
  <c r="X43" i="6" s="1"/>
  <c r="N142" i="6"/>
  <c r="N145" i="6" s="1"/>
  <c r="O144" i="6" s="1"/>
  <c r="M169" i="6"/>
  <c r="N166" i="6" s="1"/>
  <c r="AH136" i="28"/>
  <c r="AH137" i="28" s="1"/>
  <c r="AH135" i="28" s="1"/>
  <c r="AI136" i="28" s="1"/>
  <c r="V88" i="6"/>
  <c r="V91" i="6" s="1"/>
  <c r="O27" i="28"/>
  <c r="O25" i="28" s="1"/>
  <c r="J193" i="6"/>
  <c r="K192" i="6" s="1"/>
  <c r="X33" i="21"/>
  <c r="X32" i="21" s="1"/>
  <c r="X30" i="21" s="1"/>
  <c r="AE112" i="28"/>
  <c r="AE110" i="28" s="1"/>
  <c r="AF111" i="28" s="1"/>
  <c r="AF116" i="21"/>
  <c r="AF117" i="21" s="1"/>
  <c r="AF115" i="21" s="1"/>
  <c r="AG116" i="21" s="1"/>
  <c r="AA73" i="21"/>
  <c r="AA72" i="21" s="1"/>
  <c r="AA70" i="21" s="1"/>
  <c r="AH163" i="21"/>
  <c r="AH162" i="21" s="1"/>
  <c r="AH160" i="21" s="1"/>
  <c r="R106" i="6"/>
  <c r="R109" i="6" s="1"/>
  <c r="S106" i="6" s="1"/>
  <c r="R112" i="6"/>
  <c r="R115" i="6" s="1"/>
  <c r="V72" i="6"/>
  <c r="V73" i="6" s="1"/>
  <c r="W70" i="6" s="1"/>
  <c r="AF127" i="21"/>
  <c r="AF125" i="21" s="1"/>
  <c r="AG126" i="21" s="1"/>
  <c r="AE122" i="21"/>
  <c r="AE120" i="21" s="1"/>
  <c r="AF123" i="21" s="1"/>
  <c r="AC92" i="21"/>
  <c r="AC90" i="21" s="1"/>
  <c r="AD91" i="21" s="1"/>
  <c r="AC82" i="21"/>
  <c r="AC80" i="21" s="1"/>
  <c r="AD83" i="21" s="1"/>
  <c r="Y52" i="21"/>
  <c r="Y50" i="21" s="1"/>
  <c r="Z53" i="21" s="1"/>
  <c r="Y37" i="21"/>
  <c r="Y35" i="21" s="1"/>
  <c r="Z36" i="21" s="1"/>
  <c r="AH158" i="21"/>
  <c r="AH157" i="21" s="1"/>
  <c r="AH155" i="21" s="1"/>
  <c r="Z68" i="21"/>
  <c r="Z66" i="21"/>
  <c r="AC71" i="28"/>
  <c r="AC72" i="28" s="1"/>
  <c r="AC70" i="28" s="1"/>
  <c r="AC86" i="28"/>
  <c r="AC87" i="28" s="1"/>
  <c r="AC85" i="28" s="1"/>
  <c r="AO116" i="1"/>
  <c r="Y57" i="21"/>
  <c r="Y55" i="21" s="1"/>
  <c r="Z58" i="21" s="1"/>
  <c r="AC102" i="21"/>
  <c r="AC100" i="21" s="1"/>
  <c r="AD103" i="21" s="1"/>
  <c r="AE127" i="28"/>
  <c r="AE125" i="28" s="1"/>
  <c r="AC33" i="28"/>
  <c r="AC31" i="28"/>
  <c r="G210" i="6"/>
  <c r="G211" i="6" s="1"/>
  <c r="AC77" i="28"/>
  <c r="AC75" i="28" s="1"/>
  <c r="AI171" i="28"/>
  <c r="AI172" i="28" s="1"/>
  <c r="AI170" i="28" s="1"/>
  <c r="AI177" i="28"/>
  <c r="AI175" i="28" s="1"/>
  <c r="AJ178" i="28" s="1"/>
  <c r="J196" i="6"/>
  <c r="J199" i="6" s="1"/>
  <c r="X79" i="6"/>
  <c r="Y76" i="6" s="1"/>
  <c r="X66" i="6"/>
  <c r="X67" i="6" s="1"/>
  <c r="Y64" i="6" s="1"/>
  <c r="AF108" i="28"/>
  <c r="AF107" i="28" s="1"/>
  <c r="AF105" i="28" s="1"/>
  <c r="AA53" i="28"/>
  <c r="AA52" i="28" s="1"/>
  <c r="AA50" i="28" s="1"/>
  <c r="N151" i="6"/>
  <c r="O148" i="6" s="1"/>
  <c r="AE81" i="28"/>
  <c r="AE82" i="28" s="1"/>
  <c r="AE80" i="28" s="1"/>
  <c r="AF83" i="28" s="1"/>
  <c r="R118" i="6"/>
  <c r="R121" i="6" s="1"/>
  <c r="S118" i="6" s="1"/>
  <c r="AC22" i="6"/>
  <c r="AC25" i="6" s="1"/>
  <c r="AA57" i="28"/>
  <c r="AA55" i="28" s="1"/>
  <c r="AB56" i="28" s="1"/>
  <c r="AC61" i="28"/>
  <c r="AC62" i="28" s="1"/>
  <c r="AC60" i="28" s="1"/>
  <c r="AD63" i="28" s="1"/>
  <c r="N154" i="6"/>
  <c r="N156" i="6"/>
  <c r="Z42" i="28"/>
  <c r="Z40" i="28" s="1"/>
  <c r="AA43" i="28" s="1"/>
  <c r="AD103" i="28"/>
  <c r="AD102" i="28" s="1"/>
  <c r="AD100" i="28" s="1"/>
  <c r="AG123" i="28"/>
  <c r="AG122" i="28" s="1"/>
  <c r="AG120" i="28" s="1"/>
  <c r="AD117" i="28"/>
  <c r="AD115" i="28" s="1"/>
  <c r="AE116" i="28" s="1"/>
  <c r="N160" i="6"/>
  <c r="N163" i="6" s="1"/>
  <c r="O160" i="6" s="1"/>
  <c r="AI158" i="28"/>
  <c r="AI156" i="28"/>
  <c r="AA36" i="6"/>
  <c r="AA37" i="6" s="1"/>
  <c r="O138" i="6"/>
  <c r="O139" i="6" s="1"/>
  <c r="AB37" i="28"/>
  <c r="AB35" i="28" s="1"/>
  <c r="AC36" i="28" s="1"/>
  <c r="AD98" i="28"/>
  <c r="AD96" i="28"/>
  <c r="E229" i="6"/>
  <c r="AH148" i="28"/>
  <c r="AH146" i="28"/>
  <c r="AN37" i="1"/>
  <c r="AN39" i="1"/>
  <c r="AN40" i="1" s="1"/>
  <c r="AM45" i="1"/>
  <c r="AM42" i="1"/>
  <c r="AJ185" i="28"/>
  <c r="AN5" i="6"/>
  <c r="AO5" i="6" s="1"/>
  <c r="AH131" i="28"/>
  <c r="AH133" i="28"/>
  <c r="L180" i="6"/>
  <c r="L178" i="6"/>
  <c r="K172" i="6"/>
  <c r="K174" i="6"/>
  <c r="AP1" i="1"/>
  <c r="AP1" i="24"/>
  <c r="AP1" i="25"/>
  <c r="AO1" i="6"/>
  <c r="AO1" i="28"/>
  <c r="AO1" i="21"/>
  <c r="AK46" i="1"/>
  <c r="AK62" i="1"/>
  <c r="AK61" i="1" s="1"/>
  <c r="AK60" i="1" s="1"/>
  <c r="AK59" i="1" s="1"/>
  <c r="AK58" i="1" s="1"/>
  <c r="AK57" i="1" s="1"/>
  <c r="AK56" i="1" s="1"/>
  <c r="AK55" i="1" s="1"/>
  <c r="AK54" i="1" s="1"/>
  <c r="AK53" i="1" s="1"/>
  <c r="AK52" i="1" s="1"/>
  <c r="AK51" i="1" s="1"/>
  <c r="AK50" i="1" s="1"/>
  <c r="AK49" i="1" s="1"/>
  <c r="AK48" i="1" s="1"/>
  <c r="AK47" i="1" s="1"/>
  <c r="X49" i="6"/>
  <c r="Q27" i="21"/>
  <c r="F223" i="6"/>
  <c r="AP18" i="24"/>
  <c r="AP6" i="6" s="1"/>
  <c r="AP10" i="24"/>
  <c r="AQ8" i="1" s="1"/>
  <c r="AQ6" i="1" s="1"/>
  <c r="AP21" i="24"/>
  <c r="AP8" i="6" s="1"/>
  <c r="AP9" i="6" s="1"/>
  <c r="AQ9" i="24"/>
  <c r="AP15" i="24"/>
  <c r="AQ10" i="1" s="1"/>
  <c r="AO7" i="6"/>
  <c r="AD96" i="21"/>
  <c r="AD98" i="21"/>
  <c r="Y46" i="21"/>
  <c r="Y48" i="21"/>
  <c r="AK190" i="21"/>
  <c r="AL139" i="1"/>
  <c r="AL37" i="25" s="1"/>
  <c r="AK20" i="21"/>
  <c r="C181" i="28"/>
  <c r="AJ183" i="28"/>
  <c r="AJ181" i="28"/>
  <c r="AB30" i="6"/>
  <c r="AB28" i="6"/>
  <c r="E234" i="6"/>
  <c r="E235" i="6" s="1"/>
  <c r="AO84" i="1"/>
  <c r="AP18" i="1"/>
  <c r="AP12" i="1"/>
  <c r="AP12" i="25" s="1"/>
  <c r="AP115" i="1"/>
  <c r="AP73" i="1"/>
  <c r="AP93" i="1"/>
  <c r="AP95" i="1" s="1"/>
  <c r="AP5" i="25"/>
  <c r="AP27" i="1"/>
  <c r="AI148" i="21"/>
  <c r="AI146" i="21"/>
  <c r="AL155" i="1"/>
  <c r="AL140" i="1" s="1"/>
  <c r="AL141" i="1" s="1"/>
  <c r="AL159" i="1"/>
  <c r="I202" i="6"/>
  <c r="I204" i="6"/>
  <c r="AL17" i="21"/>
  <c r="AM122" i="1"/>
  <c r="AM45" i="25"/>
  <c r="AL17" i="28"/>
  <c r="AP17" i="1"/>
  <c r="AP110" i="1"/>
  <c r="AO13" i="21"/>
  <c r="AO12" i="21" s="1"/>
  <c r="BS68" i="9"/>
  <c r="AO13" i="28"/>
  <c r="AO12" i="28" s="1"/>
  <c r="AO245" i="6"/>
  <c r="AH163" i="28"/>
  <c r="AH161" i="28"/>
  <c r="AE132" i="21"/>
  <c r="AE130" i="21" s="1"/>
  <c r="AG152" i="28"/>
  <c r="AG150" i="28" s="1"/>
  <c r="AD112" i="21"/>
  <c r="AD110" i="21" s="1"/>
  <c r="AJ68" i="1"/>
  <c r="X42" i="21"/>
  <c r="X40" i="21" s="1"/>
  <c r="Q142" i="1"/>
  <c r="Q38" i="25"/>
  <c r="Q36" i="25" s="1"/>
  <c r="Q48" i="25" s="1"/>
  <c r="AC106" i="21"/>
  <c r="AC108" i="21"/>
  <c r="AG152" i="21"/>
  <c r="AG150" i="21" s="1"/>
  <c r="AK155" i="1"/>
  <c r="AK140" i="1" s="1"/>
  <c r="AK141" i="1" s="1"/>
  <c r="AK159" i="1"/>
  <c r="AJ183" i="21"/>
  <c r="AJ181" i="21"/>
  <c r="C181" i="21"/>
  <c r="W85" i="6"/>
  <c r="AL46" i="1"/>
  <c r="AL62" i="1"/>
  <c r="AL61" i="1" s="1"/>
  <c r="AL60" i="1" s="1"/>
  <c r="AL59" i="1" s="1"/>
  <c r="AL58" i="1" s="1"/>
  <c r="AL57" i="1" s="1"/>
  <c r="AL56" i="1" s="1"/>
  <c r="AL55" i="1" s="1"/>
  <c r="AL54" i="1" s="1"/>
  <c r="AL53" i="1" s="1"/>
  <c r="AL52" i="1" s="1"/>
  <c r="AL51" i="1" s="1"/>
  <c r="AL50" i="1" s="1"/>
  <c r="AL49" i="1" s="1"/>
  <c r="AL48" i="1" s="1"/>
  <c r="AL47" i="1" s="1"/>
  <c r="AC77" i="21"/>
  <c r="AC75" i="21" s="1"/>
  <c r="AB62" i="21"/>
  <c r="AB60" i="21" s="1"/>
  <c r="Q127" i="6"/>
  <c r="AO17" i="1"/>
  <c r="AO20" i="1" s="1"/>
  <c r="AN13" i="21"/>
  <c r="AN12" i="21" s="1"/>
  <c r="AO110" i="1"/>
  <c r="BR68" i="9"/>
  <c r="AN13" i="28"/>
  <c r="AN12" i="28" s="1"/>
  <c r="AN239" i="6"/>
  <c r="AO25" i="25"/>
  <c r="AO124" i="1"/>
  <c r="AO7" i="25"/>
  <c r="H293" i="6"/>
  <c r="D293" i="6"/>
  <c r="D295" i="6" s="1"/>
  <c r="I293" i="6"/>
  <c r="J293" i="6"/>
  <c r="M293" i="6"/>
  <c r="G293" i="6"/>
  <c r="N293" i="6"/>
  <c r="K293" i="6"/>
  <c r="O293" i="6"/>
  <c r="L293" i="6"/>
  <c r="P293" i="6"/>
  <c r="F293" i="6"/>
  <c r="S293" i="6"/>
  <c r="E293" i="6"/>
  <c r="X293" i="6"/>
  <c r="Z293" i="6"/>
  <c r="AG293" i="6"/>
  <c r="AO293" i="6"/>
  <c r="AH293" i="6"/>
  <c r="AP293" i="6"/>
  <c r="W293" i="6"/>
  <c r="AA293" i="6"/>
  <c r="AI293" i="6"/>
  <c r="AQ293" i="6"/>
  <c r="R293" i="6"/>
  <c r="T293" i="6"/>
  <c r="U293" i="6"/>
  <c r="V293" i="6"/>
  <c r="AD293" i="6"/>
  <c r="AL293" i="6"/>
  <c r="AC293" i="6"/>
  <c r="AS293" i="6"/>
  <c r="AE293" i="6"/>
  <c r="AN293" i="6"/>
  <c r="AX293" i="6"/>
  <c r="AM293" i="6"/>
  <c r="AT293" i="6"/>
  <c r="Y293" i="6"/>
  <c r="AR293" i="6"/>
  <c r="AY293" i="6"/>
  <c r="AK293" i="6"/>
  <c r="Q293" i="6"/>
  <c r="AV293" i="6"/>
  <c r="AZ293" i="6"/>
  <c r="AF293" i="6"/>
  <c r="BA293" i="6"/>
  <c r="B297" i="6"/>
  <c r="AB293" i="6"/>
  <c r="AU293" i="6"/>
  <c r="AJ293" i="6"/>
  <c r="E286" i="6"/>
  <c r="J184" i="6"/>
  <c r="J186" i="6"/>
  <c r="AN22" i="1"/>
  <c r="AG137" i="21"/>
  <c r="AG135" i="21" s="1"/>
  <c r="AO28" i="1"/>
  <c r="AO35" i="1"/>
  <c r="AO34" i="1" s="1"/>
  <c r="AO33" i="1" s="1"/>
  <c r="AO32" i="1" s="1"/>
  <c r="AO31" i="1" s="1"/>
  <c r="AO30" i="1" s="1"/>
  <c r="AO29" i="1" s="1"/>
  <c r="Q96" i="6"/>
  <c r="Q94" i="6"/>
  <c r="AH167" i="28"/>
  <c r="AH165" i="28" s="1"/>
  <c r="T102" i="6"/>
  <c r="T100" i="6"/>
  <c r="AC93" i="28"/>
  <c r="AC91" i="28"/>
  <c r="AH167" i="21"/>
  <c r="AH165" i="21" s="1"/>
  <c r="X61" i="6"/>
  <c r="AJ185" i="21"/>
  <c r="AK139" i="1"/>
  <c r="AK37" i="25" s="1"/>
  <c r="AJ20" i="21"/>
  <c r="AH143" i="28"/>
  <c r="AH141" i="28"/>
  <c r="AK20" i="28"/>
  <c r="AK190" i="28"/>
  <c r="AB87" i="21"/>
  <c r="AB85" i="21" s="1"/>
  <c r="AG142" i="21"/>
  <c r="AG140" i="21" s="1"/>
  <c r="AN117" i="1"/>
  <c r="AN114" i="1" s="1"/>
  <c r="AI177" i="21"/>
  <c r="AI175" i="21" s="1"/>
  <c r="AA52" i="6"/>
  <c r="AA54" i="6"/>
  <c r="R27" i="25"/>
  <c r="R40" i="25" s="1"/>
  <c r="R144" i="1"/>
  <c r="R39" i="25"/>
  <c r="R13" i="25"/>
  <c r="AP16" i="1"/>
  <c r="AP11" i="25"/>
  <c r="AJ19" i="28"/>
  <c r="AJ20" i="28" s="1"/>
  <c r="G216" i="6"/>
  <c r="G214" i="6"/>
  <c r="AA67" i="28"/>
  <c r="AA65" i="28" s="1"/>
  <c r="AA48" i="28"/>
  <c r="AA46" i="28"/>
  <c r="Q132" i="6"/>
  <c r="Q130" i="6"/>
  <c r="AI171" i="21"/>
  <c r="AI173" i="21"/>
  <c r="AJ9" i="25"/>
  <c r="N168" i="6" l="1"/>
  <c r="N169" i="6" s="1"/>
  <c r="K190" i="6"/>
  <c r="K193" i="6" s="1"/>
  <c r="L190" i="6" s="1"/>
  <c r="O275" i="28"/>
  <c r="Q97" i="6"/>
  <c r="R94" i="6" s="1"/>
  <c r="N157" i="6"/>
  <c r="O154" i="6" s="1"/>
  <c r="S120" i="6"/>
  <c r="AF113" i="28"/>
  <c r="AF112" i="28" s="1"/>
  <c r="AF110" i="28" s="1"/>
  <c r="AG113" i="28" s="1"/>
  <c r="AF121" i="21"/>
  <c r="AG118" i="21"/>
  <c r="AJ182" i="21"/>
  <c r="AJ180" i="21" s="1"/>
  <c r="AH162" i="28"/>
  <c r="AH160" i="28" s="1"/>
  <c r="AI161" i="28" s="1"/>
  <c r="AI163" i="21"/>
  <c r="AI161" i="21"/>
  <c r="AF81" i="28"/>
  <c r="AF82" i="28" s="1"/>
  <c r="AF80" i="28" s="1"/>
  <c r="AG81" i="28" s="1"/>
  <c r="AP116" i="1"/>
  <c r="Z38" i="21"/>
  <c r="Z37" i="21" s="1"/>
  <c r="Z35" i="21" s="1"/>
  <c r="O168" i="6"/>
  <c r="O166" i="6"/>
  <c r="Y78" i="6"/>
  <c r="Y79" i="6" s="1"/>
  <c r="Z76" i="6" s="1"/>
  <c r="S108" i="6"/>
  <c r="S109" i="6" s="1"/>
  <c r="AG128" i="21"/>
  <c r="AG127" i="21" s="1"/>
  <c r="AG125" i="21" s="1"/>
  <c r="Z56" i="21"/>
  <c r="Z57" i="21" s="1"/>
  <c r="Z55" i="21" s="1"/>
  <c r="O22" i="28"/>
  <c r="P28" i="28"/>
  <c r="P4" i="28" s="1"/>
  <c r="P26" i="28"/>
  <c r="AD81" i="21"/>
  <c r="AD82" i="21" s="1"/>
  <c r="AD80" i="21" s="1"/>
  <c r="AE83" i="21" s="1"/>
  <c r="AI138" i="28"/>
  <c r="AI137" i="28" s="1"/>
  <c r="AI135" i="28" s="1"/>
  <c r="AJ138" i="28" s="1"/>
  <c r="AD93" i="21"/>
  <c r="AD92" i="21" s="1"/>
  <c r="AD90" i="21" s="1"/>
  <c r="AC92" i="28"/>
  <c r="AC90" i="28" s="1"/>
  <c r="AD91" i="28" s="1"/>
  <c r="AJ176" i="28"/>
  <c r="AJ177" i="28" s="1"/>
  <c r="AJ175" i="28" s="1"/>
  <c r="AK178" i="28" s="1"/>
  <c r="Z51" i="21"/>
  <c r="Z52" i="21" s="1"/>
  <c r="Z50" i="21" s="1"/>
  <c r="AD97" i="28"/>
  <c r="AD95" i="28" s="1"/>
  <c r="AE98" i="28" s="1"/>
  <c r="AI172" i="21"/>
  <c r="AI170" i="21" s="1"/>
  <c r="AJ173" i="21" s="1"/>
  <c r="AD101" i="21"/>
  <c r="AD102" i="21" s="1"/>
  <c r="AD100" i="21" s="1"/>
  <c r="AF128" i="28"/>
  <c r="AF126" i="28"/>
  <c r="AI147" i="21"/>
  <c r="AI145" i="21" s="1"/>
  <c r="AJ146" i="21" s="1"/>
  <c r="AI157" i="28"/>
  <c r="AI155" i="28" s="1"/>
  <c r="AJ156" i="28" s="1"/>
  <c r="AC32" i="28"/>
  <c r="AC30" i="28" s="1"/>
  <c r="AD31" i="28" s="1"/>
  <c r="Z67" i="21"/>
  <c r="Z65" i="21" s="1"/>
  <c r="L192" i="6"/>
  <c r="H208" i="6"/>
  <c r="H210" i="6"/>
  <c r="AD78" i="28"/>
  <c r="AD76" i="28"/>
  <c r="AA41" i="28"/>
  <c r="AA42" i="28" s="1"/>
  <c r="AA40" i="28" s="1"/>
  <c r="O142" i="6"/>
  <c r="O145" i="6" s="1"/>
  <c r="P144" i="6" s="1"/>
  <c r="Q133" i="6"/>
  <c r="R132" i="6" s="1"/>
  <c r="AE118" i="28"/>
  <c r="AE117" i="28" s="1"/>
  <c r="AE115" i="28" s="1"/>
  <c r="AF118" i="28" s="1"/>
  <c r="AB51" i="28"/>
  <c r="AB53" i="28"/>
  <c r="AD61" i="28"/>
  <c r="AD62" i="28" s="1"/>
  <c r="AD60" i="28" s="1"/>
  <c r="O150" i="6"/>
  <c r="O151" i="6" s="1"/>
  <c r="L181" i="6"/>
  <c r="M180" i="6" s="1"/>
  <c r="O162" i="6"/>
  <c r="O163" i="6" s="1"/>
  <c r="Y66" i="6"/>
  <c r="Y67" i="6" s="1"/>
  <c r="AC38" i="28"/>
  <c r="AC37" i="28" s="1"/>
  <c r="AC35" i="28" s="1"/>
  <c r="AD36" i="28" s="1"/>
  <c r="AB31" i="6"/>
  <c r="AC28" i="6" s="1"/>
  <c r="AB58" i="28"/>
  <c r="AB57" i="28" s="1"/>
  <c r="AB55" i="28" s="1"/>
  <c r="AH142" i="28"/>
  <c r="AH140" i="28" s="1"/>
  <c r="AI143" i="28" s="1"/>
  <c r="AE101" i="28"/>
  <c r="AE103" i="28"/>
  <c r="W72" i="6"/>
  <c r="W73" i="6" s="1"/>
  <c r="G217" i="6"/>
  <c r="H214" i="6" s="1"/>
  <c r="T103" i="6"/>
  <c r="U100" i="6" s="1"/>
  <c r="AD73" i="28"/>
  <c r="AD71" i="28"/>
  <c r="E292" i="6"/>
  <c r="AQ18" i="24"/>
  <c r="AQ6" i="6" s="1"/>
  <c r="AQ10" i="24"/>
  <c r="AR8" i="1" s="1"/>
  <c r="AR6" i="1" s="1"/>
  <c r="AR9" i="24"/>
  <c r="AQ21" i="24"/>
  <c r="AQ8" i="6" s="1"/>
  <c r="AQ9" i="6" s="1"/>
  <c r="AQ15" i="24"/>
  <c r="AR10" i="1" s="1"/>
  <c r="AO117" i="1"/>
  <c r="AO114" i="1" s="1"/>
  <c r="AK183" i="21"/>
  <c r="AK181" i="21"/>
  <c r="AL63" i="1"/>
  <c r="AL65" i="1"/>
  <c r="AL66" i="1" s="1"/>
  <c r="AQ12" i="1"/>
  <c r="AQ12" i="25" s="1"/>
  <c r="AQ18" i="1"/>
  <c r="AQ115" i="1"/>
  <c r="AQ93" i="1"/>
  <c r="AQ95" i="1" s="1"/>
  <c r="AQ73" i="1"/>
  <c r="AQ5" i="25"/>
  <c r="AQ27" i="1"/>
  <c r="AQ1" i="1"/>
  <c r="AQ1" i="24"/>
  <c r="AQ1" i="25"/>
  <c r="AP1" i="6"/>
  <c r="AP1" i="28"/>
  <c r="AP1" i="21"/>
  <c r="AK186" i="21"/>
  <c r="AK188" i="21"/>
  <c r="C186" i="21"/>
  <c r="J187" i="6"/>
  <c r="P136" i="6"/>
  <c r="P138" i="6"/>
  <c r="AA47" i="28"/>
  <c r="AA45" i="28" s="1"/>
  <c r="AA55" i="6"/>
  <c r="Y58" i="6"/>
  <c r="Y60" i="6"/>
  <c r="S121" i="6"/>
  <c r="AK9" i="25"/>
  <c r="AB71" i="21"/>
  <c r="AB73" i="21"/>
  <c r="AE111" i="21"/>
  <c r="AE113" i="21"/>
  <c r="F234" i="6"/>
  <c r="F232" i="6"/>
  <c r="F226" i="6"/>
  <c r="F228" i="6"/>
  <c r="AD86" i="28"/>
  <c r="AD88" i="28"/>
  <c r="AB66" i="28"/>
  <c r="AB68" i="28"/>
  <c r="AN24" i="1"/>
  <c r="AD76" i="21"/>
  <c r="AD78" i="21"/>
  <c r="AP117" i="1"/>
  <c r="AP114" i="1" s="1"/>
  <c r="AP124" i="1"/>
  <c r="AP7" i="25"/>
  <c r="AP25" i="25"/>
  <c r="AH136" i="21"/>
  <c r="AH138" i="21"/>
  <c r="AM62" i="1"/>
  <c r="AM61" i="1" s="1"/>
  <c r="AM60" i="1" s="1"/>
  <c r="AM59" i="1" s="1"/>
  <c r="AM58" i="1" s="1"/>
  <c r="AM57" i="1" s="1"/>
  <c r="AM56" i="1" s="1"/>
  <c r="AM55" i="1" s="1"/>
  <c r="AM54" i="1" s="1"/>
  <c r="AM53" i="1" s="1"/>
  <c r="AM52" i="1" s="1"/>
  <c r="AM51" i="1" s="1"/>
  <c r="AM50" i="1" s="1"/>
  <c r="AM49" i="1" s="1"/>
  <c r="AM48" i="1" s="1"/>
  <c r="AM47" i="1" s="1"/>
  <c r="AM46" i="1"/>
  <c r="Y31" i="21"/>
  <c r="Y33" i="21"/>
  <c r="AJ171" i="28"/>
  <c r="AJ173" i="28"/>
  <c r="AH123" i="28"/>
  <c r="AH121" i="28"/>
  <c r="R126" i="6"/>
  <c r="R124" i="6"/>
  <c r="AH151" i="28"/>
  <c r="AH153" i="28"/>
  <c r="E246" i="6"/>
  <c r="E247" i="6" s="1"/>
  <c r="AL191" i="21"/>
  <c r="AL193" i="21"/>
  <c r="C191" i="21"/>
  <c r="AD97" i="21"/>
  <c r="AD95" i="21" s="1"/>
  <c r="G222" i="6"/>
  <c r="G220" i="6"/>
  <c r="AP35" i="1"/>
  <c r="AP34" i="1" s="1"/>
  <c r="AP33" i="1" s="1"/>
  <c r="AP32" i="1" s="1"/>
  <c r="AP31" i="1" s="1"/>
  <c r="AP30" i="1" s="1"/>
  <c r="AP29" i="1" s="1"/>
  <c r="AP28" i="1"/>
  <c r="Y46" i="6"/>
  <c r="Y48" i="6"/>
  <c r="AK188" i="28"/>
  <c r="AK186" i="28"/>
  <c r="C186" i="28"/>
  <c r="AL18" i="21"/>
  <c r="AL19" i="21" s="1"/>
  <c r="AM10" i="25"/>
  <c r="AG117" i="21"/>
  <c r="AG115" i="21" s="1"/>
  <c r="AO22" i="1"/>
  <c r="AO24" i="1" s="1"/>
  <c r="E240" i="6"/>
  <c r="AC61" i="21"/>
  <c r="AC63" i="21"/>
  <c r="K196" i="6"/>
  <c r="K198" i="6"/>
  <c r="AF131" i="21"/>
  <c r="AF133" i="21"/>
  <c r="AL18" i="28"/>
  <c r="AL19" i="28" s="1"/>
  <c r="I205" i="6"/>
  <c r="AP7" i="6"/>
  <c r="AQ7" i="6" s="1"/>
  <c r="Q275" i="21"/>
  <c r="Q25" i="21"/>
  <c r="AH147" i="28"/>
  <c r="AH145" i="28" s="1"/>
  <c r="AD22" i="6"/>
  <c r="AD24" i="6"/>
  <c r="AL191" i="28"/>
  <c r="AL193" i="28"/>
  <c r="C191" i="28"/>
  <c r="R96" i="6"/>
  <c r="AL9" i="25"/>
  <c r="AH141" i="21"/>
  <c r="AH143" i="21"/>
  <c r="AC107" i="21"/>
  <c r="AC105" i="21" s="1"/>
  <c r="S112" i="6"/>
  <c r="S114" i="6"/>
  <c r="AK63" i="1"/>
  <c r="AK65" i="1"/>
  <c r="AK66" i="1" s="1"/>
  <c r="D299" i="6"/>
  <c r="D301" i="6" s="1"/>
  <c r="E299" i="6"/>
  <c r="I299" i="6"/>
  <c r="R299" i="6"/>
  <c r="G299" i="6"/>
  <c r="S299" i="6"/>
  <c r="L299" i="6"/>
  <c r="M299" i="6"/>
  <c r="O299" i="6"/>
  <c r="W299" i="6"/>
  <c r="J299" i="6"/>
  <c r="Q299" i="6"/>
  <c r="X299" i="6"/>
  <c r="Y299" i="6"/>
  <c r="T299" i="6"/>
  <c r="U299" i="6"/>
  <c r="V299" i="6"/>
  <c r="AC299" i="6"/>
  <c r="AK299" i="6"/>
  <c r="AS299" i="6"/>
  <c r="Z299" i="6"/>
  <c r="AD299" i="6"/>
  <c r="AL299" i="6"/>
  <c r="F299" i="6"/>
  <c r="H299" i="6"/>
  <c r="P299" i="6"/>
  <c r="AE299" i="6"/>
  <c r="AM299" i="6"/>
  <c r="AT299" i="6"/>
  <c r="K299" i="6"/>
  <c r="N299" i="6"/>
  <c r="AH299" i="6"/>
  <c r="AP299" i="6"/>
  <c r="AO299" i="6"/>
  <c r="AZ299" i="6"/>
  <c r="AA299" i="6"/>
  <c r="AQ299" i="6"/>
  <c r="AJ299" i="6"/>
  <c r="AU299" i="6"/>
  <c r="AI299" i="6"/>
  <c r="AN299" i="6"/>
  <c r="AG299" i="6"/>
  <c r="AW299" i="6"/>
  <c r="AR299" i="6"/>
  <c r="AY299" i="6"/>
  <c r="AF299" i="6"/>
  <c r="AV299" i="6"/>
  <c r="B303" i="6"/>
  <c r="AB299" i="6"/>
  <c r="BA299" i="6"/>
  <c r="Y42" i="6"/>
  <c r="Y40" i="6"/>
  <c r="AP4" i="6"/>
  <c r="AP84" i="1"/>
  <c r="AJ176" i="21"/>
  <c r="AJ178" i="21"/>
  <c r="AI168" i="21"/>
  <c r="AI166" i="21"/>
  <c r="AI158" i="21"/>
  <c r="AI156" i="21"/>
  <c r="W88" i="6"/>
  <c r="W90" i="6"/>
  <c r="AM17" i="21"/>
  <c r="AN122" i="1"/>
  <c r="AN45" i="25"/>
  <c r="AM17" i="28"/>
  <c r="AC86" i="21"/>
  <c r="AC88" i="21"/>
  <c r="AG108" i="28"/>
  <c r="AG106" i="28"/>
  <c r="AI168" i="28"/>
  <c r="AI166" i="28"/>
  <c r="AO37" i="1"/>
  <c r="AO39" i="1"/>
  <c r="AO40" i="1" s="1"/>
  <c r="O169" i="6"/>
  <c r="X82" i="6"/>
  <c r="X84" i="6"/>
  <c r="AH153" i="21"/>
  <c r="AH151" i="21"/>
  <c r="Y41" i="21"/>
  <c r="Y43" i="21"/>
  <c r="AP20" i="1"/>
  <c r="AJ182" i="28"/>
  <c r="AJ180" i="28" s="1"/>
  <c r="Y47" i="21"/>
  <c r="Y45" i="21" s="1"/>
  <c r="AQ16" i="1"/>
  <c r="AQ11" i="25"/>
  <c r="AB36" i="6"/>
  <c r="AB34" i="6"/>
  <c r="K175" i="6"/>
  <c r="AH132" i="28"/>
  <c r="AH130" i="28" s="1"/>
  <c r="AF122" i="21"/>
  <c r="AF120" i="21" s="1"/>
  <c r="R127" i="6" l="1"/>
  <c r="AG111" i="28"/>
  <c r="AG112" i="28" s="1"/>
  <c r="AG110" i="28" s="1"/>
  <c r="AH111" i="28" s="1"/>
  <c r="O156" i="6"/>
  <c r="AI163" i="28"/>
  <c r="AI162" i="28" s="1"/>
  <c r="AI160" i="28" s="1"/>
  <c r="AI162" i="21"/>
  <c r="AI160" i="21" s="1"/>
  <c r="AJ163" i="21" s="1"/>
  <c r="H211" i="6"/>
  <c r="Z78" i="6"/>
  <c r="Z79" i="6" s="1"/>
  <c r="AA76" i="6" s="1"/>
  <c r="U102" i="6"/>
  <c r="U103" i="6" s="1"/>
  <c r="AC30" i="6"/>
  <c r="AC31" i="6" s="1"/>
  <c r="AD28" i="6" s="1"/>
  <c r="AD77" i="28"/>
  <c r="AD75" i="28" s="1"/>
  <c r="AE76" i="28" s="1"/>
  <c r="AA38" i="21"/>
  <c r="AA36" i="21"/>
  <c r="AE96" i="28"/>
  <c r="AE97" i="28" s="1"/>
  <c r="AE95" i="28" s="1"/>
  <c r="AF96" i="28" s="1"/>
  <c r="AG83" i="28"/>
  <c r="AG82" i="28" s="1"/>
  <c r="AG80" i="28" s="1"/>
  <c r="AH83" i="28" s="1"/>
  <c r="AJ161" i="21"/>
  <c r="AJ162" i="21" s="1"/>
  <c r="AJ160" i="21" s="1"/>
  <c r="AH152" i="21"/>
  <c r="AH150" i="21" s="1"/>
  <c r="AI151" i="21" s="1"/>
  <c r="AI167" i="21"/>
  <c r="AI165" i="21" s="1"/>
  <c r="AJ168" i="21" s="1"/>
  <c r="H216" i="6"/>
  <c r="H217" i="6" s="1"/>
  <c r="AF116" i="28"/>
  <c r="AF117" i="28" s="1"/>
  <c r="AF115" i="28" s="1"/>
  <c r="AI157" i="21"/>
  <c r="AI155" i="21" s="1"/>
  <c r="AJ158" i="21" s="1"/>
  <c r="AF127" i="28"/>
  <c r="AF125" i="28" s="1"/>
  <c r="AG128" i="28" s="1"/>
  <c r="P27" i="28"/>
  <c r="AL192" i="21"/>
  <c r="AL190" i="21" s="1"/>
  <c r="AM191" i="21" s="1"/>
  <c r="AD93" i="28"/>
  <c r="AD92" i="28" s="1"/>
  <c r="AD90" i="28" s="1"/>
  <c r="AE93" i="28" s="1"/>
  <c r="AE81" i="21"/>
  <c r="AE82" i="21" s="1"/>
  <c r="AE80" i="21" s="1"/>
  <c r="AJ158" i="28"/>
  <c r="AJ157" i="28" s="1"/>
  <c r="AJ155" i="28" s="1"/>
  <c r="AK158" i="28" s="1"/>
  <c r="Y32" i="21"/>
  <c r="Y30" i="21" s="1"/>
  <c r="Z31" i="21" s="1"/>
  <c r="AB52" i="28"/>
  <c r="AB50" i="28" s="1"/>
  <c r="AC53" i="28" s="1"/>
  <c r="AK176" i="28"/>
  <c r="AK177" i="28" s="1"/>
  <c r="AK175" i="28" s="1"/>
  <c r="AK182" i="21"/>
  <c r="AK180" i="21" s="1"/>
  <c r="AL181" i="21" s="1"/>
  <c r="AA56" i="21"/>
  <c r="AA58" i="21"/>
  <c r="AJ171" i="21"/>
  <c r="AJ172" i="21" s="1"/>
  <c r="AJ170" i="21" s="1"/>
  <c r="AK171" i="21" s="1"/>
  <c r="AD33" i="28"/>
  <c r="AD32" i="28" s="1"/>
  <c r="AD30" i="28" s="1"/>
  <c r="AQ116" i="1"/>
  <c r="AE112" i="21"/>
  <c r="AE110" i="21" s="1"/>
  <c r="AF113" i="21" s="1"/>
  <c r="AI141" i="28"/>
  <c r="AI142" i="28" s="1"/>
  <c r="AI140" i="28" s="1"/>
  <c r="AA66" i="21"/>
  <c r="AA68" i="21"/>
  <c r="AJ177" i="21"/>
  <c r="AJ175" i="21" s="1"/>
  <c r="AK176" i="21" s="1"/>
  <c r="AJ148" i="21"/>
  <c r="AJ147" i="21" s="1"/>
  <c r="AJ145" i="21" s="1"/>
  <c r="AD38" i="28"/>
  <c r="AD37" i="28" s="1"/>
  <c r="AD35" i="28" s="1"/>
  <c r="AD77" i="21"/>
  <c r="AD75" i="21" s="1"/>
  <c r="AE78" i="21" s="1"/>
  <c r="AD72" i="28"/>
  <c r="AD70" i="28" s="1"/>
  <c r="AE73" i="28" s="1"/>
  <c r="R130" i="6"/>
  <c r="R133" i="6" s="1"/>
  <c r="L193" i="6"/>
  <c r="Z66" i="6"/>
  <c r="Z64" i="6"/>
  <c r="AK187" i="28"/>
  <c r="AK185" i="28" s="1"/>
  <c r="AL188" i="28" s="1"/>
  <c r="M178" i="6"/>
  <c r="M181" i="6" s="1"/>
  <c r="P142" i="6"/>
  <c r="AJ136" i="28"/>
  <c r="AJ137" i="28" s="1"/>
  <c r="AJ135" i="28" s="1"/>
  <c r="AK136" i="28" s="1"/>
  <c r="AL192" i="28"/>
  <c r="AL190" i="28" s="1"/>
  <c r="AM193" i="28" s="1"/>
  <c r="G223" i="6"/>
  <c r="H222" i="6" s="1"/>
  <c r="X72" i="6"/>
  <c r="X70" i="6"/>
  <c r="O157" i="6"/>
  <c r="P156" i="6" s="1"/>
  <c r="AH122" i="28"/>
  <c r="AH120" i="28" s="1"/>
  <c r="AI121" i="28" s="1"/>
  <c r="F235" i="6"/>
  <c r="G232" i="6" s="1"/>
  <c r="P145" i="6"/>
  <c r="Q142" i="6" s="1"/>
  <c r="AE102" i="28"/>
  <c r="AE100" i="28" s="1"/>
  <c r="P148" i="6"/>
  <c r="P150" i="6"/>
  <c r="AG107" i="28"/>
  <c r="AG105" i="28" s="1"/>
  <c r="AH108" i="28" s="1"/>
  <c r="AM155" i="1"/>
  <c r="AM140" i="1" s="1"/>
  <c r="AM141" i="1" s="1"/>
  <c r="AM159" i="1"/>
  <c r="AE63" i="28"/>
  <c r="AE61" i="28"/>
  <c r="AM18" i="28"/>
  <c r="AM19" i="28" s="1"/>
  <c r="R26" i="21"/>
  <c r="Q22" i="21"/>
  <c r="R28" i="21"/>
  <c r="R4" i="21" s="1"/>
  <c r="S74" i="1" s="1"/>
  <c r="T106" i="6"/>
  <c r="T108" i="6"/>
  <c r="AQ35" i="1"/>
  <c r="AQ34" i="1" s="1"/>
  <c r="AQ33" i="1" s="1"/>
  <c r="AQ32" i="1" s="1"/>
  <c r="AQ31" i="1" s="1"/>
  <c r="AQ30" i="1" s="1"/>
  <c r="AQ29" i="1" s="1"/>
  <c r="AQ28" i="1"/>
  <c r="AL68" i="1"/>
  <c r="AB41" i="28"/>
  <c r="AB43" i="28"/>
  <c r="X85" i="6"/>
  <c r="AH142" i="21"/>
  <c r="AH140" i="21" s="1"/>
  <c r="R143" i="1"/>
  <c r="R14" i="25"/>
  <c r="AL195" i="28"/>
  <c r="AL20" i="28"/>
  <c r="AJ172" i="28"/>
  <c r="AJ170" i="28" s="1"/>
  <c r="AH137" i="21"/>
  <c r="AH135" i="21" s="1"/>
  <c r="P139" i="6"/>
  <c r="AR16" i="1"/>
  <c r="AR11" i="25"/>
  <c r="P166" i="6"/>
  <c r="P168" i="6"/>
  <c r="AK68" i="1"/>
  <c r="AL195" i="21"/>
  <c r="AM139" i="1"/>
  <c r="AM37" i="25" s="1"/>
  <c r="AL20" i="21"/>
  <c r="S126" i="6"/>
  <c r="S124" i="6"/>
  <c r="K184" i="6"/>
  <c r="K186" i="6"/>
  <c r="AH126" i="21"/>
  <c r="AH128" i="21"/>
  <c r="AN45" i="1"/>
  <c r="AN42" i="1"/>
  <c r="AR18" i="24"/>
  <c r="AR6" i="6" s="1"/>
  <c r="AR10" i="24"/>
  <c r="AS8" i="1" s="1"/>
  <c r="AS6" i="1" s="1"/>
  <c r="AR21" i="24"/>
  <c r="AR8" i="6" s="1"/>
  <c r="AR9" i="6" s="1"/>
  <c r="AS9" i="24"/>
  <c r="AR15" i="24"/>
  <c r="AS10" i="1" s="1"/>
  <c r="AK181" i="28"/>
  <c r="AK183" i="28"/>
  <c r="AD25" i="6"/>
  <c r="AC62" i="21"/>
  <c r="AC60" i="21" s="1"/>
  <c r="F246" i="6"/>
  <c r="F244" i="6"/>
  <c r="Y61" i="6"/>
  <c r="AR12" i="1"/>
  <c r="AR12" i="25" s="1"/>
  <c r="AR18" i="1"/>
  <c r="AR115" i="1"/>
  <c r="AR93" i="1"/>
  <c r="AR95" i="1" s="1"/>
  <c r="AR73" i="1"/>
  <c r="AR5" i="25"/>
  <c r="AR27" i="1"/>
  <c r="AP22" i="1"/>
  <c r="AC87" i="21"/>
  <c r="AC85" i="21" s="1"/>
  <c r="W91" i="6"/>
  <c r="AQ17" i="1"/>
  <c r="AQ20" i="1" s="1"/>
  <c r="AQ110" i="1"/>
  <c r="AP13" i="21"/>
  <c r="AP12" i="21" s="1"/>
  <c r="BT68" i="9"/>
  <c r="AP13" i="28"/>
  <c r="AP12" i="28" s="1"/>
  <c r="AP251" i="6"/>
  <c r="S115" i="6"/>
  <c r="AE91" i="21"/>
  <c r="AE93" i="21"/>
  <c r="E241" i="6"/>
  <c r="AM63" i="1"/>
  <c r="AM65" i="1"/>
  <c r="AM66" i="1" s="1"/>
  <c r="AB54" i="6"/>
  <c r="AB52" i="6"/>
  <c r="AQ4" i="6"/>
  <c r="AQ124" i="1"/>
  <c r="AQ7" i="25"/>
  <c r="AQ25" i="25"/>
  <c r="AG121" i="21"/>
  <c r="AG123" i="21"/>
  <c r="AI131" i="28"/>
  <c r="AI133" i="28"/>
  <c r="Y42" i="21"/>
  <c r="Y40" i="21" s="1"/>
  <c r="AE96" i="21"/>
  <c r="AE98" i="21"/>
  <c r="AD87" i="28"/>
  <c r="AD85" i="28" s="1"/>
  <c r="L174" i="6"/>
  <c r="L172" i="6"/>
  <c r="AB37" i="6"/>
  <c r="Y43" i="6"/>
  <c r="R97" i="6"/>
  <c r="AI148" i="28"/>
  <c r="AI146" i="28"/>
  <c r="K199" i="6"/>
  <c r="AB67" i="28"/>
  <c r="AB65" i="28" s="1"/>
  <c r="F229" i="6"/>
  <c r="T118" i="6"/>
  <c r="T120" i="6"/>
  <c r="AB46" i="28"/>
  <c r="AB48" i="28"/>
  <c r="AK187" i="21"/>
  <c r="AK185" i="21" s="1"/>
  <c r="AR1" i="1"/>
  <c r="AR1" i="24"/>
  <c r="AR1" i="25"/>
  <c r="AQ1" i="6"/>
  <c r="AQ1" i="28"/>
  <c r="AQ1" i="21"/>
  <c r="AC58" i="28"/>
  <c r="AC56" i="28"/>
  <c r="Z46" i="21"/>
  <c r="Z48" i="21"/>
  <c r="P160" i="6"/>
  <c r="P162" i="6"/>
  <c r="AM18" i="21"/>
  <c r="AM19" i="21" s="1"/>
  <c r="AN10" i="25"/>
  <c r="H305" i="6"/>
  <c r="I305" i="6"/>
  <c r="E305" i="6"/>
  <c r="J305" i="6"/>
  <c r="D305" i="6"/>
  <c r="D307" i="6" s="1"/>
  <c r="M305" i="6"/>
  <c r="F305" i="6"/>
  <c r="N305" i="6"/>
  <c r="L305" i="6"/>
  <c r="O305" i="6"/>
  <c r="P305" i="6"/>
  <c r="K305" i="6"/>
  <c r="S305" i="6"/>
  <c r="Q305" i="6"/>
  <c r="T305" i="6"/>
  <c r="U305" i="6"/>
  <c r="X305" i="6"/>
  <c r="R305" i="6"/>
  <c r="AG305" i="6"/>
  <c r="AO305" i="6"/>
  <c r="G305" i="6"/>
  <c r="V305" i="6"/>
  <c r="AH305" i="6"/>
  <c r="AP305" i="6"/>
  <c r="AA305" i="6"/>
  <c r="AI305" i="6"/>
  <c r="AQ305" i="6"/>
  <c r="AD305" i="6"/>
  <c r="AL305" i="6"/>
  <c r="Z305" i="6"/>
  <c r="AK305" i="6"/>
  <c r="AW305" i="6"/>
  <c r="W305" i="6"/>
  <c r="AM305" i="6"/>
  <c r="AT305" i="6"/>
  <c r="AX305" i="6"/>
  <c r="AF305" i="6"/>
  <c r="AE305" i="6"/>
  <c r="AJ305" i="6"/>
  <c r="AC305" i="6"/>
  <c r="AZ305" i="6"/>
  <c r="Y305" i="6"/>
  <c r="AN305" i="6"/>
  <c r="AU305" i="6"/>
  <c r="AR305" i="6"/>
  <c r="AS305" i="6"/>
  <c r="AB305" i="6"/>
  <c r="B309" i="6"/>
  <c r="BA305" i="6"/>
  <c r="AV305" i="6"/>
  <c r="E298" i="6"/>
  <c r="Y49" i="6"/>
  <c r="AB72" i="21"/>
  <c r="AB70" i="21" s="1"/>
  <c r="AF132" i="21"/>
  <c r="AF130" i="21" s="1"/>
  <c r="AE101" i="21"/>
  <c r="AE103" i="21"/>
  <c r="AO17" i="21"/>
  <c r="AP122" i="1"/>
  <c r="AP45" i="25"/>
  <c r="AO17" i="28"/>
  <c r="AI167" i="28"/>
  <c r="AI165" i="28" s="1"/>
  <c r="I208" i="6"/>
  <c r="I210" i="6"/>
  <c r="AD106" i="21"/>
  <c r="AD108" i="21"/>
  <c r="J202" i="6"/>
  <c r="J204" i="6"/>
  <c r="AO45" i="1"/>
  <c r="AO42" i="1"/>
  <c r="AH116" i="21"/>
  <c r="AH118" i="21"/>
  <c r="AP37" i="1"/>
  <c r="AP39" i="1"/>
  <c r="AP40" i="1" s="1"/>
  <c r="AH152" i="28"/>
  <c r="AH150" i="28" s="1"/>
  <c r="AP5" i="6"/>
  <c r="AA51" i="21"/>
  <c r="AA53" i="21"/>
  <c r="AQ84" i="1"/>
  <c r="AN17" i="21"/>
  <c r="AO122" i="1"/>
  <c r="AN17" i="28"/>
  <c r="AO45" i="25"/>
  <c r="AF98" i="28" l="1"/>
  <c r="AF97" i="28" s="1"/>
  <c r="AF95" i="28" s="1"/>
  <c r="AG96" i="28" s="1"/>
  <c r="AH113" i="28"/>
  <c r="AA37" i="21"/>
  <c r="AA35" i="21" s="1"/>
  <c r="AC51" i="28"/>
  <c r="AC52" i="28" s="1"/>
  <c r="AC50" i="28" s="1"/>
  <c r="AJ166" i="21"/>
  <c r="X73" i="6"/>
  <c r="Y70" i="6" s="1"/>
  <c r="Z67" i="6"/>
  <c r="AA66" i="6" s="1"/>
  <c r="AJ156" i="21"/>
  <c r="AJ157" i="21" s="1"/>
  <c r="AJ155" i="21" s="1"/>
  <c r="AE78" i="28"/>
  <c r="AI153" i="21"/>
  <c r="AI152" i="21" s="1"/>
  <c r="AI150" i="21" s="1"/>
  <c r="AL183" i="21"/>
  <c r="AL182" i="21" s="1"/>
  <c r="AL180" i="21" s="1"/>
  <c r="AM181" i="21" s="1"/>
  <c r="AL186" i="28"/>
  <c r="AL187" i="28" s="1"/>
  <c r="AL185" i="28" s="1"/>
  <c r="AM188" i="28" s="1"/>
  <c r="AL178" i="28"/>
  <c r="AL176" i="28"/>
  <c r="I214" i="6"/>
  <c r="I216" i="6"/>
  <c r="Z33" i="21"/>
  <c r="Z32" i="21" s="1"/>
  <c r="Z30" i="21" s="1"/>
  <c r="AK178" i="21"/>
  <c r="AK177" i="21" s="1"/>
  <c r="AK175" i="21" s="1"/>
  <c r="P275" i="28"/>
  <c r="P25" i="28"/>
  <c r="AG126" i="28"/>
  <c r="AG127" i="28" s="1"/>
  <c r="AG125" i="28" s="1"/>
  <c r="AH128" i="28" s="1"/>
  <c r="AM193" i="21"/>
  <c r="AM192" i="21" s="1"/>
  <c r="AM190" i="21" s="1"/>
  <c r="AE76" i="21"/>
  <c r="AE77" i="21" s="1"/>
  <c r="AE75" i="21" s="1"/>
  <c r="AK156" i="28"/>
  <c r="AK157" i="28" s="1"/>
  <c r="AK155" i="28" s="1"/>
  <c r="AK173" i="21"/>
  <c r="AK172" i="21" s="1"/>
  <c r="AK170" i="21" s="1"/>
  <c r="AE97" i="21"/>
  <c r="AE95" i="21" s="1"/>
  <c r="AF96" i="21" s="1"/>
  <c r="AE33" i="28"/>
  <c r="AE31" i="28"/>
  <c r="AI147" i="28"/>
  <c r="AI145" i="28" s="1"/>
  <c r="AJ148" i="28" s="1"/>
  <c r="AF111" i="21"/>
  <c r="AF112" i="21" s="1"/>
  <c r="AF110" i="21" s="1"/>
  <c r="AG113" i="21" s="1"/>
  <c r="AE71" i="28"/>
  <c r="AE72" i="28" s="1"/>
  <c r="AE70" i="28" s="1"/>
  <c r="AR116" i="1"/>
  <c r="AH117" i="21"/>
  <c r="AH115" i="21" s="1"/>
  <c r="AI118" i="21" s="1"/>
  <c r="AA52" i="21"/>
  <c r="AA50" i="21" s="1"/>
  <c r="AB51" i="21" s="1"/>
  <c r="R27" i="21"/>
  <c r="AK138" i="28"/>
  <c r="AK137" i="28" s="1"/>
  <c r="AK135" i="28" s="1"/>
  <c r="AA67" i="21"/>
  <c r="AA65" i="21" s="1"/>
  <c r="AA57" i="21"/>
  <c r="AA55" i="21" s="1"/>
  <c r="AA78" i="6"/>
  <c r="AA79" i="6" s="1"/>
  <c r="AB78" i="6" s="1"/>
  <c r="AE77" i="28"/>
  <c r="AE75" i="28" s="1"/>
  <c r="M190" i="6"/>
  <c r="M192" i="6"/>
  <c r="AM191" i="28"/>
  <c r="AM192" i="28" s="1"/>
  <c r="AM190" i="28" s="1"/>
  <c r="AE91" i="28"/>
  <c r="AE92" i="28" s="1"/>
  <c r="AE90" i="28" s="1"/>
  <c r="AF93" i="28" s="1"/>
  <c r="Q144" i="6"/>
  <c r="Q145" i="6" s="1"/>
  <c r="AD30" i="6"/>
  <c r="AD31" i="6" s="1"/>
  <c r="AH106" i="28"/>
  <c r="AH107" i="28" s="1"/>
  <c r="AH105" i="28" s="1"/>
  <c r="G234" i="6"/>
  <c r="G235" i="6" s="1"/>
  <c r="H220" i="6"/>
  <c r="H223" i="6" s="1"/>
  <c r="AI123" i="28"/>
  <c r="AI122" i="28" s="1"/>
  <c r="AI120" i="28" s="1"/>
  <c r="P154" i="6"/>
  <c r="P157" i="6" s="1"/>
  <c r="Q156" i="6" s="1"/>
  <c r="K187" i="6"/>
  <c r="L186" i="6" s="1"/>
  <c r="T121" i="6"/>
  <c r="U118" i="6" s="1"/>
  <c r="AK182" i="28"/>
  <c r="AK180" i="28" s="1"/>
  <c r="AL183" i="28" s="1"/>
  <c r="AH81" i="28"/>
  <c r="AH82" i="28" s="1"/>
  <c r="AH80" i="28" s="1"/>
  <c r="S127" i="6"/>
  <c r="T126" i="6" s="1"/>
  <c r="P151" i="6"/>
  <c r="AF103" i="28"/>
  <c r="AF101" i="28"/>
  <c r="L175" i="6"/>
  <c r="M172" i="6" s="1"/>
  <c r="AN155" i="1"/>
  <c r="AN140" i="1" s="1"/>
  <c r="AN141" i="1" s="1"/>
  <c r="AN159" i="1"/>
  <c r="AS9" i="6"/>
  <c r="E304" i="6"/>
  <c r="AR17" i="1"/>
  <c r="AR20" i="1" s="1"/>
  <c r="AR110" i="1"/>
  <c r="AQ13" i="21"/>
  <c r="AQ12" i="21" s="1"/>
  <c r="BU68" i="9"/>
  <c r="AQ13" i="28"/>
  <c r="AQ12" i="28" s="1"/>
  <c r="AQ257" i="6"/>
  <c r="E258" i="6" s="1"/>
  <c r="E259" i="6" s="1"/>
  <c r="F238" i="6"/>
  <c r="F240" i="6"/>
  <c r="AD86" i="21"/>
  <c r="AD88" i="21"/>
  <c r="AN18" i="28"/>
  <c r="P163" i="6"/>
  <c r="AK146" i="21"/>
  <c r="AK148" i="21"/>
  <c r="AM9" i="25"/>
  <c r="AI151" i="28"/>
  <c r="AI153" i="28"/>
  <c r="AO46" i="1"/>
  <c r="AO62" i="1"/>
  <c r="AO61" i="1" s="1"/>
  <c r="AO60" i="1" s="1"/>
  <c r="AO59" i="1" s="1"/>
  <c r="AO58" i="1" s="1"/>
  <c r="AO57" i="1" s="1"/>
  <c r="AO56" i="1" s="1"/>
  <c r="AO55" i="1" s="1"/>
  <c r="AO54" i="1" s="1"/>
  <c r="AO53" i="1" s="1"/>
  <c r="AO52" i="1" s="1"/>
  <c r="AO51" i="1" s="1"/>
  <c r="AO50" i="1" s="1"/>
  <c r="AO49" i="1" s="1"/>
  <c r="AO48" i="1" s="1"/>
  <c r="AO47" i="1" s="1"/>
  <c r="N180" i="6"/>
  <c r="N178" i="6"/>
  <c r="AE88" i="28"/>
  <c r="AE86" i="28"/>
  <c r="AQ117" i="1"/>
  <c r="AQ114" i="1" s="1"/>
  <c r="AR4" i="6"/>
  <c r="AN18" i="21"/>
  <c r="AN19" i="21" s="1"/>
  <c r="AO10" i="25"/>
  <c r="AE102" i="21"/>
  <c r="AE100" i="21" s="1"/>
  <c r="AB47" i="28"/>
  <c r="AB45" i="28" s="1"/>
  <c r="AI132" i="28"/>
  <c r="AI130" i="28" s="1"/>
  <c r="AM196" i="21"/>
  <c r="AM198" i="21"/>
  <c r="C196" i="21"/>
  <c r="Q136" i="6"/>
  <c r="Q138" i="6"/>
  <c r="J205" i="6"/>
  <c r="AJ168" i="28"/>
  <c r="AJ166" i="28"/>
  <c r="D311" i="6"/>
  <c r="D313" i="6" s="1"/>
  <c r="E311" i="6"/>
  <c r="F311" i="6"/>
  <c r="I311" i="6"/>
  <c r="K311" i="6"/>
  <c r="R311" i="6"/>
  <c r="S311" i="6"/>
  <c r="H311" i="6"/>
  <c r="G311" i="6"/>
  <c r="O311" i="6"/>
  <c r="P311" i="6"/>
  <c r="W311" i="6"/>
  <c r="X311" i="6"/>
  <c r="J311" i="6"/>
  <c r="Y311" i="6"/>
  <c r="Q311" i="6"/>
  <c r="N311" i="6"/>
  <c r="AC311" i="6"/>
  <c r="AK311" i="6"/>
  <c r="AS311" i="6"/>
  <c r="L311" i="6"/>
  <c r="AD311" i="6"/>
  <c r="AL311" i="6"/>
  <c r="AE311" i="6"/>
  <c r="AM311" i="6"/>
  <c r="AT311" i="6"/>
  <c r="M311" i="6"/>
  <c r="Z311" i="6"/>
  <c r="AH311" i="6"/>
  <c r="AP311" i="6"/>
  <c r="V311" i="6"/>
  <c r="AG311" i="6"/>
  <c r="AI311" i="6"/>
  <c r="AB311" i="6"/>
  <c r="AR311" i="6"/>
  <c r="AU311" i="6"/>
  <c r="AA311" i="6"/>
  <c r="AQ311" i="6"/>
  <c r="AX311" i="6"/>
  <c r="T311" i="6"/>
  <c r="AF311" i="6"/>
  <c r="AV311" i="6"/>
  <c r="AJ311" i="6"/>
  <c r="AN311" i="6"/>
  <c r="AO311" i="6"/>
  <c r="AW311" i="6"/>
  <c r="B315" i="6"/>
  <c r="AY311" i="6"/>
  <c r="U311" i="6"/>
  <c r="BA311" i="6"/>
  <c r="Z47" i="21"/>
  <c r="Z45" i="21" s="1"/>
  <c r="AB55" i="6"/>
  <c r="AN46" i="1"/>
  <c r="AN62" i="1"/>
  <c r="AN61" i="1" s="1"/>
  <c r="AN60" i="1" s="1"/>
  <c r="AN59" i="1" s="1"/>
  <c r="AN58" i="1" s="1"/>
  <c r="AN57" i="1" s="1"/>
  <c r="AN56" i="1" s="1"/>
  <c r="AN55" i="1" s="1"/>
  <c r="AN54" i="1" s="1"/>
  <c r="AN53" i="1" s="1"/>
  <c r="AN52" i="1" s="1"/>
  <c r="AN51" i="1" s="1"/>
  <c r="AN50" i="1" s="1"/>
  <c r="AN49" i="1" s="1"/>
  <c r="AN48" i="1" s="1"/>
  <c r="AN47" i="1" s="1"/>
  <c r="P169" i="6"/>
  <c r="AI136" i="21"/>
  <c r="AI138" i="21"/>
  <c r="C196" i="28"/>
  <c r="AM196" i="28"/>
  <c r="AM198" i="28"/>
  <c r="AM200" i="28"/>
  <c r="AM20" i="28"/>
  <c r="S130" i="6"/>
  <c r="S132" i="6"/>
  <c r="AC68" i="28"/>
  <c r="AC66" i="28"/>
  <c r="AQ5" i="6"/>
  <c r="AQ22" i="1"/>
  <c r="AS12" i="1"/>
  <c r="AS12" i="25" s="1"/>
  <c r="AS18" i="1"/>
  <c r="AS115" i="1"/>
  <c r="AS73" i="1"/>
  <c r="AS93" i="1"/>
  <c r="AS95" i="1" s="1"/>
  <c r="AS27" i="1"/>
  <c r="AS5" i="25"/>
  <c r="Y82" i="6"/>
  <c r="Y84" i="6"/>
  <c r="AM68" i="1"/>
  <c r="U120" i="6"/>
  <c r="AG122" i="21"/>
  <c r="AG120" i="21" s="1"/>
  <c r="T112" i="6"/>
  <c r="T114" i="6"/>
  <c r="V100" i="6"/>
  <c r="V102" i="6"/>
  <c r="AG118" i="28"/>
  <c r="AG116" i="28"/>
  <c r="AK171" i="28"/>
  <c r="AK173" i="28"/>
  <c r="AJ161" i="28"/>
  <c r="AJ163" i="28"/>
  <c r="AO18" i="28"/>
  <c r="AO19" i="28" s="1"/>
  <c r="AC71" i="21"/>
  <c r="AC73" i="21"/>
  <c r="AC57" i="28"/>
  <c r="AC55" i="28" s="1"/>
  <c r="AS1" i="1"/>
  <c r="AS1" i="25"/>
  <c r="AR1" i="6"/>
  <c r="AS1" i="24"/>
  <c r="AR1" i="28"/>
  <c r="AR1" i="21"/>
  <c r="G228" i="6"/>
  <c r="G226" i="6"/>
  <c r="L198" i="6"/>
  <c r="L196" i="6"/>
  <c r="AH112" i="28"/>
  <c r="AH110" i="28" s="1"/>
  <c r="AE38" i="28"/>
  <c r="AE36" i="28"/>
  <c r="AB36" i="21"/>
  <c r="AB38" i="21"/>
  <c r="E252" i="6"/>
  <c r="AR28" i="1"/>
  <c r="AR35" i="1"/>
  <c r="AR34" i="1" s="1"/>
  <c r="AR33" i="1" s="1"/>
  <c r="AR32" i="1" s="1"/>
  <c r="AR31" i="1" s="1"/>
  <c r="AR30" i="1" s="1"/>
  <c r="AR29" i="1" s="1"/>
  <c r="Z60" i="6"/>
  <c r="Z58" i="6"/>
  <c r="AS16" i="1"/>
  <c r="AS11" i="25"/>
  <c r="AH127" i="21"/>
  <c r="AH125" i="21" s="1"/>
  <c r="AR7" i="6"/>
  <c r="AF81" i="21"/>
  <c r="AF83" i="21"/>
  <c r="R142" i="1"/>
  <c r="R38" i="25"/>
  <c r="R36" i="25" s="1"/>
  <c r="R48" i="25" s="1"/>
  <c r="T109" i="6"/>
  <c r="AE62" i="28"/>
  <c r="AE60" i="28" s="1"/>
  <c r="AL188" i="21"/>
  <c r="AL186" i="21"/>
  <c r="Z41" i="21"/>
  <c r="Z43" i="21"/>
  <c r="AQ37" i="1"/>
  <c r="AQ39" i="1"/>
  <c r="AQ40" i="1" s="1"/>
  <c r="AO18" i="21"/>
  <c r="AO19" i="21" s="1"/>
  <c r="AP10" i="25"/>
  <c r="AD63" i="21"/>
  <c r="AD61" i="21"/>
  <c r="AR124" i="1"/>
  <c r="AR7" i="25"/>
  <c r="AR25" i="25"/>
  <c r="S94" i="6"/>
  <c r="S96" i="6"/>
  <c r="AJ167" i="21"/>
  <c r="AJ165" i="21" s="1"/>
  <c r="AE92" i="21"/>
  <c r="AE90" i="21" s="1"/>
  <c r="AP24" i="1"/>
  <c r="AE22" i="6"/>
  <c r="AE24" i="6"/>
  <c r="I211" i="6"/>
  <c r="Z42" i="6"/>
  <c r="Z40" i="6"/>
  <c r="AG131" i="21"/>
  <c r="AG133" i="21"/>
  <c r="AK163" i="21"/>
  <c r="AK161" i="21"/>
  <c r="AD107" i="21"/>
  <c r="AD105" i="21" s="1"/>
  <c r="Z48" i="6"/>
  <c r="Z46" i="6"/>
  <c r="AM200" i="21"/>
  <c r="AN139" i="1"/>
  <c r="AN37" i="25" s="1"/>
  <c r="AM20" i="21"/>
  <c r="AR84" i="1"/>
  <c r="AC34" i="6"/>
  <c r="AC36" i="6"/>
  <c r="AJ143" i="28"/>
  <c r="AJ141" i="28"/>
  <c r="X88" i="6"/>
  <c r="X90" i="6"/>
  <c r="F247" i="6"/>
  <c r="AS18" i="24"/>
  <c r="AS6" i="6" s="1"/>
  <c r="AS10" i="24"/>
  <c r="AT8" i="1" s="1"/>
  <c r="AT6" i="1" s="1"/>
  <c r="AS21" i="24"/>
  <c r="AS8" i="6" s="1"/>
  <c r="AT9" i="24"/>
  <c r="AS15" i="24"/>
  <c r="AT10" i="1" s="1"/>
  <c r="AI141" i="21"/>
  <c r="AI143" i="21"/>
  <c r="AB42" i="28"/>
  <c r="AB40" i="28" s="1"/>
  <c r="S27" i="25"/>
  <c r="S40" i="25" s="1"/>
  <c r="S144" i="1"/>
  <c r="S13" i="25"/>
  <c r="S39" i="25"/>
  <c r="AA64" i="6" l="1"/>
  <c r="Y72" i="6"/>
  <c r="Y73" i="6" s="1"/>
  <c r="I217" i="6"/>
  <c r="J214" i="6" s="1"/>
  <c r="AL177" i="28"/>
  <c r="AL175" i="28" s="1"/>
  <c r="AM178" i="28" s="1"/>
  <c r="AI116" i="21"/>
  <c r="AM183" i="21"/>
  <c r="AM182" i="21" s="1"/>
  <c r="AM180" i="21" s="1"/>
  <c r="AN181" i="21" s="1"/>
  <c r="AH126" i="28"/>
  <c r="AH127" i="28" s="1"/>
  <c r="AH125" i="28" s="1"/>
  <c r="AI128" i="28" s="1"/>
  <c r="AE32" i="28"/>
  <c r="AE30" i="28" s="1"/>
  <c r="AF33" i="28" s="1"/>
  <c r="AF76" i="21"/>
  <c r="AF78" i="21"/>
  <c r="AI117" i="21"/>
  <c r="AI115" i="21" s="1"/>
  <c r="AJ116" i="21" s="1"/>
  <c r="Z43" i="6"/>
  <c r="AA40" i="6" s="1"/>
  <c r="AF98" i="21"/>
  <c r="AF97" i="21" s="1"/>
  <c r="AF95" i="21" s="1"/>
  <c r="AG96" i="21" s="1"/>
  <c r="Q26" i="28"/>
  <c r="Q28" i="28"/>
  <c r="Q4" i="28" s="1"/>
  <c r="P22" i="28"/>
  <c r="AS7" i="6"/>
  <c r="AK162" i="21"/>
  <c r="AK160" i="21" s="1"/>
  <c r="AL163" i="21" s="1"/>
  <c r="AI137" i="21"/>
  <c r="AI135" i="21" s="1"/>
  <c r="AJ136" i="21" s="1"/>
  <c r="AB53" i="21"/>
  <c r="AB52" i="21" s="1"/>
  <c r="AB50" i="21" s="1"/>
  <c r="AG117" i="28"/>
  <c r="AG115" i="28" s="1"/>
  <c r="AH118" i="28" s="1"/>
  <c r="AG98" i="28"/>
  <c r="AG97" i="28" s="1"/>
  <c r="AG95" i="28" s="1"/>
  <c r="AE87" i="28"/>
  <c r="AE85" i="28" s="1"/>
  <c r="AF86" i="28" s="1"/>
  <c r="AM186" i="28"/>
  <c r="AM187" i="28" s="1"/>
  <c r="AM185" i="28" s="1"/>
  <c r="AG111" i="21"/>
  <c r="AG112" i="21" s="1"/>
  <c r="AG110" i="21" s="1"/>
  <c r="AB58" i="21"/>
  <c r="AB56" i="21"/>
  <c r="AB66" i="21"/>
  <c r="AB68" i="21"/>
  <c r="R275" i="21"/>
  <c r="R25" i="21"/>
  <c r="AC72" i="21"/>
  <c r="AC70" i="21" s="1"/>
  <c r="AD73" i="21" s="1"/>
  <c r="AJ146" i="28"/>
  <c r="AJ147" i="28" s="1"/>
  <c r="AJ145" i="28" s="1"/>
  <c r="AF82" i="21"/>
  <c r="AF80" i="21" s="1"/>
  <c r="AG81" i="21" s="1"/>
  <c r="AI81" i="28"/>
  <c r="AI83" i="28"/>
  <c r="Z61" i="6"/>
  <c r="AA58" i="6" s="1"/>
  <c r="L184" i="6"/>
  <c r="L187" i="6" s="1"/>
  <c r="M186" i="6" s="1"/>
  <c r="M193" i="6"/>
  <c r="M174" i="6"/>
  <c r="M175" i="6" s="1"/>
  <c r="AF91" i="28"/>
  <c r="AF92" i="28" s="1"/>
  <c r="AF90" i="28" s="1"/>
  <c r="AG91" i="28" s="1"/>
  <c r="AF78" i="28"/>
  <c r="AF76" i="28"/>
  <c r="L199" i="6"/>
  <c r="M196" i="6" s="1"/>
  <c r="G229" i="6"/>
  <c r="H228" i="6" s="1"/>
  <c r="H234" i="6"/>
  <c r="H232" i="6"/>
  <c r="AE28" i="6"/>
  <c r="AE30" i="6"/>
  <c r="F241" i="6"/>
  <c r="G240" i="6" s="1"/>
  <c r="T124" i="6"/>
  <c r="T127" i="6" s="1"/>
  <c r="AM176" i="28"/>
  <c r="AM177" i="28" s="1"/>
  <c r="AM175" i="28" s="1"/>
  <c r="AF102" i="28"/>
  <c r="AF100" i="28" s="1"/>
  <c r="AG101" i="28" s="1"/>
  <c r="Q154" i="6"/>
  <c r="Q157" i="6" s="1"/>
  <c r="U121" i="6"/>
  <c r="V118" i="6" s="1"/>
  <c r="Q148" i="6"/>
  <c r="Q150" i="6"/>
  <c r="AL181" i="28"/>
  <c r="AL182" i="28" s="1"/>
  <c r="AL180" i="28" s="1"/>
  <c r="AL156" i="28"/>
  <c r="AL158" i="28"/>
  <c r="Z49" i="6"/>
  <c r="AA46" i="6" s="1"/>
  <c r="AB76" i="6"/>
  <c r="AB79" i="6" s="1"/>
  <c r="Q139" i="6"/>
  <c r="R138" i="6" s="1"/>
  <c r="Y85" i="6"/>
  <c r="Z82" i="6" s="1"/>
  <c r="AJ142" i="28"/>
  <c r="AJ140" i="28" s="1"/>
  <c r="AK143" i="28" s="1"/>
  <c r="V103" i="6"/>
  <c r="W100" i="6" s="1"/>
  <c r="AO155" i="1"/>
  <c r="AO140" i="1" s="1"/>
  <c r="AO141" i="1" s="1"/>
  <c r="AO159" i="1"/>
  <c r="AN9" i="25"/>
  <c r="AS28" i="1"/>
  <c r="AS35" i="1"/>
  <c r="AS34" i="1" s="1"/>
  <c r="AS33" i="1" s="1"/>
  <c r="AS32" i="1" s="1"/>
  <c r="AS31" i="1" s="1"/>
  <c r="AS30" i="1" s="1"/>
  <c r="AS29" i="1" s="1"/>
  <c r="F258" i="6"/>
  <c r="F256" i="6"/>
  <c r="AC37" i="6"/>
  <c r="AI108" i="28"/>
  <c r="AI106" i="28"/>
  <c r="Q168" i="6"/>
  <c r="Q166" i="6"/>
  <c r="AJ131" i="28"/>
  <c r="AJ133" i="28"/>
  <c r="AI152" i="28"/>
  <c r="AI150" i="28" s="1"/>
  <c r="AT9" i="6"/>
  <c r="AT10" i="24"/>
  <c r="AU8" i="1" s="1"/>
  <c r="AU6" i="1" s="1"/>
  <c r="AT18" i="24"/>
  <c r="AT6" i="6" s="1"/>
  <c r="AT4" i="6" s="1"/>
  <c r="AU9" i="24"/>
  <c r="AT21" i="24"/>
  <c r="AT8" i="6" s="1"/>
  <c r="AT15" i="24"/>
  <c r="AU10" i="1" s="1"/>
  <c r="AG132" i="21"/>
  <c r="AG130" i="21" s="1"/>
  <c r="AO210" i="21"/>
  <c r="AP139" i="1"/>
  <c r="AP37" i="25" s="1"/>
  <c r="AO20" i="21"/>
  <c r="AB37" i="21"/>
  <c r="AB35" i="21" s="1"/>
  <c r="AF101" i="21"/>
  <c r="AF103" i="21"/>
  <c r="AK147" i="21"/>
  <c r="AK145" i="21" s="1"/>
  <c r="AN191" i="28"/>
  <c r="AN193" i="28"/>
  <c r="AT18" i="1"/>
  <c r="AT12" i="1"/>
  <c r="AT12" i="25" s="1"/>
  <c r="AT115" i="1"/>
  <c r="AT73" i="1"/>
  <c r="AT93" i="1"/>
  <c r="AT95" i="1" s="1"/>
  <c r="AT5" i="25"/>
  <c r="AT27" i="1"/>
  <c r="AE106" i="21"/>
  <c r="AE108" i="21"/>
  <c r="AF91" i="21"/>
  <c r="AF93" i="21"/>
  <c r="AD62" i="21"/>
  <c r="AD60" i="21" s="1"/>
  <c r="AS116" i="1"/>
  <c r="AE37" i="28"/>
  <c r="AE35" i="28" s="1"/>
  <c r="AR5" i="6"/>
  <c r="AJ121" i="28"/>
  <c r="AJ123" i="28"/>
  <c r="AM197" i="28"/>
  <c r="AM195" i="28" s="1"/>
  <c r="N181" i="6"/>
  <c r="Q160" i="6"/>
  <c r="Q162" i="6"/>
  <c r="AR117" i="1"/>
  <c r="AR114" i="1" s="1"/>
  <c r="E253" i="6"/>
  <c r="AC52" i="6"/>
  <c r="AC54" i="6"/>
  <c r="AN205" i="28"/>
  <c r="X91" i="6"/>
  <c r="AP155" i="1"/>
  <c r="AP140" i="1" s="1"/>
  <c r="AP141" i="1" s="1"/>
  <c r="AP159" i="1"/>
  <c r="AJ162" i="28"/>
  <c r="AJ160" i="28" s="1"/>
  <c r="AJ151" i="21"/>
  <c r="AJ153" i="21"/>
  <c r="AF63" i="28"/>
  <c r="AF61" i="28"/>
  <c r="AP45" i="1"/>
  <c r="AP42" i="1"/>
  <c r="T115" i="6"/>
  <c r="S133" i="6"/>
  <c r="AN63" i="1"/>
  <c r="AN65" i="1"/>
  <c r="AN66" i="1" s="1"/>
  <c r="AL178" i="21"/>
  <c r="AL176" i="21"/>
  <c r="AN191" i="21"/>
  <c r="AN193" i="21"/>
  <c r="AL138" i="28"/>
  <c r="AL136" i="28"/>
  <c r="AI142" i="21"/>
  <c r="AI140" i="21" s="1"/>
  <c r="AS4" i="6"/>
  <c r="J208" i="6"/>
  <c r="J210" i="6"/>
  <c r="AK166" i="21"/>
  <c r="AK168" i="21"/>
  <c r="AL187" i="21"/>
  <c r="AL185" i="21" s="1"/>
  <c r="AS25" i="25"/>
  <c r="AS7" i="25"/>
  <c r="AS124" i="1"/>
  <c r="AA31" i="21"/>
  <c r="AA33" i="21"/>
  <c r="E310" i="6"/>
  <c r="AD87" i="21"/>
  <c r="AD85" i="21" s="1"/>
  <c r="AN203" i="21"/>
  <c r="AN201" i="21"/>
  <c r="C201" i="21"/>
  <c r="Z72" i="6"/>
  <c r="Z70" i="6"/>
  <c r="J216" i="6"/>
  <c r="K204" i="6"/>
  <c r="K202" i="6"/>
  <c r="AC43" i="28"/>
  <c r="AC41" i="28"/>
  <c r="Z42" i="21"/>
  <c r="Z40" i="21" s="1"/>
  <c r="R144" i="6"/>
  <c r="R142" i="6"/>
  <c r="AA46" i="21"/>
  <c r="AA48" i="21"/>
  <c r="AC48" i="28"/>
  <c r="AC46" i="28"/>
  <c r="AA67" i="6"/>
  <c r="AQ24" i="1"/>
  <c r="G246" i="6"/>
  <c r="G244" i="6"/>
  <c r="AT1" i="1"/>
  <c r="AT1" i="24"/>
  <c r="AT1" i="25"/>
  <c r="AS1" i="21"/>
  <c r="AS1" i="6"/>
  <c r="AS1" i="28"/>
  <c r="AH121" i="21"/>
  <c r="AH123" i="21"/>
  <c r="H317" i="6"/>
  <c r="D317" i="6"/>
  <c r="D319" i="6" s="1"/>
  <c r="I317" i="6"/>
  <c r="AZ317" i="6"/>
  <c r="J317" i="6"/>
  <c r="M317" i="6"/>
  <c r="G317" i="6"/>
  <c r="L317" i="6"/>
  <c r="N317" i="6"/>
  <c r="F317" i="6"/>
  <c r="K317" i="6"/>
  <c r="O317" i="6"/>
  <c r="P317" i="6"/>
  <c r="S317" i="6"/>
  <c r="T317" i="6"/>
  <c r="U317" i="6"/>
  <c r="E317" i="6"/>
  <c r="X317" i="6"/>
  <c r="Z317" i="6"/>
  <c r="AG317" i="6"/>
  <c r="AO317" i="6"/>
  <c r="R317" i="6"/>
  <c r="AH317" i="6"/>
  <c r="AP317" i="6"/>
  <c r="W317" i="6"/>
  <c r="AA317" i="6"/>
  <c r="AI317" i="6"/>
  <c r="AQ317" i="6"/>
  <c r="V317" i="6"/>
  <c r="AD317" i="6"/>
  <c r="AL317" i="6"/>
  <c r="AC317" i="6"/>
  <c r="AS317" i="6"/>
  <c r="AW317" i="6"/>
  <c r="AE317" i="6"/>
  <c r="AX317" i="6"/>
  <c r="Q317" i="6"/>
  <c r="AN317" i="6"/>
  <c r="AY317" i="6"/>
  <c r="AM317" i="6"/>
  <c r="AT317" i="6"/>
  <c r="AB317" i="6"/>
  <c r="AF317" i="6"/>
  <c r="Y317" i="6"/>
  <c r="AJ317" i="6"/>
  <c r="AV317" i="6"/>
  <c r="AK317" i="6"/>
  <c r="AU317" i="6"/>
  <c r="AR317" i="6"/>
  <c r="AJ167" i="28"/>
  <c r="AJ165" i="28" s="1"/>
  <c r="AN205" i="21"/>
  <c r="AO139" i="1"/>
  <c r="AO37" i="25" s="1"/>
  <c r="AN20" i="21"/>
  <c r="AS17" i="1"/>
  <c r="AS20" i="1" s="1"/>
  <c r="AR13" i="21"/>
  <c r="AR12" i="21" s="1"/>
  <c r="AS110" i="1"/>
  <c r="BV68" i="9"/>
  <c r="AR13" i="28"/>
  <c r="AR12" i="28" s="1"/>
  <c r="AR263" i="6"/>
  <c r="AO65" i="1"/>
  <c r="AO66" i="1" s="1"/>
  <c r="AO63" i="1"/>
  <c r="AP17" i="21"/>
  <c r="AQ122" i="1"/>
  <c r="AQ45" i="25"/>
  <c r="AP17" i="28"/>
  <c r="AR22" i="1"/>
  <c r="AR24" i="1" s="1"/>
  <c r="AT16" i="1"/>
  <c r="AT11" i="25"/>
  <c r="AE25" i="6"/>
  <c r="AT7" i="6"/>
  <c r="AS84" i="1"/>
  <c r="AM197" i="21"/>
  <c r="AM195" i="21" s="1"/>
  <c r="AI128" i="21"/>
  <c r="AI126" i="21"/>
  <c r="AD56" i="28"/>
  <c r="AD58" i="28"/>
  <c r="AK156" i="21"/>
  <c r="AK158" i="21"/>
  <c r="U108" i="6"/>
  <c r="U106" i="6"/>
  <c r="I220" i="6"/>
  <c r="I222" i="6"/>
  <c r="AD53" i="28"/>
  <c r="AD51" i="28"/>
  <c r="S97" i="6"/>
  <c r="AR37" i="1"/>
  <c r="AR39" i="1"/>
  <c r="AR40" i="1" s="1"/>
  <c r="AI111" i="28"/>
  <c r="AI113" i="28"/>
  <c r="AO210" i="28"/>
  <c r="AO20" i="28"/>
  <c r="AK172" i="28"/>
  <c r="AK170" i="28" s="1"/>
  <c r="AC67" i="28"/>
  <c r="AC65" i="28" s="1"/>
  <c r="AN201" i="28"/>
  <c r="C201" i="28"/>
  <c r="AN203" i="28"/>
  <c r="AF73" i="28"/>
  <c r="AF71" i="28"/>
  <c r="AL171" i="21"/>
  <c r="AL173" i="21"/>
  <c r="AN19" i="28"/>
  <c r="AN20" i="28" s="1"/>
  <c r="AI126" i="28" l="1"/>
  <c r="AI127" i="28" s="1"/>
  <c r="AI125" i="28" s="1"/>
  <c r="AJ126" i="28" s="1"/>
  <c r="AA60" i="6"/>
  <c r="Q169" i="6"/>
  <c r="M198" i="6"/>
  <c r="G238" i="6"/>
  <c r="G241" i="6" s="1"/>
  <c r="R136" i="6"/>
  <c r="R139" i="6" s="1"/>
  <c r="S138" i="6" s="1"/>
  <c r="AH116" i="28"/>
  <c r="AH117" i="28" s="1"/>
  <c r="AH115" i="28" s="1"/>
  <c r="AI116" i="28" s="1"/>
  <c r="AF31" i="28"/>
  <c r="AF32" i="28" s="1"/>
  <c r="AF30" i="28" s="1"/>
  <c r="AI127" i="21"/>
  <c r="AI125" i="21" s="1"/>
  <c r="AT116" i="1"/>
  <c r="AF77" i="21"/>
  <c r="AF75" i="21" s="1"/>
  <c r="AG76" i="21" s="1"/>
  <c r="AD71" i="21"/>
  <c r="AJ138" i="21"/>
  <c r="Q27" i="28"/>
  <c r="Q275" i="28" s="1"/>
  <c r="AL137" i="28"/>
  <c r="AL135" i="28" s="1"/>
  <c r="AM138" i="28" s="1"/>
  <c r="AJ118" i="21"/>
  <c r="AJ117" i="21" s="1"/>
  <c r="AJ115" i="21" s="1"/>
  <c r="AG83" i="21"/>
  <c r="AG82" i="21" s="1"/>
  <c r="AG80" i="21" s="1"/>
  <c r="AH81" i="21" s="1"/>
  <c r="AA42" i="6"/>
  <c r="AE31" i="6"/>
  <c r="AF28" i="6" s="1"/>
  <c r="AF92" i="21"/>
  <c r="AF90" i="21" s="1"/>
  <c r="AG93" i="21" s="1"/>
  <c r="AK157" i="21"/>
  <c r="AK155" i="21" s="1"/>
  <c r="AL158" i="21" s="1"/>
  <c r="AF88" i="28"/>
  <c r="AF87" i="28" s="1"/>
  <c r="AF85" i="28" s="1"/>
  <c r="AF77" i="28"/>
  <c r="AF75" i="28" s="1"/>
  <c r="AG78" i="28" s="1"/>
  <c r="AI82" i="28"/>
  <c r="AI80" i="28" s="1"/>
  <c r="AJ83" i="28" s="1"/>
  <c r="AG98" i="21"/>
  <c r="AG97" i="21" s="1"/>
  <c r="AG95" i="21" s="1"/>
  <c r="AB67" i="21"/>
  <c r="AB65" i="21" s="1"/>
  <c r="AC68" i="21" s="1"/>
  <c r="AL161" i="21"/>
  <c r="AL162" i="21" s="1"/>
  <c r="AL160" i="21" s="1"/>
  <c r="AN183" i="21"/>
  <c r="AN182" i="21" s="1"/>
  <c r="AN180" i="21" s="1"/>
  <c r="AN186" i="28"/>
  <c r="AN188" i="28"/>
  <c r="AH111" i="21"/>
  <c r="AH113" i="21"/>
  <c r="AB57" i="21"/>
  <c r="AB55" i="21" s="1"/>
  <c r="AA47" i="21"/>
  <c r="AA45" i="21" s="1"/>
  <c r="AB48" i="21" s="1"/>
  <c r="S28" i="21"/>
  <c r="S4" i="21" s="1"/>
  <c r="T74" i="1" s="1"/>
  <c r="R22" i="21"/>
  <c r="S26" i="21"/>
  <c r="AH122" i="21"/>
  <c r="AH120" i="21" s="1"/>
  <c r="AI121" i="21" s="1"/>
  <c r="AN192" i="21"/>
  <c r="AN190" i="21" s="1"/>
  <c r="AO193" i="21" s="1"/>
  <c r="S14" i="25"/>
  <c r="S143" i="1"/>
  <c r="AN202" i="21"/>
  <c r="AN200" i="21" s="1"/>
  <c r="AO203" i="21" s="1"/>
  <c r="AL177" i="21"/>
  <c r="AL175" i="21" s="1"/>
  <c r="AM176" i="21" s="1"/>
  <c r="AI107" i="28"/>
  <c r="AI105" i="28" s="1"/>
  <c r="AJ108" i="28" s="1"/>
  <c r="N192" i="6"/>
  <c r="N190" i="6"/>
  <c r="AG103" i="28"/>
  <c r="AG102" i="28" s="1"/>
  <c r="AG100" i="28" s="1"/>
  <c r="H226" i="6"/>
  <c r="H229" i="6" s="1"/>
  <c r="Z84" i="6"/>
  <c r="Z85" i="6" s="1"/>
  <c r="AA82" i="6" s="1"/>
  <c r="M184" i="6"/>
  <c r="M187" i="6" s="1"/>
  <c r="V120" i="6"/>
  <c r="V121" i="6" s="1"/>
  <c r="AC47" i="28"/>
  <c r="AC45" i="28" s="1"/>
  <c r="AD48" i="28" s="1"/>
  <c r="R156" i="6"/>
  <c r="R154" i="6"/>
  <c r="AC55" i="6"/>
  <c r="AD54" i="6" s="1"/>
  <c r="AA48" i="6"/>
  <c r="AA49" i="6" s="1"/>
  <c r="AG93" i="28"/>
  <c r="AG92" i="28" s="1"/>
  <c r="AG90" i="28" s="1"/>
  <c r="AH91" i="28" s="1"/>
  <c r="H235" i="6"/>
  <c r="R145" i="6"/>
  <c r="S142" i="6" s="1"/>
  <c r="AC42" i="28"/>
  <c r="AC40" i="28" s="1"/>
  <c r="AD43" i="28" s="1"/>
  <c r="W102" i="6"/>
  <c r="W103" i="6" s="1"/>
  <c r="AK141" i="28"/>
  <c r="AK142" i="28" s="1"/>
  <c r="AK140" i="28" s="1"/>
  <c r="AL157" i="28"/>
  <c r="AL155" i="28" s="1"/>
  <c r="AA43" i="6"/>
  <c r="AB42" i="6" s="1"/>
  <c r="Z73" i="6"/>
  <c r="AA72" i="6" s="1"/>
  <c r="AD52" i="28"/>
  <c r="AD50" i="28" s="1"/>
  <c r="U109" i="6"/>
  <c r="V108" i="6" s="1"/>
  <c r="J217" i="6"/>
  <c r="K214" i="6" s="1"/>
  <c r="AF62" i="28"/>
  <c r="AF60" i="28" s="1"/>
  <c r="AG61" i="28" s="1"/>
  <c r="Q151" i="6"/>
  <c r="AP9" i="25"/>
  <c r="AR45" i="1"/>
  <c r="AR42" i="1"/>
  <c r="AS22" i="1"/>
  <c r="AS24" i="1" s="1"/>
  <c r="AM183" i="28"/>
  <c r="AM181" i="28"/>
  <c r="AN202" i="28"/>
  <c r="AN200" i="28" s="1"/>
  <c r="M199" i="6"/>
  <c r="AK167" i="21"/>
  <c r="AK165" i="21" s="1"/>
  <c r="AO208" i="28"/>
  <c r="AO206" i="28"/>
  <c r="C206" i="28"/>
  <c r="AF38" i="28"/>
  <c r="AF36" i="28"/>
  <c r="AD66" i="28"/>
  <c r="AD68" i="28"/>
  <c r="AH98" i="28"/>
  <c r="AH96" i="28"/>
  <c r="AF102" i="21"/>
  <c r="AF100" i="21" s="1"/>
  <c r="AK148" i="28"/>
  <c r="AK146" i="28"/>
  <c r="E264" i="6"/>
  <c r="AO206" i="21"/>
  <c r="AO208" i="21"/>
  <c r="C206" i="21"/>
  <c r="J211" i="6"/>
  <c r="AN68" i="1"/>
  <c r="O180" i="6"/>
  <c r="O178" i="6"/>
  <c r="O181" i="6" s="1"/>
  <c r="AS5" i="6"/>
  <c r="AT5" i="6" s="1"/>
  <c r="AE61" i="21"/>
  <c r="AE63" i="21"/>
  <c r="AJ151" i="28"/>
  <c r="AJ153" i="28"/>
  <c r="AD72" i="21"/>
  <c r="AD70" i="21" s="1"/>
  <c r="Y90" i="6"/>
  <c r="Y88" i="6"/>
  <c r="AJ122" i="28"/>
  <c r="AJ120" i="28" s="1"/>
  <c r="AL172" i="21"/>
  <c r="AL170" i="21" s="1"/>
  <c r="AI112" i="28"/>
  <c r="AI110" i="28" s="1"/>
  <c r="AP46" i="1"/>
  <c r="AP62" i="1"/>
  <c r="AP61" i="1" s="1"/>
  <c r="AP60" i="1" s="1"/>
  <c r="AP59" i="1" s="1"/>
  <c r="AP58" i="1" s="1"/>
  <c r="AP57" i="1" s="1"/>
  <c r="AP56" i="1" s="1"/>
  <c r="AP55" i="1" s="1"/>
  <c r="AP54" i="1" s="1"/>
  <c r="AP53" i="1" s="1"/>
  <c r="AP52" i="1" s="1"/>
  <c r="AP51" i="1" s="1"/>
  <c r="AP50" i="1" s="1"/>
  <c r="AP49" i="1" s="1"/>
  <c r="AP48" i="1" s="1"/>
  <c r="AP47" i="1" s="1"/>
  <c r="AE107" i="21"/>
  <c r="AE105" i="21" s="1"/>
  <c r="AU9" i="6"/>
  <c r="I223" i="6"/>
  <c r="AF72" i="28"/>
  <c r="AF70" i="28" s="1"/>
  <c r="AP18" i="28"/>
  <c r="AK168" i="28"/>
  <c r="AK166" i="28"/>
  <c r="G247" i="6"/>
  <c r="K205" i="6"/>
  <c r="AK161" i="28"/>
  <c r="AK163" i="28"/>
  <c r="F250" i="6"/>
  <c r="F252" i="6"/>
  <c r="AT35" i="1"/>
  <c r="AT34" i="1" s="1"/>
  <c r="AT33" i="1" s="1"/>
  <c r="AT32" i="1" s="1"/>
  <c r="AT31" i="1" s="1"/>
  <c r="AT30" i="1" s="1"/>
  <c r="AT29" i="1" s="1"/>
  <c r="AT28" i="1"/>
  <c r="AU10" i="24"/>
  <c r="AV8" i="1" s="1"/>
  <c r="AV6" i="1" s="1"/>
  <c r="AU18" i="24"/>
  <c r="AU6" i="6" s="1"/>
  <c r="AU4" i="6" s="1"/>
  <c r="AU15" i="24"/>
  <c r="AV10" i="1" s="1"/>
  <c r="AU21" i="24"/>
  <c r="AU8" i="6" s="1"/>
  <c r="AV9" i="24"/>
  <c r="AJ137" i="21"/>
  <c r="AJ135" i="21" s="1"/>
  <c r="AP211" i="28"/>
  <c r="AP213" i="28"/>
  <c r="C211" i="28"/>
  <c r="AJ126" i="21"/>
  <c r="AJ128" i="21"/>
  <c r="AC76" i="6"/>
  <c r="AC78" i="6"/>
  <c r="AL148" i="21"/>
  <c r="AL146" i="21"/>
  <c r="R168" i="6"/>
  <c r="R166" i="6"/>
  <c r="U124" i="6"/>
  <c r="U126" i="6"/>
  <c r="AT7" i="25"/>
  <c r="AT25" i="25"/>
  <c r="AT124" i="1"/>
  <c r="AH133" i="21"/>
  <c r="AH131" i="21"/>
  <c r="AN198" i="21"/>
  <c r="AN196" i="21"/>
  <c r="Q163" i="6"/>
  <c r="AU7" i="6"/>
  <c r="E316" i="6"/>
  <c r="E318" i="6"/>
  <c r="AU1" i="1"/>
  <c r="AU1" i="24"/>
  <c r="AU1" i="25"/>
  <c r="AT1" i="6"/>
  <c r="AT1" i="28"/>
  <c r="AT1" i="21"/>
  <c r="AE86" i="21"/>
  <c r="AE88" i="21"/>
  <c r="AT17" i="1"/>
  <c r="AT20" i="1" s="1"/>
  <c r="AT110" i="1"/>
  <c r="AS13" i="21"/>
  <c r="AS12" i="21" s="1"/>
  <c r="BW68" i="9"/>
  <c r="AS13" i="28"/>
  <c r="AS12" i="28" s="1"/>
  <c r="AS269" i="6"/>
  <c r="E270" i="6" s="1"/>
  <c r="E271" i="6" s="1"/>
  <c r="T132" i="6"/>
  <c r="T130" i="6"/>
  <c r="AC36" i="21"/>
  <c r="AC38" i="21"/>
  <c r="AU17" i="1"/>
  <c r="AU110" i="1"/>
  <c r="AT13" i="21"/>
  <c r="AT12" i="21" s="1"/>
  <c r="BX68" i="9"/>
  <c r="AT13" i="28"/>
  <c r="AT12" i="28" s="1"/>
  <c r="AT275" i="6"/>
  <c r="AD34" i="6"/>
  <c r="AD36" i="6"/>
  <c r="AS37" i="1"/>
  <c r="AS39" i="1"/>
  <c r="AS40" i="1" s="1"/>
  <c r="AP18" i="21"/>
  <c r="AQ10" i="25"/>
  <c r="AB66" i="6"/>
  <c r="AB64" i="6"/>
  <c r="AN198" i="28"/>
  <c r="AN196" i="28"/>
  <c r="AA61" i="6"/>
  <c r="AA41" i="21"/>
  <c r="AA43" i="21"/>
  <c r="N174" i="6"/>
  <c r="N172" i="6"/>
  <c r="AQ17" i="21"/>
  <c r="AR122" i="1"/>
  <c r="AR45" i="25"/>
  <c r="AQ17" i="28"/>
  <c r="AP213" i="21"/>
  <c r="AP211" i="21"/>
  <c r="C211" i="21"/>
  <c r="AN176" i="28"/>
  <c r="AN178" i="28"/>
  <c r="AO9" i="25"/>
  <c r="AO68" i="1"/>
  <c r="AU16" i="1"/>
  <c r="AU11" i="25"/>
  <c r="AL171" i="28"/>
  <c r="AL173" i="28"/>
  <c r="T94" i="6"/>
  <c r="T96" i="6"/>
  <c r="AD57" i="28"/>
  <c r="AD55" i="28" s="1"/>
  <c r="AF24" i="6"/>
  <c r="AF22" i="6"/>
  <c r="AS117" i="1"/>
  <c r="AS114" i="1" s="1"/>
  <c r="AT84" i="1"/>
  <c r="AQ45" i="1"/>
  <c r="AQ42" i="1"/>
  <c r="AA32" i="21"/>
  <c r="AA30" i="21" s="1"/>
  <c r="AM186" i="21"/>
  <c r="AM188" i="21"/>
  <c r="AJ143" i="21"/>
  <c r="AJ141" i="21"/>
  <c r="U112" i="6"/>
  <c r="U114" i="6"/>
  <c r="AC51" i="21"/>
  <c r="AC53" i="21"/>
  <c r="AJ152" i="21"/>
  <c r="AJ150" i="21" s="1"/>
  <c r="AN192" i="28"/>
  <c r="AN190" i="28" s="1"/>
  <c r="AU18" i="1"/>
  <c r="AU12" i="1"/>
  <c r="AU12" i="25" s="1"/>
  <c r="AU115" i="1"/>
  <c r="AU73" i="1"/>
  <c r="AU93" i="1"/>
  <c r="AU95" i="1" s="1"/>
  <c r="AU27" i="1"/>
  <c r="AU5" i="25"/>
  <c r="AJ132" i="28"/>
  <c r="AJ130" i="28" s="1"/>
  <c r="F259" i="6"/>
  <c r="AJ128" i="28" l="1"/>
  <c r="AJ127" i="28" s="1"/>
  <c r="AJ125" i="28" s="1"/>
  <c r="AK126" i="28" s="1"/>
  <c r="H238" i="6"/>
  <c r="H241" i="6" s="1"/>
  <c r="H240" i="6"/>
  <c r="S144" i="6"/>
  <c r="S145" i="6" s="1"/>
  <c r="T144" i="6" s="1"/>
  <c r="AG78" i="21"/>
  <c r="Y91" i="6"/>
  <c r="R157" i="6"/>
  <c r="S154" i="6" s="1"/>
  <c r="AO207" i="28"/>
  <c r="AO205" i="28" s="1"/>
  <c r="AP206" i="28" s="1"/>
  <c r="Q25" i="28"/>
  <c r="Q22" i="28" s="1"/>
  <c r="AU116" i="1"/>
  <c r="AL156" i="21"/>
  <c r="AL157" i="21" s="1"/>
  <c r="AL155" i="21" s="1"/>
  <c r="AG91" i="21"/>
  <c r="AG92" i="21" s="1"/>
  <c r="AG90" i="21" s="1"/>
  <c r="AH93" i="21" s="1"/>
  <c r="AM136" i="28"/>
  <c r="AM137" i="28" s="1"/>
  <c r="AM135" i="28" s="1"/>
  <c r="AN138" i="28" s="1"/>
  <c r="S27" i="21"/>
  <c r="S275" i="21" s="1"/>
  <c r="T143" i="1" s="1"/>
  <c r="AF37" i="28"/>
  <c r="AF35" i="28" s="1"/>
  <c r="AG38" i="28" s="1"/>
  <c r="AO181" i="21"/>
  <c r="AO183" i="21"/>
  <c r="AG88" i="28"/>
  <c r="AG86" i="28"/>
  <c r="AJ81" i="28"/>
  <c r="AJ82" i="28" s="1"/>
  <c r="AJ80" i="28" s="1"/>
  <c r="AK81" i="28" s="1"/>
  <c r="AF30" i="6"/>
  <c r="AF31" i="6" s="1"/>
  <c r="AB40" i="6"/>
  <c r="N193" i="6"/>
  <c r="O192" i="6" s="1"/>
  <c r="AC66" i="21"/>
  <c r="AC67" i="21" s="1"/>
  <c r="AC65" i="21" s="1"/>
  <c r="AM182" i="28"/>
  <c r="AM180" i="28" s="1"/>
  <c r="AN181" i="28" s="1"/>
  <c r="AK128" i="28"/>
  <c r="AK127" i="28" s="1"/>
  <c r="AK125" i="28" s="1"/>
  <c r="AL128" i="28" s="1"/>
  <c r="AN187" i="28"/>
  <c r="AN185" i="28" s="1"/>
  <c r="AO188" i="28" s="1"/>
  <c r="AG31" i="28"/>
  <c r="AG33" i="28"/>
  <c r="AH112" i="21"/>
  <c r="AH110" i="21" s="1"/>
  <c r="AI111" i="21" s="1"/>
  <c r="AJ127" i="21"/>
  <c r="AJ125" i="21" s="1"/>
  <c r="AK126" i="21" s="1"/>
  <c r="AM178" i="21"/>
  <c r="AM177" i="21" s="1"/>
  <c r="AM175" i="21" s="1"/>
  <c r="AD46" i="28"/>
  <c r="AD47" i="28" s="1"/>
  <c r="AD45" i="28" s="1"/>
  <c r="AE48" i="28" s="1"/>
  <c r="AI118" i="28"/>
  <c r="AI117" i="28" s="1"/>
  <c r="AI115" i="28" s="1"/>
  <c r="AE62" i="21"/>
  <c r="AE60" i="21" s="1"/>
  <c r="AF61" i="21" s="1"/>
  <c r="AO201" i="21"/>
  <c r="AO202" i="21" s="1"/>
  <c r="AO200" i="21" s="1"/>
  <c r="AP203" i="21" s="1"/>
  <c r="AC52" i="21"/>
  <c r="AC50" i="21" s="1"/>
  <c r="AD51" i="21" s="1"/>
  <c r="AH83" i="21"/>
  <c r="AH82" i="21" s="1"/>
  <c r="AH80" i="21" s="1"/>
  <c r="AG77" i="21"/>
  <c r="AG75" i="21" s="1"/>
  <c r="AH76" i="21" s="1"/>
  <c r="AG76" i="28"/>
  <c r="AG77" i="28" s="1"/>
  <c r="AG75" i="28" s="1"/>
  <c r="AB46" i="21"/>
  <c r="AB47" i="21" s="1"/>
  <c r="AB45" i="21" s="1"/>
  <c r="AD41" i="28"/>
  <c r="AD42" i="28" s="1"/>
  <c r="AD40" i="28" s="1"/>
  <c r="AJ142" i="21"/>
  <c r="AJ140" i="21" s="1"/>
  <c r="AK143" i="21" s="1"/>
  <c r="AO207" i="21"/>
  <c r="AO205" i="21" s="1"/>
  <c r="AP206" i="21" s="1"/>
  <c r="AC58" i="21"/>
  <c r="AC56" i="21"/>
  <c r="AI123" i="21"/>
  <c r="AI122" i="21" s="1"/>
  <c r="AI120" i="21" s="1"/>
  <c r="AJ106" i="28"/>
  <c r="AJ107" i="28" s="1"/>
  <c r="AJ105" i="28" s="1"/>
  <c r="AO191" i="21"/>
  <c r="AO192" i="21" s="1"/>
  <c r="AO190" i="21" s="1"/>
  <c r="AM187" i="21"/>
  <c r="AM185" i="21" s="1"/>
  <c r="AN186" i="21" s="1"/>
  <c r="AN197" i="21"/>
  <c r="AN195" i="21" s="1"/>
  <c r="AO196" i="21" s="1"/>
  <c r="AL147" i="21"/>
  <c r="AL145" i="21" s="1"/>
  <c r="AM146" i="21" s="1"/>
  <c r="S142" i="1"/>
  <c r="S38" i="25"/>
  <c r="S36" i="25" s="1"/>
  <c r="S48" i="25" s="1"/>
  <c r="T13" i="25"/>
  <c r="T27" i="25"/>
  <c r="T40" i="25" s="1"/>
  <c r="T144" i="1"/>
  <c r="T39" i="25"/>
  <c r="AH103" i="28"/>
  <c r="AH101" i="28"/>
  <c r="V106" i="6"/>
  <c r="V109" i="6" s="1"/>
  <c r="K216" i="6"/>
  <c r="K217" i="6" s="1"/>
  <c r="AG63" i="28"/>
  <c r="AG62" i="28" s="1"/>
  <c r="AG60" i="28" s="1"/>
  <c r="AB67" i="6"/>
  <c r="AC66" i="6" s="1"/>
  <c r="AD52" i="6"/>
  <c r="AD55" i="6" s="1"/>
  <c r="AH93" i="28"/>
  <c r="AH92" i="28" s="1"/>
  <c r="AH90" i="28" s="1"/>
  <c r="I234" i="6"/>
  <c r="I232" i="6"/>
  <c r="AF25" i="6"/>
  <c r="AG22" i="6" s="1"/>
  <c r="AN177" i="28"/>
  <c r="AN175" i="28" s="1"/>
  <c r="AO178" i="28" s="1"/>
  <c r="AK167" i="28"/>
  <c r="AK165" i="28" s="1"/>
  <c r="AL168" i="28" s="1"/>
  <c r="AE53" i="28"/>
  <c r="AE51" i="28"/>
  <c r="AN197" i="28"/>
  <c r="AN195" i="28" s="1"/>
  <c r="AO196" i="28" s="1"/>
  <c r="U127" i="6"/>
  <c r="V126" i="6" s="1"/>
  <c r="E319" i="6"/>
  <c r="F318" i="6" s="1"/>
  <c r="AA84" i="6"/>
  <c r="AA85" i="6" s="1"/>
  <c r="AB43" i="6"/>
  <c r="AC40" i="6" s="1"/>
  <c r="F253" i="6"/>
  <c r="G250" i="6" s="1"/>
  <c r="AH97" i="28"/>
  <c r="AH95" i="28" s="1"/>
  <c r="AI98" i="28" s="1"/>
  <c r="AA70" i="6"/>
  <c r="AA73" i="6" s="1"/>
  <c r="AM156" i="28"/>
  <c r="AM158" i="28"/>
  <c r="S136" i="6"/>
  <c r="S139" i="6" s="1"/>
  <c r="AJ152" i="28"/>
  <c r="AJ150" i="28" s="1"/>
  <c r="AK151" i="28" s="1"/>
  <c r="R150" i="6"/>
  <c r="R148" i="6"/>
  <c r="T133" i="6"/>
  <c r="U132" i="6" s="1"/>
  <c r="AH78" i="21"/>
  <c r="AT22" i="1"/>
  <c r="AT24" i="1" s="1"/>
  <c r="AR17" i="21"/>
  <c r="AS122" i="1"/>
  <c r="AS45" i="25"/>
  <c r="AR17" i="28"/>
  <c r="AU117" i="1"/>
  <c r="AV16" i="1"/>
  <c r="AV11" i="25"/>
  <c r="AG71" i="28"/>
  <c r="AG73" i="28"/>
  <c r="T97" i="6"/>
  <c r="AB60" i="6"/>
  <c r="AB58" i="6"/>
  <c r="AO191" i="28"/>
  <c r="AO193" i="28"/>
  <c r="AB31" i="21"/>
  <c r="AB33" i="21"/>
  <c r="AU84" i="1"/>
  <c r="AV10" i="24"/>
  <c r="AW8" i="1" s="1"/>
  <c r="AW6" i="1" s="1"/>
  <c r="AV18" i="24"/>
  <c r="AV6" i="6" s="1"/>
  <c r="AV4" i="6" s="1"/>
  <c r="AW9" i="24"/>
  <c r="AV21" i="24"/>
  <c r="AV8" i="6" s="1"/>
  <c r="AV15" i="24"/>
  <c r="AW10" i="1" s="1"/>
  <c r="AP215" i="28"/>
  <c r="AP63" i="1"/>
  <c r="AP65" i="1"/>
  <c r="AP66" i="1" s="1"/>
  <c r="AK116" i="21"/>
  <c r="AK118" i="21"/>
  <c r="AG101" i="21"/>
  <c r="AG103" i="21"/>
  <c r="AO201" i="28"/>
  <c r="AO203" i="28"/>
  <c r="AS45" i="1"/>
  <c r="AS42" i="1"/>
  <c r="AU28" i="1"/>
  <c r="AU35" i="1"/>
  <c r="AU34" i="1" s="1"/>
  <c r="AU33" i="1" s="1"/>
  <c r="AU32" i="1" s="1"/>
  <c r="AU31" i="1" s="1"/>
  <c r="AU30" i="1" s="1"/>
  <c r="AU29" i="1" s="1"/>
  <c r="U115" i="6"/>
  <c r="AU124" i="1"/>
  <c r="AU7" i="25"/>
  <c r="AU25" i="25"/>
  <c r="AQ18" i="28"/>
  <c r="AQ19" i="28" s="1"/>
  <c r="AA42" i="21"/>
  <c r="AA40" i="21" s="1"/>
  <c r="AT117" i="1"/>
  <c r="AT114" i="1" s="1"/>
  <c r="L204" i="6"/>
  <c r="L202" i="6"/>
  <c r="AU5" i="6"/>
  <c r="AD67" i="28"/>
  <c r="AD65" i="28" s="1"/>
  <c r="W118" i="6"/>
  <c r="W120" i="6"/>
  <c r="I226" i="6"/>
  <c r="I228" i="6"/>
  <c r="AV17" i="1"/>
  <c r="AV110" i="1"/>
  <c r="AU13" i="21"/>
  <c r="AU12" i="21" s="1"/>
  <c r="BY68" i="9"/>
  <c r="AU13" i="28"/>
  <c r="AU12" i="28" s="1"/>
  <c r="AU281" i="6"/>
  <c r="AL143" i="28"/>
  <c r="AL141" i="28"/>
  <c r="AK151" i="21"/>
  <c r="AK153" i="21"/>
  <c r="AQ18" i="21"/>
  <c r="AR10" i="25"/>
  <c r="Z90" i="6"/>
  <c r="Z88" i="6"/>
  <c r="AR62" i="1"/>
  <c r="AR61" i="1" s="1"/>
  <c r="AR60" i="1" s="1"/>
  <c r="AR59" i="1" s="1"/>
  <c r="AR58" i="1" s="1"/>
  <c r="AR57" i="1" s="1"/>
  <c r="AR56" i="1" s="1"/>
  <c r="AR55" i="1" s="1"/>
  <c r="AR54" i="1" s="1"/>
  <c r="AR53" i="1" s="1"/>
  <c r="AR52" i="1" s="1"/>
  <c r="AR51" i="1" s="1"/>
  <c r="AR50" i="1" s="1"/>
  <c r="AR49" i="1" s="1"/>
  <c r="AR48" i="1" s="1"/>
  <c r="AR47" i="1" s="1"/>
  <c r="AR46" i="1"/>
  <c r="AQ62" i="1"/>
  <c r="AQ61" i="1" s="1"/>
  <c r="AQ60" i="1" s="1"/>
  <c r="AQ59" i="1" s="1"/>
  <c r="AQ58" i="1" s="1"/>
  <c r="AQ57" i="1" s="1"/>
  <c r="AQ56" i="1" s="1"/>
  <c r="AQ55" i="1" s="1"/>
  <c r="AQ54" i="1" s="1"/>
  <c r="AQ53" i="1" s="1"/>
  <c r="AQ52" i="1" s="1"/>
  <c r="AQ51" i="1" s="1"/>
  <c r="AQ50" i="1" s="1"/>
  <c r="AQ49" i="1" s="1"/>
  <c r="AQ48" i="1" s="1"/>
  <c r="AQ47" i="1" s="1"/>
  <c r="AQ46" i="1"/>
  <c r="AE58" i="28"/>
  <c r="AE56" i="28"/>
  <c r="AP215" i="21"/>
  <c r="AQ139" i="1"/>
  <c r="AQ37" i="25" s="1"/>
  <c r="AD37" i="6"/>
  <c r="AC37" i="21"/>
  <c r="AC35" i="21" s="1"/>
  <c r="F270" i="6"/>
  <c r="F268" i="6"/>
  <c r="R162" i="6"/>
  <c r="R160" i="6"/>
  <c r="AC79" i="6"/>
  <c r="AT37" i="1"/>
  <c r="AT39" i="1"/>
  <c r="AT40" i="1" s="1"/>
  <c r="AK162" i="28"/>
  <c r="AK160" i="28" s="1"/>
  <c r="AJ111" i="28"/>
  <c r="AJ113" i="28"/>
  <c r="AK147" i="28"/>
  <c r="AK145" i="28" s="1"/>
  <c r="P178" i="6"/>
  <c r="P180" i="6"/>
  <c r="H246" i="6"/>
  <c r="H244" i="6"/>
  <c r="N184" i="6"/>
  <c r="N186" i="6"/>
  <c r="G258" i="6"/>
  <c r="G256" i="6"/>
  <c r="AU20" i="1"/>
  <c r="AL172" i="28"/>
  <c r="AL170" i="28" s="1"/>
  <c r="AP212" i="21"/>
  <c r="AP210" i="21" s="1"/>
  <c r="N175" i="6"/>
  <c r="AP19" i="21"/>
  <c r="AP20" i="21" s="1"/>
  <c r="AE87" i="21"/>
  <c r="AE85" i="21" s="1"/>
  <c r="AB48" i="6"/>
  <c r="AB46" i="6"/>
  <c r="AH132" i="21"/>
  <c r="AH130" i="21" s="1"/>
  <c r="AP212" i="28"/>
  <c r="AP210" i="28" s="1"/>
  <c r="AV9" i="6"/>
  <c r="AM171" i="21"/>
  <c r="AM173" i="21"/>
  <c r="X100" i="6"/>
  <c r="X102" i="6"/>
  <c r="AL168" i="21"/>
  <c r="AL166" i="21"/>
  <c r="K208" i="6"/>
  <c r="K210" i="6"/>
  <c r="AH96" i="21"/>
  <c r="AH98" i="21"/>
  <c r="J220" i="6"/>
  <c r="J222" i="6"/>
  <c r="E265" i="6"/>
  <c r="AV18" i="1"/>
  <c r="AV12" i="1"/>
  <c r="AV12" i="25" s="1"/>
  <c r="AV115" i="1"/>
  <c r="AV93" i="1"/>
  <c r="AV95" i="1" s="1"/>
  <c r="AV73" i="1"/>
  <c r="AV27" i="1"/>
  <c r="AV5" i="25"/>
  <c r="AK131" i="28"/>
  <c r="AK133" i="28"/>
  <c r="AV1" i="1"/>
  <c r="AV1" i="24"/>
  <c r="AU1" i="6"/>
  <c r="E276" i="6" s="1"/>
  <c r="E277" i="6" s="1"/>
  <c r="AU1" i="21"/>
  <c r="AV1" i="25"/>
  <c r="AU1" i="28"/>
  <c r="R169" i="6"/>
  <c r="AK136" i="21"/>
  <c r="AK138" i="21"/>
  <c r="AP19" i="28"/>
  <c r="AP20" i="28" s="1"/>
  <c r="AF108" i="21"/>
  <c r="AF106" i="21"/>
  <c r="AK121" i="28"/>
  <c r="AK123" i="28"/>
  <c r="AE71" i="21"/>
  <c r="AE73" i="21"/>
  <c r="AM161" i="21"/>
  <c r="AM163" i="21"/>
  <c r="N196" i="6"/>
  <c r="N198" i="6"/>
  <c r="I240" i="6" l="1"/>
  <c r="I238" i="6"/>
  <c r="S156" i="6"/>
  <c r="O190" i="6"/>
  <c r="O193" i="6" s="1"/>
  <c r="AB61" i="6"/>
  <c r="AC60" i="6" s="1"/>
  <c r="AU114" i="1"/>
  <c r="AP208" i="28"/>
  <c r="AP207" i="28" s="1"/>
  <c r="AP205" i="28" s="1"/>
  <c r="AQ206" i="28" s="1"/>
  <c r="R28" i="28"/>
  <c r="R4" i="28" s="1"/>
  <c r="R26" i="28"/>
  <c r="AC64" i="6"/>
  <c r="AC67" i="6" s="1"/>
  <c r="AD66" i="6" s="1"/>
  <c r="S157" i="6"/>
  <c r="T156" i="6" s="1"/>
  <c r="AH91" i="21"/>
  <c r="AH92" i="21" s="1"/>
  <c r="AH90" i="21" s="1"/>
  <c r="AI91" i="21" s="1"/>
  <c r="AD53" i="21"/>
  <c r="AD52" i="21" s="1"/>
  <c r="AD50" i="21" s="1"/>
  <c r="AE53" i="21" s="1"/>
  <c r="S25" i="21"/>
  <c r="T14" i="25"/>
  <c r="AG36" i="28"/>
  <c r="AG37" i="28" s="1"/>
  <c r="AG35" i="28" s="1"/>
  <c r="AH38" i="28" s="1"/>
  <c r="AO198" i="21"/>
  <c r="AO197" i="21" s="1"/>
  <c r="AO195" i="21" s="1"/>
  <c r="AP196" i="21" s="1"/>
  <c r="AO186" i="28"/>
  <c r="AO187" i="28" s="1"/>
  <c r="AO185" i="28" s="1"/>
  <c r="AP188" i="28" s="1"/>
  <c r="AN188" i="21"/>
  <c r="AN187" i="21" s="1"/>
  <c r="AN185" i="21" s="1"/>
  <c r="AG87" i="28"/>
  <c r="AG85" i="28" s="1"/>
  <c r="AH88" i="28" s="1"/>
  <c r="AF107" i="21"/>
  <c r="AF105" i="21" s="1"/>
  <c r="AG108" i="21" s="1"/>
  <c r="AO182" i="21"/>
  <c r="AO180" i="21" s="1"/>
  <c r="AP183" i="21" s="1"/>
  <c r="AP181" i="21"/>
  <c r="AI113" i="21"/>
  <c r="AI112" i="21" s="1"/>
  <c r="AI110" i="21" s="1"/>
  <c r="AJ113" i="21" s="1"/>
  <c r="AG32" i="28"/>
  <c r="AG30" i="28" s="1"/>
  <c r="AH31" i="28" s="1"/>
  <c r="AL167" i="21"/>
  <c r="AL165" i="21" s="1"/>
  <c r="AM166" i="21" s="1"/>
  <c r="AV7" i="6"/>
  <c r="AV5" i="6"/>
  <c r="AG24" i="6"/>
  <c r="AG25" i="6" s="1"/>
  <c r="AN183" i="28"/>
  <c r="AN182" i="28" s="1"/>
  <c r="AN180" i="28" s="1"/>
  <c r="AK128" i="21"/>
  <c r="AK127" i="21" s="1"/>
  <c r="AK125" i="21" s="1"/>
  <c r="AE52" i="28"/>
  <c r="AE50" i="28" s="1"/>
  <c r="AF51" i="28" s="1"/>
  <c r="AK108" i="28"/>
  <c r="AK106" i="28"/>
  <c r="AN176" i="21"/>
  <c r="AN178" i="21"/>
  <c r="AE43" i="28"/>
  <c r="AE41" i="28"/>
  <c r="AF63" i="21"/>
  <c r="AF62" i="21" s="1"/>
  <c r="AF60" i="21" s="1"/>
  <c r="AM148" i="21"/>
  <c r="AM147" i="21" s="1"/>
  <c r="AM145" i="21" s="1"/>
  <c r="AP193" i="21"/>
  <c r="AP191" i="21"/>
  <c r="AJ123" i="21"/>
  <c r="AJ121" i="21"/>
  <c r="AP208" i="21"/>
  <c r="AP207" i="21" s="1"/>
  <c r="AP205" i="21" s="1"/>
  <c r="AH77" i="21"/>
  <c r="AH75" i="21" s="1"/>
  <c r="AI78" i="21" s="1"/>
  <c r="T142" i="1"/>
  <c r="T38" i="25"/>
  <c r="T36" i="25" s="1"/>
  <c r="T48" i="25" s="1"/>
  <c r="AK141" i="21"/>
  <c r="AK142" i="21" s="1"/>
  <c r="AK140" i="21" s="1"/>
  <c r="AL143" i="21" s="1"/>
  <c r="AK153" i="28"/>
  <c r="AK152" i="28" s="1"/>
  <c r="AK150" i="28" s="1"/>
  <c r="AP201" i="21"/>
  <c r="AP202" i="21" s="1"/>
  <c r="AP200" i="21" s="1"/>
  <c r="AD66" i="21"/>
  <c r="AD68" i="21"/>
  <c r="AK117" i="21"/>
  <c r="AK115" i="21" s="1"/>
  <c r="AL118" i="21" s="1"/>
  <c r="AH97" i="21"/>
  <c r="AH95" i="21" s="1"/>
  <c r="AI96" i="21" s="1"/>
  <c r="AE72" i="21"/>
  <c r="AE70" i="21" s="1"/>
  <c r="AF73" i="21" s="1"/>
  <c r="AK137" i="21"/>
  <c r="AK135" i="21" s="1"/>
  <c r="AL138" i="21" s="1"/>
  <c r="AB32" i="21"/>
  <c r="AB30" i="21" s="1"/>
  <c r="AC31" i="21" s="1"/>
  <c r="S22" i="21"/>
  <c r="T28" i="21"/>
  <c r="T4" i="21" s="1"/>
  <c r="U74" i="1" s="1"/>
  <c r="T26" i="21"/>
  <c r="AC57" i="21"/>
  <c r="AC55" i="21" s="1"/>
  <c r="AC42" i="6"/>
  <c r="AE46" i="28"/>
  <c r="AE47" i="28" s="1"/>
  <c r="AE45" i="28" s="1"/>
  <c r="AH102" i="28"/>
  <c r="AH100" i="28" s="1"/>
  <c r="AH76" i="28"/>
  <c r="AH78" i="28"/>
  <c r="T142" i="6"/>
  <c r="T145" i="6" s="1"/>
  <c r="AN136" i="28"/>
  <c r="AN137" i="28" s="1"/>
  <c r="AN135" i="28" s="1"/>
  <c r="AO138" i="28" s="1"/>
  <c r="AO198" i="28"/>
  <c r="AO197" i="28" s="1"/>
  <c r="AO195" i="28" s="1"/>
  <c r="AL126" i="28"/>
  <c r="AL127" i="28" s="1"/>
  <c r="AL125" i="28" s="1"/>
  <c r="I235" i="6"/>
  <c r="L216" i="6"/>
  <c r="L214" i="6"/>
  <c r="F316" i="6"/>
  <c r="F319" i="6" s="1"/>
  <c r="G318" i="6" s="1"/>
  <c r="J223" i="6"/>
  <c r="K222" i="6" s="1"/>
  <c r="AE57" i="28"/>
  <c r="AE55" i="28" s="1"/>
  <c r="AF56" i="28" s="1"/>
  <c r="AL166" i="28"/>
  <c r="AL167" i="28" s="1"/>
  <c r="AL165" i="28" s="1"/>
  <c r="AO176" i="28"/>
  <c r="AO177" i="28" s="1"/>
  <c r="AO175" i="28" s="1"/>
  <c r="AJ112" i="28"/>
  <c r="AJ110" i="28" s="1"/>
  <c r="AK113" i="28" s="1"/>
  <c r="N199" i="6"/>
  <c r="O198" i="6" s="1"/>
  <c r="AK83" i="28"/>
  <c r="AK82" i="28" s="1"/>
  <c r="AK80" i="28" s="1"/>
  <c r="R151" i="6"/>
  <c r="S150" i="6" s="1"/>
  <c r="V124" i="6"/>
  <c r="V127" i="6" s="1"/>
  <c r="G252" i="6"/>
  <c r="G253" i="6" s="1"/>
  <c r="P181" i="6"/>
  <c r="Q180" i="6" s="1"/>
  <c r="AB84" i="6"/>
  <c r="AB82" i="6"/>
  <c r="W121" i="6"/>
  <c r="X120" i="6" s="1"/>
  <c r="X103" i="6"/>
  <c r="Y102" i="6" s="1"/>
  <c r="AB49" i="6"/>
  <c r="AC48" i="6" s="1"/>
  <c r="I241" i="6"/>
  <c r="J238" i="6" s="1"/>
  <c r="AG72" i="28"/>
  <c r="AG70" i="28" s="1"/>
  <c r="AH73" i="28" s="1"/>
  <c r="AI96" i="28"/>
  <c r="AI97" i="28" s="1"/>
  <c r="AI95" i="28" s="1"/>
  <c r="AJ98" i="28" s="1"/>
  <c r="U130" i="6"/>
  <c r="U133" i="6" s="1"/>
  <c r="V132" i="6" s="1"/>
  <c r="AM157" i="28"/>
  <c r="AM155" i="28" s="1"/>
  <c r="AO202" i="28"/>
  <c r="AO200" i="28" s="1"/>
  <c r="AP201" i="28" s="1"/>
  <c r="AT17" i="21"/>
  <c r="AU122" i="1"/>
  <c r="AU45" i="25"/>
  <c r="AT17" i="28"/>
  <c r="AW1" i="1"/>
  <c r="AW1" i="24"/>
  <c r="AW1" i="25"/>
  <c r="AV1" i="21"/>
  <c r="AV1" i="28"/>
  <c r="AV1" i="6"/>
  <c r="K220" i="6"/>
  <c r="AQ220" i="21"/>
  <c r="AR139" i="1"/>
  <c r="AR37" i="25" s="1"/>
  <c r="AS17" i="21"/>
  <c r="AT122" i="1"/>
  <c r="AT45" i="25"/>
  <c r="AS17" i="28"/>
  <c r="AT45" i="1"/>
  <c r="AT42" i="1"/>
  <c r="F262" i="6"/>
  <c r="F264" i="6"/>
  <c r="O172" i="6"/>
  <c r="O174" i="6"/>
  <c r="AL163" i="28"/>
  <c r="AL161" i="28"/>
  <c r="AR63" i="1"/>
  <c r="AR65" i="1"/>
  <c r="AR66" i="1" s="1"/>
  <c r="AC46" i="21"/>
  <c r="AC48" i="21"/>
  <c r="AP68" i="1"/>
  <c r="AW18" i="1"/>
  <c r="AW12" i="1"/>
  <c r="AW12" i="25" s="1"/>
  <c r="AW115" i="1"/>
  <c r="AW93" i="1"/>
  <c r="AW95" i="1" s="1"/>
  <c r="AW73" i="1"/>
  <c r="AW5" i="25"/>
  <c r="AW27" i="1"/>
  <c r="F274" i="6"/>
  <c r="F276" i="6"/>
  <c r="K211" i="6"/>
  <c r="AQ211" i="28"/>
  <c r="AQ213" i="28"/>
  <c r="AQ213" i="21"/>
  <c r="AQ211" i="21"/>
  <c r="AM158" i="21"/>
  <c r="AM156" i="21"/>
  <c r="H247" i="6"/>
  <c r="AD36" i="21"/>
  <c r="AD38" i="21"/>
  <c r="AQ63" i="1"/>
  <c r="AQ65" i="1"/>
  <c r="AQ66" i="1" s="1"/>
  <c r="Z91" i="6"/>
  <c r="AQ19" i="21"/>
  <c r="AQ20" i="21" s="1"/>
  <c r="E282" i="6"/>
  <c r="I229" i="6"/>
  <c r="AE68" i="28"/>
  <c r="AE66" i="28"/>
  <c r="AG102" i="21"/>
  <c r="AG100" i="21" s="1"/>
  <c r="AV116" i="1"/>
  <c r="AV114" i="1" s="1"/>
  <c r="AQ218" i="28"/>
  <c r="AQ216" i="28"/>
  <c r="C216" i="28"/>
  <c r="AI131" i="21"/>
  <c r="AI133" i="21"/>
  <c r="AB41" i="21"/>
  <c r="AB43" i="21"/>
  <c r="AI81" i="21"/>
  <c r="AI83" i="21"/>
  <c r="U96" i="6"/>
  <c r="U94" i="6"/>
  <c r="AM162" i="21"/>
  <c r="AM160" i="21" s="1"/>
  <c r="S166" i="6"/>
  <c r="S168" i="6"/>
  <c r="AK132" i="28"/>
  <c r="AK130" i="28" s="1"/>
  <c r="AM172" i="21"/>
  <c r="AM170" i="21" s="1"/>
  <c r="R163" i="6"/>
  <c r="AQ218" i="21"/>
  <c r="AQ216" i="21"/>
  <c r="C216" i="21"/>
  <c r="AH63" i="28"/>
  <c r="AH61" i="28"/>
  <c r="AK152" i="21"/>
  <c r="AK150" i="21" s="1"/>
  <c r="AV117" i="1"/>
  <c r="AJ118" i="28"/>
  <c r="AJ116" i="28"/>
  <c r="L205" i="6"/>
  <c r="AQ220" i="28"/>
  <c r="AQ20" i="28"/>
  <c r="AO192" i="28"/>
  <c r="AO190" i="28" s="1"/>
  <c r="AR18" i="21"/>
  <c r="AR19" i="21" s="1"/>
  <c r="AS10" i="25"/>
  <c r="AE34" i="6"/>
  <c r="AE36" i="6"/>
  <c r="AC58" i="6"/>
  <c r="AR18" i="28"/>
  <c r="AR19" i="28" s="1"/>
  <c r="AK122" i="28"/>
  <c r="AK120" i="28" s="1"/>
  <c r="AV84" i="1"/>
  <c r="N187" i="6"/>
  <c r="AB70" i="6"/>
  <c r="AB72" i="6"/>
  <c r="T136" i="6"/>
  <c r="T138" i="6"/>
  <c r="V114" i="6"/>
  <c r="V112" i="6"/>
  <c r="AW16" i="1"/>
  <c r="AW11" i="25"/>
  <c r="AF88" i="21"/>
  <c r="AF86" i="21"/>
  <c r="AU22" i="1"/>
  <c r="AU24" i="1" s="1"/>
  <c r="W106" i="6"/>
  <c r="W108" i="6"/>
  <c r="AL142" i="28"/>
  <c r="AL140" i="28" s="1"/>
  <c r="AI91" i="28"/>
  <c r="AI93" i="28"/>
  <c r="AU37" i="1"/>
  <c r="AU39" i="1"/>
  <c r="AU40" i="1" s="1"/>
  <c r="AS46" i="1"/>
  <c r="AS62" i="1"/>
  <c r="AS61" i="1" s="1"/>
  <c r="AS60" i="1" s="1"/>
  <c r="AS59" i="1" s="1"/>
  <c r="AS58" i="1" s="1"/>
  <c r="AS57" i="1" s="1"/>
  <c r="AS56" i="1" s="1"/>
  <c r="AS55" i="1" s="1"/>
  <c r="AS54" i="1" s="1"/>
  <c r="AS53" i="1" s="1"/>
  <c r="AS52" i="1" s="1"/>
  <c r="AS51" i="1" s="1"/>
  <c r="AS50" i="1" s="1"/>
  <c r="AS49" i="1" s="1"/>
  <c r="AS48" i="1" s="1"/>
  <c r="AS47" i="1" s="1"/>
  <c r="AW10" i="24"/>
  <c r="AX8" i="1" s="1"/>
  <c r="AX6" i="1" s="1"/>
  <c r="AW18" i="24"/>
  <c r="AW6" i="6" s="1"/>
  <c r="AW7" i="6" s="1"/>
  <c r="AX9" i="24"/>
  <c r="AW21" i="24"/>
  <c r="AW8" i="6" s="1"/>
  <c r="AW9" i="6" s="1"/>
  <c r="AW15" i="24"/>
  <c r="AX10" i="1" s="1"/>
  <c r="AM173" i="28"/>
  <c r="AM171" i="28"/>
  <c r="AV7" i="25"/>
  <c r="AV25" i="25"/>
  <c r="AV124" i="1"/>
  <c r="AV20" i="1"/>
  <c r="AD76" i="6"/>
  <c r="AD78" i="6"/>
  <c r="AE54" i="6"/>
  <c r="AE52" i="6"/>
  <c r="AV28" i="1"/>
  <c r="AV35" i="1"/>
  <c r="AV34" i="1" s="1"/>
  <c r="AV33" i="1" s="1"/>
  <c r="AV32" i="1" s="1"/>
  <c r="AV31" i="1" s="1"/>
  <c r="AV30" i="1" s="1"/>
  <c r="AV29" i="1" s="1"/>
  <c r="AG28" i="6"/>
  <c r="AG30" i="6"/>
  <c r="AQ155" i="1"/>
  <c r="AQ140" i="1" s="1"/>
  <c r="AQ141" i="1" s="1"/>
  <c r="AQ159" i="1"/>
  <c r="G259" i="6"/>
  <c r="AL148" i="28"/>
  <c r="AL146" i="28"/>
  <c r="F271" i="6"/>
  <c r="AW17" i="1"/>
  <c r="AW110" i="1"/>
  <c r="AV13" i="21"/>
  <c r="AV12" i="21" s="1"/>
  <c r="BZ68" i="9"/>
  <c r="AV13" i="28"/>
  <c r="AV12" i="28" s="1"/>
  <c r="AV287" i="6"/>
  <c r="AC43" i="6"/>
  <c r="S148" i="6" l="1"/>
  <c r="S151" i="6" s="1"/>
  <c r="R27" i="28"/>
  <c r="R25" i="28" s="1"/>
  <c r="Y100" i="6"/>
  <c r="Y103" i="6" s="1"/>
  <c r="Z102" i="6" s="1"/>
  <c r="AB85" i="6"/>
  <c r="AC82" i="6" s="1"/>
  <c r="Q178" i="6"/>
  <c r="Q181" i="6" s="1"/>
  <c r="T154" i="6"/>
  <c r="T157" i="6" s="1"/>
  <c r="AG106" i="21"/>
  <c r="AC33" i="21"/>
  <c r="AC32" i="21" s="1"/>
  <c r="AC30" i="21" s="1"/>
  <c r="AD31" i="21" s="1"/>
  <c r="AH86" i="28"/>
  <c r="AH87" i="28" s="1"/>
  <c r="AH85" i="28" s="1"/>
  <c r="AI86" i="28" s="1"/>
  <c r="V130" i="6"/>
  <c r="V133" i="6" s="1"/>
  <c r="AF58" i="28"/>
  <c r="AF57" i="28" s="1"/>
  <c r="AF55" i="28" s="1"/>
  <c r="AG58" i="28" s="1"/>
  <c r="AJ111" i="21"/>
  <c r="AJ112" i="21" s="1"/>
  <c r="AJ110" i="21" s="1"/>
  <c r="AK111" i="21" s="1"/>
  <c r="AM168" i="21"/>
  <c r="AM167" i="21" s="1"/>
  <c r="AM165" i="21" s="1"/>
  <c r="AN166" i="21" s="1"/>
  <c r="AH33" i="28"/>
  <c r="AH32" i="28" s="1"/>
  <c r="AH30" i="28" s="1"/>
  <c r="AI31" i="28" s="1"/>
  <c r="AW116" i="1"/>
  <c r="AP182" i="21"/>
  <c r="AP180" i="21" s="1"/>
  <c r="AQ181" i="21" s="1"/>
  <c r="AL141" i="21"/>
  <c r="AL142" i="21" s="1"/>
  <c r="AL140" i="21" s="1"/>
  <c r="AM143" i="21" s="1"/>
  <c r="AK107" i="28"/>
  <c r="AK105" i="28" s="1"/>
  <c r="AL108" i="28" s="1"/>
  <c r="AI98" i="21"/>
  <c r="AI97" i="21" s="1"/>
  <c r="AI95" i="21" s="1"/>
  <c r="AN148" i="21"/>
  <c r="AN146" i="21"/>
  <c r="AN147" i="21" s="1"/>
  <c r="AN145" i="21" s="1"/>
  <c r="AO146" i="21" s="1"/>
  <c r="AL116" i="21"/>
  <c r="AL117" i="21" s="1"/>
  <c r="AL115" i="21" s="1"/>
  <c r="AF53" i="28"/>
  <c r="AF52" i="28" s="1"/>
  <c r="AF50" i="28" s="1"/>
  <c r="AG51" i="28" s="1"/>
  <c r="AH36" i="28"/>
  <c r="AH37" i="28" s="1"/>
  <c r="AH35" i="28" s="1"/>
  <c r="AI36" i="28" s="1"/>
  <c r="AQ208" i="28"/>
  <c r="AQ207" i="28" s="1"/>
  <c r="AQ205" i="28" s="1"/>
  <c r="AR208" i="28" s="1"/>
  <c r="AJ122" i="21"/>
  <c r="AJ120" i="21" s="1"/>
  <c r="AK121" i="21" s="1"/>
  <c r="AE51" i="21"/>
  <c r="AE52" i="21" s="1"/>
  <c r="AE50" i="21" s="1"/>
  <c r="AF71" i="21"/>
  <c r="AF72" i="21" s="1"/>
  <c r="AF70" i="21" s="1"/>
  <c r="AE42" i="28"/>
  <c r="AE40" i="28" s="1"/>
  <c r="AF41" i="28" s="1"/>
  <c r="AL136" i="21"/>
  <c r="AL137" i="21" s="1"/>
  <c r="AL135" i="21" s="1"/>
  <c r="AM138" i="21" s="1"/>
  <c r="AD37" i="21"/>
  <c r="AD35" i="21" s="1"/>
  <c r="AE38" i="21" s="1"/>
  <c r="AI76" i="21"/>
  <c r="AI77" i="21" s="1"/>
  <c r="AI75" i="21" s="1"/>
  <c r="AI93" i="21"/>
  <c r="AI92" i="21" s="1"/>
  <c r="AI90" i="21" s="1"/>
  <c r="AP192" i="21"/>
  <c r="AP190" i="21" s="1"/>
  <c r="AQ191" i="21" s="1"/>
  <c r="AN177" i="21"/>
  <c r="AN175" i="21" s="1"/>
  <c r="AP198" i="21"/>
  <c r="AP197" i="21" s="1"/>
  <c r="AP195" i="21" s="1"/>
  <c r="AB42" i="21"/>
  <c r="AB40" i="21" s="1"/>
  <c r="AC43" i="21" s="1"/>
  <c r="AH77" i="28"/>
  <c r="AH75" i="28" s="1"/>
  <c r="AI76" i="28" s="1"/>
  <c r="AD56" i="21"/>
  <c r="AD58" i="21"/>
  <c r="AI132" i="21"/>
  <c r="AI130" i="21" s="1"/>
  <c r="AJ133" i="21" s="1"/>
  <c r="T27" i="21"/>
  <c r="AL162" i="28"/>
  <c r="AL160" i="28" s="1"/>
  <c r="AM161" i="28" s="1"/>
  <c r="U39" i="25"/>
  <c r="U144" i="1"/>
  <c r="U13" i="25"/>
  <c r="U27" i="25"/>
  <c r="U40" i="25" s="1"/>
  <c r="AM172" i="28"/>
  <c r="AM170" i="28" s="1"/>
  <c r="AN171" i="28" s="1"/>
  <c r="AC47" i="21"/>
  <c r="AC45" i="21" s="1"/>
  <c r="AD46" i="21" s="1"/>
  <c r="AD67" i="21"/>
  <c r="AD65" i="21" s="1"/>
  <c r="AL147" i="28"/>
  <c r="AL145" i="28" s="1"/>
  <c r="AM148" i="28" s="1"/>
  <c r="P190" i="6"/>
  <c r="P192" i="6"/>
  <c r="AI103" i="28"/>
  <c r="AI101" i="28"/>
  <c r="J232" i="6"/>
  <c r="J234" i="6"/>
  <c r="AM128" i="28"/>
  <c r="AM126" i="28"/>
  <c r="AJ96" i="28"/>
  <c r="AJ97" i="28" s="1"/>
  <c r="AJ95" i="28" s="1"/>
  <c r="O196" i="6"/>
  <c r="O199" i="6" s="1"/>
  <c r="L217" i="6"/>
  <c r="X118" i="6"/>
  <c r="X121" i="6" s="1"/>
  <c r="Y120" i="6" s="1"/>
  <c r="AD64" i="6"/>
  <c r="AD67" i="6" s="1"/>
  <c r="AE66" i="6" s="1"/>
  <c r="AH71" i="28"/>
  <c r="AH72" i="28" s="1"/>
  <c r="AH70" i="28" s="1"/>
  <c r="AI71" i="28" s="1"/>
  <c r="AP203" i="28"/>
  <c r="AP202" i="28" s="1"/>
  <c r="AP200" i="28" s="1"/>
  <c r="AO136" i="28"/>
  <c r="AO137" i="28" s="1"/>
  <c r="AO135" i="28" s="1"/>
  <c r="G316" i="6"/>
  <c r="G319" i="6" s="1"/>
  <c r="AQ217" i="28"/>
  <c r="AQ215" i="28" s="1"/>
  <c r="AR218" i="28" s="1"/>
  <c r="AP186" i="28"/>
  <c r="AP187" i="28" s="1"/>
  <c r="AP185" i="28" s="1"/>
  <c r="AK111" i="28"/>
  <c r="AK112" i="28" s="1"/>
  <c r="AK110" i="28" s="1"/>
  <c r="AL83" i="28"/>
  <c r="AL81" i="28"/>
  <c r="H252" i="6"/>
  <c r="H250" i="6"/>
  <c r="AJ117" i="28"/>
  <c r="AJ115" i="28" s="1"/>
  <c r="AK116" i="28" s="1"/>
  <c r="AG31" i="6"/>
  <c r="AH28" i="6" s="1"/>
  <c r="S169" i="6"/>
  <c r="T166" i="6" s="1"/>
  <c r="AO183" i="28"/>
  <c r="AC46" i="6"/>
  <c r="AC49" i="6" s="1"/>
  <c r="AO181" i="28"/>
  <c r="J240" i="6"/>
  <c r="J241" i="6" s="1"/>
  <c r="AN156" i="28"/>
  <c r="AN158" i="28"/>
  <c r="AW20" i="1"/>
  <c r="AW22" i="1" s="1"/>
  <c r="AV122" i="1"/>
  <c r="AU17" i="21"/>
  <c r="AV45" i="25"/>
  <c r="AU17" i="28"/>
  <c r="AX16" i="1"/>
  <c r="AX11" i="25"/>
  <c r="AP178" i="28"/>
  <c r="AP176" i="28"/>
  <c r="AS18" i="21"/>
  <c r="AS19" i="21" s="1"/>
  <c r="AT10" i="25"/>
  <c r="AD79" i="6"/>
  <c r="AQ203" i="21"/>
  <c r="AQ201" i="21"/>
  <c r="AU45" i="1"/>
  <c r="AU42" i="1"/>
  <c r="AS155" i="1"/>
  <c r="AS140" i="1" s="1"/>
  <c r="AS141" i="1" s="1"/>
  <c r="AS159" i="1"/>
  <c r="AR221" i="28"/>
  <c r="C221" i="28"/>
  <c r="AR223" i="28"/>
  <c r="AM168" i="28"/>
  <c r="AM166" i="28"/>
  <c r="S162" i="6"/>
  <c r="S160" i="6"/>
  <c r="AL131" i="28"/>
  <c r="AL133" i="28"/>
  <c r="AQ212" i="21"/>
  <c r="AQ210" i="21" s="1"/>
  <c r="AD40" i="6"/>
  <c r="AD42" i="6"/>
  <c r="AM141" i="28"/>
  <c r="AM143" i="28"/>
  <c r="AF87" i="21"/>
  <c r="AF85" i="21" s="1"/>
  <c r="T139" i="6"/>
  <c r="AL123" i="28"/>
  <c r="AL121" i="28"/>
  <c r="AR225" i="21"/>
  <c r="AS139" i="1"/>
  <c r="AS37" i="25" s="1"/>
  <c r="AR20" i="21"/>
  <c r="M204" i="6"/>
  <c r="M202" i="6"/>
  <c r="AH62" i="28"/>
  <c r="AH60" i="28" s="1"/>
  <c r="AG61" i="21"/>
  <c r="AG63" i="21"/>
  <c r="F277" i="6"/>
  <c r="F265" i="6"/>
  <c r="AX1" i="1"/>
  <c r="AW1" i="6"/>
  <c r="AX1" i="24"/>
  <c r="AX1" i="25"/>
  <c r="AW1" i="28"/>
  <c r="AW1" i="21"/>
  <c r="AT18" i="28"/>
  <c r="AT19" i="28" s="1"/>
  <c r="AF48" i="28"/>
  <c r="AF46" i="28"/>
  <c r="AR20" i="28"/>
  <c r="AR225" i="28"/>
  <c r="AQ9" i="25"/>
  <c r="AX10" i="24"/>
  <c r="AY8" i="1" s="1"/>
  <c r="AY6" i="1" s="1"/>
  <c r="AX18" i="24"/>
  <c r="AX6" i="6" s="1"/>
  <c r="AX7" i="6" s="1"/>
  <c r="AY9" i="24"/>
  <c r="AX21" i="24"/>
  <c r="AX8" i="6" s="1"/>
  <c r="AX9" i="6" s="1"/>
  <c r="AX15" i="24"/>
  <c r="AY10" i="1" s="1"/>
  <c r="I244" i="6"/>
  <c r="I246" i="6"/>
  <c r="T148" i="6"/>
  <c r="T150" i="6"/>
  <c r="AW4" i="6"/>
  <c r="U142" i="6"/>
  <c r="U144" i="6"/>
  <c r="O184" i="6"/>
  <c r="O186" i="6"/>
  <c r="AC61" i="6"/>
  <c r="AH22" i="6"/>
  <c r="AH24" i="6"/>
  <c r="AH101" i="21"/>
  <c r="AH103" i="21"/>
  <c r="AR155" i="1"/>
  <c r="AR140" i="1" s="1"/>
  <c r="AR141" i="1" s="1"/>
  <c r="AR159" i="1"/>
  <c r="AR223" i="21"/>
  <c r="AR221" i="21"/>
  <c r="C221" i="21"/>
  <c r="AG107" i="21"/>
  <c r="AG105" i="21" s="1"/>
  <c r="AR68" i="1"/>
  <c r="AP191" i="28"/>
  <c r="AP193" i="28"/>
  <c r="AN161" i="21"/>
  <c r="AN163" i="21"/>
  <c r="AW28" i="1"/>
  <c r="AW35" i="1"/>
  <c r="AW34" i="1" s="1"/>
  <c r="AW33" i="1" s="1"/>
  <c r="AW32" i="1" s="1"/>
  <c r="AW31" i="1" s="1"/>
  <c r="AW30" i="1" s="1"/>
  <c r="AW29" i="1" s="1"/>
  <c r="W124" i="6"/>
  <c r="W126" i="6"/>
  <c r="AQ212" i="28"/>
  <c r="AQ210" i="28" s="1"/>
  <c r="O175" i="6"/>
  <c r="AT18" i="21"/>
  <c r="AT19" i="21" s="1"/>
  <c r="AU10" i="25"/>
  <c r="AW117" i="1"/>
  <c r="G270" i="6"/>
  <c r="G268" i="6"/>
  <c r="AE55" i="6"/>
  <c r="AX18" i="1"/>
  <c r="AX12" i="1"/>
  <c r="AX12" i="25" s="1"/>
  <c r="AX115" i="1"/>
  <c r="AX73" i="1"/>
  <c r="AX93" i="1"/>
  <c r="AX95" i="1" s="1"/>
  <c r="AX5" i="25"/>
  <c r="AX27" i="1"/>
  <c r="AI92" i="28"/>
  <c r="AI90" i="28" s="1"/>
  <c r="AP198" i="28"/>
  <c r="AP196" i="28"/>
  <c r="V115" i="6"/>
  <c r="AQ217" i="21"/>
  <c r="AQ215" i="21" s="1"/>
  <c r="AE67" i="28"/>
  <c r="AE65" i="28" s="1"/>
  <c r="AA88" i="6"/>
  <c r="AA90" i="6"/>
  <c r="AM157" i="21"/>
  <c r="AM155" i="21" s="1"/>
  <c r="L210" i="6"/>
  <c r="L208" i="6"/>
  <c r="AT46" i="1"/>
  <c r="AT62" i="1"/>
  <c r="AT61" i="1" s="1"/>
  <c r="AT60" i="1" s="1"/>
  <c r="AT59" i="1" s="1"/>
  <c r="AT58" i="1" s="1"/>
  <c r="AT57" i="1" s="1"/>
  <c r="AT56" i="1" s="1"/>
  <c r="AT55" i="1" s="1"/>
  <c r="AT54" i="1" s="1"/>
  <c r="AT53" i="1" s="1"/>
  <c r="AT52" i="1" s="1"/>
  <c r="AT51" i="1" s="1"/>
  <c r="AT50" i="1" s="1"/>
  <c r="AT49" i="1" s="1"/>
  <c r="AT48" i="1" s="1"/>
  <c r="AT47" i="1" s="1"/>
  <c r="E288" i="6"/>
  <c r="E289" i="6" s="1"/>
  <c r="H258" i="6"/>
  <c r="H256" i="6"/>
  <c r="AW25" i="25"/>
  <c r="AW124" i="1"/>
  <c r="AW7" i="25"/>
  <c r="AW84" i="1"/>
  <c r="AE37" i="6"/>
  <c r="J226" i="6"/>
  <c r="J228" i="6"/>
  <c r="AQ208" i="21"/>
  <c r="AQ206" i="21"/>
  <c r="W109" i="6"/>
  <c r="AB73" i="6"/>
  <c r="AN171" i="21"/>
  <c r="AN173" i="21"/>
  <c r="AI82" i="21"/>
  <c r="AI80" i="21" s="1"/>
  <c r="E283" i="6"/>
  <c r="K223" i="6"/>
  <c r="AO186" i="21"/>
  <c r="AO188" i="21"/>
  <c r="AV37" i="1"/>
  <c r="AV39" i="1"/>
  <c r="AV40" i="1" s="1"/>
  <c r="AV22" i="1"/>
  <c r="AV24" i="1" s="1"/>
  <c r="AL128" i="21"/>
  <c r="AL126" i="21"/>
  <c r="AS63" i="1"/>
  <c r="AS65" i="1"/>
  <c r="AS66" i="1" s="1"/>
  <c r="AL151" i="28"/>
  <c r="AL153" i="28"/>
  <c r="AL153" i="21"/>
  <c r="AL151" i="21"/>
  <c r="U97" i="6"/>
  <c r="AQ68" i="1"/>
  <c r="AS18" i="28"/>
  <c r="AS19" i="28" s="1"/>
  <c r="R275" i="28" l="1"/>
  <c r="AC84" i="6"/>
  <c r="Y118" i="6"/>
  <c r="Y121" i="6" s="1"/>
  <c r="Z118" i="6" s="1"/>
  <c r="R178" i="6"/>
  <c r="R180" i="6"/>
  <c r="AI88" i="28"/>
  <c r="AI87" i="28" s="1"/>
  <c r="AI85" i="28" s="1"/>
  <c r="AJ86" i="28" s="1"/>
  <c r="W130" i="6"/>
  <c r="W132" i="6"/>
  <c r="AD33" i="21"/>
  <c r="T168" i="6"/>
  <c r="T169" i="6" s="1"/>
  <c r="AW114" i="1"/>
  <c r="AW122" i="1" s="1"/>
  <c r="AI33" i="28"/>
  <c r="AI32" i="28" s="1"/>
  <c r="AI30" i="28" s="1"/>
  <c r="AJ31" i="28" s="1"/>
  <c r="AK123" i="21"/>
  <c r="AK122" i="21" s="1"/>
  <c r="AK120" i="21" s="1"/>
  <c r="AL123" i="21" s="1"/>
  <c r="AQ183" i="21"/>
  <c r="AQ182" i="21" s="1"/>
  <c r="AQ180" i="21" s="1"/>
  <c r="AN173" i="28"/>
  <c r="AN172" i="28" s="1"/>
  <c r="AN170" i="28" s="1"/>
  <c r="AO171" i="28" s="1"/>
  <c r="AL106" i="28"/>
  <c r="AE36" i="21"/>
  <c r="AE37" i="21" s="1"/>
  <c r="AE35" i="21" s="1"/>
  <c r="AQ207" i="21"/>
  <c r="AQ205" i="21" s="1"/>
  <c r="AR206" i="21" s="1"/>
  <c r="AK113" i="21"/>
  <c r="AK112" i="21" s="1"/>
  <c r="AK110" i="21" s="1"/>
  <c r="AF43" i="28"/>
  <c r="AF42" i="28" s="1"/>
  <c r="AF40" i="28" s="1"/>
  <c r="AG43" i="28" s="1"/>
  <c r="AM163" i="28"/>
  <c r="AM162" i="28" s="1"/>
  <c r="AM160" i="28" s="1"/>
  <c r="AN163" i="28" s="1"/>
  <c r="Z100" i="6"/>
  <c r="Z103" i="6" s="1"/>
  <c r="AA100" i="6" s="1"/>
  <c r="AJ131" i="21"/>
  <c r="AJ132" i="21" s="1"/>
  <c r="AJ130" i="21" s="1"/>
  <c r="AC41" i="21"/>
  <c r="AC42" i="21" s="1"/>
  <c r="AC40" i="21" s="1"/>
  <c r="P193" i="6"/>
  <c r="Q192" i="6" s="1"/>
  <c r="AL152" i="21"/>
  <c r="AL150" i="21" s="1"/>
  <c r="AM151" i="21" s="1"/>
  <c r="AM141" i="21"/>
  <c r="AM142" i="21" s="1"/>
  <c r="AM140" i="21" s="1"/>
  <c r="R22" i="28"/>
  <c r="S28" i="28"/>
  <c r="S4" i="28" s="1"/>
  <c r="S26" i="28"/>
  <c r="AN168" i="21"/>
  <c r="AN167" i="21" s="1"/>
  <c r="AN165" i="21" s="1"/>
  <c r="AM127" i="28"/>
  <c r="AM125" i="28" s="1"/>
  <c r="AN126" i="28" s="1"/>
  <c r="AO178" i="21"/>
  <c r="AO176" i="21"/>
  <c r="AQ193" i="21"/>
  <c r="AQ192" i="21" s="1"/>
  <c r="AQ190" i="21" s="1"/>
  <c r="AE66" i="21"/>
  <c r="AE68" i="21"/>
  <c r="AO148" i="21"/>
  <c r="AO147" i="21" s="1"/>
  <c r="AO145" i="21" s="1"/>
  <c r="AI78" i="28"/>
  <c r="AI77" i="28" s="1"/>
  <c r="AI75" i="28" s="1"/>
  <c r="AL127" i="21"/>
  <c r="AL125" i="21" s="1"/>
  <c r="AM128" i="21" s="1"/>
  <c r="AG53" i="28"/>
  <c r="AG52" i="28" s="1"/>
  <c r="AG50" i="28" s="1"/>
  <c r="AH53" i="28" s="1"/>
  <c r="AD57" i="21"/>
  <c r="AD55" i="21" s="1"/>
  <c r="T275" i="21"/>
  <c r="T25" i="21"/>
  <c r="AR216" i="28"/>
  <c r="AR217" i="28" s="1"/>
  <c r="AR215" i="28" s="1"/>
  <c r="AM136" i="21"/>
  <c r="AM137" i="21" s="1"/>
  <c r="AM135" i="21" s="1"/>
  <c r="AN138" i="21" s="1"/>
  <c r="AD48" i="21"/>
  <c r="AD47" i="21" s="1"/>
  <c r="AD45" i="21" s="1"/>
  <c r="AG62" i="21"/>
  <c r="AG60" i="21" s="1"/>
  <c r="AH61" i="21" s="1"/>
  <c r="AO187" i="21"/>
  <c r="AO185" i="21" s="1"/>
  <c r="AP186" i="21" s="1"/>
  <c r="AN172" i="21"/>
  <c r="AN170" i="21" s="1"/>
  <c r="AO171" i="21" s="1"/>
  <c r="AN162" i="21"/>
  <c r="AN160" i="21" s="1"/>
  <c r="AO161" i="21" s="1"/>
  <c r="G271" i="6"/>
  <c r="H268" i="6" s="1"/>
  <c r="AE64" i="6"/>
  <c r="AE67" i="6" s="1"/>
  <c r="AM146" i="28"/>
  <c r="AM147" i="28" s="1"/>
  <c r="AM145" i="28" s="1"/>
  <c r="AN146" i="28" s="1"/>
  <c r="AR206" i="28"/>
  <c r="AR207" i="28" s="1"/>
  <c r="AR205" i="28" s="1"/>
  <c r="J235" i="6"/>
  <c r="AI38" i="28"/>
  <c r="AI37" i="28" s="1"/>
  <c r="AI35" i="28" s="1"/>
  <c r="M216" i="6"/>
  <c r="M214" i="6"/>
  <c r="AI102" i="28"/>
  <c r="AI100" i="28" s="1"/>
  <c r="S163" i="6"/>
  <c r="T160" i="6" s="1"/>
  <c r="AP177" i="28"/>
  <c r="AP175" i="28" s="1"/>
  <c r="AQ176" i="28" s="1"/>
  <c r="AK118" i="28"/>
  <c r="AK117" i="28" s="1"/>
  <c r="AK115" i="28" s="1"/>
  <c r="U145" i="6"/>
  <c r="V144" i="6" s="1"/>
  <c r="M205" i="6"/>
  <c r="N202" i="6" s="1"/>
  <c r="AG56" i="28"/>
  <c r="AG57" i="28" s="1"/>
  <c r="AG55" i="28" s="1"/>
  <c r="AH56" i="28" s="1"/>
  <c r="H253" i="6"/>
  <c r="AH30" i="6"/>
  <c r="AH31" i="6" s="1"/>
  <c r="AI28" i="6" s="1"/>
  <c r="AM167" i="28"/>
  <c r="AM165" i="28" s="1"/>
  <c r="AN168" i="28" s="1"/>
  <c r="AL82" i="28"/>
  <c r="AL80" i="28" s="1"/>
  <c r="AC85" i="6"/>
  <c r="AD82" i="6" s="1"/>
  <c r="AW24" i="1"/>
  <c r="AW45" i="1" s="1"/>
  <c r="J229" i="6"/>
  <c r="K226" i="6" s="1"/>
  <c r="L211" i="6"/>
  <c r="M210" i="6" s="1"/>
  <c r="AF47" i="28"/>
  <c r="AF45" i="28" s="1"/>
  <c r="AI73" i="28"/>
  <c r="AI72" i="28" s="1"/>
  <c r="AI70" i="28" s="1"/>
  <c r="AR222" i="28"/>
  <c r="AR220" i="28" s="1"/>
  <c r="AS221" i="28" s="1"/>
  <c r="AN157" i="28"/>
  <c r="AN155" i="28" s="1"/>
  <c r="AL122" i="28"/>
  <c r="AL120" i="28" s="1"/>
  <c r="AM121" i="28" s="1"/>
  <c r="AO182" i="28"/>
  <c r="AO180" i="28" s="1"/>
  <c r="AS9" i="25"/>
  <c r="AV45" i="1"/>
  <c r="AV42" i="1"/>
  <c r="AY16" i="1"/>
  <c r="AY11" i="25"/>
  <c r="AY1" i="1"/>
  <c r="AY1" i="25"/>
  <c r="AY1" i="24"/>
  <c r="AX1" i="6"/>
  <c r="AX1" i="28"/>
  <c r="AX1" i="21"/>
  <c r="AM116" i="21"/>
  <c r="AM118" i="21"/>
  <c r="AU18" i="21"/>
  <c r="AU19" i="21" s="1"/>
  <c r="AV10" i="25"/>
  <c r="AJ91" i="21"/>
  <c r="AJ93" i="21"/>
  <c r="F286" i="6"/>
  <c r="F288" i="6"/>
  <c r="AA91" i="6"/>
  <c r="AJ91" i="28"/>
  <c r="AJ93" i="28"/>
  <c r="AT235" i="21"/>
  <c r="AU139" i="1"/>
  <c r="AU37" i="25" s="1"/>
  <c r="AT20" i="21"/>
  <c r="AQ198" i="21"/>
  <c r="AQ196" i="21"/>
  <c r="AL111" i="28"/>
  <c r="AL113" i="28"/>
  <c r="AQ202" i="21"/>
  <c r="AQ200" i="21" s="1"/>
  <c r="AL107" i="28"/>
  <c r="AL105" i="28" s="1"/>
  <c r="AX35" i="1"/>
  <c r="AX34" i="1" s="1"/>
  <c r="AX33" i="1" s="1"/>
  <c r="AX32" i="1" s="1"/>
  <c r="AX31" i="1" s="1"/>
  <c r="AX30" i="1" s="1"/>
  <c r="AX29" i="1" s="1"/>
  <c r="AX28" i="1"/>
  <c r="P196" i="6"/>
  <c r="P198" i="6"/>
  <c r="AY10" i="24"/>
  <c r="AZ8" i="1" s="1"/>
  <c r="AZ6" i="1" s="1"/>
  <c r="AY18" i="24"/>
  <c r="AY6" i="6" s="1"/>
  <c r="AY4" i="6" s="1"/>
  <c r="AZ9" i="24"/>
  <c r="AY21" i="24"/>
  <c r="AY8" i="6" s="1"/>
  <c r="AY9" i="6" s="1"/>
  <c r="AY15" i="24"/>
  <c r="AZ10" i="1" s="1"/>
  <c r="AX84" i="1"/>
  <c r="AS68" i="1"/>
  <c r="AG71" i="21"/>
  <c r="AG73" i="21"/>
  <c r="AF36" i="6"/>
  <c r="AF34" i="6"/>
  <c r="AQ186" i="28"/>
  <c r="AQ188" i="28"/>
  <c r="P172" i="6"/>
  <c r="P174" i="6"/>
  <c r="AP192" i="28"/>
  <c r="AP190" i="28" s="1"/>
  <c r="AR9" i="25"/>
  <c r="AH25" i="6"/>
  <c r="AX17" i="1"/>
  <c r="AX20" i="1" s="1"/>
  <c r="AW13" i="21"/>
  <c r="AW12" i="21" s="1"/>
  <c r="AX110" i="1"/>
  <c r="CA68" i="9"/>
  <c r="AW13" i="28"/>
  <c r="AW12" i="28" s="1"/>
  <c r="AW293" i="6"/>
  <c r="E294" i="6" s="1"/>
  <c r="E295" i="6" s="1"/>
  <c r="AW5" i="6"/>
  <c r="AX4" i="6"/>
  <c r="AF51" i="21"/>
  <c r="AF53" i="21"/>
  <c r="AT20" i="28"/>
  <c r="AT235" i="28"/>
  <c r="U138" i="6"/>
  <c r="U136" i="6"/>
  <c r="AR213" i="21"/>
  <c r="AR211" i="21"/>
  <c r="AT65" i="1"/>
  <c r="AT66" i="1" s="1"/>
  <c r="AT63" i="1"/>
  <c r="AR216" i="21"/>
  <c r="AR218" i="21"/>
  <c r="AR211" i="28"/>
  <c r="AR213" i="28"/>
  <c r="AQ201" i="28"/>
  <c r="AQ203" i="28"/>
  <c r="AR222" i="21"/>
  <c r="AR220" i="21" s="1"/>
  <c r="AD58" i="6"/>
  <c r="AD60" i="6"/>
  <c r="AY18" i="1"/>
  <c r="AY12" i="1"/>
  <c r="AY12" i="25" s="1"/>
  <c r="AY115" i="1"/>
  <c r="AY73" i="1"/>
  <c r="AY93" i="1"/>
  <c r="AY95" i="1" s="1"/>
  <c r="AY5" i="25"/>
  <c r="AY27" i="1"/>
  <c r="AS228" i="28"/>
  <c r="AS226" i="28"/>
  <c r="C226" i="28"/>
  <c r="AJ76" i="21"/>
  <c r="AJ78" i="21"/>
  <c r="G264" i="6"/>
  <c r="G262" i="6"/>
  <c r="AG86" i="21"/>
  <c r="AG88" i="21"/>
  <c r="K240" i="6"/>
  <c r="K238" i="6"/>
  <c r="AK98" i="28"/>
  <c r="AK96" i="28"/>
  <c r="AE78" i="6"/>
  <c r="AE76" i="6"/>
  <c r="AX116" i="1"/>
  <c r="AW37" i="1"/>
  <c r="AW39" i="1"/>
  <c r="AW40" i="1" s="1"/>
  <c r="AH106" i="21"/>
  <c r="AH108" i="21"/>
  <c r="L222" i="6"/>
  <c r="L220" i="6"/>
  <c r="AF68" i="28"/>
  <c r="AF66" i="28"/>
  <c r="AI61" i="28"/>
  <c r="AI63" i="28"/>
  <c r="AP138" i="28"/>
  <c r="AP136" i="28"/>
  <c r="AC70" i="6"/>
  <c r="AC72" i="6"/>
  <c r="W112" i="6"/>
  <c r="W114" i="6"/>
  <c r="AX124" i="1"/>
  <c r="AX7" i="25"/>
  <c r="AX25" i="25"/>
  <c r="F282" i="6"/>
  <c r="F280" i="6"/>
  <c r="X106" i="6"/>
  <c r="X108" i="6"/>
  <c r="AP197" i="28"/>
  <c r="AP195" i="28" s="1"/>
  <c r="W127" i="6"/>
  <c r="AH102" i="21"/>
  <c r="AH100" i="21" s="1"/>
  <c r="O187" i="6"/>
  <c r="AD46" i="6"/>
  <c r="AD48" i="6"/>
  <c r="G276" i="6"/>
  <c r="G274" i="6"/>
  <c r="AU46" i="1"/>
  <c r="AU62" i="1"/>
  <c r="AU61" i="1" s="1"/>
  <c r="AU60" i="1" s="1"/>
  <c r="AU59" i="1" s="1"/>
  <c r="AU58" i="1" s="1"/>
  <c r="AU57" i="1" s="1"/>
  <c r="AU56" i="1" s="1"/>
  <c r="AU55" i="1" s="1"/>
  <c r="AU54" i="1" s="1"/>
  <c r="AU53" i="1" s="1"/>
  <c r="AU52" i="1" s="1"/>
  <c r="AU51" i="1" s="1"/>
  <c r="AU50" i="1" s="1"/>
  <c r="AU49" i="1" s="1"/>
  <c r="AU48" i="1" s="1"/>
  <c r="AU47" i="1" s="1"/>
  <c r="AS230" i="21"/>
  <c r="AT139" i="1"/>
  <c r="AT37" i="25" s="1"/>
  <c r="AS20" i="21"/>
  <c r="AU18" i="28"/>
  <c r="AU19" i="28" s="1"/>
  <c r="AD32" i="21"/>
  <c r="AD30" i="21" s="1"/>
  <c r="H318" i="6"/>
  <c r="H316" i="6"/>
  <c r="AU155" i="1"/>
  <c r="AU140" i="1" s="1"/>
  <c r="AU141" i="1" s="1"/>
  <c r="AU159" i="1"/>
  <c r="AJ96" i="21"/>
  <c r="AJ98" i="21"/>
  <c r="AF54" i="6"/>
  <c r="AF52" i="6"/>
  <c r="U154" i="6"/>
  <c r="U156" i="6"/>
  <c r="AS230" i="28"/>
  <c r="AS20" i="28"/>
  <c r="V94" i="6"/>
  <c r="V96" i="6"/>
  <c r="AL152" i="28"/>
  <c r="AL150" i="28" s="1"/>
  <c r="AJ83" i="21"/>
  <c r="AJ81" i="21"/>
  <c r="H259" i="6"/>
  <c r="AN158" i="21"/>
  <c r="AN156" i="21"/>
  <c r="T151" i="6"/>
  <c r="I247" i="6"/>
  <c r="AS226" i="21"/>
  <c r="AS228" i="21"/>
  <c r="C226" i="21"/>
  <c r="AM142" i="28"/>
  <c r="AM140" i="28" s="1"/>
  <c r="AD43" i="6"/>
  <c r="AL132" i="28"/>
  <c r="AL130" i="28" s="1"/>
  <c r="AT155" i="1"/>
  <c r="AT140" i="1" s="1"/>
  <c r="AT141" i="1" s="1"/>
  <c r="AT159" i="1"/>
  <c r="R181" i="6" l="1"/>
  <c r="H270" i="6"/>
  <c r="W133" i="6"/>
  <c r="X130" i="6" s="1"/>
  <c r="AJ88" i="28"/>
  <c r="AJ87" i="28" s="1"/>
  <c r="AJ85" i="28" s="1"/>
  <c r="AK88" i="28" s="1"/>
  <c r="H319" i="6"/>
  <c r="I316" i="6" s="1"/>
  <c r="M217" i="6"/>
  <c r="N214" i="6" s="1"/>
  <c r="T162" i="6"/>
  <c r="T163" i="6" s="1"/>
  <c r="U162" i="6" s="1"/>
  <c r="AO163" i="21"/>
  <c r="L223" i="6"/>
  <c r="M222" i="6" s="1"/>
  <c r="AD84" i="6"/>
  <c r="AD85" i="6" s="1"/>
  <c r="AE84" i="6" s="1"/>
  <c r="Q190" i="6"/>
  <c r="Q193" i="6" s="1"/>
  <c r="R190" i="6" s="1"/>
  <c r="AW45" i="25"/>
  <c r="AV17" i="28"/>
  <c r="AV18" i="28" s="1"/>
  <c r="AV19" i="28" s="1"/>
  <c r="AV17" i="21"/>
  <c r="AR208" i="21"/>
  <c r="AR207" i="21" s="1"/>
  <c r="AR205" i="21" s="1"/>
  <c r="AR181" i="21"/>
  <c r="AR183" i="21"/>
  <c r="AG41" i="28"/>
  <c r="AG42" i="28" s="1"/>
  <c r="AG40" i="28" s="1"/>
  <c r="AJ33" i="28"/>
  <c r="AJ32" i="28" s="1"/>
  <c r="AJ30" i="28" s="1"/>
  <c r="AK31" i="28" s="1"/>
  <c r="AL121" i="21"/>
  <c r="AL122" i="21" s="1"/>
  <c r="AL120" i="21" s="1"/>
  <c r="AM121" i="21" s="1"/>
  <c r="AO173" i="21"/>
  <c r="AO172" i="21" s="1"/>
  <c r="AO170" i="21" s="1"/>
  <c r="AR212" i="21"/>
  <c r="AR210" i="21" s="1"/>
  <c r="AS211" i="21" s="1"/>
  <c r="S27" i="28"/>
  <c r="AM153" i="21"/>
  <c r="AO166" i="21"/>
  <c r="AO168" i="21"/>
  <c r="AN161" i="28"/>
  <c r="AN162" i="28" s="1"/>
  <c r="AN160" i="28" s="1"/>
  <c r="AH51" i="28"/>
  <c r="AH52" i="28" s="1"/>
  <c r="AH50" i="28" s="1"/>
  <c r="Z120" i="6"/>
  <c r="Z121" i="6" s="1"/>
  <c r="AN157" i="21"/>
  <c r="AN155" i="21" s="1"/>
  <c r="AO156" i="21" s="1"/>
  <c r="AO177" i="21"/>
  <c r="AO175" i="21" s="1"/>
  <c r="AP176" i="21" s="1"/>
  <c r="AH63" i="21"/>
  <c r="AH62" i="21" s="1"/>
  <c r="AH60" i="21" s="1"/>
  <c r="AN128" i="28"/>
  <c r="AN127" i="28" s="1"/>
  <c r="AN125" i="28" s="1"/>
  <c r="AO126" i="28" s="1"/>
  <c r="X132" i="6"/>
  <c r="X133" i="6" s="1"/>
  <c r="AR193" i="21"/>
  <c r="AR191" i="21"/>
  <c r="AG87" i="21"/>
  <c r="AG85" i="21" s="1"/>
  <c r="AH86" i="21" s="1"/>
  <c r="AP188" i="21"/>
  <c r="AP187" i="21" s="1"/>
  <c r="AP185" i="21" s="1"/>
  <c r="AJ78" i="28"/>
  <c r="AJ76" i="28"/>
  <c r="AQ178" i="28"/>
  <c r="AQ177" i="28" s="1"/>
  <c r="AQ175" i="28" s="1"/>
  <c r="AN148" i="28"/>
  <c r="AN147" i="28" s="1"/>
  <c r="AN145" i="28" s="1"/>
  <c r="AN136" i="21"/>
  <c r="AN137" i="21" s="1"/>
  <c r="AN135" i="21" s="1"/>
  <c r="AO136" i="21" s="1"/>
  <c r="AE56" i="21"/>
  <c r="AE58" i="21"/>
  <c r="AR182" i="21"/>
  <c r="AR180" i="21" s="1"/>
  <c r="AS181" i="21" s="1"/>
  <c r="AN166" i="28"/>
  <c r="AN167" i="28" s="1"/>
  <c r="AN165" i="28" s="1"/>
  <c r="AO168" i="28" s="1"/>
  <c r="AM126" i="21"/>
  <c r="AM127" i="21" s="1"/>
  <c r="AM125" i="21" s="1"/>
  <c r="AR217" i="21"/>
  <c r="AR215" i="21" s="1"/>
  <c r="AH107" i="21"/>
  <c r="AH105" i="21" s="1"/>
  <c r="AI108" i="21" s="1"/>
  <c r="U26" i="21"/>
  <c r="T22" i="21"/>
  <c r="U28" i="21"/>
  <c r="U4" i="21" s="1"/>
  <c r="V74" i="1" s="1"/>
  <c r="AE67" i="21"/>
  <c r="AE65" i="21" s="1"/>
  <c r="AS227" i="21"/>
  <c r="AS225" i="21" s="1"/>
  <c r="AT226" i="21" s="1"/>
  <c r="AS223" i="28"/>
  <c r="AS222" i="28" s="1"/>
  <c r="AS220" i="28" s="1"/>
  <c r="U143" i="1"/>
  <c r="U14" i="25"/>
  <c r="K232" i="6"/>
  <c r="K234" i="6"/>
  <c r="N204" i="6"/>
  <c r="N205" i="6" s="1"/>
  <c r="O202" i="6" s="1"/>
  <c r="AJ103" i="28"/>
  <c r="AJ101" i="28"/>
  <c r="AD61" i="6"/>
  <c r="AE58" i="6" s="1"/>
  <c r="M208" i="6"/>
  <c r="M211" i="6" s="1"/>
  <c r="V142" i="6"/>
  <c r="V145" i="6" s="1"/>
  <c r="AS227" i="28"/>
  <c r="AS225" i="28" s="1"/>
  <c r="AT226" i="28" s="1"/>
  <c r="H271" i="6"/>
  <c r="I268" i="6" s="1"/>
  <c r="AW42" i="1"/>
  <c r="AA102" i="6"/>
  <c r="AA103" i="6" s="1"/>
  <c r="AE79" i="6"/>
  <c r="AF78" i="6" s="1"/>
  <c r="AJ38" i="28"/>
  <c r="AJ36" i="28"/>
  <c r="AH58" i="28"/>
  <c r="AH57" i="28" s="1"/>
  <c r="AH55" i="28" s="1"/>
  <c r="AM123" i="28"/>
  <c r="AM122" i="28" s="1"/>
  <c r="AM120" i="28" s="1"/>
  <c r="I252" i="6"/>
  <c r="I250" i="6"/>
  <c r="G277" i="6"/>
  <c r="H276" i="6" s="1"/>
  <c r="AM81" i="28"/>
  <c r="AM83" i="28"/>
  <c r="AG46" i="28"/>
  <c r="AK97" i="28"/>
  <c r="AK95" i="28" s="1"/>
  <c r="AL98" i="28" s="1"/>
  <c r="AG48" i="28"/>
  <c r="AJ71" i="28"/>
  <c r="AJ73" i="28"/>
  <c r="F289" i="6"/>
  <c r="G288" i="6" s="1"/>
  <c r="U157" i="6"/>
  <c r="V154" i="6" s="1"/>
  <c r="AR212" i="28"/>
  <c r="AR210" i="28" s="1"/>
  <c r="AS211" i="28" s="1"/>
  <c r="AO173" i="28"/>
  <c r="AO172" i="28" s="1"/>
  <c r="AO170" i="28" s="1"/>
  <c r="AP173" i="28" s="1"/>
  <c r="X109" i="6"/>
  <c r="Y106" i="6" s="1"/>
  <c r="AI30" i="6"/>
  <c r="AI31" i="6" s="1"/>
  <c r="G265" i="6"/>
  <c r="H262" i="6" s="1"/>
  <c r="P199" i="6"/>
  <c r="Q196" i="6" s="1"/>
  <c r="AL112" i="28"/>
  <c r="AL110" i="28" s="1"/>
  <c r="AM111" i="28" s="1"/>
  <c r="AP181" i="28"/>
  <c r="AP183" i="28"/>
  <c r="AO158" i="28"/>
  <c r="AO156" i="28"/>
  <c r="K228" i="6"/>
  <c r="K229" i="6" s="1"/>
  <c r="AZ9" i="6"/>
  <c r="J244" i="6"/>
  <c r="J246" i="6"/>
  <c r="AN143" i="21"/>
  <c r="AN141" i="21"/>
  <c r="U150" i="6"/>
  <c r="U148" i="6"/>
  <c r="AT231" i="28"/>
  <c r="AT233" i="28"/>
  <c r="C231" i="28"/>
  <c r="AQ202" i="28"/>
  <c r="AQ200" i="28" s="1"/>
  <c r="AZ18" i="1"/>
  <c r="AZ12" i="1"/>
  <c r="AZ12" i="25" s="1"/>
  <c r="AZ93" i="1"/>
  <c r="AZ95" i="1" s="1"/>
  <c r="AZ115" i="1"/>
  <c r="AZ73" i="1"/>
  <c r="AZ5" i="25"/>
  <c r="AZ27" i="1"/>
  <c r="AV155" i="1"/>
  <c r="AV140" i="1" s="1"/>
  <c r="AV141" i="1" s="1"/>
  <c r="AV159" i="1"/>
  <c r="AT9" i="25"/>
  <c r="AE31" i="21"/>
  <c r="AE33" i="21"/>
  <c r="AI101" i="21"/>
  <c r="AI103" i="21"/>
  <c r="F294" i="6"/>
  <c r="F292" i="6"/>
  <c r="AY84" i="1"/>
  <c r="AK131" i="21"/>
  <c r="AK133" i="21"/>
  <c r="V97" i="6"/>
  <c r="AE46" i="21"/>
  <c r="AE48" i="21"/>
  <c r="AJ97" i="21"/>
  <c r="AJ95" i="21" s="1"/>
  <c r="F283" i="6"/>
  <c r="AC73" i="6"/>
  <c r="AF67" i="28"/>
  <c r="AF65" i="28" s="1"/>
  <c r="AS223" i="21"/>
  <c r="AS221" i="21"/>
  <c r="AU238" i="28"/>
  <c r="AU236" i="28"/>
  <c r="C236" i="28"/>
  <c r="AQ191" i="28"/>
  <c r="AQ193" i="28"/>
  <c r="AW46" i="1"/>
  <c r="AW62" i="1"/>
  <c r="AW61" i="1" s="1"/>
  <c r="AW60" i="1" s="1"/>
  <c r="AW59" i="1" s="1"/>
  <c r="AW58" i="1" s="1"/>
  <c r="AW57" i="1" s="1"/>
  <c r="AW56" i="1" s="1"/>
  <c r="AW55" i="1" s="1"/>
  <c r="AW54" i="1" s="1"/>
  <c r="AW53" i="1" s="1"/>
  <c r="AW52" i="1" s="1"/>
  <c r="AW51" i="1" s="1"/>
  <c r="AW50" i="1" s="1"/>
  <c r="AW49" i="1" s="1"/>
  <c r="AW48" i="1" s="1"/>
  <c r="AW47" i="1" s="1"/>
  <c r="AZ18" i="24"/>
  <c r="AZ6" i="6" s="1"/>
  <c r="AZ4" i="6" s="1"/>
  <c r="AZ15" i="24"/>
  <c r="BA10" i="1" s="1"/>
  <c r="AZ10" i="24"/>
  <c r="BA8" i="1" s="1"/>
  <c r="BA6" i="1" s="1"/>
  <c r="BA9" i="24"/>
  <c r="AZ21" i="24"/>
  <c r="AZ8" i="6" s="1"/>
  <c r="AQ197" i="21"/>
  <c r="AQ195" i="21" s="1"/>
  <c r="AJ92" i="21"/>
  <c r="AJ90" i="21" s="1"/>
  <c r="AY116" i="1"/>
  <c r="AO162" i="21"/>
  <c r="AO160" i="21" s="1"/>
  <c r="AV18" i="21"/>
  <c r="AW10" i="25"/>
  <c r="AP146" i="21"/>
  <c r="AP148" i="21"/>
  <c r="AD43" i="21"/>
  <c r="AD41" i="21"/>
  <c r="P175" i="6"/>
  <c r="AG72" i="21"/>
  <c r="AG70" i="21" s="1"/>
  <c r="S178" i="6"/>
  <c r="S180" i="6"/>
  <c r="AM152" i="21"/>
  <c r="AM150" i="21" s="1"/>
  <c r="AN141" i="28"/>
  <c r="AN143" i="28"/>
  <c r="AI62" i="28"/>
  <c r="AI60" i="28" s="1"/>
  <c r="AL111" i="21"/>
  <c r="AL113" i="21"/>
  <c r="AJ82" i="21"/>
  <c r="AJ80" i="21" s="1"/>
  <c r="AF55" i="6"/>
  <c r="AD49" i="6"/>
  <c r="AP137" i="28"/>
  <c r="AP135" i="28" s="1"/>
  <c r="AL118" i="28"/>
  <c r="AL116" i="28"/>
  <c r="K241" i="6"/>
  <c r="AS216" i="28"/>
  <c r="AS218" i="28"/>
  <c r="AT68" i="1"/>
  <c r="U139" i="6"/>
  <c r="AF52" i="21"/>
  <c r="AF50" i="21" s="1"/>
  <c r="AF37" i="6"/>
  <c r="AU238" i="21"/>
  <c r="AU236" i="21"/>
  <c r="C236" i="21"/>
  <c r="AV62" i="1"/>
  <c r="AV61" i="1" s="1"/>
  <c r="AV60" i="1" s="1"/>
  <c r="AV59" i="1" s="1"/>
  <c r="AV58" i="1" s="1"/>
  <c r="AV57" i="1" s="1"/>
  <c r="AV56" i="1" s="1"/>
  <c r="AV55" i="1" s="1"/>
  <c r="AV54" i="1" s="1"/>
  <c r="AV53" i="1" s="1"/>
  <c r="AV52" i="1" s="1"/>
  <c r="AV51" i="1" s="1"/>
  <c r="AV50" i="1" s="1"/>
  <c r="AV49" i="1" s="1"/>
  <c r="AV48" i="1" s="1"/>
  <c r="AV47" i="1" s="1"/>
  <c r="AV46" i="1"/>
  <c r="I256" i="6"/>
  <c r="I258" i="6"/>
  <c r="AU240" i="28"/>
  <c r="AU20" i="28"/>
  <c r="X124" i="6"/>
  <c r="X126" i="6"/>
  <c r="AZ17" i="1"/>
  <c r="AY13" i="21"/>
  <c r="AY12" i="21" s="1"/>
  <c r="AZ110" i="1"/>
  <c r="CC68" i="9"/>
  <c r="AY13" i="28"/>
  <c r="AY12" i="28" s="1"/>
  <c r="AY305" i="6"/>
  <c r="AS206" i="28"/>
  <c r="AS208" i="28"/>
  <c r="AQ196" i="28"/>
  <c r="AQ198" i="28"/>
  <c r="AY35" i="1"/>
  <c r="AY34" i="1" s="1"/>
  <c r="AY33" i="1" s="1"/>
  <c r="AY32" i="1" s="1"/>
  <c r="AY31" i="1" s="1"/>
  <c r="AY30" i="1" s="1"/>
  <c r="AY29" i="1" s="1"/>
  <c r="AY28" i="1"/>
  <c r="AQ187" i="28"/>
  <c r="AQ185" i="28" s="1"/>
  <c r="AV139" i="1"/>
  <c r="AV37" i="25" s="1"/>
  <c r="AU240" i="21"/>
  <c r="AU20" i="21"/>
  <c r="AT233" i="21"/>
  <c r="AT231" i="21"/>
  <c r="C231" i="21"/>
  <c r="AY17" i="1"/>
  <c r="AY20" i="1" s="1"/>
  <c r="AX13" i="21"/>
  <c r="AX12" i="21" s="1"/>
  <c r="AY110" i="1"/>
  <c r="CB68" i="9"/>
  <c r="AX13" i="28"/>
  <c r="AX12" i="28" s="1"/>
  <c r="AX299" i="6"/>
  <c r="AI24" i="6"/>
  <c r="AI22" i="6"/>
  <c r="U166" i="6"/>
  <c r="U168" i="6"/>
  <c r="AZ1" i="1"/>
  <c r="AY1" i="6"/>
  <c r="AZ1" i="24"/>
  <c r="AZ1" i="25"/>
  <c r="AY1" i="21"/>
  <c r="AY1" i="28"/>
  <c r="AM131" i="28"/>
  <c r="AM133" i="28"/>
  <c r="AX37" i="1"/>
  <c r="AX39" i="1"/>
  <c r="AX40" i="1" s="1"/>
  <c r="AE42" i="6"/>
  <c r="AE40" i="6"/>
  <c r="AX117" i="1"/>
  <c r="AX114" i="1" s="1"/>
  <c r="AM108" i="28"/>
  <c r="AM106" i="28"/>
  <c r="AJ92" i="28"/>
  <c r="AJ90" i="28" s="1"/>
  <c r="AY124" i="1"/>
  <c r="AY7" i="25"/>
  <c r="AY25" i="25"/>
  <c r="I270" i="6"/>
  <c r="AR203" i="21"/>
  <c r="AR201" i="21"/>
  <c r="AB90" i="6"/>
  <c r="AB88" i="6"/>
  <c r="AX22" i="1"/>
  <c r="AU9" i="25"/>
  <c r="I318" i="6"/>
  <c r="AM151" i="28"/>
  <c r="AM153" i="28"/>
  <c r="AY7" i="6"/>
  <c r="AU63" i="1"/>
  <c r="AU65" i="1"/>
  <c r="AU66" i="1" s="1"/>
  <c r="P184" i="6"/>
  <c r="P186" i="6"/>
  <c r="W115" i="6"/>
  <c r="AJ77" i="21"/>
  <c r="AJ75" i="21" s="1"/>
  <c r="AF66" i="6"/>
  <c r="AF64" i="6"/>
  <c r="AX5" i="6"/>
  <c r="AY5" i="6" s="1"/>
  <c r="AZ16" i="1"/>
  <c r="AZ11" i="25"/>
  <c r="AF36" i="21"/>
  <c r="AF38" i="21"/>
  <c r="AM117" i="21"/>
  <c r="AM115" i="21" s="1"/>
  <c r="AF76" i="6" l="1"/>
  <c r="N216" i="6"/>
  <c r="N217" i="6" s="1"/>
  <c r="O216" i="6" s="1"/>
  <c r="M220" i="6"/>
  <c r="M223" i="6" s="1"/>
  <c r="AE82" i="6"/>
  <c r="AR192" i="21"/>
  <c r="AR190" i="21" s="1"/>
  <c r="R192" i="6"/>
  <c r="R193" i="6" s="1"/>
  <c r="AO158" i="21"/>
  <c r="AO157" i="21" s="1"/>
  <c r="AO155" i="21" s="1"/>
  <c r="AI106" i="21"/>
  <c r="AI107" i="21" s="1"/>
  <c r="AI105" i="21" s="1"/>
  <c r="AJ106" i="21" s="1"/>
  <c r="AK33" i="28"/>
  <c r="AK32" i="28" s="1"/>
  <c r="AK30" i="28" s="1"/>
  <c r="AL31" i="28" s="1"/>
  <c r="AK86" i="28"/>
  <c r="AK87" i="28" s="1"/>
  <c r="AK85" i="28" s="1"/>
  <c r="AZ116" i="1"/>
  <c r="AS213" i="21"/>
  <c r="AS222" i="21"/>
  <c r="AS220" i="21" s="1"/>
  <c r="AT221" i="21" s="1"/>
  <c r="AT228" i="28"/>
  <c r="AT227" i="28" s="1"/>
  <c r="AT225" i="28" s="1"/>
  <c r="AO167" i="21"/>
  <c r="AO165" i="21" s="1"/>
  <c r="AP166" i="21" s="1"/>
  <c r="AR202" i="21"/>
  <c r="AR200" i="21" s="1"/>
  <c r="AS203" i="21" s="1"/>
  <c r="S275" i="28"/>
  <c r="S25" i="28"/>
  <c r="AH88" i="21"/>
  <c r="AH87" i="21" s="1"/>
  <c r="AH85" i="21" s="1"/>
  <c r="AI88" i="21" s="1"/>
  <c r="AP178" i="21"/>
  <c r="AP177" i="21" s="1"/>
  <c r="AP175" i="21" s="1"/>
  <c r="AQ176" i="21" s="1"/>
  <c r="AO166" i="28"/>
  <c r="AO167" i="28" s="1"/>
  <c r="AO165" i="28" s="1"/>
  <c r="AT228" i="21"/>
  <c r="AT227" i="21" s="1"/>
  <c r="AT225" i="21" s="1"/>
  <c r="AU226" i="21" s="1"/>
  <c r="AO128" i="28"/>
  <c r="AO127" i="28" s="1"/>
  <c r="AO125" i="28" s="1"/>
  <c r="AP126" i="28" s="1"/>
  <c r="AO157" i="28"/>
  <c r="AO155" i="28" s="1"/>
  <c r="AP156" i="28" s="1"/>
  <c r="AJ102" i="28"/>
  <c r="AJ100" i="28" s="1"/>
  <c r="AK101" i="28" s="1"/>
  <c r="G286" i="6"/>
  <c r="K235" i="6"/>
  <c r="AS183" i="21"/>
  <c r="AS182" i="21" s="1"/>
  <c r="AS180" i="21" s="1"/>
  <c r="O214" i="6"/>
  <c r="O217" i="6" s="1"/>
  <c r="P214" i="6" s="1"/>
  <c r="AE60" i="6"/>
  <c r="AE61" i="6" s="1"/>
  <c r="AN142" i="21"/>
  <c r="AN140" i="21" s="1"/>
  <c r="AO141" i="21" s="1"/>
  <c r="AQ186" i="21"/>
  <c r="AQ188" i="21"/>
  <c r="AJ72" i="28"/>
  <c r="AJ70" i="28" s="1"/>
  <c r="AK71" i="28" s="1"/>
  <c r="AJ77" i="28"/>
  <c r="AJ75" i="28" s="1"/>
  <c r="AM123" i="21"/>
  <c r="AM122" i="21" s="1"/>
  <c r="AM120" i="21" s="1"/>
  <c r="AU237" i="21"/>
  <c r="AU235" i="21" s="1"/>
  <c r="AV238" i="21" s="1"/>
  <c r="AF37" i="21"/>
  <c r="AF35" i="21" s="1"/>
  <c r="AG38" i="21" s="1"/>
  <c r="AO146" i="28"/>
  <c r="AO148" i="28"/>
  <c r="AS216" i="21"/>
  <c r="AO138" i="21"/>
  <c r="AO137" i="21" s="1"/>
  <c r="AO135" i="21" s="1"/>
  <c r="AE57" i="21"/>
  <c r="AE55" i="21" s="1"/>
  <c r="AK132" i="21"/>
  <c r="AK130" i="21" s="1"/>
  <c r="AL131" i="21" s="1"/>
  <c r="V13" i="25"/>
  <c r="V39" i="25"/>
  <c r="V27" i="25"/>
  <c r="V40" i="25" s="1"/>
  <c r="V144" i="1"/>
  <c r="AF66" i="21"/>
  <c r="AF68" i="21"/>
  <c r="AS218" i="21"/>
  <c r="U142" i="1"/>
  <c r="U38" i="25"/>
  <c r="U36" i="25" s="1"/>
  <c r="U48" i="25" s="1"/>
  <c r="U27" i="21"/>
  <c r="W144" i="6"/>
  <c r="W142" i="6"/>
  <c r="W145" i="6" s="1"/>
  <c r="X142" i="6" s="1"/>
  <c r="AQ197" i="28"/>
  <c r="AQ195" i="28" s="1"/>
  <c r="AR198" i="28" s="1"/>
  <c r="AJ37" i="28"/>
  <c r="AJ35" i="28" s="1"/>
  <c r="AK36" i="28" s="1"/>
  <c r="L232" i="6"/>
  <c r="L234" i="6"/>
  <c r="AL96" i="28"/>
  <c r="AL97" i="28" s="1"/>
  <c r="AL95" i="28" s="1"/>
  <c r="AB102" i="6"/>
  <c r="AB100" i="6"/>
  <c r="G289" i="6"/>
  <c r="H288" i="6" s="1"/>
  <c r="O204" i="6"/>
  <c r="O205" i="6" s="1"/>
  <c r="Y108" i="6"/>
  <c r="Y109" i="6" s="1"/>
  <c r="H274" i="6"/>
  <c r="H277" i="6" s="1"/>
  <c r="AS213" i="28"/>
  <c r="AS212" i="28" s="1"/>
  <c r="AS210" i="28" s="1"/>
  <c r="AI56" i="28"/>
  <c r="AI58" i="28"/>
  <c r="AG47" i="28"/>
  <c r="AG45" i="28" s="1"/>
  <c r="I253" i="6"/>
  <c r="AM82" i="28"/>
  <c r="AM80" i="28" s="1"/>
  <c r="AP171" i="28"/>
  <c r="AP172" i="28" s="1"/>
  <c r="AP170" i="28" s="1"/>
  <c r="F295" i="6"/>
  <c r="G294" i="6" s="1"/>
  <c r="L228" i="6"/>
  <c r="L226" i="6"/>
  <c r="V156" i="6"/>
  <c r="V157" i="6" s="1"/>
  <c r="Q198" i="6"/>
  <c r="Q199" i="6" s="1"/>
  <c r="AZ20" i="1"/>
  <c r="AZ22" i="1" s="1"/>
  <c r="H264" i="6"/>
  <c r="H265" i="6" s="1"/>
  <c r="U160" i="6"/>
  <c r="U163" i="6" s="1"/>
  <c r="V162" i="6" s="1"/>
  <c r="AN142" i="28"/>
  <c r="AN140" i="28" s="1"/>
  <c r="AO141" i="28" s="1"/>
  <c r="AL117" i="28"/>
  <c r="AL115" i="28" s="1"/>
  <c r="AM118" i="28" s="1"/>
  <c r="AM113" i="28"/>
  <c r="AM112" i="28" s="1"/>
  <c r="AM110" i="28" s="1"/>
  <c r="AP182" i="28"/>
  <c r="AP180" i="28" s="1"/>
  <c r="AB91" i="6"/>
  <c r="AC90" i="6" s="1"/>
  <c r="AV9" i="25"/>
  <c r="AT221" i="28"/>
  <c r="AT223" i="28"/>
  <c r="AV63" i="1"/>
  <c r="AV65" i="1"/>
  <c r="AV66" i="1" s="1"/>
  <c r="AK76" i="21"/>
  <c r="AK78" i="21"/>
  <c r="U169" i="6"/>
  <c r="AI51" i="28"/>
  <c r="AI53" i="28"/>
  <c r="AE46" i="6"/>
  <c r="AE48" i="6"/>
  <c r="AJ63" i="28"/>
  <c r="AJ61" i="28"/>
  <c r="Q172" i="6"/>
  <c r="Q174" i="6"/>
  <c r="AW139" i="1"/>
  <c r="AW37" i="25" s="1"/>
  <c r="AV245" i="21"/>
  <c r="BA17" i="1"/>
  <c r="AZ13" i="21"/>
  <c r="AZ12" i="21" s="1"/>
  <c r="BA110" i="1"/>
  <c r="CD68" i="9"/>
  <c r="AZ13" i="28"/>
  <c r="AZ12" i="28" s="1"/>
  <c r="AZ311" i="6"/>
  <c r="AG68" i="28"/>
  <c r="AG66" i="28"/>
  <c r="AK96" i="21"/>
  <c r="AK98" i="21"/>
  <c r="AF67" i="6"/>
  <c r="AZ7" i="6"/>
  <c r="I271" i="6"/>
  <c r="AM107" i="28"/>
  <c r="AM105" i="28" s="1"/>
  <c r="E300" i="6"/>
  <c r="I259" i="6"/>
  <c r="AV19" i="21"/>
  <c r="AV20" i="21" s="1"/>
  <c r="AW63" i="1"/>
  <c r="AW65" i="1"/>
  <c r="AW66" i="1" s="1"/>
  <c r="Y130" i="6"/>
  <c r="Y132" i="6"/>
  <c r="AV20" i="28"/>
  <c r="AV245" i="28"/>
  <c r="AE32" i="21"/>
  <c r="AE30" i="21" s="1"/>
  <c r="AZ28" i="1"/>
  <c r="AZ35" i="1"/>
  <c r="AZ34" i="1" s="1"/>
  <c r="AZ33" i="1" s="1"/>
  <c r="AZ32" i="1" s="1"/>
  <c r="AZ31" i="1" s="1"/>
  <c r="AZ30" i="1" s="1"/>
  <c r="AZ29" i="1" s="1"/>
  <c r="AR201" i="28"/>
  <c r="AR203" i="28"/>
  <c r="BA1" i="1"/>
  <c r="BA1" i="24"/>
  <c r="AZ1" i="6"/>
  <c r="AZ1" i="28"/>
  <c r="AZ1" i="21"/>
  <c r="BA1" i="25"/>
  <c r="N222" i="6"/>
  <c r="N220" i="6"/>
  <c r="N223" i="6" s="1"/>
  <c r="AP163" i="21"/>
  <c r="AP161" i="21"/>
  <c r="G282" i="6"/>
  <c r="G280" i="6"/>
  <c r="AO143" i="21"/>
  <c r="AN121" i="28"/>
  <c r="AN123" i="28"/>
  <c r="X112" i="6"/>
  <c r="X114" i="6"/>
  <c r="AX122" i="1"/>
  <c r="AW17" i="21"/>
  <c r="AX45" i="25"/>
  <c r="AW17" i="28"/>
  <c r="AS217" i="28"/>
  <c r="AS215" i="28" s="1"/>
  <c r="AP147" i="21"/>
  <c r="AP145" i="21" s="1"/>
  <c r="AS212" i="21"/>
  <c r="AS210" i="21" s="1"/>
  <c r="AJ30" i="6"/>
  <c r="AJ28" i="6"/>
  <c r="AZ84" i="1"/>
  <c r="AS206" i="21"/>
  <c r="AS208" i="21"/>
  <c r="X127" i="6"/>
  <c r="V138" i="6"/>
  <c r="V136" i="6"/>
  <c r="AQ136" i="28"/>
  <c r="AQ138" i="28"/>
  <c r="AL112" i="21"/>
  <c r="AL110" i="21" s="1"/>
  <c r="AI61" i="21"/>
  <c r="AI63" i="21"/>
  <c r="BA10" i="24"/>
  <c r="BB8" i="1" s="1"/>
  <c r="BB6" i="1" s="1"/>
  <c r="BA18" i="24"/>
  <c r="BA6" i="6" s="1"/>
  <c r="BA4" i="6" s="1"/>
  <c r="BA21" i="24"/>
  <c r="BA8" i="6" s="1"/>
  <c r="BA9" i="6" s="1"/>
  <c r="BA15" i="24"/>
  <c r="BB10" i="1" s="1"/>
  <c r="W94" i="6"/>
  <c r="W96" i="6"/>
  <c r="AT232" i="28"/>
  <c r="AT230" i="28" s="1"/>
  <c r="AV243" i="21"/>
  <c r="AV241" i="21"/>
  <c r="C241" i="21"/>
  <c r="AG52" i="6"/>
  <c r="AG54" i="6"/>
  <c r="E306" i="6"/>
  <c r="E307" i="6" s="1"/>
  <c r="AN126" i="21"/>
  <c r="AN128" i="21"/>
  <c r="AG36" i="6"/>
  <c r="AG34" i="6"/>
  <c r="AS191" i="21"/>
  <c r="AS193" i="21"/>
  <c r="AH43" i="28"/>
  <c r="AH41" i="28"/>
  <c r="AM152" i="28"/>
  <c r="AM150" i="28" s="1"/>
  <c r="AG51" i="21"/>
  <c r="AG53" i="21"/>
  <c r="AK83" i="21"/>
  <c r="AK81" i="21"/>
  <c r="AN151" i="21"/>
  <c r="AN153" i="21"/>
  <c r="N210" i="6"/>
  <c r="N208" i="6"/>
  <c r="AR176" i="28"/>
  <c r="AR178" i="28"/>
  <c r="AN116" i="21"/>
  <c r="AN118" i="21"/>
  <c r="AZ124" i="1"/>
  <c r="AZ7" i="25"/>
  <c r="AZ25" i="25"/>
  <c r="P187" i="6"/>
  <c r="AX24" i="1"/>
  <c r="AY22" i="1"/>
  <c r="AY24" i="1" s="1"/>
  <c r="AR188" i="28"/>
  <c r="AR186" i="28"/>
  <c r="AS207" i="28"/>
  <c r="AS205" i="28" s="1"/>
  <c r="AZ117" i="1"/>
  <c r="L240" i="6"/>
  <c r="L238" i="6"/>
  <c r="S181" i="6"/>
  <c r="AK91" i="21"/>
  <c r="AK93" i="21"/>
  <c r="BA18" i="1"/>
  <c r="BA12" i="1"/>
  <c r="BA12" i="25" s="1"/>
  <c r="BA73" i="1"/>
  <c r="BA93" i="1"/>
  <c r="BA95" i="1" s="1"/>
  <c r="BA115" i="1"/>
  <c r="BA27" i="1"/>
  <c r="BA5" i="25"/>
  <c r="AF79" i="6"/>
  <c r="U151" i="6"/>
  <c r="J247" i="6"/>
  <c r="AD70" i="6"/>
  <c r="AD72" i="6"/>
  <c r="AQ192" i="28"/>
  <c r="AQ190" i="28" s="1"/>
  <c r="AE47" i="21"/>
  <c r="AE45" i="21" s="1"/>
  <c r="AY117" i="1"/>
  <c r="AY114" i="1" s="1"/>
  <c r="AA120" i="6"/>
  <c r="AA118" i="6"/>
  <c r="AZ5" i="6"/>
  <c r="AU68" i="1"/>
  <c r="I319" i="6"/>
  <c r="AK91" i="28"/>
  <c r="AK93" i="28"/>
  <c r="AE43" i="6"/>
  <c r="AM132" i="28"/>
  <c r="AM130" i="28" s="1"/>
  <c r="AE85" i="6"/>
  <c r="AI25" i="6"/>
  <c r="AT232" i="21"/>
  <c r="AT230" i="21" s="1"/>
  <c r="AY37" i="1"/>
  <c r="AY39" i="1"/>
  <c r="AY40" i="1" s="1"/>
  <c r="AV241" i="28"/>
  <c r="C241" i="28"/>
  <c r="AV243" i="28"/>
  <c r="AO161" i="28"/>
  <c r="AO163" i="28"/>
  <c r="AH73" i="21"/>
  <c r="AH71" i="21"/>
  <c r="AD42" i="21"/>
  <c r="AD40" i="21" s="1"/>
  <c r="AR196" i="21"/>
  <c r="AR198" i="21"/>
  <c r="BA16" i="1"/>
  <c r="BA11" i="25"/>
  <c r="AU237" i="28"/>
  <c r="AU235" i="28" s="1"/>
  <c r="AP173" i="21"/>
  <c r="AP171" i="21"/>
  <c r="AI102" i="21"/>
  <c r="AI100" i="21" s="1"/>
  <c r="AL33" i="28" l="1"/>
  <c r="AL32" i="28" s="1"/>
  <c r="AL30" i="28" s="1"/>
  <c r="AB103" i="6"/>
  <c r="S192" i="6"/>
  <c r="S190" i="6"/>
  <c r="S193" i="6" s="1"/>
  <c r="T192" i="6" s="1"/>
  <c r="L241" i="6"/>
  <c r="M240" i="6" s="1"/>
  <c r="AZ114" i="1"/>
  <c r="AY17" i="28" s="1"/>
  <c r="AT223" i="21"/>
  <c r="AT222" i="21" s="1"/>
  <c r="AT220" i="21" s="1"/>
  <c r="AU223" i="21" s="1"/>
  <c r="AK73" i="28"/>
  <c r="AK72" i="28" s="1"/>
  <c r="AK70" i="28" s="1"/>
  <c r="AK103" i="28"/>
  <c r="AK102" i="28" s="1"/>
  <c r="AK100" i="28" s="1"/>
  <c r="AL101" i="28" s="1"/>
  <c r="AO147" i="28"/>
  <c r="AO145" i="28" s="1"/>
  <c r="AP146" i="28" s="1"/>
  <c r="AP168" i="21"/>
  <c r="AP167" i="21" s="1"/>
  <c r="AP165" i="21" s="1"/>
  <c r="AQ166" i="21" s="1"/>
  <c r="AS201" i="21"/>
  <c r="AS202" i="21" s="1"/>
  <c r="AS200" i="21" s="1"/>
  <c r="AG36" i="21"/>
  <c r="AG37" i="21" s="1"/>
  <c r="AG35" i="21" s="1"/>
  <c r="AV236" i="21"/>
  <c r="AV237" i="21" s="1"/>
  <c r="AV235" i="21" s="1"/>
  <c r="AP158" i="28"/>
  <c r="AP157" i="28" s="1"/>
  <c r="AP155" i="28" s="1"/>
  <c r="AQ158" i="28" s="1"/>
  <c r="T26" i="28"/>
  <c r="T28" i="28"/>
  <c r="T4" i="28" s="1"/>
  <c r="S22" i="28"/>
  <c r="AP128" i="28"/>
  <c r="AP127" i="28" s="1"/>
  <c r="AP125" i="28" s="1"/>
  <c r="AQ178" i="21"/>
  <c r="AQ177" i="21" s="1"/>
  <c r="AQ175" i="21" s="1"/>
  <c r="AR176" i="21" s="1"/>
  <c r="AP162" i="21"/>
  <c r="AP160" i="21" s="1"/>
  <c r="AQ161" i="21" s="1"/>
  <c r="AH72" i="21"/>
  <c r="AH70" i="21" s="1"/>
  <c r="AI71" i="21" s="1"/>
  <c r="AH42" i="28"/>
  <c r="AH40" i="28" s="1"/>
  <c r="AI43" i="28" s="1"/>
  <c r="AI86" i="21"/>
  <c r="AI87" i="21" s="1"/>
  <c r="AI85" i="21" s="1"/>
  <c r="H286" i="6"/>
  <c r="H289" i="6" s="1"/>
  <c r="I288" i="6" s="1"/>
  <c r="BA5" i="6"/>
  <c r="P216" i="6"/>
  <c r="P217" i="6" s="1"/>
  <c r="Q214" i="6" s="1"/>
  <c r="AK38" i="28"/>
  <c r="AK37" i="28" s="1"/>
  <c r="AK35" i="28" s="1"/>
  <c r="AU228" i="21"/>
  <c r="AU227" i="21" s="1"/>
  <c r="AU225" i="21" s="1"/>
  <c r="AP158" i="21"/>
  <c r="AP156" i="21"/>
  <c r="AF67" i="21"/>
  <c r="AF65" i="21" s="1"/>
  <c r="AG66" i="21" s="1"/>
  <c r="AS217" i="21"/>
  <c r="AS215" i="21" s="1"/>
  <c r="AT216" i="21" s="1"/>
  <c r="AN117" i="21"/>
  <c r="AN115" i="21" s="1"/>
  <c r="AO116" i="21" s="1"/>
  <c r="AL133" i="21"/>
  <c r="AL132" i="21" s="1"/>
  <c r="AL130" i="21" s="1"/>
  <c r="AK76" i="28"/>
  <c r="AK78" i="28"/>
  <c r="AK97" i="21"/>
  <c r="AK95" i="21" s="1"/>
  <c r="AL98" i="21" s="1"/>
  <c r="AQ187" i="21"/>
  <c r="AQ185" i="21" s="1"/>
  <c r="AR178" i="21"/>
  <c r="AP172" i="21"/>
  <c r="AP170" i="21" s="1"/>
  <c r="AQ171" i="21" s="1"/>
  <c r="AF56" i="21"/>
  <c r="AF58" i="21"/>
  <c r="U275" i="21"/>
  <c r="U25" i="21"/>
  <c r="AV242" i="21"/>
  <c r="AV240" i="21" s="1"/>
  <c r="AW241" i="21" s="1"/>
  <c r="AR196" i="28"/>
  <c r="AR197" i="28" s="1"/>
  <c r="AR195" i="28" s="1"/>
  <c r="BA116" i="1"/>
  <c r="AJ108" i="21"/>
  <c r="AJ107" i="21" s="1"/>
  <c r="AJ105" i="21" s="1"/>
  <c r="AK106" i="21" s="1"/>
  <c r="AO142" i="21"/>
  <c r="AO140" i="21" s="1"/>
  <c r="AP143" i="21" s="1"/>
  <c r="L235" i="6"/>
  <c r="V160" i="6"/>
  <c r="V163" i="6" s="1"/>
  <c r="AN122" i="28"/>
  <c r="AN120" i="28" s="1"/>
  <c r="AO121" i="28" s="1"/>
  <c r="G292" i="6"/>
  <c r="AI57" i="28"/>
  <c r="AI55" i="28" s="1"/>
  <c r="AC88" i="6"/>
  <c r="AC91" i="6" s="1"/>
  <c r="AN81" i="28"/>
  <c r="AN83" i="28"/>
  <c r="V139" i="6"/>
  <c r="W136" i="6" s="1"/>
  <c r="AJ62" i="28"/>
  <c r="AJ60" i="28" s="1"/>
  <c r="AK61" i="28" s="1"/>
  <c r="J252" i="6"/>
  <c r="J250" i="6"/>
  <c r="AH46" i="28"/>
  <c r="AH48" i="28"/>
  <c r="X144" i="6"/>
  <c r="X145" i="6" s="1"/>
  <c r="AG55" i="6"/>
  <c r="AH52" i="6" s="1"/>
  <c r="AO143" i="28"/>
  <c r="AO142" i="28" s="1"/>
  <c r="AO140" i="28" s="1"/>
  <c r="AG67" i="28"/>
  <c r="AG65" i="28" s="1"/>
  <c r="AH68" i="28" s="1"/>
  <c r="AV242" i="28"/>
  <c r="AV240" i="28" s="1"/>
  <c r="AW241" i="28" s="1"/>
  <c r="L229" i="6"/>
  <c r="I264" i="6"/>
  <c r="I262" i="6"/>
  <c r="W156" i="6"/>
  <c r="W154" i="6"/>
  <c r="AM116" i="28"/>
  <c r="AM117" i="28" s="1"/>
  <c r="AM115" i="28" s="1"/>
  <c r="AN118" i="28" s="1"/>
  <c r="AQ181" i="28"/>
  <c r="AQ183" i="28"/>
  <c r="AD73" i="6"/>
  <c r="AE72" i="6" s="1"/>
  <c r="BA20" i="1"/>
  <c r="AR177" i="28"/>
  <c r="AR175" i="28" s="1"/>
  <c r="AS176" i="28" s="1"/>
  <c r="Y133" i="6"/>
  <c r="Z132" i="6" s="1"/>
  <c r="AY122" i="1"/>
  <c r="AX17" i="21"/>
  <c r="AY45" i="25"/>
  <c r="AX17" i="28"/>
  <c r="AY45" i="1"/>
  <c r="AY42" i="1"/>
  <c r="Z108" i="6"/>
  <c r="Z106" i="6"/>
  <c r="F306" i="6"/>
  <c r="F304" i="6"/>
  <c r="AJ103" i="21"/>
  <c r="AJ101" i="21"/>
  <c r="AF42" i="6"/>
  <c r="AF40" i="6"/>
  <c r="AF48" i="21"/>
  <c r="AF46" i="21"/>
  <c r="AG76" i="6"/>
  <c r="AG78" i="6"/>
  <c r="AT206" i="28"/>
  <c r="AT208" i="28"/>
  <c r="BB17" i="1"/>
  <c r="BB110" i="1"/>
  <c r="BA13" i="21"/>
  <c r="BA12" i="21" s="1"/>
  <c r="BA13" i="28"/>
  <c r="BA12" i="28" s="1"/>
  <c r="CE68" i="9"/>
  <c r="BA317" i="6"/>
  <c r="AM111" i="21"/>
  <c r="AM113" i="21"/>
  <c r="BB1" i="1"/>
  <c r="BA1" i="6"/>
  <c r="BB1" i="25"/>
  <c r="BA1" i="21"/>
  <c r="BA1" i="28"/>
  <c r="AF31" i="21"/>
  <c r="AF33" i="21"/>
  <c r="BA7" i="6"/>
  <c r="P202" i="6"/>
  <c r="P204" i="6"/>
  <c r="BA25" i="25"/>
  <c r="BA7" i="25"/>
  <c r="BA124" i="1"/>
  <c r="AR191" i="28"/>
  <c r="AR193" i="28"/>
  <c r="AR187" i="28"/>
  <c r="AR185" i="28" s="1"/>
  <c r="AX45" i="1"/>
  <c r="AX42" i="1"/>
  <c r="AG52" i="21"/>
  <c r="AG50" i="21" s="1"/>
  <c r="AN127" i="21"/>
  <c r="AN125" i="21" s="1"/>
  <c r="BB18" i="1"/>
  <c r="BB12" i="1"/>
  <c r="BB116" i="1" s="1"/>
  <c r="BB115" i="1"/>
  <c r="BB73" i="1"/>
  <c r="BB93" i="1"/>
  <c r="BB95" i="1" s="1"/>
  <c r="BB5" i="25"/>
  <c r="BB27" i="1"/>
  <c r="B6" i="1"/>
  <c r="A6" i="1"/>
  <c r="AJ31" i="6"/>
  <c r="AF60" i="6"/>
  <c r="AF58" i="6"/>
  <c r="BA84" i="1"/>
  <c r="AW248" i="28"/>
  <c r="AW246" i="28"/>
  <c r="C246" i="28"/>
  <c r="AW155" i="1"/>
  <c r="AW140" i="1" s="1"/>
  <c r="AW141" i="1" s="1"/>
  <c r="AW159" i="1"/>
  <c r="AG64" i="6"/>
  <c r="AG66" i="6"/>
  <c r="AI52" i="28"/>
  <c r="AI50" i="28" s="1"/>
  <c r="Q184" i="6"/>
  <c r="Q186" i="6"/>
  <c r="Y126" i="6"/>
  <c r="Y124" i="6"/>
  <c r="AQ171" i="28"/>
  <c r="AQ173" i="28"/>
  <c r="V168" i="6"/>
  <c r="V166" i="6"/>
  <c r="AO162" i="28"/>
  <c r="AO160" i="28" s="1"/>
  <c r="AP166" i="28"/>
  <c r="AP168" i="28"/>
  <c r="AV68" i="1"/>
  <c r="AR197" i="21"/>
  <c r="AR195" i="21" s="1"/>
  <c r="AU233" i="21"/>
  <c r="AU231" i="21"/>
  <c r="AT211" i="28"/>
  <c r="AT213" i="28"/>
  <c r="AS192" i="21"/>
  <c r="AS190" i="21" s="1"/>
  <c r="I274" i="6"/>
  <c r="I276" i="6"/>
  <c r="AN121" i="21"/>
  <c r="AN123" i="21"/>
  <c r="E312" i="6"/>
  <c r="E313" i="6" s="1"/>
  <c r="AW248" i="21"/>
  <c r="AW246" i="21"/>
  <c r="C246" i="21"/>
  <c r="AE49" i="6"/>
  <c r="AE41" i="21"/>
  <c r="AE43" i="21"/>
  <c r="AJ24" i="6"/>
  <c r="AJ22" i="6"/>
  <c r="AA121" i="6"/>
  <c r="K244" i="6"/>
  <c r="K246" i="6"/>
  <c r="AK92" i="21"/>
  <c r="AK90" i="21" s="1"/>
  <c r="G295" i="6"/>
  <c r="AK82" i="21"/>
  <c r="AK80" i="21" s="1"/>
  <c r="AG37" i="6"/>
  <c r="W97" i="6"/>
  <c r="AQ137" i="28"/>
  <c r="AQ135" i="28" s="1"/>
  <c r="AS207" i="21"/>
  <c r="AS205" i="21" s="1"/>
  <c r="AW18" i="28"/>
  <c r="AW19" i="28" s="1"/>
  <c r="X115" i="6"/>
  <c r="G283" i="6"/>
  <c r="AN108" i="28"/>
  <c r="AN106" i="28"/>
  <c r="AT181" i="21"/>
  <c r="AT183" i="21"/>
  <c r="AK92" i="28"/>
  <c r="AK90" i="28" s="1"/>
  <c r="AN152" i="21"/>
  <c r="AN150" i="21" s="1"/>
  <c r="J256" i="6"/>
  <c r="J258" i="6"/>
  <c r="AZ24" i="1"/>
  <c r="BA28" i="1"/>
  <c r="BA35" i="1"/>
  <c r="BA34" i="1" s="1"/>
  <c r="BA33" i="1" s="1"/>
  <c r="BA32" i="1" s="1"/>
  <c r="BA31" i="1" s="1"/>
  <c r="BA30" i="1" s="1"/>
  <c r="BA29" i="1" s="1"/>
  <c r="AU226" i="28"/>
  <c r="AU228" i="28"/>
  <c r="AN151" i="28"/>
  <c r="AN153" i="28"/>
  <c r="AI62" i="21"/>
  <c r="AI60" i="21" s="1"/>
  <c r="AT218" i="28"/>
  <c r="AT216" i="28"/>
  <c r="E301" i="6"/>
  <c r="T178" i="6"/>
  <c r="T180" i="6"/>
  <c r="BB16" i="1"/>
  <c r="BB11" i="25"/>
  <c r="A10" i="1"/>
  <c r="B10" i="1"/>
  <c r="R198" i="6"/>
  <c r="R196" i="6"/>
  <c r="AP136" i="21"/>
  <c r="AP138" i="21"/>
  <c r="J268" i="6"/>
  <c r="J270" i="6"/>
  <c r="AC100" i="6"/>
  <c r="AC102" i="6"/>
  <c r="O220" i="6"/>
  <c r="O222" i="6"/>
  <c r="AN111" i="28"/>
  <c r="AN113" i="28"/>
  <c r="AU231" i="28"/>
  <c r="AU233" i="28"/>
  <c r="AQ148" i="21"/>
  <c r="AQ146" i="21"/>
  <c r="AL88" i="28"/>
  <c r="AL86" i="28"/>
  <c r="AV236" i="28"/>
  <c r="AV238" i="28"/>
  <c r="AF84" i="6"/>
  <c r="AF82" i="6"/>
  <c r="AM98" i="28"/>
  <c r="AM96" i="28"/>
  <c r="AN131" i="28"/>
  <c r="AN133" i="28"/>
  <c r="J316" i="6"/>
  <c r="J318" i="6"/>
  <c r="V150" i="6"/>
  <c r="V148" i="6"/>
  <c r="N211" i="6"/>
  <c r="AT211" i="21"/>
  <c r="AT213" i="21"/>
  <c r="AW18" i="21"/>
  <c r="AW19" i="21" s="1"/>
  <c r="AX10" i="25"/>
  <c r="AR202" i="28"/>
  <c r="AR200" i="28" s="1"/>
  <c r="AZ37" i="1"/>
  <c r="AZ39" i="1"/>
  <c r="AZ40" i="1" s="1"/>
  <c r="AW68" i="1"/>
  <c r="BA117" i="1"/>
  <c r="Q175" i="6"/>
  <c r="AK77" i="21"/>
  <c r="AK75" i="21" s="1"/>
  <c r="AT222" i="28"/>
  <c r="AT220" i="28" s="1"/>
  <c r="M238" i="6" l="1"/>
  <c r="AM33" i="28"/>
  <c r="AM31" i="28"/>
  <c r="Z130" i="6"/>
  <c r="Z133" i="6" s="1"/>
  <c r="I265" i="6"/>
  <c r="J262" i="6" s="1"/>
  <c r="T190" i="6"/>
  <c r="T193" i="6" s="1"/>
  <c r="AI41" i="28"/>
  <c r="AZ122" i="1"/>
  <c r="AZ45" i="25"/>
  <c r="AY17" i="21"/>
  <c r="Z109" i="6"/>
  <c r="AA108" i="6" s="1"/>
  <c r="I286" i="6"/>
  <c r="I289" i="6" s="1"/>
  <c r="J286" i="6" s="1"/>
  <c r="AP148" i="28"/>
  <c r="AP147" i="28" s="1"/>
  <c r="AP145" i="28" s="1"/>
  <c r="AK63" i="28"/>
  <c r="AK62" i="28" s="1"/>
  <c r="AK60" i="28" s="1"/>
  <c r="AQ168" i="21"/>
  <c r="AQ167" i="21" s="1"/>
  <c r="AQ165" i="21" s="1"/>
  <c r="AO118" i="21"/>
  <c r="AO117" i="21" s="1"/>
  <c r="AO115" i="21" s="1"/>
  <c r="AQ163" i="21"/>
  <c r="AQ162" i="21" s="1"/>
  <c r="AQ160" i="21" s="1"/>
  <c r="AR161" i="21" s="1"/>
  <c r="AT218" i="21"/>
  <c r="AT217" i="21" s="1"/>
  <c r="AT215" i="21" s="1"/>
  <c r="AI73" i="21"/>
  <c r="AI72" i="21" s="1"/>
  <c r="AI70" i="21" s="1"/>
  <c r="AJ73" i="21" s="1"/>
  <c r="AG68" i="21"/>
  <c r="AG67" i="21" s="1"/>
  <c r="AG65" i="21" s="1"/>
  <c r="T27" i="28"/>
  <c r="AL103" i="28"/>
  <c r="AL102" i="28" s="1"/>
  <c r="AL100" i="28" s="1"/>
  <c r="BA114" i="1"/>
  <c r="BA122" i="1" s="1"/>
  <c r="AQ173" i="21"/>
  <c r="AQ172" i="21" s="1"/>
  <c r="AQ170" i="21" s="1"/>
  <c r="AW243" i="28"/>
  <c r="AW242" i="28" s="1"/>
  <c r="AW240" i="28" s="1"/>
  <c r="AX243" i="28" s="1"/>
  <c r="AL36" i="28"/>
  <c r="AL38" i="28"/>
  <c r="AF85" i="6"/>
  <c r="AG84" i="6" s="1"/>
  <c r="AJ86" i="21"/>
  <c r="AJ88" i="21"/>
  <c r="AU221" i="21"/>
  <c r="AU222" i="21" s="1"/>
  <c r="AU220" i="21" s="1"/>
  <c r="AV223" i="21" s="1"/>
  <c r="AP141" i="21"/>
  <c r="AP142" i="21" s="1"/>
  <c r="AP140" i="21" s="1"/>
  <c r="AQ141" i="21" s="1"/>
  <c r="AH66" i="28"/>
  <c r="AH67" i="28" s="1"/>
  <c r="AH65" i="28" s="1"/>
  <c r="AL96" i="21"/>
  <c r="AL97" i="21" s="1"/>
  <c r="AL95" i="21" s="1"/>
  <c r="AF32" i="21"/>
  <c r="AF30" i="21" s="1"/>
  <c r="AG33" i="21" s="1"/>
  <c r="AF47" i="21"/>
  <c r="AF45" i="21" s="1"/>
  <c r="AG46" i="21" s="1"/>
  <c r="AR188" i="21"/>
  <c r="AR186" i="21"/>
  <c r="AP157" i="21"/>
  <c r="AP155" i="21" s="1"/>
  <c r="AK77" i="28"/>
  <c r="AK75" i="28" s="1"/>
  <c r="AK108" i="21"/>
  <c r="AK107" i="21" s="1"/>
  <c r="AK105" i="21" s="1"/>
  <c r="AL106" i="21" s="1"/>
  <c r="AF57" i="21"/>
  <c r="AF55" i="21" s="1"/>
  <c r="AG56" i="21" s="1"/>
  <c r="AU232" i="21"/>
  <c r="AU230" i="21" s="1"/>
  <c r="AV233" i="21" s="1"/>
  <c r="AS178" i="28"/>
  <c r="AS177" i="28" s="1"/>
  <c r="AS175" i="28" s="1"/>
  <c r="AQ156" i="28"/>
  <c r="AQ157" i="28" s="1"/>
  <c r="AQ155" i="28" s="1"/>
  <c r="AR158" i="28" s="1"/>
  <c r="V26" i="21"/>
  <c r="U22" i="21"/>
  <c r="V28" i="21"/>
  <c r="V4" i="21" s="1"/>
  <c r="W74" i="1" s="1"/>
  <c r="AW247" i="21"/>
  <c r="AW245" i="21" s="1"/>
  <c r="AX246" i="21" s="1"/>
  <c r="V143" i="1"/>
  <c r="V14" i="25"/>
  <c r="AJ102" i="21"/>
  <c r="AJ100" i="21" s="1"/>
  <c r="AK103" i="21" s="1"/>
  <c r="AW243" i="21"/>
  <c r="AW242" i="21" s="1"/>
  <c r="AW240" i="21" s="1"/>
  <c r="AO123" i="28"/>
  <c r="AO122" i="28" s="1"/>
  <c r="AO120" i="28" s="1"/>
  <c r="AR177" i="21"/>
  <c r="AR175" i="21" s="1"/>
  <c r="M232" i="6"/>
  <c r="M234" i="6"/>
  <c r="Q216" i="6"/>
  <c r="AJ58" i="28"/>
  <c r="AJ56" i="28"/>
  <c r="F307" i="6"/>
  <c r="G306" i="6" s="1"/>
  <c r="AQ182" i="28"/>
  <c r="AQ180" i="28" s="1"/>
  <c r="AH47" i="28"/>
  <c r="AH45" i="28" s="1"/>
  <c r="R199" i="6"/>
  <c r="S196" i="6" s="1"/>
  <c r="V151" i="6"/>
  <c r="W150" i="6" s="1"/>
  <c r="AJ25" i="6"/>
  <c r="AK22" i="6" s="1"/>
  <c r="Y144" i="6"/>
  <c r="Y142" i="6"/>
  <c r="AH54" i="6"/>
  <c r="AH55" i="6" s="1"/>
  <c r="AM97" i="28"/>
  <c r="AM95" i="28" s="1"/>
  <c r="AN98" i="28" s="1"/>
  <c r="AT217" i="28"/>
  <c r="AT215" i="28" s="1"/>
  <c r="AU216" i="28" s="1"/>
  <c r="AN82" i="28"/>
  <c r="AN80" i="28" s="1"/>
  <c r="W138" i="6"/>
  <c r="W139" i="6" s="1"/>
  <c r="Y127" i="6"/>
  <c r="Z126" i="6" s="1"/>
  <c r="BA22" i="1"/>
  <c r="BA24" i="1" s="1"/>
  <c r="BA45" i="1" s="1"/>
  <c r="AE70" i="6"/>
  <c r="AE73" i="6" s="1"/>
  <c r="AF70" i="6" s="1"/>
  <c r="M228" i="6"/>
  <c r="M226" i="6"/>
  <c r="E18" i="6"/>
  <c r="F70" i="1" s="1"/>
  <c r="AF61" i="6"/>
  <c r="AG58" i="6" s="1"/>
  <c r="J253" i="6"/>
  <c r="J259" i="6"/>
  <c r="K256" i="6" s="1"/>
  <c r="AC103" i="6"/>
  <c r="AD100" i="6" s="1"/>
  <c r="V169" i="6"/>
  <c r="W168" i="6" s="1"/>
  <c r="AF43" i="6"/>
  <c r="AG40" i="6" s="1"/>
  <c r="W157" i="6"/>
  <c r="M241" i="6"/>
  <c r="N238" i="6" s="1"/>
  <c r="AT207" i="28"/>
  <c r="AT205" i="28" s="1"/>
  <c r="AU206" i="28" s="1"/>
  <c r="AN152" i="28"/>
  <c r="AN150" i="28" s="1"/>
  <c r="AO153" i="28" s="1"/>
  <c r="AN116" i="28"/>
  <c r="AN117" i="28" s="1"/>
  <c r="AN115" i="28" s="1"/>
  <c r="AQ172" i="28"/>
  <c r="AQ170" i="28" s="1"/>
  <c r="AR173" i="28" s="1"/>
  <c r="AN132" i="28"/>
  <c r="AN130" i="28" s="1"/>
  <c r="AO131" i="28" s="1"/>
  <c r="AW9" i="25"/>
  <c r="F310" i="6"/>
  <c r="F312" i="6"/>
  <c r="Z124" i="6"/>
  <c r="A5" i="25"/>
  <c r="AH70" i="9" s="1"/>
  <c r="B5" i="25"/>
  <c r="F298" i="6"/>
  <c r="F300" i="6"/>
  <c r="AL91" i="28"/>
  <c r="AL93" i="28"/>
  <c r="AH34" i="6"/>
  <c r="AH36" i="6"/>
  <c r="AT212" i="28"/>
  <c r="AT210" i="28" s="1"/>
  <c r="AT212" i="21"/>
  <c r="AT210" i="21" s="1"/>
  <c r="AU232" i="28"/>
  <c r="AU230" i="28" s="1"/>
  <c r="AL83" i="21"/>
  <c r="AL81" i="21"/>
  <c r="AK30" i="6"/>
  <c r="AK28" i="6"/>
  <c r="AX155" i="1"/>
  <c r="AX140" i="1" s="1"/>
  <c r="AX141" i="1" s="1"/>
  <c r="AX159" i="1"/>
  <c r="AW238" i="21"/>
  <c r="AW236" i="21"/>
  <c r="W162" i="6"/>
  <c r="W160" i="6"/>
  <c r="AT191" i="21"/>
  <c r="AT193" i="21"/>
  <c r="A18" i="1"/>
  <c r="B18" i="1"/>
  <c r="BB84" i="1"/>
  <c r="F85" i="1"/>
  <c r="E85" i="1"/>
  <c r="E90" i="1" s="1"/>
  <c r="F86" i="1" s="1"/>
  <c r="I85" i="1"/>
  <c r="G85" i="1"/>
  <c r="H85" i="1"/>
  <c r="J85" i="1"/>
  <c r="AW250" i="21"/>
  <c r="AX139" i="1"/>
  <c r="AX37" i="25" s="1"/>
  <c r="AW20" i="21"/>
  <c r="AV237" i="28"/>
  <c r="AV235" i="28" s="1"/>
  <c r="AQ147" i="21"/>
  <c r="AQ145" i="21" s="1"/>
  <c r="AN112" i="28"/>
  <c r="AN110" i="28" s="1"/>
  <c r="T181" i="6"/>
  <c r="AZ45" i="1"/>
  <c r="AZ42" i="1"/>
  <c r="AO153" i="21"/>
  <c r="AO151" i="21"/>
  <c r="AD88" i="6"/>
  <c r="AD90" i="6"/>
  <c r="AP141" i="28"/>
  <c r="AP143" i="28"/>
  <c r="X94" i="6"/>
  <c r="X96" i="6"/>
  <c r="K247" i="6"/>
  <c r="AP161" i="28"/>
  <c r="AP163" i="28"/>
  <c r="AT201" i="21"/>
  <c r="AT203" i="21"/>
  <c r="BB35" i="1"/>
  <c r="BB34" i="1" s="1"/>
  <c r="BB33" i="1" s="1"/>
  <c r="BB32" i="1" s="1"/>
  <c r="BB31" i="1" s="1"/>
  <c r="BB30" i="1" s="1"/>
  <c r="BB29" i="1" s="1"/>
  <c r="BB28" i="1"/>
  <c r="AO126" i="21"/>
  <c r="AO128" i="21"/>
  <c r="AM32" i="28"/>
  <c r="AM30" i="28" s="1"/>
  <c r="BB117" i="1"/>
  <c r="BB114" i="1" s="1"/>
  <c r="B110" i="1"/>
  <c r="A110" i="1"/>
  <c r="AH53" i="21"/>
  <c r="AH51" i="21"/>
  <c r="B116" i="1"/>
  <c r="A116" i="1"/>
  <c r="J271" i="6"/>
  <c r="AK24" i="6"/>
  <c r="AR192" i="28"/>
  <c r="AR190" i="28" s="1"/>
  <c r="R174" i="6"/>
  <c r="R172" i="6"/>
  <c r="AL87" i="28"/>
  <c r="AL85" i="28" s="1"/>
  <c r="AU227" i="28"/>
  <c r="AU225" i="28" s="1"/>
  <c r="AW250" i="28"/>
  <c r="AW20" i="28"/>
  <c r="H294" i="6"/>
  <c r="H292" i="6"/>
  <c r="AF48" i="6"/>
  <c r="AF46" i="6"/>
  <c r="AN122" i="21"/>
  <c r="AN120" i="21" s="1"/>
  <c r="AP167" i="28"/>
  <c r="AP165" i="28" s="1"/>
  <c r="Q187" i="6"/>
  <c r="AJ51" i="28"/>
  <c r="AJ53" i="28"/>
  <c r="AW247" i="28"/>
  <c r="AW245" i="28" s="1"/>
  <c r="A115" i="1"/>
  <c r="B115" i="1"/>
  <c r="AS186" i="28"/>
  <c r="AS188" i="28"/>
  <c r="AY18" i="21"/>
  <c r="AY19" i="21" s="1"/>
  <c r="AZ10" i="25"/>
  <c r="AI42" i="28"/>
  <c r="AI40" i="28" s="1"/>
  <c r="AG79" i="6"/>
  <c r="AX18" i="21"/>
  <c r="AX19" i="21" s="1"/>
  <c r="AY10" i="25"/>
  <c r="H282" i="6"/>
  <c r="H280" i="6"/>
  <c r="AM133" i="21"/>
  <c r="AM131" i="21"/>
  <c r="AY18" i="28"/>
  <c r="AY19" i="28" s="1"/>
  <c r="Y114" i="6"/>
  <c r="Y112" i="6"/>
  <c r="AS196" i="28"/>
  <c r="AS198" i="28"/>
  <c r="O223" i="6"/>
  <c r="A73" i="1"/>
  <c r="B73" i="1"/>
  <c r="BA37" i="1"/>
  <c r="BA39" i="1"/>
  <c r="BA40" i="1" s="1"/>
  <c r="AT182" i="21"/>
  <c r="AT180" i="21" s="1"/>
  <c r="AN107" i="28"/>
  <c r="AN105" i="28" s="1"/>
  <c r="AT206" i="21"/>
  <c r="AT208" i="21"/>
  <c r="AL91" i="21"/>
  <c r="AL93" i="21"/>
  <c r="BB12" i="25"/>
  <c r="A12" i="1"/>
  <c r="B12" i="1"/>
  <c r="Q217" i="6"/>
  <c r="AY62" i="1"/>
  <c r="AY61" i="1" s="1"/>
  <c r="AY60" i="1" s="1"/>
  <c r="AY59" i="1" s="1"/>
  <c r="AY58" i="1" s="1"/>
  <c r="AY57" i="1" s="1"/>
  <c r="AY56" i="1" s="1"/>
  <c r="AY55" i="1" s="1"/>
  <c r="AY54" i="1" s="1"/>
  <c r="AY53" i="1" s="1"/>
  <c r="AY52" i="1" s="1"/>
  <c r="AY51" i="1" s="1"/>
  <c r="AY50" i="1" s="1"/>
  <c r="AY49" i="1" s="1"/>
  <c r="AY48" i="1" s="1"/>
  <c r="AY47" i="1" s="1"/>
  <c r="AY46" i="1"/>
  <c r="B11" i="25"/>
  <c r="A11" i="25"/>
  <c r="AL71" i="28"/>
  <c r="AL73" i="28"/>
  <c r="A17" i="1"/>
  <c r="B17" i="1"/>
  <c r="AU221" i="28"/>
  <c r="AU223" i="28"/>
  <c r="AP137" i="21"/>
  <c r="AP135" i="21" s="1"/>
  <c r="AB120" i="6"/>
  <c r="AB118" i="6"/>
  <c r="AS196" i="21"/>
  <c r="AS198" i="21"/>
  <c r="P205" i="6"/>
  <c r="AX18" i="28"/>
  <c r="AX19" i="28" s="1"/>
  <c r="AL76" i="21"/>
  <c r="AL78" i="21"/>
  <c r="BB7" i="25"/>
  <c r="BB25" i="25"/>
  <c r="BB124" i="1"/>
  <c r="B16" i="1"/>
  <c r="A16" i="1"/>
  <c r="AQ126" i="28"/>
  <c r="AQ128" i="28"/>
  <c r="AX46" i="1"/>
  <c r="AX62" i="1"/>
  <c r="AX61" i="1" s="1"/>
  <c r="AX60" i="1" s="1"/>
  <c r="AX59" i="1" s="1"/>
  <c r="AX58" i="1" s="1"/>
  <c r="AX57" i="1" s="1"/>
  <c r="AX56" i="1" s="1"/>
  <c r="AX55" i="1" s="1"/>
  <c r="AX54" i="1" s="1"/>
  <c r="AX53" i="1" s="1"/>
  <c r="AX52" i="1" s="1"/>
  <c r="AX51" i="1" s="1"/>
  <c r="AX50" i="1" s="1"/>
  <c r="AX49" i="1" s="1"/>
  <c r="AX48" i="1" s="1"/>
  <c r="AX47" i="1" s="1"/>
  <c r="AM112" i="21"/>
  <c r="AM110" i="21" s="1"/>
  <c r="AS201" i="28"/>
  <c r="AS203" i="28"/>
  <c r="O208" i="6"/>
  <c r="O210" i="6"/>
  <c r="J319" i="6"/>
  <c r="AJ63" i="21"/>
  <c r="AJ61" i="21"/>
  <c r="AV226" i="21"/>
  <c r="AV228" i="21"/>
  <c r="AR136" i="28"/>
  <c r="AR138" i="28"/>
  <c r="AE42" i="21"/>
  <c r="AE40" i="21" s="1"/>
  <c r="I277" i="6"/>
  <c r="AH36" i="21"/>
  <c r="AH38" i="21"/>
  <c r="AG67" i="6"/>
  <c r="BB20" i="1"/>
  <c r="J264" i="6" l="1"/>
  <c r="AG60" i="6"/>
  <c r="Y145" i="6"/>
  <c r="Z142" i="6" s="1"/>
  <c r="AA106" i="6"/>
  <c r="W148" i="6"/>
  <c r="W151" i="6" s="1"/>
  <c r="N240" i="6"/>
  <c r="N241" i="6" s="1"/>
  <c r="O238" i="6" s="1"/>
  <c r="Z127" i="6"/>
  <c r="AA126" i="6" s="1"/>
  <c r="AL37" i="28"/>
  <c r="AL35" i="28" s="1"/>
  <c r="AM36" i="28" s="1"/>
  <c r="AG48" i="21"/>
  <c r="AV231" i="21"/>
  <c r="AV232" i="21" s="1"/>
  <c r="AV230" i="21" s="1"/>
  <c r="AW231" i="21" s="1"/>
  <c r="AZ17" i="21"/>
  <c r="AZ18" i="21" s="1"/>
  <c r="AZ19" i="21" s="1"/>
  <c r="AZ17" i="28"/>
  <c r="T25" i="28"/>
  <c r="T275" i="28"/>
  <c r="BA45" i="25"/>
  <c r="AJ71" i="21"/>
  <c r="AJ72" i="21" s="1"/>
  <c r="AJ70" i="21" s="1"/>
  <c r="AR187" i="21"/>
  <c r="AR185" i="21" s="1"/>
  <c r="AK101" i="21"/>
  <c r="AK102" i="21" s="1"/>
  <c r="AK100" i="21" s="1"/>
  <c r="AL103" i="21" s="1"/>
  <c r="AJ87" i="21"/>
  <c r="AJ85" i="21" s="1"/>
  <c r="AK88" i="21" s="1"/>
  <c r="AR171" i="21"/>
  <c r="AR173" i="21"/>
  <c r="AG82" i="6"/>
  <c r="AG85" i="6" s="1"/>
  <c r="AG31" i="21"/>
  <c r="AG32" i="21" s="1"/>
  <c r="AG30" i="21" s="1"/>
  <c r="AH52" i="21"/>
  <c r="AH50" i="21" s="1"/>
  <c r="AI53" i="21" s="1"/>
  <c r="V27" i="21"/>
  <c r="V275" i="21" s="1"/>
  <c r="W14" i="25" s="1"/>
  <c r="AR163" i="21"/>
  <c r="AR162" i="21" s="1"/>
  <c r="AR160" i="21" s="1"/>
  <c r="AG58" i="21"/>
  <c r="AG57" i="21" s="1"/>
  <c r="AG55" i="21" s="1"/>
  <c r="AH56" i="21" s="1"/>
  <c r="AX248" i="21"/>
  <c r="AX247" i="21" s="1"/>
  <c r="AX245" i="21" s="1"/>
  <c r="AY246" i="21" s="1"/>
  <c r="AO152" i="21"/>
  <c r="AO150" i="21" s="1"/>
  <c r="AP153" i="21" s="1"/>
  <c r="AI66" i="28"/>
  <c r="AI68" i="28"/>
  <c r="AT192" i="21"/>
  <c r="AT190" i="21" s="1"/>
  <c r="AU191" i="21" s="1"/>
  <c r="AQ158" i="21"/>
  <c r="AQ156" i="21"/>
  <c r="AL108" i="21"/>
  <c r="AL107" i="21" s="1"/>
  <c r="AL105" i="21" s="1"/>
  <c r="AL82" i="21"/>
  <c r="AL80" i="21" s="1"/>
  <c r="AM81" i="21" s="1"/>
  <c r="AL78" i="28"/>
  <c r="AL76" i="28"/>
  <c r="AV221" i="21"/>
  <c r="AV222" i="21" s="1"/>
  <c r="AV220" i="21" s="1"/>
  <c r="AW221" i="21" s="1"/>
  <c r="AQ143" i="21"/>
  <c r="AQ142" i="21" s="1"/>
  <c r="AQ140" i="21" s="1"/>
  <c r="AN96" i="28"/>
  <c r="AN97" i="28" s="1"/>
  <c r="AN95" i="28" s="1"/>
  <c r="AW237" i="21"/>
  <c r="AW235" i="21" s="1"/>
  <c r="AX236" i="21" s="1"/>
  <c r="W27" i="25"/>
  <c r="W40" i="25" s="1"/>
  <c r="W144" i="1"/>
  <c r="W13" i="25"/>
  <c r="W39" i="25"/>
  <c r="V142" i="1"/>
  <c r="V38" i="25"/>
  <c r="V36" i="25" s="1"/>
  <c r="V48" i="25" s="1"/>
  <c r="AH66" i="21"/>
  <c r="AH68" i="21"/>
  <c r="AS178" i="21"/>
  <c r="AS176" i="21"/>
  <c r="AU218" i="21"/>
  <c r="AU216" i="21"/>
  <c r="E19" i="6"/>
  <c r="AM103" i="28"/>
  <c r="AM101" i="28"/>
  <c r="M235" i="6"/>
  <c r="G304" i="6"/>
  <c r="G307" i="6" s="1"/>
  <c r="AB121" i="6"/>
  <c r="AC118" i="6" s="1"/>
  <c r="J288" i="6"/>
  <c r="J289" i="6" s="1"/>
  <c r="AG42" i="6"/>
  <c r="AG43" i="6" s="1"/>
  <c r="U192" i="6"/>
  <c r="U190" i="6"/>
  <c r="AU218" i="28"/>
  <c r="AU217" i="28" s="1"/>
  <c r="AU215" i="28" s="1"/>
  <c r="X136" i="6"/>
  <c r="X138" i="6"/>
  <c r="AI48" i="28"/>
  <c r="AI46" i="28"/>
  <c r="AR171" i="28"/>
  <c r="AR172" i="28" s="1"/>
  <c r="AR170" i="28" s="1"/>
  <c r="W166" i="6"/>
  <c r="W169" i="6" s="1"/>
  <c r="AO151" i="28"/>
  <c r="AO152" i="28" s="1"/>
  <c r="AO150" i="28" s="1"/>
  <c r="AJ57" i="28"/>
  <c r="AJ55" i="28" s="1"/>
  <c r="AR183" i="28"/>
  <c r="AR181" i="28"/>
  <c r="S198" i="6"/>
  <c r="S199" i="6" s="1"/>
  <c r="AI52" i="6"/>
  <c r="AI54" i="6"/>
  <c r="BA42" i="1"/>
  <c r="M229" i="6"/>
  <c r="AR156" i="28"/>
  <c r="AR157" i="28" s="1"/>
  <c r="AR155" i="28" s="1"/>
  <c r="AS158" i="28" s="1"/>
  <c r="R175" i="6"/>
  <c r="S174" i="6" s="1"/>
  <c r="K258" i="6"/>
  <c r="K259" i="6" s="1"/>
  <c r="AX241" i="28"/>
  <c r="AX242" i="28" s="1"/>
  <c r="AX240" i="28" s="1"/>
  <c r="AU208" i="28"/>
  <c r="AU207" i="28" s="1"/>
  <c r="AU205" i="28" s="1"/>
  <c r="AU222" i="28"/>
  <c r="AU220" i="28" s="1"/>
  <c r="AV221" i="28" s="1"/>
  <c r="AK31" i="6"/>
  <c r="AL28" i="6" s="1"/>
  <c r="AG61" i="6"/>
  <c r="AH58" i="6" s="1"/>
  <c r="K250" i="6"/>
  <c r="K252" i="6"/>
  <c r="AO83" i="28"/>
  <c r="AO81" i="28"/>
  <c r="H295" i="6"/>
  <c r="I294" i="6" s="1"/>
  <c r="AO133" i="28"/>
  <c r="AO132" i="28" s="1"/>
  <c r="AO130" i="28" s="1"/>
  <c r="X156" i="6"/>
  <c r="X154" i="6"/>
  <c r="F301" i="6"/>
  <c r="G300" i="6" s="1"/>
  <c r="AF72" i="6"/>
  <c r="AF73" i="6" s="1"/>
  <c r="AP142" i="28"/>
  <c r="AP140" i="28" s="1"/>
  <c r="AQ141" i="28" s="1"/>
  <c r="AD102" i="6"/>
  <c r="AD103" i="6" s="1"/>
  <c r="Y115" i="6"/>
  <c r="Z114" i="6" s="1"/>
  <c r="AF49" i="6"/>
  <c r="AG48" i="6" s="1"/>
  <c r="W163" i="6"/>
  <c r="X160" i="6" s="1"/>
  <c r="AH37" i="6"/>
  <c r="AI34" i="6" s="1"/>
  <c r="AX9" i="25"/>
  <c r="AU193" i="21"/>
  <c r="AX243" i="21"/>
  <c r="AX241" i="21"/>
  <c r="Z144" i="6"/>
  <c r="B124" i="1"/>
  <c r="A124" i="1"/>
  <c r="AA109" i="6"/>
  <c r="AM132" i="21"/>
  <c r="AM130" i="21" s="1"/>
  <c r="AY155" i="1"/>
  <c r="AY140" i="1" s="1"/>
  <c r="AY141" i="1" s="1"/>
  <c r="AY159" i="1"/>
  <c r="AZ155" i="1"/>
  <c r="AZ140" i="1" s="1"/>
  <c r="AZ141" i="1" s="1"/>
  <c r="AZ159" i="1"/>
  <c r="BB122" i="1"/>
  <c r="BA17" i="21"/>
  <c r="BB45" i="25"/>
  <c r="BA17" i="28"/>
  <c r="B114" i="1"/>
  <c r="A114" i="1"/>
  <c r="D119" i="1"/>
  <c r="AA130" i="6"/>
  <c r="AA132" i="6"/>
  <c r="AN33" i="28"/>
  <c r="AN31" i="28"/>
  <c r="AX253" i="21"/>
  <c r="AX251" i="21"/>
  <c r="C251" i="21"/>
  <c r="AU211" i="28"/>
  <c r="AU213" i="28"/>
  <c r="AH64" i="6"/>
  <c r="AH66" i="6"/>
  <c r="AR137" i="28"/>
  <c r="AR135" i="28" s="1"/>
  <c r="AJ62" i="21"/>
  <c r="AJ60" i="21" s="1"/>
  <c r="AS202" i="28"/>
  <c r="AS200" i="28" s="1"/>
  <c r="AL77" i="21"/>
  <c r="AL75" i="21" s="1"/>
  <c r="R216" i="6"/>
  <c r="R214" i="6"/>
  <c r="AL92" i="21"/>
  <c r="AL90" i="21" s="1"/>
  <c r="AS197" i="28"/>
  <c r="AS195" i="28" s="1"/>
  <c r="H283" i="6"/>
  <c r="AY260" i="21"/>
  <c r="AZ139" i="1"/>
  <c r="AZ37" i="25" s="1"/>
  <c r="AY20" i="21"/>
  <c r="AX246" i="28"/>
  <c r="AX248" i="28"/>
  <c r="AM88" i="28"/>
  <c r="AM86" i="28"/>
  <c r="AS191" i="28"/>
  <c r="AS193" i="28"/>
  <c r="AZ62" i="1"/>
  <c r="AZ61" i="1" s="1"/>
  <c r="AZ60" i="1" s="1"/>
  <c r="AZ59" i="1" s="1"/>
  <c r="AZ58" i="1" s="1"/>
  <c r="AZ57" i="1" s="1"/>
  <c r="AZ56" i="1" s="1"/>
  <c r="AZ55" i="1" s="1"/>
  <c r="AZ54" i="1" s="1"/>
  <c r="AZ53" i="1" s="1"/>
  <c r="AZ52" i="1" s="1"/>
  <c r="AZ51" i="1" s="1"/>
  <c r="AZ50" i="1" s="1"/>
  <c r="AZ49" i="1" s="1"/>
  <c r="AZ48" i="1" s="1"/>
  <c r="AZ47" i="1" s="1"/>
  <c r="AZ46" i="1"/>
  <c r="F313" i="6"/>
  <c r="AM98" i="21"/>
  <c r="AM96" i="21"/>
  <c r="AN113" i="21"/>
  <c r="AN111" i="21"/>
  <c r="AV227" i="21"/>
  <c r="AV225" i="21" s="1"/>
  <c r="AY63" i="1"/>
  <c r="AY65" i="1"/>
  <c r="AY66" i="1" s="1"/>
  <c r="AT207" i="21"/>
  <c r="AT205" i="21" s="1"/>
  <c r="AV231" i="28"/>
  <c r="AV233" i="28"/>
  <c r="AH37" i="21"/>
  <c r="AH35" i="21" s="1"/>
  <c r="K316" i="6"/>
  <c r="K318" i="6"/>
  <c r="A7" i="25"/>
  <c r="B7" i="25"/>
  <c r="AQ138" i="21"/>
  <c r="AQ136" i="21"/>
  <c r="AO116" i="28"/>
  <c r="AO118" i="28"/>
  <c r="AO106" i="28"/>
  <c r="AO108" i="28"/>
  <c r="BA46" i="1"/>
  <c r="BA62" i="1"/>
  <c r="BA61" i="1" s="1"/>
  <c r="BA60" i="1" s="1"/>
  <c r="BA59" i="1" s="1"/>
  <c r="BA58" i="1" s="1"/>
  <c r="BA57" i="1" s="1"/>
  <c r="BA56" i="1" s="1"/>
  <c r="BA55" i="1" s="1"/>
  <c r="BA54" i="1" s="1"/>
  <c r="BA53" i="1" s="1"/>
  <c r="BA52" i="1" s="1"/>
  <c r="BA51" i="1" s="1"/>
  <c r="BA50" i="1" s="1"/>
  <c r="BA49" i="1" s="1"/>
  <c r="BA48" i="1" s="1"/>
  <c r="BA47" i="1" s="1"/>
  <c r="AP116" i="21"/>
  <c r="AP118" i="21"/>
  <c r="AH76" i="6"/>
  <c r="AH78" i="6"/>
  <c r="AS187" i="28"/>
  <c r="AS185" i="28" s="1"/>
  <c r="R186" i="6"/>
  <c r="R184" i="6"/>
  <c r="AT178" i="28"/>
  <c r="AT176" i="28"/>
  <c r="A117" i="1"/>
  <c r="B117" i="1"/>
  <c r="BB37" i="1"/>
  <c r="BB39" i="1"/>
  <c r="BB40" i="1" s="1"/>
  <c r="L246" i="6"/>
  <c r="L244" i="6"/>
  <c r="AW236" i="28"/>
  <c r="AW238" i="28"/>
  <c r="AU211" i="21"/>
  <c r="AU213" i="21"/>
  <c r="AL92" i="28"/>
  <c r="AL90" i="28" s="1"/>
  <c r="AG47" i="21"/>
  <c r="AG45" i="21" s="1"/>
  <c r="AZ18" i="28"/>
  <c r="AZ19" i="28" s="1"/>
  <c r="B12" i="25"/>
  <c r="A12" i="25"/>
  <c r="U178" i="6"/>
  <c r="U180" i="6"/>
  <c r="AK25" i="6"/>
  <c r="AO127" i="21"/>
  <c r="AO125" i="21" s="1"/>
  <c r="J265" i="6"/>
  <c r="AL63" i="28"/>
  <c r="AL61" i="28"/>
  <c r="A25" i="25"/>
  <c r="B25" i="25"/>
  <c r="K268" i="6"/>
  <c r="K270" i="6"/>
  <c r="AD91" i="6"/>
  <c r="J274" i="6"/>
  <c r="J276" i="6"/>
  <c r="AR166" i="21"/>
  <c r="AR168" i="21"/>
  <c r="AU181" i="21"/>
  <c r="AU183" i="21"/>
  <c r="P220" i="6"/>
  <c r="P222" i="6"/>
  <c r="AJ41" i="28"/>
  <c r="AJ43" i="28"/>
  <c r="AQ166" i="28"/>
  <c r="AQ168" i="28"/>
  <c r="AX251" i="28"/>
  <c r="AX253" i="28"/>
  <c r="C251" i="28"/>
  <c r="AT202" i="21"/>
  <c r="AT200" i="21" s="1"/>
  <c r="AP121" i="28"/>
  <c r="AP123" i="28"/>
  <c r="F18" i="6"/>
  <c r="G70" i="1" s="1"/>
  <c r="G72" i="1" s="1"/>
  <c r="G76" i="1" s="1"/>
  <c r="AX255" i="28"/>
  <c r="AX20" i="28"/>
  <c r="AO111" i="28"/>
  <c r="AO113" i="28"/>
  <c r="AX63" i="1"/>
  <c r="AX65" i="1"/>
  <c r="AX66" i="1" s="1"/>
  <c r="Q204" i="6"/>
  <c r="Q202" i="6"/>
  <c r="F72" i="1"/>
  <c r="AJ52" i="28"/>
  <c r="AJ50" i="28" s="1"/>
  <c r="AP162" i="28"/>
  <c r="AP160" i="28" s="1"/>
  <c r="AR146" i="21"/>
  <c r="AR148" i="21"/>
  <c r="AQ146" i="28"/>
  <c r="AQ148" i="28"/>
  <c r="BB22" i="1"/>
  <c r="BB24" i="1" s="1"/>
  <c r="A20" i="1"/>
  <c r="B20" i="1"/>
  <c r="AF41" i="21"/>
  <c r="AF43" i="21"/>
  <c r="O211" i="6"/>
  <c r="AQ127" i="28"/>
  <c r="AQ125" i="28" s="1"/>
  <c r="AS197" i="21"/>
  <c r="AS195" i="21" s="1"/>
  <c r="AL72" i="28"/>
  <c r="AL70" i="28" s="1"/>
  <c r="AY260" i="28"/>
  <c r="AY20" i="28"/>
  <c r="AY139" i="1"/>
  <c r="AY37" i="25" s="1"/>
  <c r="AX255" i="21"/>
  <c r="AX20" i="21"/>
  <c r="AO123" i="21"/>
  <c r="AO121" i="21"/>
  <c r="AV228" i="28"/>
  <c r="AV226" i="28"/>
  <c r="X97" i="6"/>
  <c r="AA124" i="6" l="1"/>
  <c r="AA127" i="6" s="1"/>
  <c r="AB124" i="6" s="1"/>
  <c r="AM38" i="28"/>
  <c r="AM37" i="28" s="1"/>
  <c r="AM35" i="28" s="1"/>
  <c r="AN38" i="28" s="1"/>
  <c r="AX238" i="21"/>
  <c r="AX237" i="21" s="1"/>
  <c r="AX235" i="21" s="1"/>
  <c r="AY238" i="21" s="1"/>
  <c r="AX242" i="21"/>
  <c r="AX240" i="21" s="1"/>
  <c r="H304" i="6"/>
  <c r="H307" i="6" s="1"/>
  <c r="I304" i="6" s="1"/>
  <c r="H306" i="6"/>
  <c r="X139" i="6"/>
  <c r="Y136" i="6" s="1"/>
  <c r="Q205" i="6"/>
  <c r="R202" i="6" s="1"/>
  <c r="AK86" i="21"/>
  <c r="AK87" i="21" s="1"/>
  <c r="AK85" i="21" s="1"/>
  <c r="AL86" i="21" s="1"/>
  <c r="BA10" i="25"/>
  <c r="AR172" i="21"/>
  <c r="AR170" i="21" s="1"/>
  <c r="AS173" i="21" s="1"/>
  <c r="AQ157" i="21"/>
  <c r="AQ155" i="21" s="1"/>
  <c r="AR158" i="21" s="1"/>
  <c r="AR167" i="21"/>
  <c r="AR165" i="21" s="1"/>
  <c r="AS166" i="21" s="1"/>
  <c r="AS188" i="21"/>
  <c r="AS186" i="21"/>
  <c r="T22" i="28"/>
  <c r="U28" i="28"/>
  <c r="U4" i="28" s="1"/>
  <c r="U26" i="28"/>
  <c r="AP151" i="21"/>
  <c r="AP152" i="21" s="1"/>
  <c r="AP150" i="21" s="1"/>
  <c r="AI67" i="28"/>
  <c r="AI65" i="28" s="1"/>
  <c r="AJ66" i="28" s="1"/>
  <c r="AN32" i="28"/>
  <c r="AN30" i="28" s="1"/>
  <c r="AO33" i="28" s="1"/>
  <c r="AS161" i="21"/>
  <c r="AS163" i="21"/>
  <c r="AW223" i="21"/>
  <c r="AW222" i="21" s="1"/>
  <c r="AW220" i="21" s="1"/>
  <c r="AS177" i="21"/>
  <c r="AS175" i="21" s="1"/>
  <c r="AT178" i="21" s="1"/>
  <c r="W143" i="1"/>
  <c r="W142" i="1" s="1"/>
  <c r="AI51" i="21"/>
  <c r="AI52" i="21" s="1"/>
  <c r="AI50" i="21" s="1"/>
  <c r="AS156" i="28"/>
  <c r="AS157" i="28" s="1"/>
  <c r="AS155" i="28" s="1"/>
  <c r="V25" i="21"/>
  <c r="W28" i="21" s="1"/>
  <c r="W4" i="21" s="1"/>
  <c r="X74" i="1" s="1"/>
  <c r="AY248" i="21"/>
  <c r="AY247" i="21" s="1"/>
  <c r="AY245" i="21" s="1"/>
  <c r="AZ246" i="21" s="1"/>
  <c r="AH58" i="21"/>
  <c r="AH57" i="21" s="1"/>
  <c r="AH55" i="21" s="1"/>
  <c r="AM83" i="21"/>
  <c r="AM82" i="21" s="1"/>
  <c r="AM80" i="21" s="1"/>
  <c r="AL77" i="28"/>
  <c r="AL75" i="28" s="1"/>
  <c r="AN36" i="28"/>
  <c r="AM102" i="28"/>
  <c r="AM100" i="28" s="1"/>
  <c r="AL101" i="21"/>
  <c r="AL102" i="21" s="1"/>
  <c r="AL100" i="21" s="1"/>
  <c r="AM103" i="21" s="1"/>
  <c r="AH67" i="21"/>
  <c r="AH65" i="21" s="1"/>
  <c r="AW233" i="21"/>
  <c r="AW232" i="21" s="1"/>
  <c r="AW230" i="21" s="1"/>
  <c r="AX252" i="21"/>
  <c r="AX250" i="21" s="1"/>
  <c r="AY253" i="21" s="1"/>
  <c r="AU217" i="21"/>
  <c r="AU215" i="21" s="1"/>
  <c r="AO122" i="21"/>
  <c r="AO120" i="21" s="1"/>
  <c r="AP123" i="21" s="1"/>
  <c r="AL62" i="28"/>
  <c r="AL60" i="28" s="1"/>
  <c r="AM63" i="28" s="1"/>
  <c r="AQ137" i="21"/>
  <c r="AQ135" i="21" s="1"/>
  <c r="AR136" i="21" s="1"/>
  <c r="AN112" i="21"/>
  <c r="AN110" i="21" s="1"/>
  <c r="AO113" i="21" s="1"/>
  <c r="AL30" i="6"/>
  <c r="AL31" i="6" s="1"/>
  <c r="AI55" i="6"/>
  <c r="AJ54" i="6" s="1"/>
  <c r="U193" i="6"/>
  <c r="N234" i="6"/>
  <c r="N232" i="6"/>
  <c r="I292" i="6"/>
  <c r="I295" i="6" s="1"/>
  <c r="AC120" i="6"/>
  <c r="AC121" i="6" s="1"/>
  <c r="AR182" i="28"/>
  <c r="AR180" i="28" s="1"/>
  <c r="S172" i="6"/>
  <c r="S175" i="6" s="1"/>
  <c r="T174" i="6" s="1"/>
  <c r="R217" i="6"/>
  <c r="S216" i="6" s="1"/>
  <c r="AI47" i="28"/>
  <c r="AI45" i="28" s="1"/>
  <c r="AO107" i="28"/>
  <c r="AO105" i="28" s="1"/>
  <c r="AP106" i="28" s="1"/>
  <c r="AO112" i="28"/>
  <c r="AO110" i="28" s="1"/>
  <c r="AP111" i="28" s="1"/>
  <c r="AQ167" i="28"/>
  <c r="AQ165" i="28" s="1"/>
  <c r="AR168" i="28" s="1"/>
  <c r="F19" i="6"/>
  <c r="AH60" i="6"/>
  <c r="AH61" i="6" s="1"/>
  <c r="AG46" i="6"/>
  <c r="AG49" i="6" s="1"/>
  <c r="AH46" i="6" s="1"/>
  <c r="AO82" i="28"/>
  <c r="AO80" i="28" s="1"/>
  <c r="AP83" i="28" s="1"/>
  <c r="AK58" i="28"/>
  <c r="AK56" i="28"/>
  <c r="O240" i="6"/>
  <c r="O241" i="6" s="1"/>
  <c r="AV223" i="28"/>
  <c r="AV222" i="28" s="1"/>
  <c r="AV220" i="28" s="1"/>
  <c r="X162" i="6"/>
  <c r="X163" i="6" s="1"/>
  <c r="N228" i="6"/>
  <c r="N226" i="6"/>
  <c r="G298" i="6"/>
  <c r="G301" i="6" s="1"/>
  <c r="H300" i="6" s="1"/>
  <c r="Z112" i="6"/>
  <c r="Z115" i="6" s="1"/>
  <c r="K253" i="6"/>
  <c r="AG70" i="6"/>
  <c r="AG72" i="6"/>
  <c r="AM87" i="28"/>
  <c r="AM85" i="28" s="1"/>
  <c r="AN88" i="28" s="1"/>
  <c r="AU212" i="28"/>
  <c r="AU210" i="28" s="1"/>
  <c r="AV211" i="28" s="1"/>
  <c r="AX247" i="28"/>
  <c r="AX245" i="28" s="1"/>
  <c r="AY246" i="28" s="1"/>
  <c r="AI36" i="6"/>
  <c r="AI37" i="6" s="1"/>
  <c r="AJ36" i="6" s="1"/>
  <c r="AQ147" i="28"/>
  <c r="AQ145" i="28" s="1"/>
  <c r="AR148" i="28" s="1"/>
  <c r="AQ143" i="28"/>
  <c r="AQ142" i="28" s="1"/>
  <c r="AQ140" i="28" s="1"/>
  <c r="P223" i="6"/>
  <c r="Q222" i="6" s="1"/>
  <c r="AH67" i="6"/>
  <c r="AI64" i="6" s="1"/>
  <c r="AX252" i="28"/>
  <c r="AX250" i="28" s="1"/>
  <c r="AY251" i="28" s="1"/>
  <c r="AW237" i="28"/>
  <c r="AW235" i="28" s="1"/>
  <c r="AX238" i="28" s="1"/>
  <c r="AA133" i="6"/>
  <c r="AB132" i="6" s="1"/>
  <c r="Z145" i="6"/>
  <c r="AA144" i="6" s="1"/>
  <c r="AH79" i="6"/>
  <c r="AI76" i="6" s="1"/>
  <c r="AV227" i="28"/>
  <c r="AV225" i="28" s="1"/>
  <c r="AW226" i="28" s="1"/>
  <c r="L247" i="6"/>
  <c r="M244" i="6" s="1"/>
  <c r="R187" i="6"/>
  <c r="S186" i="6" s="1"/>
  <c r="X157" i="6"/>
  <c r="BB45" i="1"/>
  <c r="BB42" i="1"/>
  <c r="A24" i="1"/>
  <c r="B24" i="1"/>
  <c r="AY9" i="25"/>
  <c r="AO96" i="28"/>
  <c r="AO98" i="28"/>
  <c r="AZ9" i="25"/>
  <c r="AH40" i="6"/>
  <c r="AH42" i="6"/>
  <c r="AK51" i="28"/>
  <c r="AK53" i="28"/>
  <c r="Y94" i="6"/>
  <c r="Y96" i="6"/>
  <c r="X166" i="6"/>
  <c r="X168" i="6"/>
  <c r="AU201" i="21"/>
  <c r="AU203" i="21"/>
  <c r="AP126" i="21"/>
  <c r="AP128" i="21"/>
  <c r="AH46" i="21"/>
  <c r="AH48" i="21"/>
  <c r="AV208" i="28"/>
  <c r="AV206" i="28"/>
  <c r="AS136" i="28"/>
  <c r="AS138" i="28"/>
  <c r="BA18" i="21"/>
  <c r="BA19" i="21" s="1"/>
  <c r="BB10" i="25"/>
  <c r="AN131" i="21"/>
  <c r="AN133" i="21"/>
  <c r="T196" i="6"/>
  <c r="T198" i="6"/>
  <c r="AH33" i="21"/>
  <c r="AH31" i="21"/>
  <c r="AF42" i="21"/>
  <c r="AF40" i="21" s="1"/>
  <c r="AR147" i="21"/>
  <c r="AR145" i="21" s="1"/>
  <c r="AL22" i="6"/>
  <c r="AL24" i="6"/>
  <c r="AM91" i="28"/>
  <c r="AM93" i="28"/>
  <c r="AT177" i="28"/>
  <c r="AT175" i="28" s="1"/>
  <c r="L258" i="6"/>
  <c r="L256" i="6"/>
  <c r="AP131" i="28"/>
  <c r="AP133" i="28"/>
  <c r="AS192" i="28"/>
  <c r="AS190" i="28" s="1"/>
  <c r="AM93" i="21"/>
  <c r="AM91" i="21"/>
  <c r="B122" i="1"/>
  <c r="A122" i="1"/>
  <c r="AY258" i="21"/>
  <c r="AY256" i="21"/>
  <c r="C256" i="21"/>
  <c r="AP117" i="21"/>
  <c r="AP115" i="21" s="1"/>
  <c r="AZ63" i="1"/>
  <c r="AZ65" i="1"/>
  <c r="AZ66" i="1" s="1"/>
  <c r="AZ263" i="21"/>
  <c r="AZ261" i="21"/>
  <c r="C261" i="21"/>
  <c r="AT198" i="21"/>
  <c r="AT196" i="21"/>
  <c r="F76" i="1"/>
  <c r="AY258" i="28"/>
  <c r="AY256" i="28"/>
  <c r="C256" i="28"/>
  <c r="AU182" i="21"/>
  <c r="AU180" i="21" s="1"/>
  <c r="AU212" i="21"/>
  <c r="AU210" i="21" s="1"/>
  <c r="AU192" i="21"/>
  <c r="AU190" i="21" s="1"/>
  <c r="AR128" i="28"/>
  <c r="AR126" i="28"/>
  <c r="K271" i="6"/>
  <c r="AP151" i="28"/>
  <c r="AP153" i="28"/>
  <c r="AE102" i="6"/>
  <c r="AE100" i="6"/>
  <c r="A40" i="1"/>
  <c r="B40" i="1"/>
  <c r="AO117" i="28"/>
  <c r="AO115" i="28" s="1"/>
  <c r="K319" i="6"/>
  <c r="K288" i="6"/>
  <c r="K286" i="6"/>
  <c r="AY68" i="1"/>
  <c r="AT198" i="28"/>
  <c r="AT196" i="28"/>
  <c r="AM78" i="21"/>
  <c r="AM76" i="21"/>
  <c r="BA139" i="1"/>
  <c r="BA37" i="25" s="1"/>
  <c r="AZ265" i="21"/>
  <c r="AZ20" i="21"/>
  <c r="AB108" i="6"/>
  <c r="AB106" i="6"/>
  <c r="AV216" i="28"/>
  <c r="AV218" i="28"/>
  <c r="AQ161" i="28"/>
  <c r="AQ163" i="28"/>
  <c r="AK71" i="21"/>
  <c r="AK73" i="21"/>
  <c r="AJ42" i="28"/>
  <c r="AJ40" i="28" s="1"/>
  <c r="BA65" i="1"/>
  <c r="BA66" i="1" s="1"/>
  <c r="BA63" i="1"/>
  <c r="AV232" i="28"/>
  <c r="AV230" i="28" s="1"/>
  <c r="I280" i="6"/>
  <c r="I282" i="6"/>
  <c r="BA155" i="1"/>
  <c r="BA140" i="1" s="1"/>
  <c r="BA141" i="1" s="1"/>
  <c r="BA159" i="1"/>
  <c r="AZ261" i="28"/>
  <c r="C261" i="28"/>
  <c r="AZ263" i="28"/>
  <c r="P208" i="6"/>
  <c r="P210" i="6"/>
  <c r="AR143" i="21"/>
  <c r="AR141" i="21"/>
  <c r="X148" i="6"/>
  <c r="X150" i="6"/>
  <c r="J277" i="6"/>
  <c r="Y138" i="6"/>
  <c r="U181" i="6"/>
  <c r="A37" i="1"/>
  <c r="B37" i="1"/>
  <c r="AT186" i="28"/>
  <c r="AT188" i="28"/>
  <c r="AM106" i="21"/>
  <c r="AM108" i="21"/>
  <c r="AI38" i="21"/>
  <c r="AI36" i="21"/>
  <c r="AT201" i="28"/>
  <c r="AT203" i="28"/>
  <c r="BA18" i="28"/>
  <c r="BA19" i="28" s="1"/>
  <c r="AX68" i="1"/>
  <c r="G312" i="6"/>
  <c r="G18" i="6" s="1"/>
  <c r="H70" i="1" s="1"/>
  <c r="G310" i="6"/>
  <c r="AM71" i="28"/>
  <c r="AM73" i="28"/>
  <c r="AE90" i="6"/>
  <c r="AE88" i="6"/>
  <c r="A22" i="1"/>
  <c r="B22" i="1"/>
  <c r="AY241" i="28"/>
  <c r="AY243" i="28"/>
  <c r="AP122" i="28"/>
  <c r="AP120" i="28" s="1"/>
  <c r="AU208" i="21"/>
  <c r="AU206" i="21"/>
  <c r="AH82" i="6"/>
  <c r="AH84" i="6"/>
  <c r="K264" i="6"/>
  <c r="K262" i="6"/>
  <c r="AZ20" i="28"/>
  <c r="AZ265" i="28"/>
  <c r="AS171" i="28"/>
  <c r="AS173" i="28"/>
  <c r="AW228" i="21"/>
  <c r="AW226" i="21"/>
  <c r="AM97" i="21"/>
  <c r="AM95" i="21" s="1"/>
  <c r="AK63" i="21"/>
  <c r="AK61" i="21"/>
  <c r="A45" i="25"/>
  <c r="AY243" i="21"/>
  <c r="AY241" i="21"/>
  <c r="R204" i="6" l="1"/>
  <c r="Y139" i="6"/>
  <c r="AI66" i="6"/>
  <c r="S214" i="6"/>
  <c r="N235" i="6"/>
  <c r="O232" i="6" s="1"/>
  <c r="AM101" i="21"/>
  <c r="AG73" i="6"/>
  <c r="AR156" i="21"/>
  <c r="AB126" i="6"/>
  <c r="AB127" i="6" s="1"/>
  <c r="AJ52" i="6"/>
  <c r="AJ55" i="6" s="1"/>
  <c r="AK52" i="6" s="1"/>
  <c r="AJ68" i="28"/>
  <c r="AJ67" i="28" s="1"/>
  <c r="AJ65" i="28" s="1"/>
  <c r="AK68" i="28" s="1"/>
  <c r="Q220" i="6"/>
  <c r="Q223" i="6" s="1"/>
  <c r="R220" i="6" s="1"/>
  <c r="N229" i="6"/>
  <c r="O226" i="6" s="1"/>
  <c r="AS171" i="21"/>
  <c r="AS172" i="21" s="1"/>
  <c r="AS170" i="21" s="1"/>
  <c r="AS168" i="21"/>
  <c r="AO31" i="28"/>
  <c r="AO32" i="28" s="1"/>
  <c r="AO30" i="28" s="1"/>
  <c r="AP31" i="28" s="1"/>
  <c r="AS187" i="21"/>
  <c r="AS185" i="21" s="1"/>
  <c r="AT186" i="21" s="1"/>
  <c r="U27" i="28"/>
  <c r="U275" i="28" s="1"/>
  <c r="V22" i="21"/>
  <c r="AT188" i="21"/>
  <c r="AT187" i="21" s="1"/>
  <c r="AT185" i="21" s="1"/>
  <c r="AU188" i="21" s="1"/>
  <c r="W26" i="21"/>
  <c r="W27" i="21" s="1"/>
  <c r="W275" i="21" s="1"/>
  <c r="AS162" i="21"/>
  <c r="AS160" i="21" s="1"/>
  <c r="AT163" i="21" s="1"/>
  <c r="AM61" i="28"/>
  <c r="AM62" i="28" s="1"/>
  <c r="AM60" i="28" s="1"/>
  <c r="AY251" i="21"/>
  <c r="AY252" i="21" s="1"/>
  <c r="AY250" i="21" s="1"/>
  <c r="AN37" i="28"/>
  <c r="AN35" i="28" s="1"/>
  <c r="AO36" i="28" s="1"/>
  <c r="AM92" i="21"/>
  <c r="AM90" i="21" s="1"/>
  <c r="AN91" i="21" s="1"/>
  <c r="AR157" i="21"/>
  <c r="AR155" i="21" s="1"/>
  <c r="AS156" i="21" s="1"/>
  <c r="AT197" i="21"/>
  <c r="AT195" i="21" s="1"/>
  <c r="AU198" i="21" s="1"/>
  <c r="AW227" i="21"/>
  <c r="AW225" i="21" s="1"/>
  <c r="AX228" i="21" s="1"/>
  <c r="AU202" i="21"/>
  <c r="AU200" i="21" s="1"/>
  <c r="AV201" i="21" s="1"/>
  <c r="AR138" i="21"/>
  <c r="AO111" i="21"/>
  <c r="AO112" i="21" s="1"/>
  <c r="AO110" i="21" s="1"/>
  <c r="AT176" i="21"/>
  <c r="AT177" i="21" s="1"/>
  <c r="AT175" i="21" s="1"/>
  <c r="AY248" i="28"/>
  <c r="AY247" i="28" s="1"/>
  <c r="AY245" i="28" s="1"/>
  <c r="W38" i="25"/>
  <c r="W36" i="25" s="1"/>
  <c r="W48" i="25" s="1"/>
  <c r="AI58" i="21"/>
  <c r="AI56" i="21"/>
  <c r="AX233" i="21"/>
  <c r="AX231" i="21"/>
  <c r="AN81" i="21"/>
  <c r="AN83" i="21"/>
  <c r="AH47" i="21"/>
  <c r="AH45" i="21" s="1"/>
  <c r="AI48" i="21" s="1"/>
  <c r="AM107" i="21"/>
  <c r="AM105" i="21" s="1"/>
  <c r="AN106" i="21" s="1"/>
  <c r="AY236" i="21"/>
  <c r="AY237" i="21" s="1"/>
  <c r="AY235" i="21" s="1"/>
  <c r="AZ238" i="21" s="1"/>
  <c r="AK62" i="21"/>
  <c r="AK60" i="21" s="1"/>
  <c r="AL61" i="21" s="1"/>
  <c r="AM78" i="28"/>
  <c r="AM76" i="28"/>
  <c r="AZ248" i="21"/>
  <c r="AZ247" i="21" s="1"/>
  <c r="AZ245" i="21" s="1"/>
  <c r="AL88" i="21"/>
  <c r="AL87" i="21" s="1"/>
  <c r="AL85" i="21" s="1"/>
  <c r="AP81" i="28"/>
  <c r="AP82" i="28" s="1"/>
  <c r="AP80" i="28" s="1"/>
  <c r="AK57" i="28"/>
  <c r="AK55" i="28" s="1"/>
  <c r="AN101" i="28"/>
  <c r="AN103" i="28"/>
  <c r="AM72" i="28"/>
  <c r="AM70" i="28" s="1"/>
  <c r="AN73" i="28" s="1"/>
  <c r="AI37" i="21"/>
  <c r="AI35" i="21" s="1"/>
  <c r="AJ38" i="21" s="1"/>
  <c r="AM77" i="21"/>
  <c r="AM75" i="21" s="1"/>
  <c r="AN76" i="21" s="1"/>
  <c r="AN132" i="21"/>
  <c r="AN130" i="21" s="1"/>
  <c r="AO131" i="21" s="1"/>
  <c r="AV216" i="21"/>
  <c r="AV218" i="21"/>
  <c r="AI68" i="21"/>
  <c r="AI66" i="21"/>
  <c r="AP121" i="21"/>
  <c r="AP122" i="21" s="1"/>
  <c r="AP120" i="21" s="1"/>
  <c r="AK72" i="21"/>
  <c r="AK70" i="21" s="1"/>
  <c r="AL71" i="21" s="1"/>
  <c r="AY257" i="28"/>
  <c r="AY255" i="28" s="1"/>
  <c r="AZ258" i="28" s="1"/>
  <c r="X27" i="25"/>
  <c r="X40" i="25" s="1"/>
  <c r="X144" i="1"/>
  <c r="X39" i="25"/>
  <c r="X13" i="25"/>
  <c r="AP113" i="28"/>
  <c r="AP112" i="28" s="1"/>
  <c r="AP110" i="28" s="1"/>
  <c r="AR146" i="28"/>
  <c r="AR147" i="28" s="1"/>
  <c r="AR145" i="28" s="1"/>
  <c r="AS146" i="28" s="1"/>
  <c r="AT202" i="28"/>
  <c r="AT200" i="28" s="1"/>
  <c r="AU201" i="28" s="1"/>
  <c r="AP108" i="28"/>
  <c r="AP107" i="28" s="1"/>
  <c r="AP105" i="28" s="1"/>
  <c r="AQ108" i="28" s="1"/>
  <c r="V192" i="6"/>
  <c r="V190" i="6"/>
  <c r="AS181" i="28"/>
  <c r="AS183" i="28"/>
  <c r="P240" i="6"/>
  <c r="P238" i="6"/>
  <c r="AR166" i="28"/>
  <c r="AR167" i="28" s="1"/>
  <c r="AR165" i="28" s="1"/>
  <c r="AS168" i="28" s="1"/>
  <c r="AA142" i="6"/>
  <c r="AA145" i="6" s="1"/>
  <c r="AB144" i="6" s="1"/>
  <c r="AJ46" i="28"/>
  <c r="AJ48" i="28"/>
  <c r="M246" i="6"/>
  <c r="AV213" i="28"/>
  <c r="AV212" i="28" s="1"/>
  <c r="AV210" i="28" s="1"/>
  <c r="AY253" i="28"/>
  <c r="AY252" i="28" s="1"/>
  <c r="AY250" i="28" s="1"/>
  <c r="AZ251" i="28" s="1"/>
  <c r="Y160" i="6"/>
  <c r="Y162" i="6"/>
  <c r="I306" i="6"/>
  <c r="I307" i="6" s="1"/>
  <c r="L252" i="6"/>
  <c r="L250" i="6"/>
  <c r="AE91" i="6"/>
  <c r="AF90" i="6" s="1"/>
  <c r="AN86" i="28"/>
  <c r="AN87" i="28" s="1"/>
  <c r="AN85" i="28" s="1"/>
  <c r="T172" i="6"/>
  <c r="T175" i="6" s="1"/>
  <c r="AH43" i="6"/>
  <c r="AI40" i="6" s="1"/>
  <c r="AB109" i="6"/>
  <c r="AC108" i="6" s="1"/>
  <c r="R205" i="6"/>
  <c r="S202" i="6" s="1"/>
  <c r="K265" i="6"/>
  <c r="G313" i="6"/>
  <c r="H312" i="6" s="1"/>
  <c r="H18" i="6" s="1"/>
  <c r="I70" i="1" s="1"/>
  <c r="I72" i="1" s="1"/>
  <c r="I76" i="1" s="1"/>
  <c r="AR143" i="28"/>
  <c r="AR141" i="28"/>
  <c r="H298" i="6"/>
  <c r="H301" i="6" s="1"/>
  <c r="I300" i="6" s="1"/>
  <c r="AH48" i="6"/>
  <c r="AH49" i="6" s="1"/>
  <c r="AT197" i="28"/>
  <c r="AT195" i="28" s="1"/>
  <c r="AU196" i="28" s="1"/>
  <c r="AP132" i="28"/>
  <c r="AP130" i="28" s="1"/>
  <c r="AQ131" i="28" s="1"/>
  <c r="AJ34" i="6"/>
  <c r="AJ37" i="6" s="1"/>
  <c r="AK36" i="6" s="1"/>
  <c r="AB130" i="6"/>
  <c r="AB133" i="6" s="1"/>
  <c r="AX236" i="28"/>
  <c r="AX237" i="28" s="1"/>
  <c r="AX235" i="28" s="1"/>
  <c r="AY236" i="28" s="1"/>
  <c r="Y154" i="6"/>
  <c r="Y156" i="6"/>
  <c r="AY242" i="28"/>
  <c r="AY240" i="28" s="1"/>
  <c r="AZ241" i="28" s="1"/>
  <c r="AT156" i="28"/>
  <c r="AT158" i="28"/>
  <c r="S184" i="6"/>
  <c r="S187" i="6" s="1"/>
  <c r="T184" i="6" s="1"/>
  <c r="AT187" i="28"/>
  <c r="AT185" i="28" s="1"/>
  <c r="AU186" i="28" s="1"/>
  <c r="AQ162" i="28"/>
  <c r="AQ160" i="28" s="1"/>
  <c r="AR161" i="28" s="1"/>
  <c r="AI78" i="6"/>
  <c r="AI79" i="6" s="1"/>
  <c r="AW228" i="28"/>
  <c r="AW227" i="28" s="1"/>
  <c r="AW225" i="28" s="1"/>
  <c r="AV217" i="28"/>
  <c r="AV215" i="28" s="1"/>
  <c r="AW218" i="28" s="1"/>
  <c r="K289" i="6"/>
  <c r="L288" i="6" s="1"/>
  <c r="T199" i="6"/>
  <c r="U196" i="6" s="1"/>
  <c r="AS137" i="28"/>
  <c r="AS135" i="28" s="1"/>
  <c r="AT138" i="28" s="1"/>
  <c r="BA9" i="25"/>
  <c r="BB155" i="1"/>
  <c r="BB159" i="1"/>
  <c r="K276" i="6"/>
  <c r="K274" i="6"/>
  <c r="AK41" i="28"/>
  <c r="AK43" i="28"/>
  <c r="AT171" i="21"/>
  <c r="AT173" i="21"/>
  <c r="AU207" i="21"/>
  <c r="AU205" i="21" s="1"/>
  <c r="Z138" i="6"/>
  <c r="Z136" i="6"/>
  <c r="AD118" i="6"/>
  <c r="AD120" i="6"/>
  <c r="BA68" i="1"/>
  <c r="G19" i="6"/>
  <c r="AI60" i="6"/>
  <c r="AI58" i="6"/>
  <c r="G78" i="1"/>
  <c r="F78" i="1"/>
  <c r="F79" i="1" s="1"/>
  <c r="F80" i="1" s="1"/>
  <c r="AG41" i="21"/>
  <c r="AG43" i="21"/>
  <c r="BB46" i="1"/>
  <c r="BB62" i="1"/>
  <c r="BB61" i="1" s="1"/>
  <c r="BB60" i="1" s="1"/>
  <c r="BB59" i="1" s="1"/>
  <c r="BB58" i="1" s="1"/>
  <c r="BB57" i="1" s="1"/>
  <c r="BB56" i="1" s="1"/>
  <c r="BB55" i="1" s="1"/>
  <c r="BB54" i="1" s="1"/>
  <c r="BB53" i="1" s="1"/>
  <c r="BB52" i="1" s="1"/>
  <c r="BB51" i="1" s="1"/>
  <c r="BB50" i="1" s="1"/>
  <c r="BB49" i="1" s="1"/>
  <c r="BB48" i="1" s="1"/>
  <c r="BB47" i="1" s="1"/>
  <c r="AN96" i="21"/>
  <c r="AN98" i="21"/>
  <c r="AH85" i="6"/>
  <c r="AI67" i="6"/>
  <c r="AQ153" i="21"/>
  <c r="AQ151" i="21"/>
  <c r="P211" i="6"/>
  <c r="AE103" i="6"/>
  <c r="AV181" i="21"/>
  <c r="AV183" i="21"/>
  <c r="AZ262" i="21"/>
  <c r="AZ260" i="21" s="1"/>
  <c r="AY257" i="21"/>
  <c r="AY255" i="21" s="1"/>
  <c r="AU176" i="28"/>
  <c r="AU178" i="28"/>
  <c r="AH32" i="21"/>
  <c r="AH30" i="21" s="1"/>
  <c r="BA268" i="28"/>
  <c r="C266" i="28"/>
  <c r="BA266" i="28"/>
  <c r="AV191" i="21"/>
  <c r="AV193" i="21"/>
  <c r="AQ118" i="21"/>
  <c r="AQ116" i="21"/>
  <c r="AT191" i="28"/>
  <c r="AT193" i="28"/>
  <c r="Y97" i="6"/>
  <c r="X151" i="6"/>
  <c r="AQ121" i="28"/>
  <c r="AQ123" i="28"/>
  <c r="AZ262" i="28"/>
  <c r="AZ260" i="28" s="1"/>
  <c r="I283" i="6"/>
  <c r="AM102" i="21"/>
  <c r="AM100" i="21" s="1"/>
  <c r="L318" i="6"/>
  <c r="L316" i="6"/>
  <c r="AP152" i="28"/>
  <c r="AP150" i="28" s="1"/>
  <c r="M247" i="6"/>
  <c r="AA114" i="6"/>
  <c r="AA112" i="6"/>
  <c r="X169" i="6"/>
  <c r="AO97" i="28"/>
  <c r="AO95" i="28" s="1"/>
  <c r="AR137" i="21"/>
  <c r="AR135" i="21" s="1"/>
  <c r="H72" i="1"/>
  <c r="BA20" i="28"/>
  <c r="BA270" i="28"/>
  <c r="C271" i="28" s="1"/>
  <c r="B10" i="25"/>
  <c r="A10" i="25"/>
  <c r="AM92" i="28"/>
  <c r="AM90" i="28" s="1"/>
  <c r="BB139" i="1"/>
  <c r="BA20" i="21"/>
  <c r="BA270" i="21"/>
  <c r="C271" i="21" s="1"/>
  <c r="AP127" i="21"/>
  <c r="AP125" i="21" s="1"/>
  <c r="AS172" i="28"/>
  <c r="AS170" i="28" s="1"/>
  <c r="V180" i="6"/>
  <c r="V178" i="6"/>
  <c r="AR142" i="21"/>
  <c r="AR140" i="21" s="1"/>
  <c r="AJ51" i="21"/>
  <c r="AJ53" i="21"/>
  <c r="AW231" i="28"/>
  <c r="AW233" i="28"/>
  <c r="AP118" i="28"/>
  <c r="AP116" i="28"/>
  <c r="L270" i="6"/>
  <c r="L268" i="6"/>
  <c r="AM30" i="6"/>
  <c r="AM28" i="6"/>
  <c r="AZ68" i="1"/>
  <c r="AV207" i="28"/>
  <c r="AV205" i="28" s="1"/>
  <c r="AK52" i="28"/>
  <c r="AK50" i="28" s="1"/>
  <c r="AS167" i="21"/>
  <c r="AS165" i="21" s="1"/>
  <c r="AX223" i="21"/>
  <c r="AX221" i="21"/>
  <c r="L264" i="6"/>
  <c r="L262" i="6"/>
  <c r="AW221" i="28"/>
  <c r="AW223" i="28"/>
  <c r="S217" i="6"/>
  <c r="AK34" i="6"/>
  <c r="AY242" i="21"/>
  <c r="AY240" i="21" s="1"/>
  <c r="AH70" i="6"/>
  <c r="AH72" i="6"/>
  <c r="J292" i="6"/>
  <c r="J294" i="6"/>
  <c r="BA266" i="21"/>
  <c r="BA268" i="21"/>
  <c r="C266" i="21"/>
  <c r="AR127" i="28"/>
  <c r="AR125" i="28" s="1"/>
  <c r="AV213" i="21"/>
  <c r="AV211" i="21"/>
  <c r="L259" i="6"/>
  <c r="AL25" i="6"/>
  <c r="AS146" i="21"/>
  <c r="AS148" i="21"/>
  <c r="A42" i="1"/>
  <c r="B42" i="1"/>
  <c r="P241" i="6" l="1"/>
  <c r="O234" i="6"/>
  <c r="I298" i="6"/>
  <c r="AI61" i="6"/>
  <c r="AJ60" i="6" s="1"/>
  <c r="AO38" i="28"/>
  <c r="AO37" i="28" s="1"/>
  <c r="AO35" i="28" s="1"/>
  <c r="AP38" i="28" s="1"/>
  <c r="O228" i="6"/>
  <c r="O229" i="6" s="1"/>
  <c r="AK54" i="6"/>
  <c r="AK55" i="6" s="1"/>
  <c r="AL54" i="6" s="1"/>
  <c r="AK66" i="28"/>
  <c r="AK67" i="28" s="1"/>
  <c r="AK65" i="28" s="1"/>
  <c r="U25" i="28"/>
  <c r="U22" i="28" s="1"/>
  <c r="V193" i="6"/>
  <c r="W192" i="6" s="1"/>
  <c r="AX226" i="21"/>
  <c r="AX227" i="21" s="1"/>
  <c r="AX225" i="21" s="1"/>
  <c r="AN93" i="21"/>
  <c r="AN92" i="21" s="1"/>
  <c r="AN90" i="21" s="1"/>
  <c r="AI57" i="21"/>
  <c r="AI55" i="21" s="1"/>
  <c r="AJ56" i="21" s="1"/>
  <c r="AT161" i="21"/>
  <c r="AT162" i="21" s="1"/>
  <c r="AT160" i="21" s="1"/>
  <c r="AU163" i="21" s="1"/>
  <c r="AN108" i="21"/>
  <c r="AN107" i="21" s="1"/>
  <c r="AN105" i="21" s="1"/>
  <c r="AO106" i="21" s="1"/>
  <c r="AU196" i="21"/>
  <c r="AU197" i="21" s="1"/>
  <c r="AU195" i="21" s="1"/>
  <c r="W25" i="21"/>
  <c r="X28" i="21" s="1"/>
  <c r="X4" i="21" s="1"/>
  <c r="Y74" i="1" s="1"/>
  <c r="AS158" i="21"/>
  <c r="AS157" i="21" s="1"/>
  <c r="AS155" i="21" s="1"/>
  <c r="AV212" i="21"/>
  <c r="AV210" i="21" s="1"/>
  <c r="AW213" i="21" s="1"/>
  <c r="AX232" i="21"/>
  <c r="AX230" i="21" s="1"/>
  <c r="AY231" i="21" s="1"/>
  <c r="V26" i="28"/>
  <c r="AO133" i="21"/>
  <c r="AO132" i="21" s="1"/>
  <c r="AO130" i="21" s="1"/>
  <c r="AP131" i="21" s="1"/>
  <c r="AZ256" i="28"/>
  <c r="AZ257" i="28" s="1"/>
  <c r="AZ255" i="28" s="1"/>
  <c r="AL63" i="21"/>
  <c r="AL62" i="21" s="1"/>
  <c r="AL60" i="21" s="1"/>
  <c r="AJ36" i="21"/>
  <c r="AJ37" i="21" s="1"/>
  <c r="AJ35" i="21" s="1"/>
  <c r="AV203" i="21"/>
  <c r="AV202" i="21" s="1"/>
  <c r="AV200" i="21" s="1"/>
  <c r="AU186" i="21"/>
  <c r="AU187" i="21" s="1"/>
  <c r="AU185" i="21" s="1"/>
  <c r="Z139" i="6"/>
  <c r="AA138" i="6" s="1"/>
  <c r="AM77" i="28"/>
  <c r="AM75" i="28" s="1"/>
  <c r="AN76" i="28" s="1"/>
  <c r="AI46" i="21"/>
  <c r="AI47" i="21" s="1"/>
  <c r="AI45" i="21" s="1"/>
  <c r="S204" i="6"/>
  <c r="S205" i="6" s="1"/>
  <c r="T202" i="6" s="1"/>
  <c r="AN78" i="21"/>
  <c r="AN77" i="21" s="1"/>
  <c r="AN75" i="21" s="1"/>
  <c r="AZ236" i="21"/>
  <c r="AZ237" i="21" s="1"/>
  <c r="AZ235" i="21" s="1"/>
  <c r="AN82" i="21"/>
  <c r="AN80" i="21" s="1"/>
  <c r="BA248" i="21"/>
  <c r="BA246" i="21"/>
  <c r="AL58" i="28"/>
  <c r="AL56" i="28"/>
  <c r="AI67" i="21"/>
  <c r="AI65" i="21" s="1"/>
  <c r="AV217" i="21"/>
  <c r="AV215" i="21" s="1"/>
  <c r="AJ52" i="21"/>
  <c r="AJ50" i="21" s="1"/>
  <c r="AK51" i="21" s="1"/>
  <c r="AN102" i="28"/>
  <c r="AN100" i="28" s="1"/>
  <c r="AN71" i="28"/>
  <c r="AN72" i="28" s="1"/>
  <c r="AN70" i="28" s="1"/>
  <c r="AL73" i="21"/>
  <c r="AL72" i="21" s="1"/>
  <c r="AL70" i="21" s="1"/>
  <c r="X143" i="1"/>
  <c r="X14" i="25"/>
  <c r="AU176" i="21"/>
  <c r="AU178" i="21"/>
  <c r="AJ58" i="21"/>
  <c r="BA267" i="21"/>
  <c r="BA265" i="21" s="1"/>
  <c r="AC106" i="6"/>
  <c r="AC109" i="6" s="1"/>
  <c r="AR163" i="28"/>
  <c r="AR162" i="28" s="1"/>
  <c r="AR160" i="28" s="1"/>
  <c r="L319" i="6"/>
  <c r="M318" i="6" s="1"/>
  <c r="AS166" i="28"/>
  <c r="AS167" i="28" s="1"/>
  <c r="AS165" i="28" s="1"/>
  <c r="AU203" i="28"/>
  <c r="AU202" i="28" s="1"/>
  <c r="AU200" i="28" s="1"/>
  <c r="AW216" i="28"/>
  <c r="AW217" i="28" s="1"/>
  <c r="AW215" i="28" s="1"/>
  <c r="O235" i="6"/>
  <c r="Y163" i="6"/>
  <c r="Z162" i="6" s="1"/>
  <c r="AS182" i="28"/>
  <c r="AS180" i="28" s="1"/>
  <c r="J304" i="6"/>
  <c r="J306" i="6"/>
  <c r="AF88" i="6"/>
  <c r="AF91" i="6" s="1"/>
  <c r="AG88" i="6" s="1"/>
  <c r="H310" i="6"/>
  <c r="H313" i="6" s="1"/>
  <c r="I310" i="6" s="1"/>
  <c r="V181" i="6"/>
  <c r="W178" i="6" s="1"/>
  <c r="AR142" i="28"/>
  <c r="AR140" i="28" s="1"/>
  <c r="AS141" i="28" s="1"/>
  <c r="AJ47" i="28"/>
  <c r="AJ45" i="28" s="1"/>
  <c r="U172" i="6"/>
  <c r="U174" i="6"/>
  <c r="AO88" i="28"/>
  <c r="AO86" i="28"/>
  <c r="R222" i="6"/>
  <c r="R223" i="6" s="1"/>
  <c r="AI42" i="6"/>
  <c r="AI43" i="6" s="1"/>
  <c r="K277" i="6"/>
  <c r="L274" i="6" s="1"/>
  <c r="L253" i="6"/>
  <c r="AU188" i="28"/>
  <c r="AU187" i="28" s="1"/>
  <c r="AU185" i="28" s="1"/>
  <c r="AV188" i="28" s="1"/>
  <c r="AU198" i="28"/>
  <c r="AU197" i="28" s="1"/>
  <c r="AU195" i="28" s="1"/>
  <c r="AV198" i="28" s="1"/>
  <c r="AB142" i="6"/>
  <c r="AB145" i="6" s="1"/>
  <c r="AM31" i="6"/>
  <c r="AN28" i="6" s="1"/>
  <c r="AQ106" i="28"/>
  <c r="AQ107" i="28" s="1"/>
  <c r="AQ105" i="28" s="1"/>
  <c r="L286" i="6"/>
  <c r="L289" i="6" s="1"/>
  <c r="M288" i="6" s="1"/>
  <c r="AQ133" i="28"/>
  <c r="AQ132" i="28" s="1"/>
  <c r="AQ130" i="28" s="1"/>
  <c r="AZ243" i="28"/>
  <c r="AZ242" i="28" s="1"/>
  <c r="AZ240" i="28" s="1"/>
  <c r="BA243" i="28" s="1"/>
  <c r="AZ253" i="28"/>
  <c r="AZ252" i="28" s="1"/>
  <c r="AZ250" i="28" s="1"/>
  <c r="BA251" i="28" s="1"/>
  <c r="AS148" i="28"/>
  <c r="AS147" i="28" s="1"/>
  <c r="AS145" i="28" s="1"/>
  <c r="AQ81" i="28"/>
  <c r="AQ83" i="28"/>
  <c r="AI46" i="6"/>
  <c r="AI48" i="6"/>
  <c r="H19" i="6"/>
  <c r="AK37" i="6"/>
  <c r="AL34" i="6" s="1"/>
  <c r="L265" i="6"/>
  <c r="M262" i="6" s="1"/>
  <c r="AP117" i="28"/>
  <c r="AP115" i="28" s="1"/>
  <c r="AQ116" i="28" s="1"/>
  <c r="Y157" i="6"/>
  <c r="AP33" i="28"/>
  <c r="AP32" i="28" s="1"/>
  <c r="AP30" i="28" s="1"/>
  <c r="U198" i="6"/>
  <c r="U199" i="6" s="1"/>
  <c r="I301" i="6"/>
  <c r="J298" i="6" s="1"/>
  <c r="T186" i="6"/>
  <c r="T187" i="6" s="1"/>
  <c r="AD121" i="6"/>
  <c r="AE120" i="6" s="1"/>
  <c r="AT136" i="28"/>
  <c r="AT137" i="28" s="1"/>
  <c r="AT135" i="28" s="1"/>
  <c r="AY238" i="28"/>
  <c r="AY237" i="28" s="1"/>
  <c r="AY235" i="28" s="1"/>
  <c r="AT157" i="28"/>
  <c r="AT155" i="28" s="1"/>
  <c r="BB63" i="1"/>
  <c r="BB65" i="1"/>
  <c r="BB66" i="1" s="1"/>
  <c r="Q240" i="6"/>
  <c r="Q238" i="6"/>
  <c r="AG42" i="21"/>
  <c r="AG40" i="21" s="1"/>
  <c r="AM22" i="6"/>
  <c r="AM24" i="6"/>
  <c r="AQ151" i="28"/>
  <c r="AQ153" i="28"/>
  <c r="AN63" i="28"/>
  <c r="AN61" i="28"/>
  <c r="AV182" i="21"/>
  <c r="AV180" i="21" s="1"/>
  <c r="A159" i="1"/>
  <c r="B159" i="1"/>
  <c r="AT172" i="21"/>
  <c r="AT170" i="21" s="1"/>
  <c r="AX226" i="28"/>
  <c r="AX228" i="28"/>
  <c r="BA261" i="21"/>
  <c r="BA263" i="21"/>
  <c r="Z96" i="6"/>
  <c r="Z94" i="6"/>
  <c r="AI31" i="21"/>
  <c r="AI33" i="21"/>
  <c r="F81" i="1"/>
  <c r="AS147" i="21"/>
  <c r="AS145" i="21" s="1"/>
  <c r="AI84" i="6"/>
  <c r="AI82" i="6"/>
  <c r="AQ122" i="28"/>
  <c r="AQ120" i="28" s="1"/>
  <c r="AH73" i="6"/>
  <c r="T214" i="6"/>
  <c r="T216" i="6"/>
  <c r="AT166" i="21"/>
  <c r="AT168" i="21"/>
  <c r="AW232" i="28"/>
  <c r="AW230" i="28" s="1"/>
  <c r="AZ253" i="21"/>
  <c r="AZ251" i="21"/>
  <c r="H76" i="1"/>
  <c r="AT192" i="28"/>
  <c r="AT190" i="28" s="1"/>
  <c r="AM88" i="21"/>
  <c r="AM86" i="21"/>
  <c r="AZ248" i="28"/>
  <c r="AZ246" i="28"/>
  <c r="AQ123" i="21"/>
  <c r="AQ121" i="21"/>
  <c r="Q208" i="6"/>
  <c r="Q210" i="6"/>
  <c r="BB140" i="1"/>
  <c r="B155" i="1"/>
  <c r="A155" i="1"/>
  <c r="BA261" i="28"/>
  <c r="BA263" i="28"/>
  <c r="AC124" i="6"/>
  <c r="AC126" i="6"/>
  <c r="AS136" i="21"/>
  <c r="AS138" i="21"/>
  <c r="AJ66" i="6"/>
  <c r="AJ64" i="6"/>
  <c r="J295" i="6"/>
  <c r="AC130" i="6"/>
  <c r="AC132" i="6"/>
  <c r="G79" i="1"/>
  <c r="G80" i="1" s="1"/>
  <c r="G81" i="1" s="1"/>
  <c r="AK42" i="28"/>
  <c r="AK40" i="28" s="1"/>
  <c r="AS126" i="28"/>
  <c r="AS128" i="28"/>
  <c r="M258" i="6"/>
  <c r="M256" i="6"/>
  <c r="AZ241" i="21"/>
  <c r="AZ243" i="21"/>
  <c r="AU177" i="28"/>
  <c r="AU175" i="28" s="1"/>
  <c r="AW211" i="28"/>
  <c r="AW213" i="28"/>
  <c r="AL51" i="28"/>
  <c r="AL53" i="28"/>
  <c r="AT171" i="28"/>
  <c r="AT173" i="28"/>
  <c r="BB37" i="25"/>
  <c r="A139" i="1"/>
  <c r="B139" i="1"/>
  <c r="AY233" i="21"/>
  <c r="AJ78" i="6"/>
  <c r="AJ76" i="6"/>
  <c r="AW222" i="28"/>
  <c r="AW220" i="28" s="1"/>
  <c r="L271" i="6"/>
  <c r="AN93" i="28"/>
  <c r="AN91" i="28"/>
  <c r="AN103" i="21"/>
  <c r="AN101" i="21"/>
  <c r="AQ117" i="21"/>
  <c r="AQ115" i="21" s="1"/>
  <c r="AZ256" i="21"/>
  <c r="AZ258" i="21"/>
  <c r="AN97" i="21"/>
  <c r="AN95" i="21" s="1"/>
  <c r="AV206" i="21"/>
  <c r="AV208" i="21"/>
  <c r="AQ111" i="28"/>
  <c r="AQ113" i="28"/>
  <c r="AW206" i="28"/>
  <c r="AW208" i="28"/>
  <c r="AS143" i="21"/>
  <c r="AS141" i="21"/>
  <c r="N246" i="6"/>
  <c r="N244" i="6"/>
  <c r="AV192" i="21"/>
  <c r="AV190" i="21" s="1"/>
  <c r="AQ128" i="21"/>
  <c r="AQ126" i="21"/>
  <c r="AP98" i="28"/>
  <c r="AP96" i="28"/>
  <c r="Y166" i="6"/>
  <c r="Y168" i="6"/>
  <c r="AF102" i="6"/>
  <c r="AF100" i="6"/>
  <c r="AX222" i="21"/>
  <c r="AX220" i="21" s="1"/>
  <c r="AA115" i="6"/>
  <c r="J280" i="6"/>
  <c r="J282" i="6"/>
  <c r="Y150" i="6"/>
  <c r="Y148" i="6"/>
  <c r="BA267" i="28"/>
  <c r="BA265" i="28" s="1"/>
  <c r="AP113" i="21"/>
  <c r="AP111" i="21"/>
  <c r="AQ152" i="21"/>
  <c r="AQ150" i="21" s="1"/>
  <c r="AL52" i="6" l="1"/>
  <c r="AJ58" i="6"/>
  <c r="W180" i="6"/>
  <c r="AA136" i="6"/>
  <c r="P228" i="6"/>
  <c r="P226" i="6"/>
  <c r="W190" i="6"/>
  <c r="W193" i="6" s="1"/>
  <c r="V28" i="28"/>
  <c r="V4" i="28" s="1"/>
  <c r="AE118" i="6"/>
  <c r="AE121" i="6" s="1"/>
  <c r="AF120" i="6" s="1"/>
  <c r="AU161" i="21"/>
  <c r="AU162" i="21"/>
  <c r="AU160" i="21" s="1"/>
  <c r="AN78" i="28"/>
  <c r="AN77" i="28" s="1"/>
  <c r="AN75" i="28" s="1"/>
  <c r="W22" i="21"/>
  <c r="X26" i="21"/>
  <c r="AN102" i="21"/>
  <c r="AN100" i="21" s="1"/>
  <c r="AO103" i="21" s="1"/>
  <c r="AV196" i="21"/>
  <c r="AV198" i="21"/>
  <c r="AW211" i="21"/>
  <c r="AW212" i="21" s="1"/>
  <c r="AW210" i="21" s="1"/>
  <c r="AX211" i="21" s="1"/>
  <c r="AW201" i="21"/>
  <c r="AW203" i="21"/>
  <c r="AM63" i="21"/>
  <c r="AM61" i="21"/>
  <c r="AP133" i="21"/>
  <c r="AP132" i="21" s="1"/>
  <c r="AP130" i="21" s="1"/>
  <c r="AQ131" i="21" s="1"/>
  <c r="U175" i="6"/>
  <c r="V174" i="6" s="1"/>
  <c r="J307" i="6"/>
  <c r="K304" i="6" s="1"/>
  <c r="AT156" i="21"/>
  <c r="AT158" i="21"/>
  <c r="AK53" i="21"/>
  <c r="AK52" i="21" s="1"/>
  <c r="AK50" i="21" s="1"/>
  <c r="AV207" i="21"/>
  <c r="AV205" i="21" s="1"/>
  <c r="AW208" i="21" s="1"/>
  <c r="AO108" i="21"/>
  <c r="AO107" i="21" s="1"/>
  <c r="AO105" i="21" s="1"/>
  <c r="AP106" i="21" s="1"/>
  <c r="Z160" i="6"/>
  <c r="Z163" i="6" s="1"/>
  <c r="AA162" i="6" s="1"/>
  <c r="AO81" i="21"/>
  <c r="AO83" i="21"/>
  <c r="AM87" i="21"/>
  <c r="AM85" i="21" s="1"/>
  <c r="AN88" i="21" s="1"/>
  <c r="AQ118" i="28"/>
  <c r="AQ117" i="28" s="1"/>
  <c r="AQ115" i="28" s="1"/>
  <c r="BA247" i="21"/>
  <c r="BA245" i="21" s="1"/>
  <c r="BA262" i="21"/>
  <c r="BA260" i="21" s="1"/>
  <c r="X27" i="21"/>
  <c r="X275" i="21" s="1"/>
  <c r="AL57" i="28"/>
  <c r="AL55" i="28" s="1"/>
  <c r="AW218" i="21"/>
  <c r="AW216" i="21"/>
  <c r="AJ66" i="21"/>
  <c r="AJ68" i="21"/>
  <c r="AI32" i="21"/>
  <c r="AI30" i="21" s="1"/>
  <c r="AJ31" i="21" s="1"/>
  <c r="AZ252" i="21"/>
  <c r="AZ250" i="21" s="1"/>
  <c r="BA251" i="21" s="1"/>
  <c r="AZ242" i="21"/>
  <c r="AZ240" i="21" s="1"/>
  <c r="BA243" i="21" s="1"/>
  <c r="AU177" i="21"/>
  <c r="AU175" i="21" s="1"/>
  <c r="X142" i="1"/>
  <c r="X38" i="25"/>
  <c r="X36" i="25" s="1"/>
  <c r="X48" i="25" s="1"/>
  <c r="AQ127" i="21"/>
  <c r="AQ125" i="21" s="1"/>
  <c r="AR128" i="21" s="1"/>
  <c r="AJ57" i="21"/>
  <c r="AJ55" i="21" s="1"/>
  <c r="AX227" i="28"/>
  <c r="AX225" i="28" s="1"/>
  <c r="AY228" i="28" s="1"/>
  <c r="AS137" i="21"/>
  <c r="AS135" i="21" s="1"/>
  <c r="AT136" i="21" s="1"/>
  <c r="AP112" i="21"/>
  <c r="AP110" i="21" s="1"/>
  <c r="AQ111" i="21" s="1"/>
  <c r="AO87" i="28"/>
  <c r="AO85" i="28" s="1"/>
  <c r="AP86" i="28" s="1"/>
  <c r="Y27" i="25"/>
  <c r="Y40" i="25" s="1"/>
  <c r="Y13" i="25"/>
  <c r="Y144" i="1"/>
  <c r="Y39" i="25"/>
  <c r="AO103" i="28"/>
  <c r="AO101" i="28"/>
  <c r="V198" i="6"/>
  <c r="V196" i="6"/>
  <c r="M316" i="6"/>
  <c r="M319" i="6" s="1"/>
  <c r="N316" i="6" s="1"/>
  <c r="M286" i="6"/>
  <c r="M289" i="6" s="1"/>
  <c r="N288" i="6" s="1"/>
  <c r="Y151" i="6"/>
  <c r="Z150" i="6" s="1"/>
  <c r="L276" i="6"/>
  <c r="L277" i="6" s="1"/>
  <c r="M276" i="6" s="1"/>
  <c r="AQ82" i="28"/>
  <c r="AQ80" i="28" s="1"/>
  <c r="AR83" i="28" s="1"/>
  <c r="M264" i="6"/>
  <c r="M265" i="6" s="1"/>
  <c r="N264" i="6" s="1"/>
  <c r="P232" i="6"/>
  <c r="P234" i="6"/>
  <c r="AT181" i="28"/>
  <c r="AT183" i="28"/>
  <c r="J300" i="6"/>
  <c r="I312" i="6"/>
  <c r="I18" i="6" s="1"/>
  <c r="J70" i="1" s="1"/>
  <c r="J72" i="1" s="1"/>
  <c r="J76" i="1" s="1"/>
  <c r="J78" i="1" s="1"/>
  <c r="U184" i="6"/>
  <c r="U186" i="6"/>
  <c r="BA241" i="28"/>
  <c r="BA242" i="28" s="1"/>
  <c r="BA240" i="28" s="1"/>
  <c r="T204" i="6"/>
  <c r="T205" i="6" s="1"/>
  <c r="U204" i="6" s="1"/>
  <c r="N247" i="6"/>
  <c r="O244" i="6" s="1"/>
  <c r="AS143" i="28"/>
  <c r="AS142" i="28" s="1"/>
  <c r="AS140" i="28" s="1"/>
  <c r="AV196" i="28"/>
  <c r="AV197" i="28" s="1"/>
  <c r="AV195" i="28" s="1"/>
  <c r="AW196" i="28" s="1"/>
  <c r="AZ247" i="28"/>
  <c r="AZ245" i="28" s="1"/>
  <c r="BA246" i="28" s="1"/>
  <c r="AK46" i="28"/>
  <c r="AK48" i="28"/>
  <c r="AC144" i="6"/>
  <c r="AC142" i="6"/>
  <c r="AC145" i="6" s="1"/>
  <c r="S220" i="6"/>
  <c r="S222" i="6"/>
  <c r="AN30" i="6"/>
  <c r="AL52" i="28"/>
  <c r="AL50" i="28" s="1"/>
  <c r="AM51" i="28" s="1"/>
  <c r="Q241" i="6"/>
  <c r="R240" i="6" s="1"/>
  <c r="AL36" i="6"/>
  <c r="AL37" i="6" s="1"/>
  <c r="AF103" i="6"/>
  <c r="AG102" i="6" s="1"/>
  <c r="AW212" i="28"/>
  <c r="AW210" i="28" s="1"/>
  <c r="AX211" i="28" s="1"/>
  <c r="W181" i="6"/>
  <c r="X178" i="6" s="1"/>
  <c r="M250" i="6"/>
  <c r="M252" i="6"/>
  <c r="AV186" i="28"/>
  <c r="AV187" i="28" s="1"/>
  <c r="AV185" i="28" s="1"/>
  <c r="T217" i="6"/>
  <c r="U216" i="6" s="1"/>
  <c r="AG90" i="6"/>
  <c r="AG91" i="6" s="1"/>
  <c r="Z97" i="6"/>
  <c r="AA96" i="6" s="1"/>
  <c r="BA253" i="28"/>
  <c r="BA252" i="28" s="1"/>
  <c r="BA250" i="28" s="1"/>
  <c r="AQ33" i="28"/>
  <c r="J301" i="6"/>
  <c r="K300" i="6" s="1"/>
  <c r="AC133" i="6"/>
  <c r="AD130" i="6" s="1"/>
  <c r="AQ31" i="28"/>
  <c r="AP36" i="28"/>
  <c r="AP37" i="28" s="1"/>
  <c r="AP35" i="28" s="1"/>
  <c r="AQ36" i="28" s="1"/>
  <c r="AI49" i="6"/>
  <c r="BA262" i="28"/>
  <c r="BA260" i="28" s="1"/>
  <c r="AU156" i="28"/>
  <c r="AU158" i="28"/>
  <c r="J283" i="6"/>
  <c r="K282" i="6" s="1"/>
  <c r="AI85" i="6"/>
  <c r="AJ84" i="6" s="1"/>
  <c r="Z154" i="6"/>
  <c r="Z156" i="6"/>
  <c r="AR126" i="21"/>
  <c r="AR151" i="21"/>
  <c r="AR153" i="21"/>
  <c r="AT146" i="28"/>
  <c r="AT148" i="28"/>
  <c r="AY223" i="21"/>
  <c r="AY221" i="21"/>
  <c r="AX221" i="28"/>
  <c r="AX223" i="28"/>
  <c r="G88" i="1"/>
  <c r="G87" i="1"/>
  <c r="M85" i="1"/>
  <c r="AR131" i="28"/>
  <c r="AR133" i="28"/>
  <c r="AI72" i="6"/>
  <c r="AI70" i="6"/>
  <c r="F87" i="1"/>
  <c r="F88" i="1"/>
  <c r="F89" i="1" s="1"/>
  <c r="F92" i="1" s="1"/>
  <c r="L85" i="1"/>
  <c r="AO73" i="28"/>
  <c r="AO71" i="28"/>
  <c r="AZ236" i="28"/>
  <c r="AZ238" i="28"/>
  <c r="AL55" i="6"/>
  <c r="AS142" i="21"/>
  <c r="AS140" i="21" s="1"/>
  <c r="AJ79" i="6"/>
  <c r="B37" i="25"/>
  <c r="A37" i="25"/>
  <c r="M259" i="6"/>
  <c r="K292" i="6"/>
  <c r="K294" i="6"/>
  <c r="AX218" i="28"/>
  <c r="AX216" i="28"/>
  <c r="AQ122" i="21"/>
  <c r="AQ120" i="21" s="1"/>
  <c r="AV188" i="21"/>
  <c r="AV186" i="21"/>
  <c r="AJ61" i="6"/>
  <c r="AM25" i="6"/>
  <c r="AY228" i="21"/>
  <c r="AY226" i="21"/>
  <c r="AR121" i="28"/>
  <c r="AR123" i="28"/>
  <c r="AH41" i="21"/>
  <c r="AH43" i="21"/>
  <c r="AW193" i="21"/>
  <c r="AW191" i="21"/>
  <c r="AT172" i="28"/>
  <c r="AT170" i="28" s="1"/>
  <c r="AS127" i="28"/>
  <c r="AS125" i="28" s="1"/>
  <c r="A140" i="1"/>
  <c r="B140" i="1"/>
  <c r="BB141" i="1"/>
  <c r="BA256" i="28"/>
  <c r="BA258" i="28"/>
  <c r="AA94" i="6"/>
  <c r="AM71" i="21"/>
  <c r="AM73" i="21"/>
  <c r="BA236" i="21"/>
  <c r="BA238" i="21"/>
  <c r="Y169" i="6"/>
  <c r="AW207" i="28"/>
  <c r="AW205" i="28" s="1"/>
  <c r="AL68" i="28"/>
  <c r="AL66" i="28"/>
  <c r="AZ257" i="21"/>
  <c r="AZ255" i="21" s="1"/>
  <c r="AN92" i="28"/>
  <c r="AN90" i="28" s="1"/>
  <c r="AY232" i="21"/>
  <c r="AY230" i="21" s="1"/>
  <c r="Q211" i="6"/>
  <c r="AT167" i="21"/>
  <c r="AT165" i="21" s="1"/>
  <c r="AJ82" i="6"/>
  <c r="AV163" i="21"/>
  <c r="AV161" i="21"/>
  <c r="AQ152" i="28"/>
  <c r="AQ150" i="28" s="1"/>
  <c r="AO96" i="21"/>
  <c r="AO98" i="21"/>
  <c r="A66" i="1"/>
  <c r="B66" i="1"/>
  <c r="BB68" i="1"/>
  <c r="AC127" i="6"/>
  <c r="AJ42" i="6"/>
  <c r="AJ40" i="6"/>
  <c r="AT166" i="28"/>
  <c r="AT168" i="28"/>
  <c r="AJ46" i="21"/>
  <c r="AJ48" i="21"/>
  <c r="AU136" i="28"/>
  <c r="AU138" i="28"/>
  <c r="AK36" i="21"/>
  <c r="AK38" i="21"/>
  <c r="AR108" i="28"/>
  <c r="AR106" i="28"/>
  <c r="AR116" i="21"/>
  <c r="AR118" i="21"/>
  <c r="AO76" i="21"/>
  <c r="AO78" i="21"/>
  <c r="AX231" i="28"/>
  <c r="AX233" i="28"/>
  <c r="AA139" i="6"/>
  <c r="AW183" i="21"/>
  <c r="AW181" i="21"/>
  <c r="AN31" i="6"/>
  <c r="AV201" i="28"/>
  <c r="AV203" i="28"/>
  <c r="H78" i="1"/>
  <c r="H79" i="1" s="1"/>
  <c r="H80" i="1" s="1"/>
  <c r="I78" i="1"/>
  <c r="AT146" i="21"/>
  <c r="AT148" i="21"/>
  <c r="AU173" i="21"/>
  <c r="AU171" i="21"/>
  <c r="AU172" i="21" s="1"/>
  <c r="AU170" i="21" s="1"/>
  <c r="AQ112" i="28"/>
  <c r="AQ110" i="28" s="1"/>
  <c r="AO93" i="21"/>
  <c r="AO91" i="21"/>
  <c r="AB114" i="6"/>
  <c r="AB112" i="6"/>
  <c r="AP97" i="28"/>
  <c r="AP95" i="28" s="1"/>
  <c r="M270" i="6"/>
  <c r="M268" i="6"/>
  <c r="AV176" i="28"/>
  <c r="AV178" i="28"/>
  <c r="AL43" i="28"/>
  <c r="AL41" i="28"/>
  <c r="AJ67" i="6"/>
  <c r="AU191" i="28"/>
  <c r="AU193" i="28"/>
  <c r="AS161" i="28"/>
  <c r="AS163" i="28"/>
  <c r="AN62" i="28"/>
  <c r="AN60" i="28" s="1"/>
  <c r="AD106" i="6"/>
  <c r="AD108" i="6"/>
  <c r="V172" i="6" l="1"/>
  <c r="V199" i="6"/>
  <c r="P229" i="6"/>
  <c r="X190" i="6"/>
  <c r="X192" i="6"/>
  <c r="U187" i="6"/>
  <c r="V184" i="6" s="1"/>
  <c r="K306" i="6"/>
  <c r="K307" i="6" s="1"/>
  <c r="L306" i="6" s="1"/>
  <c r="N318" i="6"/>
  <c r="V27" i="28"/>
  <c r="AB115" i="6"/>
  <c r="AC112" i="6" s="1"/>
  <c r="I19" i="6"/>
  <c r="I313" i="6"/>
  <c r="J310" i="6" s="1"/>
  <c r="AV197" i="21"/>
  <c r="AV195" i="21" s="1"/>
  <c r="AW198" i="21" s="1"/>
  <c r="AM62" i="21"/>
  <c r="AM60" i="21" s="1"/>
  <c r="AN63" i="21" s="1"/>
  <c r="AT138" i="21"/>
  <c r="AT137" i="21" s="1"/>
  <c r="AT135" i="21" s="1"/>
  <c r="AU138" i="21" s="1"/>
  <c r="AW206" i="21"/>
  <c r="AW207" i="21" s="1"/>
  <c r="AW205" i="21" s="1"/>
  <c r="AW202" i="21"/>
  <c r="AW200" i="21" s="1"/>
  <c r="AX203" i="21" s="1"/>
  <c r="AO101" i="21"/>
  <c r="AO102" i="21" s="1"/>
  <c r="AO100" i="21" s="1"/>
  <c r="BA248" i="28"/>
  <c r="BA247" i="28" s="1"/>
  <c r="BA245" i="28" s="1"/>
  <c r="AN86" i="21"/>
  <c r="AN87" i="21" s="1"/>
  <c r="AN85" i="21" s="1"/>
  <c r="X25" i="21"/>
  <c r="Y28" i="21" s="1"/>
  <c r="Y4" i="21" s="1"/>
  <c r="Z74" i="1" s="1"/>
  <c r="AQ113" i="21"/>
  <c r="AQ112" i="21" s="1"/>
  <c r="AQ110" i="21" s="1"/>
  <c r="AM53" i="28"/>
  <c r="AM52" i="28" s="1"/>
  <c r="AM50" i="28" s="1"/>
  <c r="BA253" i="21"/>
  <c r="BA252" i="21" s="1"/>
  <c r="BA250" i="21" s="1"/>
  <c r="AW217" i="21"/>
  <c r="AW215" i="21" s="1"/>
  <c r="AX216" i="21" s="1"/>
  <c r="AY226" i="28"/>
  <c r="AY227" i="28" s="1"/>
  <c r="AY225" i="28" s="1"/>
  <c r="AT157" i="21"/>
  <c r="AT155" i="21" s="1"/>
  <c r="AK47" i="28"/>
  <c r="AK45" i="28" s="1"/>
  <c r="AL48" i="28" s="1"/>
  <c r="AO82" i="21"/>
  <c r="AO80" i="21" s="1"/>
  <c r="BA241" i="21"/>
  <c r="BA242" i="21" s="1"/>
  <c r="BA240" i="21" s="1"/>
  <c r="AO102" i="28"/>
  <c r="AO100" i="28" s="1"/>
  <c r="AP101" i="28" s="1"/>
  <c r="AO76" i="28"/>
  <c r="AO78" i="28"/>
  <c r="AQ133" i="21"/>
  <c r="AQ132" i="21" s="1"/>
  <c r="AQ130" i="21" s="1"/>
  <c r="AY227" i="21"/>
  <c r="AY225" i="21" s="1"/>
  <c r="AZ228" i="21" s="1"/>
  <c r="AX213" i="21"/>
  <c r="AX212" i="21" s="1"/>
  <c r="AX210" i="21" s="1"/>
  <c r="BA237" i="21"/>
  <c r="BA235" i="21" s="1"/>
  <c r="AM72" i="21"/>
  <c r="AM70" i="21" s="1"/>
  <c r="AN71" i="21" s="1"/>
  <c r="AY222" i="21"/>
  <c r="AY220" i="21" s="1"/>
  <c r="AZ223" i="21" s="1"/>
  <c r="AP108" i="21"/>
  <c r="AP107" i="21" s="1"/>
  <c r="AP105" i="21" s="1"/>
  <c r="AQ108" i="21" s="1"/>
  <c r="AM58" i="28"/>
  <c r="AM56" i="28"/>
  <c r="Y143" i="1"/>
  <c r="Y14" i="25"/>
  <c r="AR117" i="21"/>
  <c r="AR115" i="21" s="1"/>
  <c r="AS116" i="21" s="1"/>
  <c r="AJ47" i="21"/>
  <c r="AJ45" i="21" s="1"/>
  <c r="AK46" i="21" s="1"/>
  <c r="AJ33" i="21"/>
  <c r="AJ32" i="21" s="1"/>
  <c r="AJ30" i="21" s="1"/>
  <c r="AV176" i="21"/>
  <c r="AV178" i="21"/>
  <c r="AO97" i="21"/>
  <c r="AO95" i="21" s="1"/>
  <c r="AP96" i="21" s="1"/>
  <c r="AR127" i="21"/>
  <c r="AR125" i="21" s="1"/>
  <c r="AS126" i="21" s="1"/>
  <c r="AT147" i="21"/>
  <c r="AT145" i="21" s="1"/>
  <c r="AU148" i="21" s="1"/>
  <c r="AP88" i="28"/>
  <c r="AP87" i="28" s="1"/>
  <c r="AP85" i="28" s="1"/>
  <c r="AQ86" i="28" s="1"/>
  <c r="AJ67" i="21"/>
  <c r="AJ65" i="21" s="1"/>
  <c r="AV162" i="21"/>
  <c r="AV160" i="21" s="1"/>
  <c r="AW163" i="21" s="1"/>
  <c r="AK58" i="21"/>
  <c r="AK56" i="21"/>
  <c r="X180" i="6"/>
  <c r="X181" i="6" s="1"/>
  <c r="AR81" i="28"/>
  <c r="AR82" i="28" s="1"/>
  <c r="AR80" i="28" s="1"/>
  <c r="AS83" i="28" s="1"/>
  <c r="O246" i="6"/>
  <c r="O247" i="6" s="1"/>
  <c r="P244" i="6" s="1"/>
  <c r="AG100" i="6"/>
  <c r="AG103" i="6" s="1"/>
  <c r="N262" i="6"/>
  <c r="N265" i="6" s="1"/>
  <c r="O264" i="6" s="1"/>
  <c r="AT182" i="28"/>
  <c r="AT180" i="28" s="1"/>
  <c r="Z148" i="6"/>
  <c r="Z151" i="6" s="1"/>
  <c r="AA150" i="6" s="1"/>
  <c r="P235" i="6"/>
  <c r="AX217" i="28"/>
  <c r="AX215" i="28" s="1"/>
  <c r="AY216" i="28" s="1"/>
  <c r="AT143" i="28"/>
  <c r="AT141" i="28"/>
  <c r="V186" i="6"/>
  <c r="V187" i="6" s="1"/>
  <c r="AX213" i="28"/>
  <c r="AX212" i="28" s="1"/>
  <c r="AX210" i="28" s="1"/>
  <c r="AA160" i="6"/>
  <c r="AA163" i="6" s="1"/>
  <c r="AB160" i="6" s="1"/>
  <c r="AQ38" i="28"/>
  <c r="AQ37" i="28" s="1"/>
  <c r="AQ35" i="28" s="1"/>
  <c r="M253" i="6"/>
  <c r="Q226" i="6"/>
  <c r="Q228" i="6"/>
  <c r="N286" i="6"/>
  <c r="N289" i="6" s="1"/>
  <c r="O288" i="6" s="1"/>
  <c r="AO72" i="28"/>
  <c r="AO70" i="28" s="1"/>
  <c r="AP71" i="28" s="1"/>
  <c r="S223" i="6"/>
  <c r="M271" i="6"/>
  <c r="N270" i="6" s="1"/>
  <c r="R238" i="6"/>
  <c r="R241" i="6" s="1"/>
  <c r="S238" i="6" s="1"/>
  <c r="M274" i="6"/>
  <c r="M277" i="6" s="1"/>
  <c r="N276" i="6" s="1"/>
  <c r="U202" i="6"/>
  <c r="U205" i="6" s="1"/>
  <c r="V204" i="6" s="1"/>
  <c r="AW198" i="28"/>
  <c r="AW197" i="28" s="1"/>
  <c r="AW195" i="28" s="1"/>
  <c r="AW188" i="28"/>
  <c r="AW186" i="28"/>
  <c r="AX232" i="28"/>
  <c r="AX230" i="28" s="1"/>
  <c r="AY233" i="28" s="1"/>
  <c r="AX222" i="28"/>
  <c r="AX220" i="28" s="1"/>
  <c r="AY221" i="28" s="1"/>
  <c r="U214" i="6"/>
  <c r="U217" i="6" s="1"/>
  <c r="V216" i="6" s="1"/>
  <c r="AD132" i="6"/>
  <c r="AD133" i="6" s="1"/>
  <c r="AF118" i="6"/>
  <c r="AF121" i="6" s="1"/>
  <c r="J79" i="1"/>
  <c r="J80" i="1" s="1"/>
  <c r="J81" i="1" s="1"/>
  <c r="J88" i="1" s="1"/>
  <c r="AJ85" i="6"/>
  <c r="AK84" i="6" s="1"/>
  <c r="Z157" i="6"/>
  <c r="K298" i="6"/>
  <c r="K301" i="6" s="1"/>
  <c r="L298" i="6" s="1"/>
  <c r="AJ48" i="6"/>
  <c r="AJ46" i="6"/>
  <c r="AU157" i="28"/>
  <c r="AU155" i="28" s="1"/>
  <c r="K280" i="6"/>
  <c r="K283" i="6" s="1"/>
  <c r="AL67" i="28"/>
  <c r="AL65" i="28" s="1"/>
  <c r="AR132" i="28"/>
  <c r="AR130" i="28" s="1"/>
  <c r="AS133" i="28" s="1"/>
  <c r="N319" i="6"/>
  <c r="O316" i="6" s="1"/>
  <c r="AQ32" i="28"/>
  <c r="AQ30" i="28" s="1"/>
  <c r="AV171" i="21"/>
  <c r="AV173" i="21"/>
  <c r="F97" i="1"/>
  <c r="F96" i="1"/>
  <c r="F94" i="1"/>
  <c r="F98" i="1"/>
  <c r="W198" i="6"/>
  <c r="W196" i="6"/>
  <c r="AA97" i="6"/>
  <c r="AQ96" i="28"/>
  <c r="AQ98" i="28"/>
  <c r="AH42" i="21"/>
  <c r="AH40" i="21" s="1"/>
  <c r="K295" i="6"/>
  <c r="AR152" i="21"/>
  <c r="AR150" i="21" s="1"/>
  <c r="R210" i="6"/>
  <c r="R208" i="6"/>
  <c r="Z166" i="6"/>
  <c r="Z168" i="6"/>
  <c r="AL53" i="21"/>
  <c r="AL51" i="21"/>
  <c r="AK64" i="6"/>
  <c r="AK66" i="6"/>
  <c r="I79" i="1"/>
  <c r="I80" i="1" s="1"/>
  <c r="I81" i="1" s="1"/>
  <c r="AW182" i="21"/>
  <c r="AW180" i="21" s="1"/>
  <c r="AK37" i="21"/>
  <c r="AK35" i="21" s="1"/>
  <c r="AT126" i="28"/>
  <c r="AT128" i="28"/>
  <c r="AW192" i="21"/>
  <c r="AW190" i="21" s="1"/>
  <c r="AN24" i="6"/>
  <c r="AN22" i="6"/>
  <c r="N256" i="6"/>
  <c r="N258" i="6"/>
  <c r="AT141" i="21"/>
  <c r="AT143" i="21"/>
  <c r="AI73" i="6"/>
  <c r="AT147" i="28"/>
  <c r="AT145" i="28" s="1"/>
  <c r="AW196" i="21"/>
  <c r="AO93" i="28"/>
  <c r="AO91" i="28"/>
  <c r="BA256" i="21"/>
  <c r="BA258" i="21"/>
  <c r="AH88" i="6"/>
  <c r="AH90" i="6"/>
  <c r="H81" i="1"/>
  <c r="A68" i="1"/>
  <c r="B68" i="1"/>
  <c r="BA257" i="28"/>
  <c r="BA255" i="28" s="1"/>
  <c r="AK58" i="6"/>
  <c r="AK60" i="6"/>
  <c r="AR121" i="21"/>
  <c r="AR123" i="21"/>
  <c r="AM54" i="6"/>
  <c r="AM52" i="6"/>
  <c r="AR111" i="28"/>
  <c r="AR113" i="28"/>
  <c r="AR116" i="28"/>
  <c r="AR118" i="28"/>
  <c r="AT167" i="28"/>
  <c r="AT165" i="28" s="1"/>
  <c r="AR151" i="28"/>
  <c r="AR153" i="28"/>
  <c r="AR122" i="28"/>
  <c r="AR120" i="28" s="1"/>
  <c r="AO28" i="6"/>
  <c r="AO30" i="6"/>
  <c r="AU166" i="21"/>
  <c r="AU168" i="21"/>
  <c r="AV177" i="28"/>
  <c r="AV175" i="28" s="1"/>
  <c r="AD109" i="6"/>
  <c r="AU192" i="28"/>
  <c r="AU190" i="28" s="1"/>
  <c r="AO92" i="21"/>
  <c r="AO90" i="21" s="1"/>
  <c r="AD142" i="6"/>
  <c r="AD144" i="6"/>
  <c r="AX206" i="28"/>
  <c r="AX208" i="28"/>
  <c r="BB9" i="25"/>
  <c r="A141" i="1"/>
  <c r="B141" i="1"/>
  <c r="AU171" i="28"/>
  <c r="AU173" i="28"/>
  <c r="AZ237" i="28"/>
  <c r="AZ235" i="28" s="1"/>
  <c r="AM34" i="6"/>
  <c r="AM36" i="6"/>
  <c r="AZ233" i="21"/>
  <c r="AZ231" i="21"/>
  <c r="AK78" i="6"/>
  <c r="AK76" i="6"/>
  <c r="AS162" i="28"/>
  <c r="AS160" i="28" s="1"/>
  <c r="AO77" i="21"/>
  <c r="AO75" i="21" s="1"/>
  <c r="AD124" i="6"/>
  <c r="AD126" i="6"/>
  <c r="F90" i="1"/>
  <c r="G86" i="1" s="1"/>
  <c r="G89" i="1" s="1"/>
  <c r="G92" i="1" s="1"/>
  <c r="AB138" i="6"/>
  <c r="AB136" i="6"/>
  <c r="V175" i="6"/>
  <c r="AC114" i="6"/>
  <c r="AV202" i="28"/>
  <c r="AV200" i="28" s="1"/>
  <c r="AU137" i="28"/>
  <c r="AU135" i="28" s="1"/>
  <c r="AO63" i="28"/>
  <c r="AO61" i="28"/>
  <c r="AL42" i="28"/>
  <c r="AL40" i="28" s="1"/>
  <c r="AR107" i="28"/>
  <c r="AR105" i="28" s="1"/>
  <c r="AJ43" i="6"/>
  <c r="AV187" i="21"/>
  <c r="AV185" i="21" s="1"/>
  <c r="AB162" i="6" l="1"/>
  <c r="X193" i="6"/>
  <c r="Y190" i="6" s="1"/>
  <c r="J312" i="6"/>
  <c r="J18" i="6" s="1"/>
  <c r="K70" i="1" s="1"/>
  <c r="K72" i="1" s="1"/>
  <c r="AK82" i="6"/>
  <c r="V275" i="28"/>
  <c r="V25" i="28"/>
  <c r="X22" i="21"/>
  <c r="AA148" i="6"/>
  <c r="AA151" i="6" s="1"/>
  <c r="AN61" i="21"/>
  <c r="AN62" i="21" s="1"/>
  <c r="AN60" i="21" s="1"/>
  <c r="AO63" i="21" s="1"/>
  <c r="AX201" i="21"/>
  <c r="AX202" i="21" s="1"/>
  <c r="AX200" i="21" s="1"/>
  <c r="AY201" i="21" s="1"/>
  <c r="AZ221" i="21"/>
  <c r="AZ222" i="21" s="1"/>
  <c r="AZ220" i="21" s="1"/>
  <c r="Y26" i="21"/>
  <c r="Y27" i="21" s="1"/>
  <c r="Y25" i="21" s="1"/>
  <c r="AX218" i="21"/>
  <c r="AX217" i="21" s="1"/>
  <c r="AX215" i="21" s="1"/>
  <c r="AY231" i="28"/>
  <c r="AY232" i="28" s="1"/>
  <c r="AY230" i="28" s="1"/>
  <c r="AQ88" i="28"/>
  <c r="AQ87" i="28" s="1"/>
  <c r="AQ85" i="28" s="1"/>
  <c r="AR88" i="28" s="1"/>
  <c r="AP98" i="21"/>
  <c r="AP97" i="21" s="1"/>
  <c r="AP95" i="21" s="1"/>
  <c r="AS118" i="21"/>
  <c r="AS117" i="21" s="1"/>
  <c r="AS115" i="21" s="1"/>
  <c r="AT118" i="21" s="1"/>
  <c r="AL46" i="28"/>
  <c r="AL47" i="28" s="1"/>
  <c r="AL45" i="28" s="1"/>
  <c r="AN73" i="21"/>
  <c r="AN72" i="21" s="1"/>
  <c r="AN70" i="21" s="1"/>
  <c r="AO73" i="21" s="1"/>
  <c r="AK57" i="21"/>
  <c r="AK55" i="21" s="1"/>
  <c r="AL56" i="21" s="1"/>
  <c r="AS128" i="21"/>
  <c r="AS127" i="21" s="1"/>
  <c r="AS125" i="21" s="1"/>
  <c r="AP103" i="28"/>
  <c r="AP102" i="28" s="1"/>
  <c r="AP100" i="28" s="1"/>
  <c r="AQ101" i="28" s="1"/>
  <c r="AK48" i="21"/>
  <c r="AW161" i="21"/>
  <c r="AW162" i="21" s="1"/>
  <c r="AW160" i="21" s="1"/>
  <c r="AM57" i="28"/>
  <c r="AM55" i="28" s="1"/>
  <c r="AN58" i="28" s="1"/>
  <c r="J313" i="6"/>
  <c r="K310" i="6" s="1"/>
  <c r="AU136" i="21"/>
  <c r="AU137" i="21" s="1"/>
  <c r="AU135" i="21" s="1"/>
  <c r="AU158" i="21"/>
  <c r="AU156" i="21"/>
  <c r="AV172" i="21"/>
  <c r="AV170" i="21" s="1"/>
  <c r="AW173" i="21" s="1"/>
  <c r="AO77" i="28"/>
  <c r="AO75" i="28" s="1"/>
  <c r="AP78" i="28" s="1"/>
  <c r="AP83" i="21"/>
  <c r="AP81" i="21"/>
  <c r="O286" i="6"/>
  <c r="O289" i="6" s="1"/>
  <c r="AW187" i="28"/>
  <c r="AW185" i="28" s="1"/>
  <c r="AX188" i="28" s="1"/>
  <c r="AR131" i="21"/>
  <c r="AR133" i="21"/>
  <c r="AZ226" i="21"/>
  <c r="AZ227" i="21" s="1"/>
  <c r="AZ225" i="21" s="1"/>
  <c r="AK47" i="21"/>
  <c r="AK45" i="21" s="1"/>
  <c r="AU146" i="21"/>
  <c r="AU147" i="21" s="1"/>
  <c r="AU145" i="21" s="1"/>
  <c r="AV146" i="21" s="1"/>
  <c r="AK66" i="21"/>
  <c r="AK68" i="21"/>
  <c r="AQ106" i="21"/>
  <c r="AQ107" i="21" s="1"/>
  <c r="AQ105" i="21" s="1"/>
  <c r="AR106" i="21" s="1"/>
  <c r="AT142" i="28"/>
  <c r="AT140" i="28" s="1"/>
  <c r="AU143" i="28" s="1"/>
  <c r="Z27" i="25"/>
  <c r="Z40" i="25" s="1"/>
  <c r="Z144" i="1"/>
  <c r="Z39" i="25"/>
  <c r="Z13" i="25"/>
  <c r="AV177" i="21"/>
  <c r="AV175" i="21" s="1"/>
  <c r="BA257" i="21"/>
  <c r="BA255" i="21" s="1"/>
  <c r="Y142" i="1"/>
  <c r="Y38" i="25"/>
  <c r="Y36" i="25" s="1"/>
  <c r="Y48" i="25" s="1"/>
  <c r="AH100" i="6"/>
  <c r="AH102" i="6"/>
  <c r="Q232" i="6"/>
  <c r="Q234" i="6"/>
  <c r="AY218" i="28"/>
  <c r="AY217" i="28" s="1"/>
  <c r="AY215" i="28" s="1"/>
  <c r="O262" i="6"/>
  <c r="O265" i="6" s="1"/>
  <c r="P264" i="6" s="1"/>
  <c r="AU181" i="28"/>
  <c r="AU183" i="28"/>
  <c r="AS81" i="28"/>
  <c r="AS82" i="28" s="1"/>
  <c r="AS80" i="28" s="1"/>
  <c r="AS131" i="28"/>
  <c r="AS132" i="28" s="1"/>
  <c r="AS130" i="28" s="1"/>
  <c r="AP73" i="28"/>
  <c r="AP72" i="28" s="1"/>
  <c r="AP70" i="28" s="1"/>
  <c r="AQ73" i="28" s="1"/>
  <c r="T222" i="6"/>
  <c r="T220" i="6"/>
  <c r="N250" i="6"/>
  <c r="N252" i="6"/>
  <c r="N253" i="6" s="1"/>
  <c r="N274" i="6"/>
  <c r="N277" i="6" s="1"/>
  <c r="O276" i="6" s="1"/>
  <c r="V214" i="6"/>
  <c r="V217" i="6" s="1"/>
  <c r="N268" i="6"/>
  <c r="N271" i="6" s="1"/>
  <c r="O270" i="6" s="1"/>
  <c r="S240" i="6"/>
  <c r="S241" i="6" s="1"/>
  <c r="Q229" i="6"/>
  <c r="AB139" i="6"/>
  <c r="AC136" i="6" s="1"/>
  <c r="P246" i="6"/>
  <c r="P247" i="6" s="1"/>
  <c r="AN25" i="6"/>
  <c r="AO22" i="6" s="1"/>
  <c r="AT127" i="28"/>
  <c r="AT125" i="28" s="1"/>
  <c r="AU128" i="28" s="1"/>
  <c r="P85" i="1"/>
  <c r="J87" i="1"/>
  <c r="V202" i="6"/>
  <c r="V205" i="6" s="1"/>
  <c r="W202" i="6" s="1"/>
  <c r="AR112" i="28"/>
  <c r="AR110" i="28" s="1"/>
  <c r="AS113" i="28" s="1"/>
  <c r="L304" i="6"/>
  <c r="L307" i="6" s="1"/>
  <c r="M304" i="6" s="1"/>
  <c r="L300" i="6"/>
  <c r="L301" i="6" s="1"/>
  <c r="O318" i="6"/>
  <c r="O319" i="6" s="1"/>
  <c r="AM66" i="28"/>
  <c r="AM68" i="28"/>
  <c r="AA154" i="6"/>
  <c r="AA156" i="6"/>
  <c r="AD145" i="6"/>
  <c r="AE142" i="6" s="1"/>
  <c r="AR117" i="28"/>
  <c r="AR115" i="28" s="1"/>
  <c r="AS116" i="28" s="1"/>
  <c r="AY223" i="28"/>
  <c r="AY222" i="28" s="1"/>
  <c r="AY220" i="28" s="1"/>
  <c r="R211" i="6"/>
  <c r="S208" i="6" s="1"/>
  <c r="AV158" i="28"/>
  <c r="AV156" i="28"/>
  <c r="AU172" i="28"/>
  <c r="AU170" i="28" s="1"/>
  <c r="AV171" i="28" s="1"/>
  <c r="AR33" i="28"/>
  <c r="AR31" i="28"/>
  <c r="AJ49" i="6"/>
  <c r="W186" i="6"/>
  <c r="W184" i="6"/>
  <c r="AI41" i="21"/>
  <c r="AI43" i="21"/>
  <c r="AW171" i="21"/>
  <c r="B9" i="25"/>
  <c r="A9" i="25"/>
  <c r="AH73" i="9" s="1"/>
  <c r="AS106" i="28"/>
  <c r="AS108" i="28"/>
  <c r="AO62" i="28"/>
  <c r="AO60" i="28" s="1"/>
  <c r="AP76" i="21"/>
  <c r="AP78" i="21"/>
  <c r="AO86" i="21"/>
  <c r="AO88" i="21"/>
  <c r="AX191" i="21"/>
  <c r="AX193" i="21"/>
  <c r="AX183" i="21"/>
  <c r="AX181" i="21"/>
  <c r="G90" i="1"/>
  <c r="H86" i="1" s="1"/>
  <c r="AZ232" i="21"/>
  <c r="AZ230" i="21" s="1"/>
  <c r="AX208" i="21"/>
  <c r="AX206" i="21"/>
  <c r="L282" i="6"/>
  <c r="L280" i="6"/>
  <c r="AO31" i="6"/>
  <c r="AR122" i="21"/>
  <c r="AR120" i="21" s="1"/>
  <c r="K312" i="6"/>
  <c r="K18" i="6" s="1"/>
  <c r="L70" i="1" s="1"/>
  <c r="L72" i="1" s="1"/>
  <c r="L76" i="1" s="1"/>
  <c r="AT142" i="21"/>
  <c r="AT140" i="21" s="1"/>
  <c r="I88" i="1"/>
  <c r="I87" i="1"/>
  <c r="O85" i="1"/>
  <c r="AL52" i="21"/>
  <c r="AL50" i="21" s="1"/>
  <c r="L294" i="6"/>
  <c r="L292" i="6"/>
  <c r="F26" i="25"/>
  <c r="F8" i="25"/>
  <c r="F125" i="1"/>
  <c r="AW176" i="28"/>
  <c r="AW178" i="28"/>
  <c r="AG118" i="6"/>
  <c r="AG120" i="6"/>
  <c r="AT161" i="28"/>
  <c r="AT163" i="28"/>
  <c r="AP93" i="21"/>
  <c r="AP91" i="21"/>
  <c r="AZ228" i="28"/>
  <c r="AZ226" i="28"/>
  <c r="AR36" i="28"/>
  <c r="AR38" i="28"/>
  <c r="Y178" i="6"/>
  <c r="Y180" i="6"/>
  <c r="AK31" i="21"/>
  <c r="AK33" i="21"/>
  <c r="AU166" i="28"/>
  <c r="AU168" i="28"/>
  <c r="AW186" i="21"/>
  <c r="AW188" i="21"/>
  <c r="AV136" i="28"/>
  <c r="AV138" i="28"/>
  <c r="AM37" i="6"/>
  <c r="AX207" i="28"/>
  <c r="AX205" i="28" s="1"/>
  <c r="AE130" i="6"/>
  <c r="AE132" i="6"/>
  <c r="AM55" i="6"/>
  <c r="H87" i="1"/>
  <c r="H88" i="1"/>
  <c r="N85" i="1"/>
  <c r="AW197" i="21"/>
  <c r="AW195" i="21" s="1"/>
  <c r="AK67" i="6"/>
  <c r="Z169" i="6"/>
  <c r="AQ97" i="28"/>
  <c r="AQ95" i="28" s="1"/>
  <c r="AK85" i="6"/>
  <c r="F28" i="25"/>
  <c r="F126" i="1"/>
  <c r="F15" i="25"/>
  <c r="BA236" i="28"/>
  <c r="BA238" i="28"/>
  <c r="AR152" i="28"/>
  <c r="AR150" i="28" s="1"/>
  <c r="N259" i="6"/>
  <c r="AK40" i="6"/>
  <c r="AK42" i="6"/>
  <c r="AW201" i="28"/>
  <c r="AW203" i="28"/>
  <c r="AS121" i="28"/>
  <c r="AS123" i="28"/>
  <c r="AO92" i="28"/>
  <c r="AO90" i="28" s="1"/>
  <c r="AJ72" i="6"/>
  <c r="AJ70" i="6"/>
  <c r="AL38" i="21"/>
  <c r="AL36" i="21"/>
  <c r="AY213" i="21"/>
  <c r="AY211" i="21"/>
  <c r="AB96" i="6"/>
  <c r="AB94" i="6"/>
  <c r="G97" i="1"/>
  <c r="G94" i="1"/>
  <c r="G96" i="1"/>
  <c r="G98" i="1"/>
  <c r="AY211" i="28"/>
  <c r="AY213" i="28"/>
  <c r="AP103" i="21"/>
  <c r="AP101" i="21"/>
  <c r="AX198" i="28"/>
  <c r="AX196" i="28"/>
  <c r="AK61" i="6"/>
  <c r="AU146" i="28"/>
  <c r="AU148" i="28"/>
  <c r="W174" i="6"/>
  <c r="W172" i="6"/>
  <c r="AV191" i="28"/>
  <c r="AV193" i="28"/>
  <c r="AR111" i="21"/>
  <c r="AR113" i="21"/>
  <c r="AM41" i="28"/>
  <c r="AM43" i="28"/>
  <c r="AC115" i="6"/>
  <c r="AD127" i="6"/>
  <c r="AK79" i="6"/>
  <c r="AE106" i="6"/>
  <c r="AE108" i="6"/>
  <c r="AU167" i="21"/>
  <c r="AU165" i="21" s="1"/>
  <c r="AB163" i="6"/>
  <c r="AH91" i="6"/>
  <c r="AN53" i="28"/>
  <c r="AN51" i="28"/>
  <c r="AS151" i="21"/>
  <c r="AS153" i="21"/>
  <c r="W199" i="6"/>
  <c r="K76" i="1"/>
  <c r="Y192" i="6" l="1"/>
  <c r="Y193" i="6" s="1"/>
  <c r="J19" i="6"/>
  <c r="W26" i="28"/>
  <c r="V22" i="28"/>
  <c r="W28" i="28"/>
  <c r="W4" i="28" s="1"/>
  <c r="AO61" i="21"/>
  <c r="AO62" i="21" s="1"/>
  <c r="AO60" i="21" s="1"/>
  <c r="AH103" i="6"/>
  <c r="AI100" i="6" s="1"/>
  <c r="O268" i="6"/>
  <c r="AY203" i="21"/>
  <c r="AY202" i="21" s="1"/>
  <c r="AY200" i="21" s="1"/>
  <c r="AZ203" i="21" s="1"/>
  <c r="AP82" i="21"/>
  <c r="AP80" i="21" s="1"/>
  <c r="AQ83" i="21" s="1"/>
  <c r="Y275" i="21"/>
  <c r="Z14" i="25" s="1"/>
  <c r="AX207" i="21"/>
  <c r="AX205" i="21" s="1"/>
  <c r="AY206" i="21" s="1"/>
  <c r="AQ103" i="28"/>
  <c r="AQ102" i="28" s="1"/>
  <c r="AQ100" i="28" s="1"/>
  <c r="AP63" i="21"/>
  <c r="AP61" i="21"/>
  <c r="AL58" i="21"/>
  <c r="AL57" i="21" s="1"/>
  <c r="AL55" i="21" s="1"/>
  <c r="AY212" i="21"/>
  <c r="AY210" i="21" s="1"/>
  <c r="AZ213" i="21" s="1"/>
  <c r="AX186" i="28"/>
  <c r="AX187" i="28" s="1"/>
  <c r="AX185" i="28" s="1"/>
  <c r="AN56" i="28"/>
  <c r="AN57" i="28" s="1"/>
  <c r="AN55" i="28" s="1"/>
  <c r="AT116" i="21"/>
  <c r="AT117" i="21" s="1"/>
  <c r="AT115" i="21" s="1"/>
  <c r="AU116" i="21" s="1"/>
  <c r="AV136" i="21"/>
  <c r="AV138" i="21"/>
  <c r="AP92" i="21"/>
  <c r="AP90" i="21" s="1"/>
  <c r="AQ91" i="21" s="1"/>
  <c r="AU182" i="28"/>
  <c r="AU180" i="28" s="1"/>
  <c r="AV181" i="28" s="1"/>
  <c r="AV148" i="21"/>
  <c r="AV147" i="21" s="1"/>
  <c r="AV145" i="21" s="1"/>
  <c r="AW148" i="21" s="1"/>
  <c r="AU157" i="21"/>
  <c r="AU155" i="21" s="1"/>
  <c r="AV156" i="21" s="1"/>
  <c r="AX182" i="21"/>
  <c r="AX180" i="21" s="1"/>
  <c r="AY183" i="21" s="1"/>
  <c r="AR108" i="21"/>
  <c r="AR107" i="21" s="1"/>
  <c r="AR105" i="21" s="1"/>
  <c r="AP76" i="28"/>
  <c r="AP77" i="28" s="1"/>
  <c r="AP75" i="28" s="1"/>
  <c r="AQ76" i="28" s="1"/>
  <c r="AX197" i="28"/>
  <c r="AX195" i="28" s="1"/>
  <c r="AY196" i="28" s="1"/>
  <c r="AS111" i="28"/>
  <c r="AS112" i="28" s="1"/>
  <c r="AS110" i="28" s="1"/>
  <c r="O274" i="6"/>
  <c r="O277" i="6" s="1"/>
  <c r="P274" i="6" s="1"/>
  <c r="P262" i="6"/>
  <c r="P265" i="6" s="1"/>
  <c r="Q262" i="6" s="1"/>
  <c r="AU141" i="28"/>
  <c r="AU142" i="28" s="1"/>
  <c r="AU140" i="28" s="1"/>
  <c r="AL46" i="21"/>
  <c r="AL48" i="21"/>
  <c r="H89" i="1"/>
  <c r="H92" i="1" s="1"/>
  <c r="H96" i="1" s="1"/>
  <c r="AK67" i="21"/>
  <c r="AK65" i="21" s="1"/>
  <c r="AL66" i="21" s="1"/>
  <c r="AR132" i="21"/>
  <c r="AR130" i="21" s="1"/>
  <c r="AI42" i="21"/>
  <c r="AI40" i="21" s="1"/>
  <c r="AJ43" i="21" s="1"/>
  <c r="AU126" i="28"/>
  <c r="AU127" i="28" s="1"/>
  <c r="AU125" i="28" s="1"/>
  <c r="AO71" i="21"/>
  <c r="AO72" i="21" s="1"/>
  <c r="AO70" i="21" s="1"/>
  <c r="AP71" i="21" s="1"/>
  <c r="AW176" i="21"/>
  <c r="AW178" i="21"/>
  <c r="Z26" i="21"/>
  <c r="Y22" i="21"/>
  <c r="Z28" i="21"/>
  <c r="Z4" i="21" s="1"/>
  <c r="AA74" i="1" s="1"/>
  <c r="Z143" i="1"/>
  <c r="AY218" i="21"/>
  <c r="AY216" i="21"/>
  <c r="AR112" i="21"/>
  <c r="AR110" i="21" s="1"/>
  <c r="AS113" i="21" s="1"/>
  <c r="AP102" i="21"/>
  <c r="AP100" i="21" s="1"/>
  <c r="AQ101" i="21" s="1"/>
  <c r="AZ216" i="28"/>
  <c r="AZ218" i="28"/>
  <c r="Z192" i="6"/>
  <c r="Z190" i="6"/>
  <c r="Q235" i="6"/>
  <c r="AC138" i="6"/>
  <c r="AC139" i="6" s="1"/>
  <c r="W187" i="6"/>
  <c r="X184" i="6" s="1"/>
  <c r="L283" i="6"/>
  <c r="M280" i="6" s="1"/>
  <c r="AQ71" i="28"/>
  <c r="AQ72" i="28" s="1"/>
  <c r="AQ70" i="28" s="1"/>
  <c r="AM46" i="28"/>
  <c r="AM48" i="28"/>
  <c r="AJ73" i="6"/>
  <c r="AK70" i="6" s="1"/>
  <c r="T238" i="6"/>
  <c r="T240" i="6"/>
  <c r="W204" i="6"/>
  <c r="W205" i="6" s="1"/>
  <c r="AR32" i="28"/>
  <c r="AR30" i="28" s="1"/>
  <c r="AS31" i="28" s="1"/>
  <c r="AT81" i="28"/>
  <c r="AT83" i="28"/>
  <c r="AO24" i="6"/>
  <c r="AO25" i="6" s="1"/>
  <c r="AG121" i="6"/>
  <c r="AH120" i="6" s="1"/>
  <c r="L295" i="6"/>
  <c r="M292" i="6" s="1"/>
  <c r="AV173" i="28"/>
  <c r="AV172" i="28" s="1"/>
  <c r="AV170" i="28" s="1"/>
  <c r="AW171" i="28" s="1"/>
  <c r="AS118" i="28"/>
  <c r="AS117" i="28" s="1"/>
  <c r="AS115" i="28" s="1"/>
  <c r="R228" i="6"/>
  <c r="R226" i="6"/>
  <c r="T223" i="6"/>
  <c r="AR86" i="28"/>
  <c r="AR87" i="28" s="1"/>
  <c r="AR85" i="28" s="1"/>
  <c r="AS88" i="28" s="1"/>
  <c r="O252" i="6"/>
  <c r="O250" i="6"/>
  <c r="AN52" i="28"/>
  <c r="AN50" i="28" s="1"/>
  <c r="AO53" i="28" s="1"/>
  <c r="AZ223" i="28"/>
  <c r="AZ221" i="28"/>
  <c r="S210" i="6"/>
  <c r="S211" i="6" s="1"/>
  <c r="AW177" i="28"/>
  <c r="AW175" i="28" s="1"/>
  <c r="AX178" i="28" s="1"/>
  <c r="AU167" i="28"/>
  <c r="AU165" i="28" s="1"/>
  <c r="AV168" i="28" s="1"/>
  <c r="AE144" i="6"/>
  <c r="AE145" i="6" s="1"/>
  <c r="AF144" i="6" s="1"/>
  <c r="AS107" i="28"/>
  <c r="AS105" i="28" s="1"/>
  <c r="AT106" i="28" s="1"/>
  <c r="AV157" i="28"/>
  <c r="AV155" i="28" s="1"/>
  <c r="BA237" i="28"/>
  <c r="BA235" i="28" s="1"/>
  <c r="M306" i="6"/>
  <c r="M307" i="6" s="1"/>
  <c r="AM67" i="28"/>
  <c r="AM65" i="28" s="1"/>
  <c r="AY212" i="28"/>
  <c r="AY210" i="28" s="1"/>
  <c r="AZ211" i="28" s="1"/>
  <c r="K19" i="6"/>
  <c r="AA157" i="6"/>
  <c r="AS122" i="28"/>
  <c r="AS120" i="28" s="1"/>
  <c r="AT121" i="28" s="1"/>
  <c r="AK46" i="6"/>
  <c r="AK48" i="6"/>
  <c r="AK43" i="6"/>
  <c r="AL40" i="6" s="1"/>
  <c r="AZ227" i="28"/>
  <c r="AZ225" i="28" s="1"/>
  <c r="BA228" i="28" s="1"/>
  <c r="K313" i="6"/>
  <c r="L312" i="6" s="1"/>
  <c r="L18" i="6" s="1"/>
  <c r="G126" i="1"/>
  <c r="G28" i="25"/>
  <c r="G15" i="25"/>
  <c r="P286" i="6"/>
  <c r="P288" i="6"/>
  <c r="AR37" i="28"/>
  <c r="AR35" i="28" s="1"/>
  <c r="AO87" i="21"/>
  <c r="AO85" i="21" s="1"/>
  <c r="AD112" i="6"/>
  <c r="AD114" i="6"/>
  <c r="AL76" i="6"/>
  <c r="AL78" i="6"/>
  <c r="AL37" i="21"/>
  <c r="AL35" i="21" s="1"/>
  <c r="AS151" i="28"/>
  <c r="AS153" i="28"/>
  <c r="AR96" i="28"/>
  <c r="AR98" i="28"/>
  <c r="AN36" i="6"/>
  <c r="AN34" i="6"/>
  <c r="F121" i="1"/>
  <c r="AI88" i="6"/>
  <c r="AI90" i="6"/>
  <c r="AE126" i="6"/>
  <c r="AE124" i="6"/>
  <c r="AB97" i="6"/>
  <c r="BA226" i="21"/>
  <c r="BA228" i="21"/>
  <c r="AX198" i="21"/>
  <c r="AX196" i="21"/>
  <c r="BA221" i="21"/>
  <c r="BA223" i="21"/>
  <c r="AT126" i="21"/>
  <c r="AT128" i="21"/>
  <c r="Y181" i="6"/>
  <c r="AX192" i="21"/>
  <c r="AX190" i="21" s="1"/>
  <c r="AA168" i="6"/>
  <c r="AA166" i="6"/>
  <c r="M300" i="6"/>
  <c r="M298" i="6"/>
  <c r="X196" i="6"/>
  <c r="X198" i="6"/>
  <c r="AZ201" i="21"/>
  <c r="O271" i="6"/>
  <c r="AW202" i="28"/>
  <c r="AW200" i="28" s="1"/>
  <c r="AK32" i="21"/>
  <c r="AK30" i="21" s="1"/>
  <c r="AT131" i="28"/>
  <c r="AT133" i="28"/>
  <c r="AM53" i="21"/>
  <c r="AM51" i="21"/>
  <c r="BA233" i="21"/>
  <c r="BA231" i="21"/>
  <c r="AB150" i="6"/>
  <c r="AB148" i="6"/>
  <c r="AN54" i="6"/>
  <c r="AN52" i="6"/>
  <c r="AC162" i="6"/>
  <c r="AC160" i="6"/>
  <c r="AU143" i="21"/>
  <c r="AU141" i="21"/>
  <c r="AV137" i="28"/>
  <c r="AV135" i="28" s="1"/>
  <c r="AV192" i="28"/>
  <c r="AV190" i="28" s="1"/>
  <c r="AE109" i="6"/>
  <c r="P316" i="6"/>
  <c r="P318" i="6"/>
  <c r="G125" i="1"/>
  <c r="G8" i="25"/>
  <c r="G26" i="25"/>
  <c r="O256" i="6"/>
  <c r="O258" i="6"/>
  <c r="AE133" i="6"/>
  <c r="AX163" i="21"/>
  <c r="AX161" i="21"/>
  <c r="AT162" i="28"/>
  <c r="AT160" i="28" s="1"/>
  <c r="AS123" i="21"/>
  <c r="AS121" i="21"/>
  <c r="AP77" i="21"/>
  <c r="AP75" i="21" s="1"/>
  <c r="AW172" i="21"/>
  <c r="AW170" i="21" s="1"/>
  <c r="K78" i="1"/>
  <c r="K79" i="1" s="1"/>
  <c r="K80" i="1" s="1"/>
  <c r="L78" i="1"/>
  <c r="AV168" i="21"/>
  <c r="AV166" i="21"/>
  <c r="AU147" i="28"/>
  <c r="AU145" i="28" s="1"/>
  <c r="AS152" i="21"/>
  <c r="AS150" i="21" s="1"/>
  <c r="Q244" i="6"/>
  <c r="Q246" i="6"/>
  <c r="AM42" i="28"/>
  <c r="AM40" i="28" s="1"/>
  <c r="W175" i="6"/>
  <c r="AL58" i="6"/>
  <c r="AL60" i="6"/>
  <c r="AP91" i="28"/>
  <c r="AP93" i="28"/>
  <c r="AZ231" i="28"/>
  <c r="AZ233" i="28"/>
  <c r="AL82" i="6"/>
  <c r="AL84" i="6"/>
  <c r="AL64" i="6"/>
  <c r="AL66" i="6"/>
  <c r="AY206" i="28"/>
  <c r="AY208" i="28"/>
  <c r="AW187" i="21"/>
  <c r="AW185" i="21" s="1"/>
  <c r="AQ98" i="21"/>
  <c r="AQ96" i="21"/>
  <c r="AP28" i="6"/>
  <c r="AP30" i="6"/>
  <c r="W216" i="6"/>
  <c r="W214" i="6"/>
  <c r="AP61" i="28"/>
  <c r="AP63" i="28"/>
  <c r="W27" i="28" l="1"/>
  <c r="T241" i="6"/>
  <c r="X186" i="6"/>
  <c r="AH118" i="6"/>
  <c r="AH121" i="6" s="1"/>
  <c r="AI102" i="6"/>
  <c r="AI103" i="6" s="1"/>
  <c r="W25" i="28"/>
  <c r="W275" i="28"/>
  <c r="AQ81" i="21"/>
  <c r="AP62" i="21"/>
  <c r="AP60" i="21" s="1"/>
  <c r="AQ63" i="21" s="1"/>
  <c r="AY208" i="21"/>
  <c r="M301" i="6"/>
  <c r="N298" i="6" s="1"/>
  <c r="M282" i="6"/>
  <c r="AV183" i="28"/>
  <c r="AV182" i="28" s="1"/>
  <c r="AV180" i="28" s="1"/>
  <c r="AW181" i="28" s="1"/>
  <c r="AS122" i="21"/>
  <c r="AS120" i="21" s="1"/>
  <c r="AT123" i="21" s="1"/>
  <c r="AZ222" i="28"/>
  <c r="AZ220" i="28" s="1"/>
  <c r="BA221" i="28" s="1"/>
  <c r="AY217" i="21"/>
  <c r="AY215" i="21" s="1"/>
  <c r="AZ216" i="21" s="1"/>
  <c r="AY181" i="21"/>
  <c r="AY182" i="21" s="1"/>
  <c r="AY180" i="21" s="1"/>
  <c r="AZ181" i="21" s="1"/>
  <c r="AQ93" i="21"/>
  <c r="AQ92" i="21" s="1"/>
  <c r="AQ90" i="21" s="1"/>
  <c r="AQ103" i="21"/>
  <c r="AQ102" i="21" s="1"/>
  <c r="AQ100" i="21" s="1"/>
  <c r="AR101" i="21" s="1"/>
  <c r="AV137" i="21"/>
  <c r="AV135" i="21" s="1"/>
  <c r="AW136" i="21" s="1"/>
  <c r="AZ211" i="21"/>
  <c r="AZ212" i="21" s="1"/>
  <c r="AZ210" i="21" s="1"/>
  <c r="BA211" i="21" s="1"/>
  <c r="AY186" i="28"/>
  <c r="AY188" i="28"/>
  <c r="AU118" i="21"/>
  <c r="AU117" i="21" s="1"/>
  <c r="AU115" i="21" s="1"/>
  <c r="AY198" i="28"/>
  <c r="AY197" i="28" s="1"/>
  <c r="AY195" i="28" s="1"/>
  <c r="AV158" i="21"/>
  <c r="AV157" i="21" s="1"/>
  <c r="AV155" i="21" s="1"/>
  <c r="AW156" i="21" s="1"/>
  <c r="AZ217" i="28"/>
  <c r="AZ215" i="28" s="1"/>
  <c r="BA216" i="28" s="1"/>
  <c r="BA232" i="21"/>
  <c r="BA230" i="21" s="1"/>
  <c r="H98" i="1"/>
  <c r="H126" i="1" s="1"/>
  <c r="AD138" i="6"/>
  <c r="AD136" i="6"/>
  <c r="AX162" i="21"/>
  <c r="AX160" i="21" s="1"/>
  <c r="AY161" i="21" s="1"/>
  <c r="AQ78" i="28"/>
  <c r="AQ77" i="28" s="1"/>
  <c r="AQ75" i="28" s="1"/>
  <c r="AR76" i="28" s="1"/>
  <c r="H97" i="1"/>
  <c r="H8" i="25" s="1"/>
  <c r="AM52" i="21"/>
  <c r="AM50" i="21" s="1"/>
  <c r="AN53" i="21" s="1"/>
  <c r="H94" i="1"/>
  <c r="AQ82" i="21"/>
  <c r="AQ80" i="21" s="1"/>
  <c r="AO56" i="28"/>
  <c r="AO58" i="28"/>
  <c r="AL68" i="21"/>
  <c r="AL67" i="21" s="1"/>
  <c r="AL65" i="21" s="1"/>
  <c r="H90" i="1"/>
  <c r="I86" i="1" s="1"/>
  <c r="I89" i="1" s="1"/>
  <c r="I92" i="1" s="1"/>
  <c r="I94" i="1" s="1"/>
  <c r="AS111" i="21"/>
  <c r="AS112" i="21" s="1"/>
  <c r="AS110" i="21" s="1"/>
  <c r="AT111" i="21" s="1"/>
  <c r="AS131" i="21"/>
  <c r="AS133" i="21"/>
  <c r="AL47" i="21"/>
  <c r="AL45" i="21" s="1"/>
  <c r="AP73" i="21"/>
  <c r="AP72" i="21" s="1"/>
  <c r="AP70" i="21" s="1"/>
  <c r="AQ61" i="21"/>
  <c r="AQ62" i="21" s="1"/>
  <c r="AQ60" i="21" s="1"/>
  <c r="AM56" i="21"/>
  <c r="AM58" i="21"/>
  <c r="Z38" i="25"/>
  <c r="Z36" i="25" s="1"/>
  <c r="Z48" i="25" s="1"/>
  <c r="Z142" i="1"/>
  <c r="AR103" i="28"/>
  <c r="AR101" i="28"/>
  <c r="AW177" i="21"/>
  <c r="AW175" i="21" s="1"/>
  <c r="AA27" i="25"/>
  <c r="AA40" i="25" s="1"/>
  <c r="AA144" i="1"/>
  <c r="AA13" i="25"/>
  <c r="AA39" i="25"/>
  <c r="AW146" i="21"/>
  <c r="AW147" i="21" s="1"/>
  <c r="AW145" i="21" s="1"/>
  <c r="AX146" i="21" s="1"/>
  <c r="AT127" i="21"/>
  <c r="AT125" i="21" s="1"/>
  <c r="AU128" i="21" s="1"/>
  <c r="AJ41" i="21"/>
  <c r="AJ42" i="21" s="1"/>
  <c r="AJ40" i="21" s="1"/>
  <c r="AK41" i="21" s="1"/>
  <c r="BA227" i="21"/>
  <c r="BA225" i="21" s="1"/>
  <c r="AV167" i="21"/>
  <c r="AV165" i="21" s="1"/>
  <c r="AW168" i="21" s="1"/>
  <c r="Z27" i="21"/>
  <c r="AT108" i="28"/>
  <c r="AT107" i="28" s="1"/>
  <c r="AT105" i="28" s="1"/>
  <c r="Z193" i="6"/>
  <c r="M294" i="6"/>
  <c r="M295" i="6" s="1"/>
  <c r="AF142" i="6"/>
  <c r="AF145" i="6" s="1"/>
  <c r="R234" i="6"/>
  <c r="R232" i="6"/>
  <c r="AR71" i="28"/>
  <c r="AR73" i="28"/>
  <c r="AM47" i="28"/>
  <c r="AM45" i="28" s="1"/>
  <c r="AK72" i="6"/>
  <c r="AK73" i="6" s="1"/>
  <c r="AS86" i="28"/>
  <c r="AS87" i="28" s="1"/>
  <c r="AS85" i="28" s="1"/>
  <c r="Q264" i="6"/>
  <c r="Q265" i="6" s="1"/>
  <c r="O253" i="6"/>
  <c r="P252" i="6" s="1"/>
  <c r="AP22" i="6"/>
  <c r="AP24" i="6"/>
  <c r="AT116" i="28"/>
  <c r="AT118" i="28"/>
  <c r="X202" i="6"/>
  <c r="X204" i="6"/>
  <c r="U222" i="6"/>
  <c r="U220" i="6"/>
  <c r="R229" i="6"/>
  <c r="AT82" i="28"/>
  <c r="AT80" i="28" s="1"/>
  <c r="AS33" i="28"/>
  <c r="AS32" i="28" s="1"/>
  <c r="AS30" i="28" s="1"/>
  <c r="AT31" i="28" s="1"/>
  <c r="AO51" i="28"/>
  <c r="AO52" i="28" s="1"/>
  <c r="AO50" i="28" s="1"/>
  <c r="AP51" i="28" s="1"/>
  <c r="AW173" i="28"/>
  <c r="AW172" i="28" s="1"/>
  <c r="AW170" i="28" s="1"/>
  <c r="AX171" i="28" s="1"/>
  <c r="L310" i="6"/>
  <c r="L313" i="6" s="1"/>
  <c r="M310" i="6" s="1"/>
  <c r="P276" i="6"/>
  <c r="P277" i="6" s="1"/>
  <c r="AV166" i="28"/>
  <c r="AV167" i="28" s="1"/>
  <c r="AV165" i="28" s="1"/>
  <c r="AW168" i="28" s="1"/>
  <c r="AL85" i="6"/>
  <c r="AM82" i="6" s="1"/>
  <c r="W217" i="6"/>
  <c r="X214" i="6" s="1"/>
  <c r="T208" i="6"/>
  <c r="T210" i="6"/>
  <c r="AB154" i="6"/>
  <c r="AB156" i="6"/>
  <c r="AL42" i="6"/>
  <c r="AL43" i="6" s="1"/>
  <c r="AT132" i="28"/>
  <c r="AT130" i="28" s="1"/>
  <c r="AU131" i="28" s="1"/>
  <c r="AK49" i="6"/>
  <c r="AW156" i="28"/>
  <c r="AW158" i="28"/>
  <c r="AT123" i="28"/>
  <c r="AT122" i="28" s="1"/>
  <c r="AT120" i="28" s="1"/>
  <c r="P319" i="6"/>
  <c r="Q316" i="6" s="1"/>
  <c r="AX176" i="28"/>
  <c r="AX177" i="28" s="1"/>
  <c r="AX175" i="28" s="1"/>
  <c r="AY176" i="28" s="1"/>
  <c r="AA169" i="6"/>
  <c r="AB168" i="6" s="1"/>
  <c r="AE127" i="6"/>
  <c r="AF126" i="6" s="1"/>
  <c r="BA226" i="28"/>
  <c r="BA227" i="28" s="1"/>
  <c r="BA225" i="28" s="1"/>
  <c r="AZ213" i="28"/>
  <c r="AZ212" i="28" s="1"/>
  <c r="AZ210" i="28" s="1"/>
  <c r="AP92" i="28"/>
  <c r="AP90" i="28" s="1"/>
  <c r="AQ91" i="28" s="1"/>
  <c r="AP62" i="28"/>
  <c r="AP60" i="28" s="1"/>
  <c r="AQ61" i="28" s="1"/>
  <c r="AN66" i="28"/>
  <c r="AN68" i="28"/>
  <c r="M70" i="1"/>
  <c r="M72" i="1" s="1"/>
  <c r="M76" i="1" s="1"/>
  <c r="L19" i="6"/>
  <c r="AX188" i="21"/>
  <c r="AX186" i="21"/>
  <c r="O259" i="6"/>
  <c r="Z178" i="6"/>
  <c r="Z180" i="6"/>
  <c r="F129" i="1"/>
  <c r="F102" i="1"/>
  <c r="F104" i="1"/>
  <c r="F100" i="1"/>
  <c r="AP31" i="6"/>
  <c r="AS106" i="21"/>
  <c r="AS108" i="21"/>
  <c r="AM36" i="21"/>
  <c r="AM38" i="21"/>
  <c r="AP86" i="21"/>
  <c r="AP88" i="21"/>
  <c r="AY207" i="28"/>
  <c r="AY205" i="28" s="1"/>
  <c r="AZ232" i="28"/>
  <c r="AZ230" i="28" s="1"/>
  <c r="AN41" i="28"/>
  <c r="AN43" i="28"/>
  <c r="AV148" i="28"/>
  <c r="AV146" i="28"/>
  <c r="K81" i="1"/>
  <c r="AV141" i="28"/>
  <c r="AV143" i="28"/>
  <c r="AC163" i="6"/>
  <c r="AB151" i="6"/>
  <c r="X187" i="6"/>
  <c r="P268" i="6"/>
  <c r="P270" i="6"/>
  <c r="X199" i="6"/>
  <c r="AY193" i="21"/>
  <c r="AY191" i="21"/>
  <c r="AR97" i="28"/>
  <c r="AR95" i="28" s="1"/>
  <c r="P289" i="6"/>
  <c r="AF108" i="6"/>
  <c r="AF106" i="6"/>
  <c r="BA222" i="21"/>
  <c r="BA220" i="21" s="1"/>
  <c r="AD115" i="6"/>
  <c r="AT151" i="21"/>
  <c r="AT153" i="21"/>
  <c r="AQ78" i="21"/>
  <c r="AQ76" i="21"/>
  <c r="U238" i="6"/>
  <c r="U240" i="6"/>
  <c r="AU161" i="28"/>
  <c r="AU163" i="28"/>
  <c r="AL31" i="21"/>
  <c r="AL33" i="21"/>
  <c r="X172" i="6"/>
  <c r="X174" i="6"/>
  <c r="AY207" i="21"/>
  <c r="AY205" i="21" s="1"/>
  <c r="AL67" i="6"/>
  <c r="Q247" i="6"/>
  <c r="N306" i="6"/>
  <c r="N304" i="6"/>
  <c r="AV128" i="28"/>
  <c r="AV126" i="28"/>
  <c r="AF132" i="6"/>
  <c r="AF130" i="6"/>
  <c r="G121" i="1"/>
  <c r="G129" i="1" s="1"/>
  <c r="G128" i="1" s="1"/>
  <c r="AZ202" i="21"/>
  <c r="AZ200" i="21" s="1"/>
  <c r="AX197" i="21"/>
  <c r="AX195" i="21" s="1"/>
  <c r="AI91" i="6"/>
  <c r="AS36" i="28"/>
  <c r="AS38" i="28"/>
  <c r="AX201" i="28"/>
  <c r="AX203" i="28"/>
  <c r="AL61" i="6"/>
  <c r="AW191" i="28"/>
  <c r="AW193" i="28"/>
  <c r="AQ97" i="21"/>
  <c r="AQ95" i="21" s="1"/>
  <c r="AT111" i="28"/>
  <c r="AT113" i="28"/>
  <c r="L79" i="1"/>
  <c r="L80" i="1" s="1"/>
  <c r="L81" i="1" s="1"/>
  <c r="AX171" i="21"/>
  <c r="AX173" i="21"/>
  <c r="AW136" i="28"/>
  <c r="AW138" i="28"/>
  <c r="AU142" i="21"/>
  <c r="AU140" i="21" s="1"/>
  <c r="AN55" i="6"/>
  <c r="AC94" i="6"/>
  <c r="AC96" i="6"/>
  <c r="M283" i="6"/>
  <c r="AN37" i="6"/>
  <c r="AS152" i="28"/>
  <c r="AS150" i="28" s="1"/>
  <c r="AL79" i="6"/>
  <c r="N300" i="6" l="1"/>
  <c r="AF124" i="6"/>
  <c r="AP25" i="6"/>
  <c r="AQ22" i="6" s="1"/>
  <c r="AD139" i="6"/>
  <c r="X216" i="6"/>
  <c r="X217" i="6" s="1"/>
  <c r="X26" i="28"/>
  <c r="X28" i="28"/>
  <c r="X4" i="28" s="1"/>
  <c r="W22" i="28"/>
  <c r="X205" i="6"/>
  <c r="BA223" i="28"/>
  <c r="BA222" i="28" s="1"/>
  <c r="BA220" i="28" s="1"/>
  <c r="AZ218" i="21"/>
  <c r="AZ217" i="21" s="1"/>
  <c r="AZ215" i="21" s="1"/>
  <c r="AT121" i="21"/>
  <c r="AR102" i="28"/>
  <c r="AR100" i="28" s="1"/>
  <c r="AS101" i="28" s="1"/>
  <c r="AU126" i="21"/>
  <c r="AW138" i="21"/>
  <c r="AW137" i="21" s="1"/>
  <c r="AW135" i="21" s="1"/>
  <c r="BA218" i="28"/>
  <c r="BA217" i="28" s="1"/>
  <c r="BA215" i="28" s="1"/>
  <c r="AY163" i="21"/>
  <c r="AY162" i="21" s="1"/>
  <c r="AY160" i="21" s="1"/>
  <c r="AZ163" i="21" s="1"/>
  <c r="AN51" i="21"/>
  <c r="AN52" i="21" s="1"/>
  <c r="AN50" i="21" s="1"/>
  <c r="AY187" i="28"/>
  <c r="AY185" i="28" s="1"/>
  <c r="AW183" i="28"/>
  <c r="AW182" i="28" s="1"/>
  <c r="AW180" i="28" s="1"/>
  <c r="AW166" i="28"/>
  <c r="AW167" i="28" s="1"/>
  <c r="AW165" i="28" s="1"/>
  <c r="AX166" i="28" s="1"/>
  <c r="AW158" i="21"/>
  <c r="AW157" i="21" s="1"/>
  <c r="AW155" i="21" s="1"/>
  <c r="AX156" i="21" s="1"/>
  <c r="H15" i="25"/>
  <c r="H28" i="25"/>
  <c r="BA213" i="21"/>
  <c r="BA212" i="21" s="1"/>
  <c r="BA210" i="21" s="1"/>
  <c r="AO57" i="28"/>
  <c r="AO55" i="28" s="1"/>
  <c r="AP56" i="28" s="1"/>
  <c r="AR72" i="28"/>
  <c r="AR70" i="28" s="1"/>
  <c r="AS71" i="28" s="1"/>
  <c r="H26" i="25"/>
  <c r="AL32" i="21"/>
  <c r="AL30" i="21" s="1"/>
  <c r="AM33" i="21" s="1"/>
  <c r="H125" i="1"/>
  <c r="H121" i="1" s="1"/>
  <c r="H129" i="1" s="1"/>
  <c r="H128" i="1" s="1"/>
  <c r="AK43" i="21"/>
  <c r="AK42" i="21" s="1"/>
  <c r="AK40" i="21" s="1"/>
  <c r="AL41" i="21" s="1"/>
  <c r="R235" i="6"/>
  <c r="S234" i="6" s="1"/>
  <c r="AR81" i="21"/>
  <c r="AR83" i="21"/>
  <c r="AX148" i="21"/>
  <c r="AX147" i="21" s="1"/>
  <c r="AX145" i="21" s="1"/>
  <c r="AZ183" i="21"/>
  <c r="AZ182" i="21" s="1"/>
  <c r="AZ180" i="21" s="1"/>
  <c r="U223" i="6"/>
  <c r="V220" i="6" s="1"/>
  <c r="AB166" i="6"/>
  <c r="AB169" i="6" s="1"/>
  <c r="AR78" i="28"/>
  <c r="AR77" i="28" s="1"/>
  <c r="AR75" i="28" s="1"/>
  <c r="AV147" i="28"/>
  <c r="AV145" i="28" s="1"/>
  <c r="AW146" i="28" s="1"/>
  <c r="AX187" i="21"/>
  <c r="AX185" i="21" s="1"/>
  <c r="AY186" i="21" s="1"/>
  <c r="I90" i="1"/>
  <c r="J86" i="1" s="1"/>
  <c r="J89" i="1" s="1"/>
  <c r="J92" i="1" s="1"/>
  <c r="J98" i="1" s="1"/>
  <c r="I98" i="1"/>
  <c r="AS132" i="21"/>
  <c r="AS130" i="21" s="1"/>
  <c r="I93" i="1"/>
  <c r="I95" i="1" s="1"/>
  <c r="I96" i="1"/>
  <c r="I97" i="1"/>
  <c r="I26" i="25" s="1"/>
  <c r="AM48" i="21"/>
  <c r="AM46" i="21"/>
  <c r="AM57" i="21"/>
  <c r="AM55" i="21" s="1"/>
  <c r="AM66" i="21"/>
  <c r="AM68" i="21"/>
  <c r="Z275" i="21"/>
  <c r="Z25" i="21"/>
  <c r="AX178" i="21"/>
  <c r="AX176" i="21"/>
  <c r="AS107" i="21"/>
  <c r="AS105" i="21" s="1"/>
  <c r="AT108" i="21" s="1"/>
  <c r="AT33" i="28"/>
  <c r="AT32" i="28" s="1"/>
  <c r="AT30" i="28" s="1"/>
  <c r="AR103" i="21"/>
  <c r="AR102" i="21" s="1"/>
  <c r="AR100" i="21" s="1"/>
  <c r="AT113" i="21"/>
  <c r="AT112" i="21" s="1"/>
  <c r="AT110" i="21" s="1"/>
  <c r="AW166" i="21"/>
  <c r="AW167" i="21" s="1"/>
  <c r="AW165" i="21" s="1"/>
  <c r="AX168" i="21" s="1"/>
  <c r="AT122" i="21"/>
  <c r="AT120" i="21" s="1"/>
  <c r="AU123" i="21" s="1"/>
  <c r="AP87" i="21"/>
  <c r="AP85" i="21" s="1"/>
  <c r="AQ88" i="21" s="1"/>
  <c r="AQ77" i="21"/>
  <c r="AQ75" i="21" s="1"/>
  <c r="AR76" i="21" s="1"/>
  <c r="AM37" i="21"/>
  <c r="AM35" i="21" s="1"/>
  <c r="AN38" i="21" s="1"/>
  <c r="N294" i="6"/>
  <c r="N292" i="6"/>
  <c r="AP53" i="28"/>
  <c r="AP52" i="28" s="1"/>
  <c r="AP50" i="28" s="1"/>
  <c r="AA190" i="6"/>
  <c r="AA192" i="6"/>
  <c r="M312" i="6"/>
  <c r="M18" i="6" s="1"/>
  <c r="N70" i="1" s="1"/>
  <c r="N72" i="1" s="1"/>
  <c r="N76" i="1" s="1"/>
  <c r="N78" i="1" s="1"/>
  <c r="R262" i="6"/>
  <c r="R264" i="6"/>
  <c r="P250" i="6"/>
  <c r="P253" i="6" s="1"/>
  <c r="Q252" i="6" s="1"/>
  <c r="AS37" i="28"/>
  <c r="AS35" i="28" s="1"/>
  <c r="AT36" i="28" s="1"/>
  <c r="AQ63" i="28"/>
  <c r="AQ62" i="28" s="1"/>
  <c r="AQ60" i="28" s="1"/>
  <c r="AY178" i="28"/>
  <c r="AY177" i="28" s="1"/>
  <c r="AY175" i="28" s="1"/>
  <c r="AM84" i="6"/>
  <c r="AM85" i="6" s="1"/>
  <c r="AN48" i="28"/>
  <c r="AN46" i="28"/>
  <c r="AW137" i="28"/>
  <c r="AW135" i="28" s="1"/>
  <c r="AX138" i="28" s="1"/>
  <c r="AF127" i="6"/>
  <c r="AG126" i="6" s="1"/>
  <c r="AU133" i="28"/>
  <c r="AU132" i="28" s="1"/>
  <c r="AU130" i="28" s="1"/>
  <c r="AX173" i="28"/>
  <c r="AX172" i="28" s="1"/>
  <c r="AX170" i="28" s="1"/>
  <c r="AY173" i="28" s="1"/>
  <c r="AB157" i="6"/>
  <c r="AC156" i="6" s="1"/>
  <c r="AX202" i="28"/>
  <c r="AX200" i="28" s="1"/>
  <c r="AY201" i="28" s="1"/>
  <c r="AV127" i="28"/>
  <c r="AV125" i="28" s="1"/>
  <c r="AW128" i="28" s="1"/>
  <c r="Q318" i="6"/>
  <c r="Q319" i="6" s="1"/>
  <c r="Z181" i="6"/>
  <c r="AA178" i="6" s="1"/>
  <c r="AT117" i="28"/>
  <c r="AT115" i="28" s="1"/>
  <c r="AQ93" i="28"/>
  <c r="AQ92" i="28" s="1"/>
  <c r="AQ90" i="28" s="1"/>
  <c r="AU81" i="28"/>
  <c r="AU83" i="28"/>
  <c r="N307" i="6"/>
  <c r="O304" i="6" s="1"/>
  <c r="S226" i="6"/>
  <c r="S228" i="6"/>
  <c r="AW157" i="28"/>
  <c r="AW155" i="28" s="1"/>
  <c r="AN67" i="28"/>
  <c r="AN65" i="28" s="1"/>
  <c r="AL48" i="6"/>
  <c r="AL46" i="6"/>
  <c r="T211" i="6"/>
  <c r="AM42" i="6"/>
  <c r="AM40" i="6"/>
  <c r="AV118" i="21"/>
  <c r="AV116" i="21"/>
  <c r="AZ206" i="21"/>
  <c r="AZ208" i="21"/>
  <c r="AS96" i="28"/>
  <c r="AS98" i="28"/>
  <c r="AR61" i="21"/>
  <c r="AR63" i="21"/>
  <c r="AO34" i="6"/>
  <c r="AO36" i="6"/>
  <c r="AU121" i="28"/>
  <c r="AU123" i="28"/>
  <c r="AY196" i="21"/>
  <c r="AY198" i="21"/>
  <c r="G138" i="1"/>
  <c r="G137" i="1" s="1"/>
  <c r="G145" i="1" s="1"/>
  <c r="R246" i="6"/>
  <c r="R244" i="6"/>
  <c r="AC148" i="6"/>
  <c r="AC150" i="6"/>
  <c r="AQ28" i="6"/>
  <c r="AQ30" i="6"/>
  <c r="F128" i="1"/>
  <c r="AR91" i="21"/>
  <c r="AR93" i="21"/>
  <c r="N280" i="6"/>
  <c r="N282" i="6"/>
  <c r="AT112" i="28"/>
  <c r="AT110" i="28" s="1"/>
  <c r="BA201" i="21"/>
  <c r="BA203" i="21"/>
  <c r="AF133" i="6"/>
  <c r="AM66" i="6"/>
  <c r="AM64" i="6"/>
  <c r="U241" i="6"/>
  <c r="AT152" i="21"/>
  <c r="AT150" i="21" s="1"/>
  <c r="AU127" i="21"/>
  <c r="AU125" i="21" s="1"/>
  <c r="AF109" i="6"/>
  <c r="Y196" i="6"/>
  <c r="Y198" i="6"/>
  <c r="AD160" i="6"/>
  <c r="AD162" i="6"/>
  <c r="BA216" i="21"/>
  <c r="BA218" i="21"/>
  <c r="AX172" i="21"/>
  <c r="AX170" i="21" s="1"/>
  <c r="AW192" i="28"/>
  <c r="AW190" i="28" s="1"/>
  <c r="AE138" i="6"/>
  <c r="AE136" i="6"/>
  <c r="AV142" i="28"/>
  <c r="AV140" i="28" s="1"/>
  <c r="F105" i="1"/>
  <c r="G104" i="1"/>
  <c r="AO52" i="6"/>
  <c r="AO54" i="6"/>
  <c r="AR98" i="21"/>
  <c r="AR96" i="21"/>
  <c r="X175" i="6"/>
  <c r="AG142" i="6"/>
  <c r="AG144" i="6"/>
  <c r="AS73" i="28"/>
  <c r="AQ24" i="6"/>
  <c r="G102" i="1"/>
  <c r="F103" i="1"/>
  <c r="P256" i="6"/>
  <c r="P258" i="6"/>
  <c r="Q288" i="6"/>
  <c r="Q286" i="6"/>
  <c r="AN42" i="28"/>
  <c r="AN40" i="28" s="1"/>
  <c r="AL70" i="6"/>
  <c r="AL72" i="6"/>
  <c r="AM78" i="6"/>
  <c r="AM76" i="6"/>
  <c r="L87" i="1"/>
  <c r="L88" i="1"/>
  <c r="R85" i="1"/>
  <c r="AM58" i="6"/>
  <c r="AM60" i="6"/>
  <c r="AT86" i="28"/>
  <c r="AT88" i="28"/>
  <c r="AU162" i="28"/>
  <c r="AU160" i="28" s="1"/>
  <c r="BA233" i="28"/>
  <c r="BA231" i="28"/>
  <c r="AZ196" i="28"/>
  <c r="AZ198" i="28"/>
  <c r="M78" i="1"/>
  <c r="M79" i="1" s="1"/>
  <c r="M80" i="1" s="1"/>
  <c r="M81" i="1" s="1"/>
  <c r="Q276" i="6"/>
  <c r="Q274" i="6"/>
  <c r="P271" i="6"/>
  <c r="G100" i="1"/>
  <c r="F101" i="1"/>
  <c r="AI120" i="6"/>
  <c r="AI118" i="6"/>
  <c r="AQ73" i="21"/>
  <c r="AQ71" i="21"/>
  <c r="BA211" i="28"/>
  <c r="BA213" i="28"/>
  <c r="AT151" i="28"/>
  <c r="AT153" i="28"/>
  <c r="AC97" i="6"/>
  <c r="AV143" i="21"/>
  <c r="AV141" i="21"/>
  <c r="AJ102" i="6"/>
  <c r="AJ100" i="6"/>
  <c r="AU106" i="28"/>
  <c r="AU108" i="28"/>
  <c r="AJ90" i="6"/>
  <c r="AJ88" i="6"/>
  <c r="Y202" i="6"/>
  <c r="Y204" i="6"/>
  <c r="N301" i="6"/>
  <c r="AE114" i="6"/>
  <c r="AE112" i="6"/>
  <c r="AY192" i="21"/>
  <c r="AY190" i="21" s="1"/>
  <c r="Y184" i="6"/>
  <c r="Y186" i="6"/>
  <c r="K87" i="1"/>
  <c r="K88" i="1"/>
  <c r="Q85" i="1"/>
  <c r="AZ208" i="28"/>
  <c r="AZ206" i="28"/>
  <c r="V222" i="6" l="1"/>
  <c r="V223" i="6" s="1"/>
  <c r="W222" i="6" s="1"/>
  <c r="S232" i="6"/>
  <c r="S235" i="6" s="1"/>
  <c r="AS103" i="28"/>
  <c r="AS102" i="28" s="1"/>
  <c r="AS100" i="28" s="1"/>
  <c r="AT103" i="28" s="1"/>
  <c r="X27" i="28"/>
  <c r="N295" i="6"/>
  <c r="O292" i="6" s="1"/>
  <c r="AR97" i="21"/>
  <c r="AR95" i="21" s="1"/>
  <c r="AX136" i="28"/>
  <c r="AX137" i="28" s="1"/>
  <c r="AX135" i="28" s="1"/>
  <c r="AU121" i="21"/>
  <c r="AX136" i="21"/>
  <c r="AX138" i="21"/>
  <c r="AX137" i="21" s="1"/>
  <c r="AX135" i="21" s="1"/>
  <c r="AM31" i="21"/>
  <c r="AT106" i="21"/>
  <c r="AT107" i="21" s="1"/>
  <c r="AT105" i="21" s="1"/>
  <c r="AU108" i="21" s="1"/>
  <c r="AZ188" i="28"/>
  <c r="AZ186" i="28"/>
  <c r="AW148" i="28"/>
  <c r="AW147" i="28" s="1"/>
  <c r="AW145" i="28" s="1"/>
  <c r="AZ161" i="21"/>
  <c r="AZ162" i="21" s="1"/>
  <c r="AZ160" i="21" s="1"/>
  <c r="AP58" i="28"/>
  <c r="AP57" i="28" s="1"/>
  <c r="AP55" i="28" s="1"/>
  <c r="AV117" i="21"/>
  <c r="AV115" i="21" s="1"/>
  <c r="AW116" i="21" s="1"/>
  <c r="BA202" i="21"/>
  <c r="BA200" i="21" s="1"/>
  <c r="AL43" i="21"/>
  <c r="AL42" i="21" s="1"/>
  <c r="AL40" i="21" s="1"/>
  <c r="AY203" i="28"/>
  <c r="AY202" i="28" s="1"/>
  <c r="AY200" i="28" s="1"/>
  <c r="AX158" i="21"/>
  <c r="AX157" i="21" s="1"/>
  <c r="AX155" i="21" s="1"/>
  <c r="AY158" i="21" s="1"/>
  <c r="J94" i="1"/>
  <c r="J96" i="1"/>
  <c r="J15" i="25" s="1"/>
  <c r="J97" i="1"/>
  <c r="J8" i="25" s="1"/>
  <c r="J90" i="1"/>
  <c r="K86" i="1" s="1"/>
  <c r="K89" i="1" s="1"/>
  <c r="K92" i="1" s="1"/>
  <c r="K96" i="1" s="1"/>
  <c r="BA181" i="21"/>
  <c r="BA183" i="21"/>
  <c r="BA182" i="21" s="1"/>
  <c r="BA180" i="21" s="1"/>
  <c r="AY146" i="21"/>
  <c r="AY148" i="21"/>
  <c r="AA180" i="6"/>
  <c r="AA181" i="6" s="1"/>
  <c r="AQ86" i="21"/>
  <c r="AQ87" i="21" s="1"/>
  <c r="AQ85" i="21" s="1"/>
  <c r="AR78" i="21"/>
  <c r="AR77" i="21" s="1"/>
  <c r="AR75" i="21" s="1"/>
  <c r="M313" i="6"/>
  <c r="AY188" i="21"/>
  <c r="AY187" i="21" s="1"/>
  <c r="AY185" i="21" s="1"/>
  <c r="AN36" i="21"/>
  <c r="AN37" i="21" s="1"/>
  <c r="AN35" i="21" s="1"/>
  <c r="AJ103" i="6"/>
  <c r="AK102" i="6" s="1"/>
  <c r="M19" i="6"/>
  <c r="AR82" i="21"/>
  <c r="AR80" i="21" s="1"/>
  <c r="I28" i="25"/>
  <c r="J93" i="1"/>
  <c r="J95" i="1" s="1"/>
  <c r="I15" i="25"/>
  <c r="I8" i="25"/>
  <c r="AM47" i="21"/>
  <c r="AM45" i="21" s="1"/>
  <c r="I126" i="1"/>
  <c r="I125" i="1"/>
  <c r="AT133" i="21"/>
  <c r="AT131" i="21"/>
  <c r="AS76" i="28"/>
  <c r="AS78" i="28"/>
  <c r="AU111" i="21"/>
  <c r="AU113" i="21"/>
  <c r="AA143" i="1"/>
  <c r="AA14" i="25"/>
  <c r="AA26" i="21"/>
  <c r="Z22" i="21"/>
  <c r="AA28" i="21"/>
  <c r="AA4" i="21" s="1"/>
  <c r="AB74" i="1" s="1"/>
  <c r="AM67" i="21"/>
  <c r="AM65" i="21" s="1"/>
  <c r="AT38" i="28"/>
  <c r="AT37" i="28" s="1"/>
  <c r="AT35" i="28" s="1"/>
  <c r="AX166" i="21"/>
  <c r="AX167" i="21" s="1"/>
  <c r="AX165" i="21" s="1"/>
  <c r="AY166" i="21" s="1"/>
  <c r="AN58" i="21"/>
  <c r="AN56" i="21"/>
  <c r="AX177" i="21"/>
  <c r="AX175" i="21" s="1"/>
  <c r="AA193" i="6"/>
  <c r="O306" i="6"/>
  <c r="O307" i="6" s="1"/>
  <c r="P304" i="6" s="1"/>
  <c r="AI121" i="6"/>
  <c r="AJ120" i="6" s="1"/>
  <c r="T232" i="6"/>
  <c r="T234" i="6"/>
  <c r="AG124" i="6"/>
  <c r="AG127" i="6" s="1"/>
  <c r="AW126" i="28"/>
  <c r="AW127" i="28" s="1"/>
  <c r="AW125" i="28" s="1"/>
  <c r="AX126" i="28" s="1"/>
  <c r="AX183" i="28"/>
  <c r="AX181" i="28"/>
  <c r="AX168" i="28"/>
  <c r="AX167" i="28" s="1"/>
  <c r="AX165" i="28" s="1"/>
  <c r="AM79" i="6"/>
  <c r="AN76" i="6" s="1"/>
  <c r="AE139" i="6"/>
  <c r="AF136" i="6" s="1"/>
  <c r="AC151" i="6"/>
  <c r="AD150" i="6" s="1"/>
  <c r="AC154" i="6"/>
  <c r="AC157" i="6" s="1"/>
  <c r="AD156" i="6" s="1"/>
  <c r="S229" i="6"/>
  <c r="T228" i="6" s="1"/>
  <c r="Q250" i="6"/>
  <c r="Q253" i="6" s="1"/>
  <c r="R252" i="6" s="1"/>
  <c r="AN47" i="28"/>
  <c r="AN45" i="28" s="1"/>
  <c r="R265" i="6"/>
  <c r="AU82" i="28"/>
  <c r="AU80" i="28" s="1"/>
  <c r="AU118" i="28"/>
  <c r="AU116" i="28"/>
  <c r="AQ25" i="6"/>
  <c r="AR22" i="6" s="1"/>
  <c r="AO68" i="28"/>
  <c r="AO66" i="28"/>
  <c r="BA212" i="28"/>
  <c r="BA210" i="28" s="1"/>
  <c r="BA232" i="28"/>
  <c r="BA230" i="28" s="1"/>
  <c r="AT87" i="28"/>
  <c r="AT85" i="28" s="1"/>
  <c r="AU86" i="28" s="1"/>
  <c r="AX158" i="28"/>
  <c r="AX156" i="28"/>
  <c r="AU122" i="28"/>
  <c r="AU120" i="28" s="1"/>
  <c r="AV121" i="28" s="1"/>
  <c r="U208" i="6"/>
  <c r="U210" i="6"/>
  <c r="AL73" i="6"/>
  <c r="AM70" i="6" s="1"/>
  <c r="AY171" i="28"/>
  <c r="AY172" i="28" s="1"/>
  <c r="AY170" i="28" s="1"/>
  <c r="AZ173" i="28" s="1"/>
  <c r="AM43" i="6"/>
  <c r="AN42" i="6" s="1"/>
  <c r="AM67" i="6"/>
  <c r="AN64" i="6" s="1"/>
  <c r="AL49" i="6"/>
  <c r="AS96" i="21"/>
  <c r="AS98" i="21"/>
  <c r="M87" i="1"/>
  <c r="M88" i="1"/>
  <c r="S85" i="1"/>
  <c r="H100" i="1"/>
  <c r="G101" i="1"/>
  <c r="AV161" i="28"/>
  <c r="AV163" i="28"/>
  <c r="AY173" i="21"/>
  <c r="AY171" i="21"/>
  <c r="AN84" i="6"/>
  <c r="AN82" i="6"/>
  <c r="AZ207" i="28"/>
  <c r="AZ205" i="28" s="1"/>
  <c r="O298" i="6"/>
  <c r="O300" i="6"/>
  <c r="AD94" i="6"/>
  <c r="AD96" i="6"/>
  <c r="AQ72" i="21"/>
  <c r="AQ70" i="21" s="1"/>
  <c r="Q268" i="6"/>
  <c r="Q270" i="6"/>
  <c r="Q277" i="6"/>
  <c r="AO43" i="28"/>
  <c r="AO41" i="28"/>
  <c r="Q289" i="6"/>
  <c r="AM32" i="21"/>
  <c r="AM30" i="21" s="1"/>
  <c r="H102" i="1"/>
  <c r="G103" i="1"/>
  <c r="H138" i="1"/>
  <c r="H137" i="1" s="1"/>
  <c r="H145" i="1" s="1"/>
  <c r="Y172" i="6"/>
  <c r="Y174" i="6"/>
  <c r="AO55" i="6"/>
  <c r="G105" i="1"/>
  <c r="H104" i="1"/>
  <c r="AV126" i="21"/>
  <c r="AV128" i="21"/>
  <c r="AR92" i="21"/>
  <c r="AR90" i="21" s="1"/>
  <c r="AR62" i="21"/>
  <c r="AR60" i="21" s="1"/>
  <c r="AT101" i="28"/>
  <c r="AU153" i="21"/>
  <c r="AU151" i="21"/>
  <c r="AU107" i="28"/>
  <c r="AU105" i="28" s="1"/>
  <c r="AG145" i="6"/>
  <c r="AQ51" i="28"/>
  <c r="AQ53" i="28"/>
  <c r="V240" i="6"/>
  <c r="V238" i="6"/>
  <c r="AD163" i="6"/>
  <c r="F138" i="1"/>
  <c r="F131" i="1"/>
  <c r="AU31" i="28"/>
  <c r="AU33" i="28"/>
  <c r="P259" i="6"/>
  <c r="AS72" i="28"/>
  <c r="AS70" i="28" s="1"/>
  <c r="AW141" i="28"/>
  <c r="AW143" i="28"/>
  <c r="R318" i="6"/>
  <c r="R316" i="6"/>
  <c r="AY197" i="21"/>
  <c r="AY195" i="21" s="1"/>
  <c r="AZ176" i="28"/>
  <c r="AZ178" i="28"/>
  <c r="Y187" i="6"/>
  <c r="AC166" i="6"/>
  <c r="AC168" i="6"/>
  <c r="AT152" i="28"/>
  <c r="AT150" i="28" s="1"/>
  <c r="Y214" i="6"/>
  <c r="Y216" i="6"/>
  <c r="Y205" i="6"/>
  <c r="AZ197" i="28"/>
  <c r="AZ195" i="28" s="1"/>
  <c r="AR91" i="28"/>
  <c r="AR93" i="28"/>
  <c r="AM61" i="6"/>
  <c r="AV131" i="28"/>
  <c r="AV133" i="28"/>
  <c r="Y199" i="6"/>
  <c r="N283" i="6"/>
  <c r="AQ31" i="6"/>
  <c r="AO37" i="6"/>
  <c r="G147" i="1"/>
  <c r="G165" i="1"/>
  <c r="G162" i="1"/>
  <c r="G156" i="1"/>
  <c r="AO53" i="21"/>
  <c r="AO51" i="21"/>
  <c r="BA217" i="21"/>
  <c r="BA215" i="21" s="1"/>
  <c r="AS103" i="21"/>
  <c r="AS101" i="21"/>
  <c r="AR61" i="28"/>
  <c r="AR63" i="28"/>
  <c r="AU111" i="28"/>
  <c r="AU113" i="28"/>
  <c r="AS97" i="28"/>
  <c r="AS95" i="28" s="1"/>
  <c r="AZ193" i="21"/>
  <c r="AZ191" i="21"/>
  <c r="AE115" i="6"/>
  <c r="AJ91" i="6"/>
  <c r="AV142" i="21"/>
  <c r="AV140" i="21" s="1"/>
  <c r="F106" i="1"/>
  <c r="N79" i="1"/>
  <c r="N80" i="1" s="1"/>
  <c r="N81" i="1" s="1"/>
  <c r="AX191" i="28"/>
  <c r="AX193" i="28"/>
  <c r="AG108" i="6"/>
  <c r="AG106" i="6"/>
  <c r="AG132" i="6"/>
  <c r="AG130" i="6"/>
  <c r="R247" i="6"/>
  <c r="AZ207" i="21"/>
  <c r="AZ205" i="21" s="1"/>
  <c r="AU122" i="21"/>
  <c r="AU120" i="21" s="1"/>
  <c r="W220" i="6" l="1"/>
  <c r="W223" i="6" s="1"/>
  <c r="O294" i="6"/>
  <c r="O295" i="6" s="1"/>
  <c r="P294" i="6" s="1"/>
  <c r="X275" i="28"/>
  <c r="X25" i="28"/>
  <c r="AN78" i="6"/>
  <c r="AN79" i="6" s="1"/>
  <c r="AO76" i="6" s="1"/>
  <c r="AN66" i="6"/>
  <c r="AN67" i="6" s="1"/>
  <c r="AO64" i="6" s="1"/>
  <c r="AK100" i="6"/>
  <c r="AK103" i="6" s="1"/>
  <c r="AL102" i="6" s="1"/>
  <c r="AR24" i="6"/>
  <c r="AR25" i="6" s="1"/>
  <c r="AS22" i="6" s="1"/>
  <c r="J125" i="1"/>
  <c r="AZ187" i="28"/>
  <c r="AZ185" i="28" s="1"/>
  <c r="BA188" i="28" s="1"/>
  <c r="AY147" i="21"/>
  <c r="AY145" i="21" s="1"/>
  <c r="I121" i="1"/>
  <c r="I129" i="1" s="1"/>
  <c r="I128" i="1" s="1"/>
  <c r="I138" i="1" s="1"/>
  <c r="I137" i="1" s="1"/>
  <c r="I145" i="1" s="1"/>
  <c r="I147" i="1" s="1"/>
  <c r="BA186" i="28"/>
  <c r="J126" i="1"/>
  <c r="AM41" i="21"/>
  <c r="AM43" i="21"/>
  <c r="AW118" i="21"/>
  <c r="AW117" i="21" s="1"/>
  <c r="AW115" i="21" s="1"/>
  <c r="J28" i="25"/>
  <c r="AY156" i="21"/>
  <c r="AY157" i="21" s="1"/>
  <c r="AY155" i="21" s="1"/>
  <c r="AT132" i="21"/>
  <c r="AT130" i="21" s="1"/>
  <c r="AU133" i="21" s="1"/>
  <c r="J26" i="25"/>
  <c r="N312" i="6"/>
  <c r="N18" i="6" s="1"/>
  <c r="O70" i="1" s="1"/>
  <c r="O72" i="1" s="1"/>
  <c r="O76" i="1" s="1"/>
  <c r="O78" i="1" s="1"/>
  <c r="O79" i="1" s="1"/>
  <c r="O80" i="1" s="1"/>
  <c r="O81" i="1" s="1"/>
  <c r="N310" i="6"/>
  <c r="N313" i="6" s="1"/>
  <c r="O312" i="6" s="1"/>
  <c r="AS83" i="21"/>
  <c r="AS81" i="21"/>
  <c r="V241" i="6"/>
  <c r="W238" i="6" s="1"/>
  <c r="AY172" i="21"/>
  <c r="AY170" i="21" s="1"/>
  <c r="AZ171" i="21" s="1"/>
  <c r="T235" i="6"/>
  <c r="U232" i="6" s="1"/>
  <c r="AS102" i="21"/>
  <c r="AS100" i="21" s="1"/>
  <c r="AT101" i="21" s="1"/>
  <c r="AJ118" i="6"/>
  <c r="AJ121" i="6" s="1"/>
  <c r="AO67" i="28"/>
  <c r="AO65" i="28" s="1"/>
  <c r="AP66" i="28" s="1"/>
  <c r="AX182" i="28"/>
  <c r="AX180" i="28" s="1"/>
  <c r="AY183" i="28" s="1"/>
  <c r="AS97" i="21"/>
  <c r="AS95" i="21" s="1"/>
  <c r="AT98" i="21" s="1"/>
  <c r="AA27" i="21"/>
  <c r="AS77" i="28"/>
  <c r="AS75" i="28" s="1"/>
  <c r="AY168" i="21"/>
  <c r="AY167" i="21" s="1"/>
  <c r="AY165" i="21" s="1"/>
  <c r="AQ56" i="28"/>
  <c r="AQ58" i="28"/>
  <c r="AN48" i="21"/>
  <c r="AN46" i="21"/>
  <c r="AU36" i="28"/>
  <c r="AU38" i="28"/>
  <c r="AZ171" i="28"/>
  <c r="AZ172" i="28" s="1"/>
  <c r="AZ170" i="28" s="1"/>
  <c r="AY176" i="21"/>
  <c r="AY178" i="21"/>
  <c r="AA142" i="1"/>
  <c r="AA38" i="25"/>
  <c r="AA36" i="25" s="1"/>
  <c r="AA48" i="25" s="1"/>
  <c r="AN68" i="21"/>
  <c r="AN66" i="21"/>
  <c r="AU106" i="21"/>
  <c r="AU107" i="21" s="1"/>
  <c r="AU105" i="21" s="1"/>
  <c r="AB144" i="1"/>
  <c r="AB39" i="25"/>
  <c r="AB13" i="25"/>
  <c r="AB27" i="25"/>
  <c r="AB40" i="25" s="1"/>
  <c r="AN57" i="21"/>
  <c r="AN55" i="21" s="1"/>
  <c r="AU112" i="21"/>
  <c r="AU110" i="21" s="1"/>
  <c r="AD154" i="6"/>
  <c r="AD157" i="6" s="1"/>
  <c r="AD148" i="6"/>
  <c r="AD151" i="6" s="1"/>
  <c r="AF138" i="6"/>
  <c r="AF139" i="6" s="1"/>
  <c r="AB192" i="6"/>
  <c r="AB190" i="6"/>
  <c r="K98" i="1"/>
  <c r="K15" i="25" s="1"/>
  <c r="K93" i="1"/>
  <c r="K95" i="1" s="1"/>
  <c r="K97" i="1"/>
  <c r="K125" i="1" s="1"/>
  <c r="R250" i="6"/>
  <c r="R253" i="6" s="1"/>
  <c r="S250" i="6" s="1"/>
  <c r="K94" i="1"/>
  <c r="AN40" i="6"/>
  <c r="AN43" i="6" s="1"/>
  <c r="AO40" i="6" s="1"/>
  <c r="AX128" i="28"/>
  <c r="AX127" i="28" s="1"/>
  <c r="AX125" i="28" s="1"/>
  <c r="T226" i="6"/>
  <c r="T229" i="6" s="1"/>
  <c r="U226" i="6" s="1"/>
  <c r="S262" i="6"/>
  <c r="S264" i="6"/>
  <c r="K90" i="1"/>
  <c r="L86" i="1" s="1"/>
  <c r="AU117" i="28"/>
  <c r="AU115" i="28" s="1"/>
  <c r="AO46" i="28"/>
  <c r="AO48" i="28"/>
  <c r="AV123" i="28"/>
  <c r="AV122" i="28" s="1"/>
  <c r="AV120" i="28" s="1"/>
  <c r="AV81" i="28"/>
  <c r="AV83" i="28"/>
  <c r="AO42" i="28"/>
  <c r="AO40" i="28" s="1"/>
  <c r="AP43" i="28" s="1"/>
  <c r="AU88" i="28"/>
  <c r="AU87" i="28" s="1"/>
  <c r="AU85" i="28" s="1"/>
  <c r="AG109" i="6"/>
  <c r="AH106" i="6" s="1"/>
  <c r="AV162" i="28"/>
  <c r="AV160" i="28" s="1"/>
  <c r="AW163" i="28" s="1"/>
  <c r="AN85" i="6"/>
  <c r="AO84" i="6" s="1"/>
  <c r="P306" i="6"/>
  <c r="P307" i="6" s="1"/>
  <c r="AV132" i="28"/>
  <c r="AV130" i="28" s="1"/>
  <c r="AW133" i="28" s="1"/>
  <c r="U211" i="6"/>
  <c r="AM72" i="6"/>
  <c r="AM73" i="6" s="1"/>
  <c r="AE154" i="6"/>
  <c r="AE156" i="6"/>
  <c r="AG133" i="6"/>
  <c r="AH132" i="6" s="1"/>
  <c r="G166" i="1"/>
  <c r="G167" i="1" s="1"/>
  <c r="G30" i="25" s="1"/>
  <c r="R319" i="6"/>
  <c r="S316" i="6" s="1"/>
  <c r="AD97" i="6"/>
  <c r="AE96" i="6" s="1"/>
  <c r="AM46" i="6"/>
  <c r="AM48" i="6"/>
  <c r="AX157" i="28"/>
  <c r="AX155" i="28" s="1"/>
  <c r="AO36" i="21"/>
  <c r="AO38" i="21"/>
  <c r="BA196" i="28"/>
  <c r="BA198" i="28"/>
  <c r="Z186" i="6"/>
  <c r="Z184" i="6"/>
  <c r="AN33" i="21"/>
  <c r="AN31" i="21"/>
  <c r="G148" i="1"/>
  <c r="G146" i="1" s="1"/>
  <c r="G149" i="1" s="1"/>
  <c r="AE162" i="6"/>
  <c r="AE160" i="6"/>
  <c r="AP52" i="6"/>
  <c r="AP54" i="6"/>
  <c r="F16" i="25"/>
  <c r="F29" i="25"/>
  <c r="F108" i="1"/>
  <c r="AZ146" i="21"/>
  <c r="AZ148" i="21"/>
  <c r="AX146" i="28"/>
  <c r="AX148" i="28"/>
  <c r="AW143" i="21"/>
  <c r="AW141" i="21"/>
  <c r="AZ201" i="28"/>
  <c r="AZ203" i="28"/>
  <c r="AK88" i="6"/>
  <c r="AK90" i="6"/>
  <c r="AZ186" i="21"/>
  <c r="AZ188" i="21"/>
  <c r="AQ52" i="28"/>
  <c r="AQ50" i="28" s="1"/>
  <c r="AV127" i="21"/>
  <c r="AV125" i="21" s="1"/>
  <c r="Y175" i="6"/>
  <c r="AR71" i="21"/>
  <c r="AR73" i="21"/>
  <c r="AV123" i="21"/>
  <c r="AV121" i="21"/>
  <c r="AB180" i="6"/>
  <c r="AB178" i="6"/>
  <c r="AF114" i="6"/>
  <c r="AF112" i="6"/>
  <c r="AH124" i="6"/>
  <c r="AH126" i="6"/>
  <c r="AO52" i="21"/>
  <c r="AO50" i="21" s="1"/>
  <c r="AP34" i="6"/>
  <c r="AP36" i="6"/>
  <c r="AR92" i="28"/>
  <c r="AR90" i="28" s="1"/>
  <c r="AW142" i="28"/>
  <c r="AW140" i="28" s="1"/>
  <c r="F137" i="1"/>
  <c r="AS91" i="21"/>
  <c r="AS93" i="21"/>
  <c r="BA206" i="28"/>
  <c r="BA208" i="28"/>
  <c r="AN60" i="6"/>
  <c r="AN58" i="6"/>
  <c r="R288" i="6"/>
  <c r="R286" i="6"/>
  <c r="AY136" i="28"/>
  <c r="AY138" i="28"/>
  <c r="AY136" i="21"/>
  <c r="AY138" i="21"/>
  <c r="AY166" i="28"/>
  <c r="AY168" i="28"/>
  <c r="Z202" i="6"/>
  <c r="Z204" i="6"/>
  <c r="AR88" i="21"/>
  <c r="AR86" i="21"/>
  <c r="X220" i="6"/>
  <c r="X222" i="6"/>
  <c r="AU151" i="28"/>
  <c r="AU153" i="28"/>
  <c r="AH142" i="6"/>
  <c r="AH144" i="6"/>
  <c r="BA208" i="21"/>
  <c r="BA206" i="21"/>
  <c r="AT71" i="28"/>
  <c r="AT73" i="28"/>
  <c r="AV108" i="28"/>
  <c r="AV106" i="28"/>
  <c r="AT102" i="28"/>
  <c r="AT100" i="28" s="1"/>
  <c r="H101" i="1"/>
  <c r="AX192" i="28"/>
  <c r="AX190" i="28" s="1"/>
  <c r="AU32" i="28"/>
  <c r="AU30" i="28" s="1"/>
  <c r="AS76" i="21"/>
  <c r="AS78" i="21"/>
  <c r="BA161" i="21"/>
  <c r="BA163" i="21"/>
  <c r="AR62" i="28"/>
  <c r="AR60" i="28" s="1"/>
  <c r="AZ177" i="28"/>
  <c r="AZ175" i="28" s="1"/>
  <c r="AT98" i="28"/>
  <c r="AT96" i="28"/>
  <c r="AR30" i="6"/>
  <c r="AR28" i="6"/>
  <c r="AZ198" i="21"/>
  <c r="AZ196" i="21"/>
  <c r="H147" i="1"/>
  <c r="H156" i="1"/>
  <c r="H162" i="1"/>
  <c r="H165" i="1"/>
  <c r="R276" i="6"/>
  <c r="R274" i="6"/>
  <c r="N87" i="1"/>
  <c r="N88" i="1"/>
  <c r="T85" i="1"/>
  <c r="O280" i="6"/>
  <c r="O282" i="6"/>
  <c r="S244" i="6"/>
  <c r="S246" i="6"/>
  <c r="AZ192" i="21"/>
  <c r="AZ190" i="21" s="1"/>
  <c r="AU112" i="28"/>
  <c r="AU110" i="28" s="1"/>
  <c r="Z198" i="6"/>
  <c r="Z196" i="6"/>
  <c r="Y217" i="6"/>
  <c r="AC169" i="6"/>
  <c r="Q256" i="6"/>
  <c r="Q258" i="6"/>
  <c r="E132" i="1"/>
  <c r="G131" i="1"/>
  <c r="AU152" i="21"/>
  <c r="AU150" i="21" s="1"/>
  <c r="AS63" i="21"/>
  <c r="AS61" i="21"/>
  <c r="H105" i="1"/>
  <c r="H103" i="1"/>
  <c r="Q271" i="6"/>
  <c r="O301" i="6"/>
  <c r="G106" i="1"/>
  <c r="U234" i="6" l="1"/>
  <c r="Y26" i="28"/>
  <c r="X22" i="28"/>
  <c r="Y28" i="28"/>
  <c r="Y4" i="28" s="1"/>
  <c r="S252" i="6"/>
  <c r="S253" i="6" s="1"/>
  <c r="O310" i="6"/>
  <c r="I156" i="1"/>
  <c r="I165" i="1"/>
  <c r="AS82" i="21"/>
  <c r="AS80" i="21" s="1"/>
  <c r="AT81" i="21" s="1"/>
  <c r="AY181" i="28"/>
  <c r="J121" i="1"/>
  <c r="J129" i="1" s="1"/>
  <c r="I102" i="1"/>
  <c r="I103" i="1" s="1"/>
  <c r="I162" i="1"/>
  <c r="I166" i="1" s="1"/>
  <c r="I104" i="1"/>
  <c r="I105" i="1" s="1"/>
  <c r="I100" i="1"/>
  <c r="I101" i="1" s="1"/>
  <c r="AM42" i="21"/>
  <c r="AM40" i="21" s="1"/>
  <c r="AN43" i="21" s="1"/>
  <c r="AT103" i="21"/>
  <c r="AT102" i="21" s="1"/>
  <c r="AT100" i="21" s="1"/>
  <c r="AZ197" i="21"/>
  <c r="AZ195" i="21" s="1"/>
  <c r="BA196" i="21" s="1"/>
  <c r="BA187" i="28"/>
  <c r="BA185" i="28" s="1"/>
  <c r="AZ173" i="21"/>
  <c r="AZ172" i="21" s="1"/>
  <c r="AZ170" i="21" s="1"/>
  <c r="BA173" i="21" s="1"/>
  <c r="AU131" i="21"/>
  <c r="AU132" i="21" s="1"/>
  <c r="AU130" i="21" s="1"/>
  <c r="AV133" i="21" s="1"/>
  <c r="AP68" i="28"/>
  <c r="AP67" i="28" s="1"/>
  <c r="AP65" i="28" s="1"/>
  <c r="AU37" i="28"/>
  <c r="AU35" i="28" s="1"/>
  <c r="AV36" i="28" s="1"/>
  <c r="AG136" i="6"/>
  <c r="AG139" i="6" s="1"/>
  <c r="AG138" i="6"/>
  <c r="AK120" i="6"/>
  <c r="AK118" i="6"/>
  <c r="AK121" i="6" s="1"/>
  <c r="AL118" i="6" s="1"/>
  <c r="AT83" i="21"/>
  <c r="AO82" i="6"/>
  <c r="AO85" i="6" s="1"/>
  <c r="W240" i="6"/>
  <c r="AT96" i="21"/>
  <c r="AT97" i="21" s="1"/>
  <c r="AT95" i="21" s="1"/>
  <c r="AB193" i="6"/>
  <c r="AC192" i="6" s="1"/>
  <c r="U235" i="6"/>
  <c r="V234" i="6" s="1"/>
  <c r="N19" i="6"/>
  <c r="AO78" i="6"/>
  <c r="AO79" i="6" s="1"/>
  <c r="BA162" i="21"/>
  <c r="BA160" i="21" s="1"/>
  <c r="AQ57" i="28"/>
  <c r="AQ55" i="28" s="1"/>
  <c r="AA275" i="21"/>
  <c r="AA25" i="21"/>
  <c r="AS92" i="21"/>
  <c r="AS90" i="21" s="1"/>
  <c r="AT93" i="21" s="1"/>
  <c r="AT76" i="28"/>
  <c r="AT78" i="28"/>
  <c r="AS62" i="21"/>
  <c r="AS60" i="21" s="1"/>
  <c r="AT63" i="21" s="1"/>
  <c r="AW142" i="21"/>
  <c r="AW140" i="21" s="1"/>
  <c r="AX141" i="21" s="1"/>
  <c r="AN47" i="21"/>
  <c r="AN45" i="21" s="1"/>
  <c r="AO58" i="21"/>
  <c r="AO56" i="21"/>
  <c r="AZ187" i="21"/>
  <c r="AZ185" i="21" s="1"/>
  <c r="BA188" i="21" s="1"/>
  <c r="AP41" i="28"/>
  <c r="AP42" i="28" s="1"/>
  <c r="AP40" i="28" s="1"/>
  <c r="AY182" i="28"/>
  <c r="AY180" i="28" s="1"/>
  <c r="AZ181" i="28" s="1"/>
  <c r="AY177" i="21"/>
  <c r="AY175" i="21" s="1"/>
  <c r="AR87" i="21"/>
  <c r="AR85" i="21" s="1"/>
  <c r="AS88" i="21" s="1"/>
  <c r="AV122" i="21"/>
  <c r="AV120" i="21" s="1"/>
  <c r="AW121" i="21" s="1"/>
  <c r="AN67" i="21"/>
  <c r="AN65" i="21" s="1"/>
  <c r="AV113" i="21"/>
  <c r="AV111" i="21"/>
  <c r="K8" i="25"/>
  <c r="K126" i="1"/>
  <c r="K121" i="1" s="1"/>
  <c r="K129" i="1" s="1"/>
  <c r="K128" i="1" s="1"/>
  <c r="AN61" i="6"/>
  <c r="AO60" i="6" s="1"/>
  <c r="K26" i="25"/>
  <c r="AO66" i="6"/>
  <c r="AO67" i="6" s="1"/>
  <c r="AP64" i="6" s="1"/>
  <c r="K28" i="25"/>
  <c r="AV82" i="28"/>
  <c r="AV80" i="28" s="1"/>
  <c r="AW81" i="28" s="1"/>
  <c r="AE94" i="6"/>
  <c r="AE97" i="6" s="1"/>
  <c r="AO47" i="28"/>
  <c r="AO45" i="28" s="1"/>
  <c r="AB181" i="6"/>
  <c r="AC180" i="6" s="1"/>
  <c r="AS24" i="6"/>
  <c r="AS25" i="6" s="1"/>
  <c r="AV116" i="28"/>
  <c r="AV118" i="28"/>
  <c r="P292" i="6"/>
  <c r="P295" i="6" s="1"/>
  <c r="Q292" i="6" s="1"/>
  <c r="U228" i="6"/>
  <c r="U229" i="6" s="1"/>
  <c r="AO42" i="6"/>
  <c r="AO43" i="6" s="1"/>
  <c r="L89" i="1"/>
  <c r="L92" i="1" s="1"/>
  <c r="S265" i="6"/>
  <c r="AH130" i="6"/>
  <c r="AH133" i="6" s="1"/>
  <c r="S318" i="6"/>
  <c r="S319" i="6" s="1"/>
  <c r="G18" i="25"/>
  <c r="AM49" i="6"/>
  <c r="AN46" i="6" s="1"/>
  <c r="O18" i="6"/>
  <c r="P70" i="1" s="1"/>
  <c r="P72" i="1" s="1"/>
  <c r="P76" i="1" s="1"/>
  <c r="P78" i="1" s="1"/>
  <c r="P79" i="1" s="1"/>
  <c r="P80" i="1" s="1"/>
  <c r="P81" i="1" s="1"/>
  <c r="R277" i="6"/>
  <c r="S274" i="6" s="1"/>
  <c r="AH108" i="6"/>
  <c r="AH109" i="6" s="1"/>
  <c r="AI106" i="6" s="1"/>
  <c r="AH145" i="6"/>
  <c r="AI144" i="6" s="1"/>
  <c r="Z199" i="6"/>
  <c r="AA198" i="6" s="1"/>
  <c r="R289" i="6"/>
  <c r="S288" i="6" s="1"/>
  <c r="H166" i="1"/>
  <c r="H167" i="1" s="1"/>
  <c r="AN70" i="6"/>
  <c r="AN72" i="6"/>
  <c r="AV88" i="28"/>
  <c r="AV86" i="28"/>
  <c r="AW161" i="28"/>
  <c r="AW162" i="28" s="1"/>
  <c r="AW160" i="28" s="1"/>
  <c r="AF115" i="6"/>
  <c r="AG112" i="6" s="1"/>
  <c r="V208" i="6"/>
  <c r="V210" i="6"/>
  <c r="AY137" i="28"/>
  <c r="AY135" i="28" s="1"/>
  <c r="AZ136" i="28" s="1"/>
  <c r="AL100" i="6"/>
  <c r="AL103" i="6" s="1"/>
  <c r="O283" i="6"/>
  <c r="P280" i="6" s="1"/>
  <c r="AW131" i="28"/>
  <c r="AW132" i="28" s="1"/>
  <c r="AW130" i="28" s="1"/>
  <c r="AX133" i="28" s="1"/>
  <c r="AY158" i="28"/>
  <c r="AY156" i="28"/>
  <c r="AT97" i="28"/>
  <c r="AT95" i="28" s="1"/>
  <c r="AU98" i="28" s="1"/>
  <c r="O313" i="6"/>
  <c r="P312" i="6" s="1"/>
  <c r="X223" i="6"/>
  <c r="Y220" i="6" s="1"/>
  <c r="Z205" i="6"/>
  <c r="AA202" i="6" s="1"/>
  <c r="AK91" i="6"/>
  <c r="AL88" i="6" s="1"/>
  <c r="AE163" i="6"/>
  <c r="AF162" i="6" s="1"/>
  <c r="W241" i="6"/>
  <c r="X240" i="6" s="1"/>
  <c r="AE157" i="6"/>
  <c r="AV108" i="21"/>
  <c r="AV106" i="21"/>
  <c r="H131" i="1"/>
  <c r="G132" i="1" s="1"/>
  <c r="AV31" i="28"/>
  <c r="AV33" i="28"/>
  <c r="AU101" i="28"/>
  <c r="AU103" i="28"/>
  <c r="AX141" i="28"/>
  <c r="AX143" i="28"/>
  <c r="F109" i="1"/>
  <c r="BA171" i="28"/>
  <c r="BA173" i="28"/>
  <c r="H148" i="1"/>
  <c r="H146" i="1" s="1"/>
  <c r="H149" i="1" s="1"/>
  <c r="AV107" i="28"/>
  <c r="AV105" i="28" s="1"/>
  <c r="BA207" i="21"/>
  <c r="BA205" i="21" s="1"/>
  <c r="AU152" i="28"/>
  <c r="AU150" i="28" s="1"/>
  <c r="AY137" i="21"/>
  <c r="AY135" i="21" s="1"/>
  <c r="AZ202" i="28"/>
  <c r="AZ200" i="28" s="1"/>
  <c r="AP55" i="6"/>
  <c r="AN32" i="21"/>
  <c r="AN30" i="21" s="1"/>
  <c r="AO37" i="21"/>
  <c r="AO35" i="21" s="1"/>
  <c r="AV111" i="28"/>
  <c r="AV113" i="28"/>
  <c r="AX147" i="28"/>
  <c r="AX145" i="28" s="1"/>
  <c r="BA193" i="21"/>
  <c r="BA191" i="21"/>
  <c r="Q304" i="6"/>
  <c r="Q306" i="6"/>
  <c r="AY191" i="28"/>
  <c r="AY193" i="28"/>
  <c r="AZ166" i="21"/>
  <c r="AZ168" i="21"/>
  <c r="O87" i="1"/>
  <c r="O88" i="1"/>
  <c r="U85" i="1"/>
  <c r="AR72" i="21"/>
  <c r="AR70" i="21" s="1"/>
  <c r="P298" i="6"/>
  <c r="P300" i="6"/>
  <c r="F132" i="1"/>
  <c r="AR31" i="6"/>
  <c r="BA176" i="28"/>
  <c r="BA178" i="28"/>
  <c r="AS77" i="21"/>
  <c r="AS75" i="21" s="1"/>
  <c r="AX116" i="21"/>
  <c r="AX118" i="21"/>
  <c r="AY167" i="28"/>
  <c r="AY165" i="28" s="1"/>
  <c r="I148" i="1"/>
  <c r="I146" i="1" s="1"/>
  <c r="I149" i="1" s="1"/>
  <c r="BA207" i="28"/>
  <c r="BA205" i="28" s="1"/>
  <c r="AH127" i="6"/>
  <c r="Z174" i="6"/>
  <c r="Z172" i="6"/>
  <c r="F145" i="1"/>
  <c r="AP53" i="21"/>
  <c r="AP51" i="21"/>
  <c r="AW121" i="28"/>
  <c r="AW123" i="28"/>
  <c r="Z214" i="6"/>
  <c r="Z216" i="6"/>
  <c r="R270" i="6"/>
  <c r="R268" i="6"/>
  <c r="S247" i="6"/>
  <c r="AS61" i="28"/>
  <c r="AS63" i="28"/>
  <c r="H106" i="1"/>
  <c r="AY126" i="28"/>
  <c r="AY128" i="28"/>
  <c r="AP37" i="6"/>
  <c r="AW126" i="21"/>
  <c r="AW128" i="21"/>
  <c r="BA197" i="28"/>
  <c r="BA195" i="28" s="1"/>
  <c r="AV153" i="21"/>
  <c r="AV151" i="21"/>
  <c r="AS91" i="28"/>
  <c r="AS93" i="28"/>
  <c r="G16" i="25"/>
  <c r="G29" i="25"/>
  <c r="G108" i="1"/>
  <c r="G109" i="1" s="1"/>
  <c r="AD166" i="6"/>
  <c r="AD168" i="6"/>
  <c r="AE150" i="6"/>
  <c r="AE148" i="6"/>
  <c r="Q259" i="6"/>
  <c r="AZ156" i="21"/>
  <c r="AZ158" i="21"/>
  <c r="AT72" i="28"/>
  <c r="AT70" i="28" s="1"/>
  <c r="AR51" i="28"/>
  <c r="AR53" i="28"/>
  <c r="AZ147" i="21"/>
  <c r="AZ145" i="21" s="1"/>
  <c r="G17" i="25"/>
  <c r="G31" i="25"/>
  <c r="Z187" i="6"/>
  <c r="S276" i="6" l="1"/>
  <c r="I167" i="1"/>
  <c r="I30" i="25" s="1"/>
  <c r="Y27" i="28"/>
  <c r="P282" i="6"/>
  <c r="P283" i="6" s="1"/>
  <c r="Q282" i="6" s="1"/>
  <c r="AV131" i="21"/>
  <c r="AV132" i="21" s="1"/>
  <c r="AV130" i="21" s="1"/>
  <c r="J104" i="1"/>
  <c r="J105" i="1" s="1"/>
  <c r="J102" i="1"/>
  <c r="J103" i="1" s="1"/>
  <c r="AC178" i="6"/>
  <c r="AC181" i="6" s="1"/>
  <c r="AD178" i="6" s="1"/>
  <c r="O19" i="6"/>
  <c r="J100" i="1"/>
  <c r="J101" i="1" s="1"/>
  <c r="AC190" i="6"/>
  <c r="AC193" i="6" s="1"/>
  <c r="AN41" i="21"/>
  <c r="AN42" i="21" s="1"/>
  <c r="AN40" i="21" s="1"/>
  <c r="AO43" i="21" s="1"/>
  <c r="AU101" i="21"/>
  <c r="AU103" i="21"/>
  <c r="AU102" i="21" s="1"/>
  <c r="AU100" i="21" s="1"/>
  <c r="BA198" i="21"/>
  <c r="BA197" i="21" s="1"/>
  <c r="BA195" i="21" s="1"/>
  <c r="AW123" i="21"/>
  <c r="AW122" i="21" s="1"/>
  <c r="AW120" i="21" s="1"/>
  <c r="AX121" i="21" s="1"/>
  <c r="AW127" i="21"/>
  <c r="AW125" i="21" s="1"/>
  <c r="AX126" i="21" s="1"/>
  <c r="AP52" i="21"/>
  <c r="AP50" i="21" s="1"/>
  <c r="AQ53" i="21" s="1"/>
  <c r="AU98" i="21"/>
  <c r="AU96" i="21"/>
  <c r="AU97" i="21" s="1"/>
  <c r="AU95" i="21" s="1"/>
  <c r="AV96" i="21" s="1"/>
  <c r="AZ183" i="28"/>
  <c r="AZ182" i="28" s="1"/>
  <c r="AZ180" i="28" s="1"/>
  <c r="AV38" i="28"/>
  <c r="AV37" i="28" s="1"/>
  <c r="AV35" i="28" s="1"/>
  <c r="AW36" i="28" s="1"/>
  <c r="AW133" i="21"/>
  <c r="AW131" i="21"/>
  <c r="AT82" i="21"/>
  <c r="AT80" i="21" s="1"/>
  <c r="AU83" i="21" s="1"/>
  <c r="AV112" i="21"/>
  <c r="AV110" i="21" s="1"/>
  <c r="AW111" i="21" s="1"/>
  <c r="AX143" i="21"/>
  <c r="AX142" i="21" s="1"/>
  <c r="AX140" i="21" s="1"/>
  <c r="AT61" i="21"/>
  <c r="AT62" i="21" s="1"/>
  <c r="AT60" i="21" s="1"/>
  <c r="AU61" i="21" s="1"/>
  <c r="AO58" i="6"/>
  <c r="AO61" i="6" s="1"/>
  <c r="AP60" i="6" s="1"/>
  <c r="BA192" i="21"/>
  <c r="BA190" i="21" s="1"/>
  <c r="AI142" i="6"/>
  <c r="AI145" i="6" s="1"/>
  <c r="AJ144" i="6" s="1"/>
  <c r="V232" i="6"/>
  <c r="V235" i="6" s="1"/>
  <c r="W232" i="6" s="1"/>
  <c r="AA204" i="6"/>
  <c r="AA205" i="6" s="1"/>
  <c r="AB204" i="6" s="1"/>
  <c r="AO46" i="21"/>
  <c r="AO48" i="21"/>
  <c r="BA186" i="21"/>
  <c r="BA187" i="21" s="1"/>
  <c r="BA185" i="21" s="1"/>
  <c r="AO57" i="21"/>
  <c r="AO55" i="21" s="1"/>
  <c r="AP58" i="21" s="1"/>
  <c r="AT91" i="21"/>
  <c r="AT92" i="21" s="1"/>
  <c r="AT90" i="21" s="1"/>
  <c r="AU93" i="21" s="1"/>
  <c r="AB14" i="25"/>
  <c r="AB143" i="1"/>
  <c r="BA171" i="21"/>
  <c r="BA172" i="21" s="1"/>
  <c r="BA170" i="21" s="1"/>
  <c r="AR58" i="28"/>
  <c r="AR56" i="28"/>
  <c r="AB26" i="21"/>
  <c r="AA22" i="21"/>
  <c r="AB28" i="21"/>
  <c r="AB4" i="21" s="1"/>
  <c r="AC74" i="1" s="1"/>
  <c r="AT77" i="28"/>
  <c r="AT75" i="28" s="1"/>
  <c r="AS86" i="21"/>
  <c r="AS87" i="21" s="1"/>
  <c r="AS85" i="21" s="1"/>
  <c r="AO66" i="21"/>
  <c r="AO68" i="21"/>
  <c r="AZ176" i="21"/>
  <c r="AZ178" i="21"/>
  <c r="AV152" i="21"/>
  <c r="AV150" i="21" s="1"/>
  <c r="AW151" i="21" s="1"/>
  <c r="AV107" i="21"/>
  <c r="AV105" i="21" s="1"/>
  <c r="AW108" i="21" s="1"/>
  <c r="AZ167" i="21"/>
  <c r="AZ165" i="21" s="1"/>
  <c r="BA168" i="21" s="1"/>
  <c r="W234" i="6"/>
  <c r="AW83" i="28"/>
  <c r="AW82" i="28" s="1"/>
  <c r="AW80" i="28" s="1"/>
  <c r="AX83" i="28" s="1"/>
  <c r="X238" i="6"/>
  <c r="X241" i="6" s="1"/>
  <c r="Y240" i="6" s="1"/>
  <c r="AN73" i="6"/>
  <c r="L90" i="1"/>
  <c r="M86" i="1" s="1"/>
  <c r="M89" i="1" s="1"/>
  <c r="M92" i="1" s="1"/>
  <c r="AG114" i="6"/>
  <c r="AG115" i="6" s="1"/>
  <c r="AV117" i="28"/>
  <c r="AV115" i="28" s="1"/>
  <c r="AX142" i="28"/>
  <c r="AX140" i="28" s="1"/>
  <c r="AY141" i="28" s="1"/>
  <c r="AF160" i="6"/>
  <c r="AF163" i="6" s="1"/>
  <c r="AL90" i="6"/>
  <c r="AL91" i="6" s="1"/>
  <c r="AU96" i="28"/>
  <c r="AU97" i="28" s="1"/>
  <c r="AU95" i="28" s="1"/>
  <c r="AV87" i="28"/>
  <c r="AV85" i="28" s="1"/>
  <c r="L97" i="1"/>
  <c r="L96" i="1"/>
  <c r="L98" i="1"/>
  <c r="L93" i="1"/>
  <c r="L95" i="1" s="1"/>
  <c r="L94" i="1"/>
  <c r="AP46" i="28"/>
  <c r="AP48" i="28"/>
  <c r="T262" i="6"/>
  <c r="T264" i="6"/>
  <c r="Q294" i="6"/>
  <c r="Q295" i="6" s="1"/>
  <c r="AL120" i="6"/>
  <c r="AL121" i="6" s="1"/>
  <c r="AM120" i="6" s="1"/>
  <c r="T318" i="6"/>
  <c r="T316" i="6"/>
  <c r="AI130" i="6"/>
  <c r="AI132" i="6"/>
  <c r="AN48" i="6"/>
  <c r="AN49" i="6" s="1"/>
  <c r="AO46" i="6" s="1"/>
  <c r="AZ138" i="28"/>
  <c r="AZ137" i="28" s="1"/>
  <c r="AZ135" i="28" s="1"/>
  <c r="S286" i="6"/>
  <c r="S289" i="6" s="1"/>
  <c r="Y222" i="6"/>
  <c r="Y223" i="6" s="1"/>
  <c r="AA196" i="6"/>
  <c r="AA199" i="6" s="1"/>
  <c r="AB196" i="6" s="1"/>
  <c r="AX131" i="28"/>
  <c r="AX132" i="28" s="1"/>
  <c r="AX130" i="28" s="1"/>
  <c r="AY131" i="28" s="1"/>
  <c r="V228" i="6"/>
  <c r="V226" i="6"/>
  <c r="AU102" i="28"/>
  <c r="AU100" i="28" s="1"/>
  <c r="AV101" i="28" s="1"/>
  <c r="AE151" i="6"/>
  <c r="AF150" i="6" s="1"/>
  <c r="G4" i="25"/>
  <c r="G46" i="25" s="1"/>
  <c r="G23" i="25"/>
  <c r="G47" i="25" s="1"/>
  <c r="P310" i="6"/>
  <c r="P313" i="6" s="1"/>
  <c r="AI108" i="6"/>
  <c r="AI109" i="6" s="1"/>
  <c r="S277" i="6"/>
  <c r="T276" i="6" s="1"/>
  <c r="AS92" i="28"/>
  <c r="AS90" i="28" s="1"/>
  <c r="AT93" i="28" s="1"/>
  <c r="BA177" i="28"/>
  <c r="BA175" i="28" s="1"/>
  <c r="AQ66" i="28"/>
  <c r="AQ68" i="28"/>
  <c r="AF154" i="6"/>
  <c r="AF156" i="6"/>
  <c r="V211" i="6"/>
  <c r="AP66" i="6"/>
  <c r="AP67" i="6" s="1"/>
  <c r="AR52" i="28"/>
  <c r="AR50" i="28" s="1"/>
  <c r="AS53" i="28" s="1"/>
  <c r="Z217" i="6"/>
  <c r="AA216" i="6" s="1"/>
  <c r="AY157" i="28"/>
  <c r="AY155" i="28" s="1"/>
  <c r="I18" i="25"/>
  <c r="AU71" i="28"/>
  <c r="AU73" i="28"/>
  <c r="R258" i="6"/>
  <c r="R256" i="6"/>
  <c r="AX117" i="21"/>
  <c r="AX115" i="21" s="1"/>
  <c r="AV112" i="28"/>
  <c r="AV110" i="28" s="1"/>
  <c r="J128" i="1"/>
  <c r="AW122" i="28"/>
  <c r="AW120" i="28" s="1"/>
  <c r="AS28" i="6"/>
  <c r="AS30" i="6"/>
  <c r="AY192" i="28"/>
  <c r="AY190" i="28" s="1"/>
  <c r="BA203" i="28"/>
  <c r="BA201" i="28"/>
  <c r="AZ136" i="21"/>
  <c r="AZ138" i="21"/>
  <c r="H31" i="25"/>
  <c r="H17" i="25"/>
  <c r="BA172" i="28"/>
  <c r="BA170" i="28" s="1"/>
  <c r="AV32" i="28"/>
  <c r="AV30" i="28" s="1"/>
  <c r="AP40" i="6"/>
  <c r="AP42" i="6"/>
  <c r="AS62" i="28"/>
  <c r="AS60" i="28" s="1"/>
  <c r="R271" i="6"/>
  <c r="Z175" i="6"/>
  <c r="I17" i="25"/>
  <c r="I31" i="25"/>
  <c r="I106" i="1"/>
  <c r="AV151" i="28"/>
  <c r="AV153" i="28"/>
  <c r="I131" i="1"/>
  <c r="K138" i="1"/>
  <c r="K137" i="1" s="1"/>
  <c r="K145" i="1" s="1"/>
  <c r="AQ52" i="6"/>
  <c r="AQ54" i="6"/>
  <c r="AQ36" i="6"/>
  <c r="AQ34" i="6"/>
  <c r="AM102" i="6"/>
  <c r="AM100" i="6"/>
  <c r="P87" i="1"/>
  <c r="P88" i="1"/>
  <c r="V85" i="1"/>
  <c r="AQ41" i="28"/>
  <c r="AQ43" i="28"/>
  <c r="H16" i="25"/>
  <c r="H29" i="25"/>
  <c r="H108" i="1"/>
  <c r="H109" i="1" s="1"/>
  <c r="AP76" i="6"/>
  <c r="AP78" i="6"/>
  <c r="AY146" i="28"/>
  <c r="AY148" i="28"/>
  <c r="AO72" i="6"/>
  <c r="AO70" i="6"/>
  <c r="BA146" i="21"/>
  <c r="BA148" i="21"/>
  <c r="AD169" i="6"/>
  <c r="AY127" i="28"/>
  <c r="AY125" i="28" s="1"/>
  <c r="H18" i="25"/>
  <c r="H30" i="25"/>
  <c r="AI124" i="6"/>
  <c r="AI126" i="6"/>
  <c r="AZ168" i="28"/>
  <c r="AZ166" i="28"/>
  <c r="AT78" i="21"/>
  <c r="AT76" i="21"/>
  <c r="AH136" i="6"/>
  <c r="AH138" i="6"/>
  <c r="AF96" i="6"/>
  <c r="AF94" i="6"/>
  <c r="Q307" i="6"/>
  <c r="T252" i="6"/>
  <c r="T250" i="6"/>
  <c r="AP36" i="21"/>
  <c r="AP38" i="21"/>
  <c r="AP82" i="6"/>
  <c r="AP84" i="6"/>
  <c r="AW106" i="28"/>
  <c r="AW108" i="28"/>
  <c r="F165" i="1"/>
  <c r="F162" i="1"/>
  <c r="F156" i="1"/>
  <c r="F147" i="1"/>
  <c r="AO33" i="21"/>
  <c r="AO31" i="21"/>
  <c r="AD180" i="6"/>
  <c r="AA186" i="6"/>
  <c r="AA184" i="6"/>
  <c r="P301" i="6"/>
  <c r="AT22" i="6"/>
  <c r="AT24" i="6"/>
  <c r="AZ157" i="21"/>
  <c r="AZ155" i="21" s="1"/>
  <c r="AX161" i="28"/>
  <c r="AX163" i="28"/>
  <c r="T244" i="6"/>
  <c r="T246" i="6"/>
  <c r="AS73" i="21"/>
  <c r="AS71" i="21"/>
  <c r="P18" i="6"/>
  <c r="Q70" i="1" s="1"/>
  <c r="Q72" i="1" s="1"/>
  <c r="Q76" i="1" s="1"/>
  <c r="K102" i="1" l="1"/>
  <c r="K103" i="1" s="1"/>
  <c r="K104" i="1"/>
  <c r="Y275" i="28"/>
  <c r="Y25" i="28"/>
  <c r="K100" i="1"/>
  <c r="K101" i="1" s="1"/>
  <c r="AD192" i="6"/>
  <c r="AD190" i="6"/>
  <c r="AW113" i="21"/>
  <c r="AW112" i="21" s="1"/>
  <c r="AW110" i="21" s="1"/>
  <c r="AO41" i="21"/>
  <c r="AO42" i="21" s="1"/>
  <c r="AO40" i="21" s="1"/>
  <c r="AP43" i="21" s="1"/>
  <c r="AQ51" i="21"/>
  <c r="AQ52" i="21" s="1"/>
  <c r="AQ50" i="21" s="1"/>
  <c r="AR53" i="21" s="1"/>
  <c r="AU63" i="21"/>
  <c r="AU62" i="21" s="1"/>
  <c r="AU60" i="21" s="1"/>
  <c r="AX128" i="21"/>
  <c r="AW106" i="21"/>
  <c r="AW132" i="21"/>
  <c r="AW130" i="21" s="1"/>
  <c r="AX131" i="21" s="1"/>
  <c r="BA181" i="28"/>
  <c r="BA183" i="28"/>
  <c r="BA182" i="28" s="1"/>
  <c r="BA180" i="28" s="1"/>
  <c r="AY143" i="28"/>
  <c r="AY142" i="28" s="1"/>
  <c r="AY140" i="28" s="1"/>
  <c r="AZ141" i="28" s="1"/>
  <c r="AU81" i="21"/>
  <c r="AU82" i="21" s="1"/>
  <c r="AU80" i="21" s="1"/>
  <c r="AU91" i="21"/>
  <c r="AU92" i="21" s="1"/>
  <c r="AU90" i="21" s="1"/>
  <c r="AV91" i="21" s="1"/>
  <c r="AY143" i="21"/>
  <c r="AY141" i="21"/>
  <c r="AX123" i="21"/>
  <c r="AX122" i="21" s="1"/>
  <c r="AX120" i="21" s="1"/>
  <c r="AA214" i="6"/>
  <c r="AA217" i="6" s="1"/>
  <c r="M90" i="1"/>
  <c r="N86" i="1" s="1"/>
  <c r="N89" i="1" s="1"/>
  <c r="N92" i="1" s="1"/>
  <c r="N93" i="1" s="1"/>
  <c r="N95" i="1" s="1"/>
  <c r="N96" i="1" s="1"/>
  <c r="AB202" i="6"/>
  <c r="AB205" i="6" s="1"/>
  <c r="AO47" i="21"/>
  <c r="AO45" i="21" s="1"/>
  <c r="AP46" i="21" s="1"/>
  <c r="AB198" i="6"/>
  <c r="AB199" i="6" s="1"/>
  <c r="AS72" i="21"/>
  <c r="AS70" i="21" s="1"/>
  <c r="AT71" i="21" s="1"/>
  <c r="V229" i="6"/>
  <c r="W228" i="6" s="1"/>
  <c r="AC144" i="1"/>
  <c r="AC13" i="25"/>
  <c r="AC39" i="25"/>
  <c r="AC27" i="25"/>
  <c r="AC40" i="25" s="1"/>
  <c r="AP56" i="21"/>
  <c r="AP57" i="21" s="1"/>
  <c r="AP55" i="21" s="1"/>
  <c r="AB38" i="25"/>
  <c r="AB36" i="25" s="1"/>
  <c r="AB48" i="25" s="1"/>
  <c r="AB142" i="1"/>
  <c r="BA166" i="21"/>
  <c r="BA167" i="21" s="1"/>
  <c r="BA165" i="21" s="1"/>
  <c r="AW38" i="28"/>
  <c r="AW37" i="28" s="1"/>
  <c r="AW35" i="28" s="1"/>
  <c r="AB27" i="21"/>
  <c r="AR57" i="28"/>
  <c r="AR55" i="28" s="1"/>
  <c r="AU76" i="28"/>
  <c r="AU78" i="28"/>
  <c r="AZ177" i="21"/>
  <c r="AZ175" i="21" s="1"/>
  <c r="BA176" i="21" s="1"/>
  <c r="BA147" i="21"/>
  <c r="BA145" i="21" s="1"/>
  <c r="AV98" i="21"/>
  <c r="AV97" i="21" s="1"/>
  <c r="AV95" i="21" s="1"/>
  <c r="AX81" i="28"/>
  <c r="AX82" i="28" s="1"/>
  <c r="AX80" i="28" s="1"/>
  <c r="AX127" i="21"/>
  <c r="AX125" i="21" s="1"/>
  <c r="AY128" i="21" s="1"/>
  <c r="AW153" i="21"/>
  <c r="AW152" i="21" s="1"/>
  <c r="AW150" i="21" s="1"/>
  <c r="AO67" i="21"/>
  <c r="AO65" i="21" s="1"/>
  <c r="AO32" i="21"/>
  <c r="AO30" i="21" s="1"/>
  <c r="AP33" i="21" s="1"/>
  <c r="AZ137" i="21"/>
  <c r="AZ135" i="21" s="1"/>
  <c r="BA136" i="21" s="1"/>
  <c r="AP47" i="28"/>
  <c r="AP45" i="28" s="1"/>
  <c r="AQ46" i="28" s="1"/>
  <c r="M98" i="1"/>
  <c r="M93" i="1"/>
  <c r="M95" i="1" s="1"/>
  <c r="M96" i="1"/>
  <c r="M97" i="1"/>
  <c r="M125" i="1" s="1"/>
  <c r="AV103" i="28"/>
  <c r="AV102" i="28" s="1"/>
  <c r="AV100" i="28" s="1"/>
  <c r="T319" i="6"/>
  <c r="U316" i="6" s="1"/>
  <c r="M94" i="1"/>
  <c r="W235" i="6"/>
  <c r="AG160" i="6"/>
  <c r="AG162" i="6"/>
  <c r="AT91" i="28"/>
  <c r="AT92" i="28" s="1"/>
  <c r="AT90" i="28" s="1"/>
  <c r="AO48" i="6"/>
  <c r="AO49" i="6" s="1"/>
  <c r="G44" i="25"/>
  <c r="T265" i="6"/>
  <c r="AW88" i="28"/>
  <c r="AW86" i="28"/>
  <c r="AO73" i="6"/>
  <c r="AP70" i="6" s="1"/>
  <c r="Y238" i="6"/>
  <c r="Y241" i="6" s="1"/>
  <c r="L125" i="1"/>
  <c r="L26" i="25"/>
  <c r="L8" i="25"/>
  <c r="AW116" i="28"/>
  <c r="AW118" i="28"/>
  <c r="AP58" i="6"/>
  <c r="AP61" i="6" s="1"/>
  <c r="AJ142" i="6"/>
  <c r="AJ145" i="6" s="1"/>
  <c r="T274" i="6"/>
  <c r="T277" i="6" s="1"/>
  <c r="U274" i="6" s="1"/>
  <c r="L28" i="25"/>
  <c r="L15" i="25"/>
  <c r="L126" i="1"/>
  <c r="T247" i="6"/>
  <c r="U246" i="6" s="1"/>
  <c r="AF148" i="6"/>
  <c r="AF151" i="6" s="1"/>
  <c r="AG148" i="6" s="1"/>
  <c r="AF97" i="6"/>
  <c r="AG96" i="6" s="1"/>
  <c r="H23" i="25"/>
  <c r="H47" i="25" s="1"/>
  <c r="AM118" i="6"/>
  <c r="AM121" i="6" s="1"/>
  <c r="AI133" i="6"/>
  <c r="AA187" i="6"/>
  <c r="AB186" i="6" s="1"/>
  <c r="AP85" i="6"/>
  <c r="AQ82" i="6" s="1"/>
  <c r="AY133" i="28"/>
  <c r="AY132" i="28" s="1"/>
  <c r="AY130" i="28" s="1"/>
  <c r="Q280" i="6"/>
  <c r="Q283" i="6" s="1"/>
  <c r="AZ167" i="28"/>
  <c r="AZ165" i="28" s="1"/>
  <c r="BA166" i="28" s="1"/>
  <c r="AP79" i="6"/>
  <c r="AQ76" i="6" s="1"/>
  <c r="AF157" i="6"/>
  <c r="AQ55" i="6"/>
  <c r="AR54" i="6" s="1"/>
  <c r="AS51" i="28"/>
  <c r="AS52" i="28" s="1"/>
  <c r="AS50" i="28" s="1"/>
  <c r="AQ67" i="28"/>
  <c r="AQ65" i="28" s="1"/>
  <c r="AT25" i="6"/>
  <c r="AU24" i="6" s="1"/>
  <c r="AI127" i="6"/>
  <c r="AJ126" i="6" s="1"/>
  <c r="H4" i="25"/>
  <c r="H46" i="25" s="1"/>
  <c r="R259" i="6"/>
  <c r="S258" i="6" s="1"/>
  <c r="AZ156" i="28"/>
  <c r="AZ158" i="28"/>
  <c r="W210" i="6"/>
  <c r="W208" i="6"/>
  <c r="Q300" i="6"/>
  <c r="Q298" i="6"/>
  <c r="AZ128" i="28"/>
  <c r="AZ126" i="28"/>
  <c r="AU72" i="28"/>
  <c r="AU70" i="28" s="1"/>
  <c r="F148" i="1"/>
  <c r="F146" i="1" s="1"/>
  <c r="AQ42" i="28"/>
  <c r="AQ40" i="28" s="1"/>
  <c r="AV152" i="28"/>
  <c r="AV150" i="28" s="1"/>
  <c r="I29" i="25"/>
  <c r="I16" i="25"/>
  <c r="I4" i="25" s="1"/>
  <c r="I46" i="25" s="1"/>
  <c r="I108" i="1"/>
  <c r="AZ191" i="28"/>
  <c r="AZ193" i="28"/>
  <c r="AS31" i="6"/>
  <c r="T286" i="6"/>
  <c r="T288" i="6"/>
  <c r="F166" i="1"/>
  <c r="F167" i="1" s="1"/>
  <c r="AH139" i="6"/>
  <c r="AQ37" i="6"/>
  <c r="Z222" i="6"/>
  <c r="Z220" i="6"/>
  <c r="AT86" i="21"/>
  <c r="AT88" i="21"/>
  <c r="AW31" i="28"/>
  <c r="AW33" i="28"/>
  <c r="AX162" i="28"/>
  <c r="AX160" i="28" s="1"/>
  <c r="AV101" i="21"/>
  <c r="AV103" i="21"/>
  <c r="R294" i="6"/>
  <c r="R292" i="6"/>
  <c r="AP37" i="21"/>
  <c r="AP35" i="21" s="1"/>
  <c r="F163" i="1"/>
  <c r="AQ64" i="6"/>
  <c r="AQ66" i="6"/>
  <c r="R306" i="6"/>
  <c r="R304" i="6"/>
  <c r="Q312" i="6"/>
  <c r="Q310" i="6"/>
  <c r="AH112" i="6"/>
  <c r="AH114" i="6"/>
  <c r="AE166" i="6"/>
  <c r="AE168" i="6"/>
  <c r="Q78" i="1"/>
  <c r="Q79" i="1" s="1"/>
  <c r="Q80" i="1" s="1"/>
  <c r="Q81" i="1" s="1"/>
  <c r="AD181" i="6"/>
  <c r="BA156" i="21"/>
  <c r="BA158" i="21"/>
  <c r="P19" i="6"/>
  <c r="K105" i="1"/>
  <c r="AW107" i="28"/>
  <c r="AW105" i="28" s="1"/>
  <c r="T253" i="6"/>
  <c r="AY147" i="28"/>
  <c r="AY145" i="28" s="1"/>
  <c r="J106" i="1"/>
  <c r="AM103" i="6"/>
  <c r="H132" i="1"/>
  <c r="AA174" i="6"/>
  <c r="AA172" i="6"/>
  <c r="AP43" i="6"/>
  <c r="AX121" i="28"/>
  <c r="AX123" i="28"/>
  <c r="J138" i="1"/>
  <c r="J131" i="1"/>
  <c r="I132" i="1" s="1"/>
  <c r="AG150" i="6"/>
  <c r="S270" i="6"/>
  <c r="S268" i="6"/>
  <c r="AY116" i="21"/>
  <c r="AY118" i="21"/>
  <c r="AT61" i="28"/>
  <c r="AT63" i="28"/>
  <c r="AW107" i="21"/>
  <c r="AW105" i="21" s="1"/>
  <c r="AM90" i="6"/>
  <c r="AM88" i="6"/>
  <c r="K165" i="1"/>
  <c r="K156" i="1"/>
  <c r="BA136" i="28"/>
  <c r="BA138" i="28"/>
  <c r="AT77" i="21"/>
  <c r="AT75" i="21" s="1"/>
  <c r="AJ108" i="6"/>
  <c r="AJ106" i="6"/>
  <c r="AV96" i="28"/>
  <c r="AV98" i="28"/>
  <c r="BA202" i="28"/>
  <c r="BA200" i="28" s="1"/>
  <c r="AW111" i="28"/>
  <c r="AW113" i="28"/>
  <c r="W226" i="6" l="1"/>
  <c r="U276" i="6"/>
  <c r="AB184" i="6"/>
  <c r="S256" i="6"/>
  <c r="AG163" i="6"/>
  <c r="AH160" i="6" s="1"/>
  <c r="AP72" i="6"/>
  <c r="AP73" i="6" s="1"/>
  <c r="AQ72" i="6" s="1"/>
  <c r="AD193" i="6"/>
  <c r="U244" i="6"/>
  <c r="U247" i="6" s="1"/>
  <c r="V244" i="6" s="1"/>
  <c r="Y22" i="28"/>
  <c r="Z26" i="28"/>
  <c r="Z27" i="28" s="1"/>
  <c r="Z28" i="28"/>
  <c r="Z4" i="28" s="1"/>
  <c r="AG94" i="6"/>
  <c r="AG97" i="6" s="1"/>
  <c r="AU22" i="6"/>
  <c r="AU25" i="6" s="1"/>
  <c r="AV24" i="6" s="1"/>
  <c r="S271" i="6"/>
  <c r="T268" i="6" s="1"/>
  <c r="Q301" i="6"/>
  <c r="AX133" i="21"/>
  <c r="AX132" i="21" s="1"/>
  <c r="AX130" i="21" s="1"/>
  <c r="AY131" i="21" s="1"/>
  <c r="AQ48" i="28"/>
  <c r="AQ47" i="28" s="1"/>
  <c r="AQ45" i="28" s="1"/>
  <c r="AR48" i="28" s="1"/>
  <c r="AY142" i="21"/>
  <c r="AY140" i="21" s="1"/>
  <c r="AZ141" i="21" s="1"/>
  <c r="AY126" i="21"/>
  <c r="AY127" i="21" s="1"/>
  <c r="AY125" i="21" s="1"/>
  <c r="AP31" i="21"/>
  <c r="AP32" i="21" s="1"/>
  <c r="AP30" i="21" s="1"/>
  <c r="AT73" i="21"/>
  <c r="AT72" i="21" s="1"/>
  <c r="AT70" i="21" s="1"/>
  <c r="AV83" i="21"/>
  <c r="AV81" i="21"/>
  <c r="AV82" i="21" s="1"/>
  <c r="AV80" i="21" s="1"/>
  <c r="AW81" i="21" s="1"/>
  <c r="N94" i="1"/>
  <c r="N98" i="1"/>
  <c r="N15" i="25" s="1"/>
  <c r="BA178" i="21"/>
  <c r="BA177" i="21" s="1"/>
  <c r="BA175" i="21" s="1"/>
  <c r="AT87" i="21"/>
  <c r="AT85" i="21" s="1"/>
  <c r="AU88" i="21" s="1"/>
  <c r="N97" i="1"/>
  <c r="N26" i="25" s="1"/>
  <c r="N90" i="1"/>
  <c r="O86" i="1" s="1"/>
  <c r="O89" i="1" s="1"/>
  <c r="O92" i="1" s="1"/>
  <c r="O94" i="1" s="1"/>
  <c r="Q313" i="6"/>
  <c r="R312" i="6" s="1"/>
  <c r="BA138" i="21"/>
  <c r="BA137" i="21" s="1"/>
  <c r="BA135" i="21" s="1"/>
  <c r="R295" i="6"/>
  <c r="S292" i="6" s="1"/>
  <c r="AV93" i="21"/>
  <c r="AP48" i="21"/>
  <c r="AP47" i="21" s="1"/>
  <c r="AP45" i="21" s="1"/>
  <c r="U318" i="6"/>
  <c r="U319" i="6" s="1"/>
  <c r="AP41" i="21"/>
  <c r="AP42" i="21" s="1"/>
  <c r="AP40" i="21" s="1"/>
  <c r="AQ41" i="21" s="1"/>
  <c r="R307" i="6"/>
  <c r="S304" i="6" s="1"/>
  <c r="AS58" i="28"/>
  <c r="AS56" i="28"/>
  <c r="AV102" i="21"/>
  <c r="AV100" i="21" s="1"/>
  <c r="AW101" i="21" s="1"/>
  <c r="AB275" i="21"/>
  <c r="AB25" i="21"/>
  <c r="AU77" i="28"/>
  <c r="AU75" i="28" s="1"/>
  <c r="AX151" i="21"/>
  <c r="AX153" i="21"/>
  <c r="AW98" i="21"/>
  <c r="AW96" i="21"/>
  <c r="AR51" i="21"/>
  <c r="AR52" i="21" s="1"/>
  <c r="AR50" i="21" s="1"/>
  <c r="AS51" i="21" s="1"/>
  <c r="AX111" i="21"/>
  <c r="AX113" i="21"/>
  <c r="AP66" i="21"/>
  <c r="AP68" i="21"/>
  <c r="AY117" i="21"/>
  <c r="AY115" i="21" s="1"/>
  <c r="AZ116" i="21" s="1"/>
  <c r="M8" i="25"/>
  <c r="AQ58" i="21"/>
  <c r="AQ56" i="21"/>
  <c r="M26" i="25"/>
  <c r="M28" i="25"/>
  <c r="M126" i="1"/>
  <c r="M121" i="1" s="1"/>
  <c r="M129" i="1" s="1"/>
  <c r="M128" i="1" s="1"/>
  <c r="M138" i="1" s="1"/>
  <c r="M137" i="1" s="1"/>
  <c r="M145" i="1" s="1"/>
  <c r="M15" i="25"/>
  <c r="X232" i="6"/>
  <c r="X234" i="6"/>
  <c r="W211" i="6"/>
  <c r="X208" i="6" s="1"/>
  <c r="AW87" i="28"/>
  <c r="AW85" i="28" s="1"/>
  <c r="AX86" i="28" s="1"/>
  <c r="AJ109" i="6"/>
  <c r="AK106" i="6" s="1"/>
  <c r="L121" i="1"/>
  <c r="U264" i="6"/>
  <c r="U262" i="6"/>
  <c r="AW117" i="28"/>
  <c r="AW115" i="28" s="1"/>
  <c r="AQ84" i="6"/>
  <c r="AQ85" i="6" s="1"/>
  <c r="AA175" i="6"/>
  <c r="AB172" i="6" s="1"/>
  <c r="V318" i="6"/>
  <c r="V316" i="6"/>
  <c r="Q18" i="6"/>
  <c r="R70" i="1" s="1"/>
  <c r="R72" i="1" s="1"/>
  <c r="R76" i="1" s="1"/>
  <c r="R78" i="1" s="1"/>
  <c r="R79" i="1" s="1"/>
  <c r="R80" i="1" s="1"/>
  <c r="R81" i="1" s="1"/>
  <c r="W229" i="6"/>
  <c r="AR52" i="6"/>
  <c r="AR55" i="6" s="1"/>
  <c r="AZ143" i="28"/>
  <c r="AZ142" i="28" s="1"/>
  <c r="AZ140" i="28" s="1"/>
  <c r="AJ124" i="6"/>
  <c r="AJ127" i="6" s="1"/>
  <c r="AH115" i="6"/>
  <c r="AI114" i="6" s="1"/>
  <c r="S259" i="6"/>
  <c r="T256" i="6" s="1"/>
  <c r="AJ132" i="6"/>
  <c r="AJ130" i="6"/>
  <c r="AQ78" i="6"/>
  <c r="AQ79" i="6" s="1"/>
  <c r="H44" i="25"/>
  <c r="AP46" i="6"/>
  <c r="AP48" i="6"/>
  <c r="AG154" i="6"/>
  <c r="AG156" i="6"/>
  <c r="U277" i="6"/>
  <c r="V276" i="6" s="1"/>
  <c r="BA168" i="28"/>
  <c r="BA167" i="28" s="1"/>
  <c r="BA165" i="28" s="1"/>
  <c r="AZ157" i="28"/>
  <c r="AZ155" i="28" s="1"/>
  <c r="AR66" i="28"/>
  <c r="AR68" i="28"/>
  <c r="AV97" i="28"/>
  <c r="AV95" i="28" s="1"/>
  <c r="AW96" i="28" s="1"/>
  <c r="Q87" i="1"/>
  <c r="Q88" i="1"/>
  <c r="W85" i="1"/>
  <c r="F30" i="25"/>
  <c r="F18" i="25"/>
  <c r="AU76" i="21"/>
  <c r="AU78" i="21"/>
  <c r="AT28" i="6"/>
  <c r="AT30" i="6"/>
  <c r="R282" i="6"/>
  <c r="R280" i="6"/>
  <c r="AT62" i="28"/>
  <c r="AT60" i="28" s="1"/>
  <c r="AX106" i="21"/>
  <c r="AX108" i="21"/>
  <c r="J137" i="1"/>
  <c r="AN120" i="6"/>
  <c r="AN118" i="6"/>
  <c r="AI112" i="6"/>
  <c r="I23" i="25"/>
  <c r="I47" i="25" s="1"/>
  <c r="I44" i="25" s="1"/>
  <c r="F149" i="1"/>
  <c r="K106" i="1"/>
  <c r="AZ148" i="28"/>
  <c r="AZ146" i="28"/>
  <c r="AQ67" i="6"/>
  <c r="AY161" i="28"/>
  <c r="AY163" i="28"/>
  <c r="Z223" i="6"/>
  <c r="T289" i="6"/>
  <c r="AW151" i="28"/>
  <c r="AW153" i="28"/>
  <c r="F17" i="25"/>
  <c r="F31" i="25"/>
  <c r="AV92" i="21"/>
  <c r="AV90" i="21" s="1"/>
  <c r="AW112" i="28"/>
  <c r="AW110" i="28" s="1"/>
  <c r="AN102" i="6"/>
  <c r="AN100" i="6"/>
  <c r="AK142" i="6"/>
  <c r="AK144" i="6"/>
  <c r="AR41" i="28"/>
  <c r="AR43" i="28"/>
  <c r="U250" i="6"/>
  <c r="U252" i="6"/>
  <c r="Z238" i="6"/>
  <c r="Z240" i="6"/>
  <c r="AR36" i="6"/>
  <c r="AR34" i="6"/>
  <c r="AB187" i="6"/>
  <c r="AM91" i="6"/>
  <c r="AQ60" i="6"/>
  <c r="AQ58" i="6"/>
  <c r="AX106" i="28"/>
  <c r="AX108" i="28"/>
  <c r="BA157" i="21"/>
  <c r="BA155" i="21" s="1"/>
  <c r="AE169" i="6"/>
  <c r="G158" i="1"/>
  <c r="AU91" i="28"/>
  <c r="AU93" i="28"/>
  <c r="AZ192" i="28"/>
  <c r="AZ190" i="28" s="1"/>
  <c r="AV71" i="28"/>
  <c r="AV73" i="28"/>
  <c r="R300" i="6"/>
  <c r="R298" i="6"/>
  <c r="AQ38" i="21"/>
  <c r="AQ36" i="21"/>
  <c r="AX122" i="28"/>
  <c r="AX120" i="28" s="1"/>
  <c r="AV63" i="21"/>
  <c r="AV61" i="21"/>
  <c r="BA137" i="28"/>
  <c r="BA135" i="28" s="1"/>
  <c r="AY81" i="28"/>
  <c r="AY83" i="28"/>
  <c r="AC198" i="6"/>
  <c r="AC196" i="6"/>
  <c r="AB216" i="6"/>
  <c r="AB214" i="6"/>
  <c r="AG151" i="6"/>
  <c r="J29" i="25"/>
  <c r="J16" i="25"/>
  <c r="J108" i="1"/>
  <c r="Q19" i="6"/>
  <c r="AE178" i="6"/>
  <c r="AE180" i="6"/>
  <c r="S294" i="6"/>
  <c r="AY123" i="21"/>
  <c r="AY121" i="21"/>
  <c r="AZ131" i="28"/>
  <c r="AZ133" i="28"/>
  <c r="I109" i="1"/>
  <c r="AC204" i="6"/>
  <c r="AC202" i="6"/>
  <c r="AW101" i="28"/>
  <c r="AW103" i="28"/>
  <c r="AW32" i="28"/>
  <c r="AW30" i="28" s="1"/>
  <c r="AX38" i="28"/>
  <c r="AX36" i="28"/>
  <c r="K131" i="1"/>
  <c r="AQ40" i="6"/>
  <c r="AQ42" i="6"/>
  <c r="AT51" i="28"/>
  <c r="AT53" i="28"/>
  <c r="AI136" i="6"/>
  <c r="AI138" i="6"/>
  <c r="AZ127" i="28"/>
  <c r="AZ125" i="28" s="1"/>
  <c r="T270" i="6" l="1"/>
  <c r="T271" i="6" s="1"/>
  <c r="S306" i="6"/>
  <c r="AH162" i="6"/>
  <c r="U265" i="6"/>
  <c r="V262" i="6" s="1"/>
  <c r="Z275" i="28"/>
  <c r="Z25" i="28"/>
  <c r="AE190" i="6"/>
  <c r="AE192" i="6"/>
  <c r="R310" i="6"/>
  <c r="R313" i="6" s="1"/>
  <c r="AY133" i="21"/>
  <c r="AN103" i="6"/>
  <c r="AZ143" i="21"/>
  <c r="AZ118" i="21"/>
  <c r="AZ117" i="21" s="1"/>
  <c r="AZ115" i="21" s="1"/>
  <c r="AY122" i="21"/>
  <c r="AY120" i="21" s="1"/>
  <c r="AZ121" i="21" s="1"/>
  <c r="AK108" i="6"/>
  <c r="AK109" i="6" s="1"/>
  <c r="AX107" i="21"/>
  <c r="AX105" i="21" s="1"/>
  <c r="AY106" i="21" s="1"/>
  <c r="N28" i="25"/>
  <c r="N126" i="1"/>
  <c r="AU86" i="21"/>
  <c r="AU87" i="21" s="1"/>
  <c r="AU85" i="21" s="1"/>
  <c r="AW83" i="21"/>
  <c r="AW82" i="21" s="1"/>
  <c r="AW80" i="21" s="1"/>
  <c r="AX81" i="21" s="1"/>
  <c r="AR46" i="28"/>
  <c r="AR47" i="28" s="1"/>
  <c r="AR45" i="28" s="1"/>
  <c r="AS48" i="28" s="1"/>
  <c r="N125" i="1"/>
  <c r="N8" i="25"/>
  <c r="AX152" i="21"/>
  <c r="AX150" i="21" s="1"/>
  <c r="AY153" i="21" s="1"/>
  <c r="O98" i="1"/>
  <c r="O90" i="1"/>
  <c r="P86" i="1" s="1"/>
  <c r="P89" i="1" s="1"/>
  <c r="P92" i="1" s="1"/>
  <c r="P94" i="1" s="1"/>
  <c r="O93" i="1"/>
  <c r="O95" i="1" s="1"/>
  <c r="O96" i="1" s="1"/>
  <c r="O97" i="1"/>
  <c r="O26" i="25" s="1"/>
  <c r="AS57" i="28"/>
  <c r="AS55" i="28" s="1"/>
  <c r="AT58" i="28" s="1"/>
  <c r="AQ48" i="21"/>
  <c r="AQ46" i="21"/>
  <c r="AQ57" i="21"/>
  <c r="AQ55" i="21" s="1"/>
  <c r="AR56" i="21" s="1"/>
  <c r="AP67" i="21"/>
  <c r="AP65" i="21" s="1"/>
  <c r="AQ66" i="21" s="1"/>
  <c r="AQ43" i="21"/>
  <c r="AQ42" i="21" s="1"/>
  <c r="AQ40" i="21" s="1"/>
  <c r="AW97" i="21"/>
  <c r="AW95" i="21" s="1"/>
  <c r="AX98" i="21" s="1"/>
  <c r="AW103" i="21"/>
  <c r="AW102" i="21" s="1"/>
  <c r="AW100" i="21" s="1"/>
  <c r="AC26" i="21"/>
  <c r="AC28" i="21"/>
  <c r="AC4" i="21" s="1"/>
  <c r="AD74" i="1" s="1"/>
  <c r="AB22" i="21"/>
  <c r="AC143" i="1"/>
  <c r="AC14" i="25"/>
  <c r="AS53" i="21"/>
  <c r="AS52" i="21" s="1"/>
  <c r="AS50" i="21" s="1"/>
  <c r="AV78" i="28"/>
  <c r="AV76" i="28"/>
  <c r="AQ31" i="21"/>
  <c r="AQ33" i="21"/>
  <c r="AU77" i="21"/>
  <c r="AU75" i="21" s="1"/>
  <c r="AV78" i="21" s="1"/>
  <c r="AX112" i="21"/>
  <c r="AX110" i="21" s="1"/>
  <c r="AY132" i="21"/>
  <c r="AY130" i="21" s="1"/>
  <c r="AV62" i="21"/>
  <c r="AV60" i="21" s="1"/>
  <c r="AW61" i="21" s="1"/>
  <c r="AZ142" i="21"/>
  <c r="AZ140" i="21" s="1"/>
  <c r="BA141" i="21" s="1"/>
  <c r="AX88" i="28"/>
  <c r="AX87" i="28" s="1"/>
  <c r="AX85" i="28" s="1"/>
  <c r="AY88" i="28" s="1"/>
  <c r="BA143" i="28"/>
  <c r="BA141" i="28"/>
  <c r="M156" i="1"/>
  <c r="M165" i="1"/>
  <c r="T258" i="6"/>
  <c r="T259" i="6" s="1"/>
  <c r="V319" i="6"/>
  <c r="W316" i="6" s="1"/>
  <c r="W319" i="6" s="1"/>
  <c r="X210" i="6"/>
  <c r="X235" i="6"/>
  <c r="S307" i="6"/>
  <c r="T304" i="6" s="1"/>
  <c r="AB174" i="6"/>
  <c r="AB175" i="6" s="1"/>
  <c r="V274" i="6"/>
  <c r="V277" i="6" s="1"/>
  <c r="AX118" i="28"/>
  <c r="AX116" i="28"/>
  <c r="AR67" i="28"/>
  <c r="AR65" i="28" s="1"/>
  <c r="AS66" i="28" s="1"/>
  <c r="AP49" i="6"/>
  <c r="AQ48" i="6" s="1"/>
  <c r="AJ133" i="6"/>
  <c r="AK130" i="6" s="1"/>
  <c r="AV22" i="6"/>
  <c r="AV25" i="6" s="1"/>
  <c r="V246" i="6"/>
  <c r="V247" i="6" s="1"/>
  <c r="W246" i="6" s="1"/>
  <c r="L129" i="1"/>
  <c r="L128" i="1" s="1"/>
  <c r="L138" i="1" s="1"/>
  <c r="L137" i="1" s="1"/>
  <c r="L145" i="1" s="1"/>
  <c r="L102" i="1"/>
  <c r="L100" i="1"/>
  <c r="L104" i="1"/>
  <c r="S295" i="6"/>
  <c r="T294" i="6" s="1"/>
  <c r="AC199" i="6"/>
  <c r="AD196" i="6" s="1"/>
  <c r="R283" i="6"/>
  <c r="S282" i="6" s="1"/>
  <c r="AB217" i="6"/>
  <c r="AC216" i="6" s="1"/>
  <c r="X226" i="6"/>
  <c r="X228" i="6"/>
  <c r="AW102" i="28"/>
  <c r="AW100" i="28" s="1"/>
  <c r="AX101" i="28" s="1"/>
  <c r="BA156" i="28"/>
  <c r="BA158" i="28"/>
  <c r="AQ70" i="6"/>
  <c r="AQ73" i="6" s="1"/>
  <c r="AR70" i="6" s="1"/>
  <c r="AC205" i="6"/>
  <c r="AD202" i="6" s="1"/>
  <c r="AH163" i="6"/>
  <c r="AI162" i="6" s="1"/>
  <c r="X211" i="6"/>
  <c r="AU92" i="28"/>
  <c r="AU90" i="28" s="1"/>
  <c r="AV91" i="28" s="1"/>
  <c r="AY162" i="28"/>
  <c r="AY160" i="28" s="1"/>
  <c r="AZ161" i="28" s="1"/>
  <c r="AW98" i="28"/>
  <c r="AW97" i="28" s="1"/>
  <c r="AW95" i="28" s="1"/>
  <c r="U253" i="6"/>
  <c r="V250" i="6" s="1"/>
  <c r="AG157" i="6"/>
  <c r="AX37" i="28"/>
  <c r="AX35" i="28" s="1"/>
  <c r="AY38" i="28" s="1"/>
  <c r="AZ147" i="28"/>
  <c r="AZ145" i="28" s="1"/>
  <c r="BA148" i="28" s="1"/>
  <c r="R87" i="1"/>
  <c r="R88" i="1"/>
  <c r="X85" i="1"/>
  <c r="F4" i="25"/>
  <c r="AR78" i="6"/>
  <c r="AR76" i="6"/>
  <c r="AZ132" i="28"/>
  <c r="AZ130" i="28" s="1"/>
  <c r="Z241" i="6"/>
  <c r="AO100" i="6"/>
  <c r="AO102" i="6"/>
  <c r="K16" i="25"/>
  <c r="K29" i="25"/>
  <c r="K108" i="1"/>
  <c r="K109" i="1" s="1"/>
  <c r="J109" i="1"/>
  <c r="R301" i="6"/>
  <c r="AV72" i="28"/>
  <c r="AV70" i="28" s="1"/>
  <c r="AK145" i="6"/>
  <c r="AX111" i="28"/>
  <c r="AX113" i="28"/>
  <c r="AW91" i="21"/>
  <c r="AW93" i="21"/>
  <c r="U288" i="6"/>
  <c r="U286" i="6"/>
  <c r="J145" i="1"/>
  <c r="AT31" i="6"/>
  <c r="AQ43" i="6"/>
  <c r="AN90" i="6"/>
  <c r="AN88" i="6"/>
  <c r="AW152" i="28"/>
  <c r="AW150" i="28" s="1"/>
  <c r="J132" i="1"/>
  <c r="AX107" i="28"/>
  <c r="AX105" i="28" s="1"/>
  <c r="BA193" i="28"/>
  <c r="BA191" i="28"/>
  <c r="G160" i="1"/>
  <c r="G161" i="1" s="1"/>
  <c r="AC186" i="6"/>
  <c r="AC184" i="6"/>
  <c r="AA222" i="6"/>
  <c r="AA220" i="6"/>
  <c r="AI115" i="6"/>
  <c r="AU61" i="28"/>
  <c r="AU63" i="28"/>
  <c r="AI139" i="6"/>
  <c r="R18" i="6"/>
  <c r="S70" i="1" s="1"/>
  <c r="S72" i="1" s="1"/>
  <c r="S76" i="1" s="1"/>
  <c r="AS52" i="6"/>
  <c r="AS54" i="6"/>
  <c r="W318" i="6"/>
  <c r="AU71" i="21"/>
  <c r="AU73" i="21"/>
  <c r="AR84" i="6"/>
  <c r="AR82" i="6"/>
  <c r="AT52" i="28"/>
  <c r="AT50" i="28" s="1"/>
  <c r="AH94" i="6"/>
  <c r="AH96" i="6"/>
  <c r="AY82" i="28"/>
  <c r="AY80" i="28" s="1"/>
  <c r="BA126" i="28"/>
  <c r="BA128" i="28"/>
  <c r="AK126" i="6"/>
  <c r="AK124" i="6"/>
  <c r="AX31" i="28"/>
  <c r="AX33" i="28"/>
  <c r="AE181" i="6"/>
  <c r="AH148" i="6"/>
  <c r="AH150" i="6"/>
  <c r="AR37" i="6"/>
  <c r="AN121" i="6"/>
  <c r="AF168" i="6"/>
  <c r="AF166" i="6"/>
  <c r="F23" i="25"/>
  <c r="AR42" i="28"/>
  <c r="AR40" i="28" s="1"/>
  <c r="AZ126" i="21"/>
  <c r="AZ128" i="21"/>
  <c r="AR66" i="6"/>
  <c r="AR64" i="6"/>
  <c r="AY121" i="28"/>
  <c r="AY123" i="28"/>
  <c r="AQ37" i="21"/>
  <c r="AQ35" i="21" s="1"/>
  <c r="AQ61" i="6"/>
  <c r="AL108" i="6" l="1"/>
  <c r="AL106" i="6"/>
  <c r="V264" i="6"/>
  <c r="AF169" i="6"/>
  <c r="AG166" i="6" s="1"/>
  <c r="S310" i="6"/>
  <c r="S312" i="6"/>
  <c r="AE193" i="6"/>
  <c r="AA28" i="28"/>
  <c r="AA4" i="28" s="1"/>
  <c r="AA26" i="28"/>
  <c r="Z22" i="28"/>
  <c r="AD198" i="6"/>
  <c r="AD199" i="6" s="1"/>
  <c r="AE196" i="6" s="1"/>
  <c r="AZ123" i="21"/>
  <c r="AQ47" i="21"/>
  <c r="AQ45" i="21" s="1"/>
  <c r="AY108" i="21"/>
  <c r="BA143" i="21"/>
  <c r="AY151" i="21"/>
  <c r="AY152" i="21" s="1"/>
  <c r="AY150" i="21" s="1"/>
  <c r="AZ153" i="21" s="1"/>
  <c r="O28" i="25"/>
  <c r="AX83" i="21"/>
  <c r="AX82" i="21" s="1"/>
  <c r="AX80" i="21" s="1"/>
  <c r="AX96" i="21"/>
  <c r="AX97" i="21" s="1"/>
  <c r="AX95" i="21" s="1"/>
  <c r="AV77" i="28"/>
  <c r="AV75" i="28" s="1"/>
  <c r="AW78" i="28" s="1"/>
  <c r="O8" i="25"/>
  <c r="O125" i="1"/>
  <c r="N121" i="1"/>
  <c r="N129" i="1" s="1"/>
  <c r="N128" i="1" s="1"/>
  <c r="N138" i="1" s="1"/>
  <c r="N137" i="1" s="1"/>
  <c r="N145" i="1" s="1"/>
  <c r="P98" i="1"/>
  <c r="P97" i="1"/>
  <c r="P26" i="25" s="1"/>
  <c r="O15" i="25"/>
  <c r="O126" i="1"/>
  <c r="P90" i="1"/>
  <c r="Q86" i="1" s="1"/>
  <c r="Q89" i="1" s="1"/>
  <c r="Q92" i="1" s="1"/>
  <c r="Q97" i="1" s="1"/>
  <c r="Q125" i="1" s="1"/>
  <c r="BA142" i="28"/>
  <c r="BA140" i="28" s="1"/>
  <c r="AR58" i="21"/>
  <c r="AR57" i="21" s="1"/>
  <c r="AR55" i="21" s="1"/>
  <c r="AT56" i="28"/>
  <c r="AT57" i="28" s="1"/>
  <c r="AT55" i="28" s="1"/>
  <c r="AQ32" i="21"/>
  <c r="AQ30" i="21" s="1"/>
  <c r="AR33" i="21" s="1"/>
  <c r="AW63" i="21"/>
  <c r="AW62" i="21" s="1"/>
  <c r="AW60" i="21" s="1"/>
  <c r="AX61" i="21" s="1"/>
  <c r="P93" i="1"/>
  <c r="P95" i="1" s="1"/>
  <c r="P96" i="1" s="1"/>
  <c r="AS46" i="28"/>
  <c r="AS47" i="28" s="1"/>
  <c r="AS45" i="28" s="1"/>
  <c r="AQ46" i="6"/>
  <c r="AQ49" i="6" s="1"/>
  <c r="T306" i="6"/>
  <c r="AQ68" i="21"/>
  <c r="AQ67" i="21" s="1"/>
  <c r="AQ65" i="21" s="1"/>
  <c r="AC27" i="21"/>
  <c r="AV76" i="21"/>
  <c r="AV77" i="21" s="1"/>
  <c r="AV75" i="21" s="1"/>
  <c r="AC142" i="1"/>
  <c r="AC38" i="25"/>
  <c r="AC36" i="25" s="1"/>
  <c r="AC48" i="25" s="1"/>
  <c r="AR46" i="21"/>
  <c r="AR48" i="21"/>
  <c r="AD144" i="1"/>
  <c r="AD27" i="25"/>
  <c r="AD40" i="25" s="1"/>
  <c r="AD39" i="25"/>
  <c r="AD13" i="25"/>
  <c r="AY86" i="28"/>
  <c r="AY87" i="28" s="1"/>
  <c r="AY85" i="28" s="1"/>
  <c r="AZ88" i="28" s="1"/>
  <c r="AY36" i="28"/>
  <c r="AY37" i="28" s="1"/>
  <c r="AY35" i="28" s="1"/>
  <c r="AS68" i="28"/>
  <c r="AS67" i="28" s="1"/>
  <c r="AS65" i="28" s="1"/>
  <c r="AZ122" i="21"/>
  <c r="AZ120" i="21" s="1"/>
  <c r="BA123" i="21" s="1"/>
  <c r="AX117" i="28"/>
  <c r="AX115" i="28" s="1"/>
  <c r="AY118" i="28" s="1"/>
  <c r="AZ133" i="21"/>
  <c r="AZ131" i="21"/>
  <c r="AY113" i="21"/>
  <c r="AY111" i="21"/>
  <c r="AR72" i="6"/>
  <c r="AR73" i="6" s="1"/>
  <c r="AS70" i="6" s="1"/>
  <c r="Y234" i="6"/>
  <c r="Y232" i="6"/>
  <c r="T292" i="6"/>
  <c r="T295" i="6" s="1"/>
  <c r="L131" i="1"/>
  <c r="K132" i="1" s="1"/>
  <c r="W276" i="6"/>
  <c r="W274" i="6"/>
  <c r="AW24" i="6"/>
  <c r="AW22" i="6"/>
  <c r="AK132" i="6"/>
  <c r="AK133" i="6" s="1"/>
  <c r="L103" i="1"/>
  <c r="M102" i="1"/>
  <c r="W244" i="6"/>
  <c r="W247" i="6" s="1"/>
  <c r="L165" i="1"/>
  <c r="L156" i="1"/>
  <c r="S280" i="6"/>
  <c r="S283" i="6" s="1"/>
  <c r="AC214" i="6"/>
  <c r="AC217" i="6" s="1"/>
  <c r="AD216" i="6" s="1"/>
  <c r="X229" i="6"/>
  <c r="Y228" i="6" s="1"/>
  <c r="V265" i="6"/>
  <c r="L105" i="1"/>
  <c r="M104" i="1"/>
  <c r="M100" i="1"/>
  <c r="L101" i="1"/>
  <c r="V252" i="6"/>
  <c r="AC187" i="6"/>
  <c r="AD186" i="6" s="1"/>
  <c r="AX103" i="28"/>
  <c r="AX102" i="28" s="1"/>
  <c r="AX100" i="28" s="1"/>
  <c r="AV93" i="28"/>
  <c r="AV92" i="28" s="1"/>
  <c r="AV90" i="28" s="1"/>
  <c r="T307" i="6"/>
  <c r="U306" i="6" s="1"/>
  <c r="AZ163" i="28"/>
  <c r="AZ162" i="28" s="1"/>
  <c r="AZ160" i="28" s="1"/>
  <c r="BA146" i="28"/>
  <c r="BA147" i="28" s="1"/>
  <c r="BA145" i="28" s="1"/>
  <c r="AN91" i="6"/>
  <c r="AO88" i="6" s="1"/>
  <c r="U289" i="6"/>
  <c r="V286" i="6" s="1"/>
  <c r="AD204" i="6"/>
  <c r="AD205" i="6" s="1"/>
  <c r="AI160" i="6"/>
  <c r="AI163" i="6" s="1"/>
  <c r="AH154" i="6"/>
  <c r="AH156" i="6"/>
  <c r="BA157" i="28"/>
  <c r="BA155" i="28" s="1"/>
  <c r="AX112" i="28"/>
  <c r="AX110" i="28" s="1"/>
  <c r="AY111" i="28" s="1"/>
  <c r="AO103" i="6"/>
  <c r="AP102" i="6" s="1"/>
  <c r="AS55" i="6"/>
  <c r="AT54" i="6" s="1"/>
  <c r="R19" i="6"/>
  <c r="AH97" i="6"/>
  <c r="AI96" i="6" s="1"/>
  <c r="Y208" i="6"/>
  <c r="Y210" i="6"/>
  <c r="BA142" i="21"/>
  <c r="BA140" i="21" s="1"/>
  <c r="AH151" i="6"/>
  <c r="AO120" i="6"/>
  <c r="AO118" i="6"/>
  <c r="AZ81" i="28"/>
  <c r="AZ83" i="28"/>
  <c r="S78" i="1"/>
  <c r="S79" i="1" s="1"/>
  <c r="S80" i="1" s="1"/>
  <c r="S81" i="1" s="1"/>
  <c r="AU62" i="28"/>
  <c r="AU60" i="28" s="1"/>
  <c r="AX151" i="28"/>
  <c r="AX153" i="28"/>
  <c r="AW71" i="28"/>
  <c r="AW73" i="28"/>
  <c r="AR79" i="6"/>
  <c r="AV88" i="21"/>
  <c r="AV86" i="21"/>
  <c r="BA116" i="21"/>
  <c r="BA118" i="21"/>
  <c r="AX103" i="21"/>
  <c r="AX101" i="21"/>
  <c r="AS41" i="28"/>
  <c r="AS43" i="28"/>
  <c r="AJ138" i="6"/>
  <c r="AJ136" i="6"/>
  <c r="G163" i="1"/>
  <c r="AW92" i="21"/>
  <c r="AW90" i="21" s="1"/>
  <c r="S298" i="6"/>
  <c r="S300" i="6"/>
  <c r="S18" i="6" s="1"/>
  <c r="AY106" i="28"/>
  <c r="AY108" i="28"/>
  <c r="AR60" i="6"/>
  <c r="AR58" i="6"/>
  <c r="AC174" i="6"/>
  <c r="AC172" i="6"/>
  <c r="AS34" i="6"/>
  <c r="AS36" i="6"/>
  <c r="AR42" i="6"/>
  <c r="AR40" i="6"/>
  <c r="AZ127" i="21"/>
  <c r="AZ125" i="21" s="1"/>
  <c r="AY107" i="21"/>
  <c r="AY105" i="21" s="1"/>
  <c r="AF180" i="6"/>
  <c r="AF178" i="6"/>
  <c r="BA131" i="28"/>
  <c r="BA133" i="28"/>
  <c r="V253" i="6"/>
  <c r="AY122" i="28"/>
  <c r="AY120" i="28" s="1"/>
  <c r="AR67" i="6"/>
  <c r="F47" i="25"/>
  <c r="AL109" i="6"/>
  <c r="AX32" i="28"/>
  <c r="AX30" i="28" s="1"/>
  <c r="AU51" i="28"/>
  <c r="AU53" i="28"/>
  <c r="AJ114" i="6"/>
  <c r="AJ112" i="6"/>
  <c r="U258" i="6"/>
  <c r="U256" i="6"/>
  <c r="AA240" i="6"/>
  <c r="AA238" i="6"/>
  <c r="F46" i="25"/>
  <c r="J165" i="1"/>
  <c r="J156" i="1"/>
  <c r="V288" i="6"/>
  <c r="AL142" i="6"/>
  <c r="AL144" i="6"/>
  <c r="U270" i="6"/>
  <c r="U268" i="6"/>
  <c r="X316" i="6"/>
  <c r="X318" i="6"/>
  <c r="AX98" i="28"/>
  <c r="AX96" i="28"/>
  <c r="AR41" i="21"/>
  <c r="AR43" i="21"/>
  <c r="BA127" i="28"/>
  <c r="BA125" i="28" s="1"/>
  <c r="AU72" i="21"/>
  <c r="AU70" i="21" s="1"/>
  <c r="AU30" i="6"/>
  <c r="AU28" i="6"/>
  <c r="AR38" i="21"/>
  <c r="AR36" i="21"/>
  <c r="AK127" i="6"/>
  <c r="AR85" i="6"/>
  <c r="AA223" i="6"/>
  <c r="BA192" i="28"/>
  <c r="BA190" i="28" s="1"/>
  <c r="AT51" i="21"/>
  <c r="AT53" i="21"/>
  <c r="S313" i="6" l="1"/>
  <c r="T310" i="6" s="1"/>
  <c r="AG168" i="6"/>
  <c r="AD184" i="6"/>
  <c r="AA27" i="28"/>
  <c r="AA275" i="28" s="1"/>
  <c r="AO90" i="6"/>
  <c r="AO91" i="6" s="1"/>
  <c r="AP90" i="6" s="1"/>
  <c r="W277" i="6"/>
  <c r="X274" i="6" s="1"/>
  <c r="AE198" i="6"/>
  <c r="AE199" i="6" s="1"/>
  <c r="AF190" i="6"/>
  <c r="AF192" i="6"/>
  <c r="X246" i="6"/>
  <c r="X244" i="6"/>
  <c r="AR31" i="21"/>
  <c r="AR32" i="21" s="1"/>
  <c r="AR30" i="21" s="1"/>
  <c r="AZ151" i="21"/>
  <c r="AZ152" i="21" s="1"/>
  <c r="AZ150" i="21" s="1"/>
  <c r="AW76" i="28"/>
  <c r="AW77" i="28" s="1"/>
  <c r="AW75" i="28" s="1"/>
  <c r="AX76" i="28" s="1"/>
  <c r="P28" i="25"/>
  <c r="O121" i="1"/>
  <c r="O129" i="1" s="1"/>
  <c r="O128" i="1" s="1"/>
  <c r="O138" i="1" s="1"/>
  <c r="O137" i="1" s="1"/>
  <c r="O145" i="1" s="1"/>
  <c r="O156" i="1" s="1"/>
  <c r="P8" i="25"/>
  <c r="P125" i="1"/>
  <c r="N156" i="1"/>
  <c r="N165" i="1"/>
  <c r="AR47" i="21"/>
  <c r="AR45" i="21" s="1"/>
  <c r="AS46" i="21" s="1"/>
  <c r="AZ86" i="28"/>
  <c r="AZ87" i="28" s="1"/>
  <c r="AZ85" i="28" s="1"/>
  <c r="BA86" i="28" s="1"/>
  <c r="Q94" i="1"/>
  <c r="Q98" i="1"/>
  <c r="Q90" i="1"/>
  <c r="R86" i="1" s="1"/>
  <c r="R89" i="1" s="1"/>
  <c r="R92" i="1" s="1"/>
  <c r="R98" i="1" s="1"/>
  <c r="Q26" i="25"/>
  <c r="Q93" i="1"/>
  <c r="Q95" i="1" s="1"/>
  <c r="Q96" i="1" s="1"/>
  <c r="Q8" i="25"/>
  <c r="P15" i="25"/>
  <c r="P126" i="1"/>
  <c r="AR37" i="21"/>
  <c r="AR35" i="21" s="1"/>
  <c r="AS38" i="21" s="1"/>
  <c r="AX97" i="28"/>
  <c r="AX95" i="28" s="1"/>
  <c r="AY96" i="28" s="1"/>
  <c r="AD214" i="6"/>
  <c r="AD217" i="6" s="1"/>
  <c r="Y235" i="6"/>
  <c r="Z232" i="6" s="1"/>
  <c r="AX63" i="21"/>
  <c r="AX62" i="21" s="1"/>
  <c r="AX60" i="21" s="1"/>
  <c r="Y226" i="6"/>
  <c r="Y229" i="6" s="1"/>
  <c r="Z228" i="6" s="1"/>
  <c r="AY116" i="28"/>
  <c r="AY117" i="28" s="1"/>
  <c r="AY115" i="28" s="1"/>
  <c r="AP100" i="6"/>
  <c r="AP103" i="6" s="1"/>
  <c r="AQ100" i="6" s="1"/>
  <c r="AU58" i="28"/>
  <c r="AU56" i="28"/>
  <c r="BA121" i="21"/>
  <c r="BA122" i="21" s="1"/>
  <c r="BA120" i="21" s="1"/>
  <c r="AC275" i="21"/>
  <c r="AC25" i="21"/>
  <c r="AV87" i="21"/>
  <c r="AV85" i="21" s="1"/>
  <c r="AW88" i="21" s="1"/>
  <c r="AZ132" i="21"/>
  <c r="AZ130" i="21" s="1"/>
  <c r="AR66" i="21"/>
  <c r="AR68" i="21"/>
  <c r="AS56" i="21"/>
  <c r="AS58" i="21"/>
  <c r="AY112" i="21"/>
  <c r="AY110" i="21" s="1"/>
  <c r="M131" i="1"/>
  <c r="L132" i="1" s="1"/>
  <c r="U292" i="6"/>
  <c r="U294" i="6"/>
  <c r="AY101" i="28"/>
  <c r="AY103" i="28"/>
  <c r="AW25" i="6"/>
  <c r="AX22" i="6" s="1"/>
  <c r="AT52" i="6"/>
  <c r="AT55" i="6" s="1"/>
  <c r="AU52" i="6" s="1"/>
  <c r="L106" i="1"/>
  <c r="L16" i="25" s="1"/>
  <c r="N104" i="1"/>
  <c r="M105" i="1"/>
  <c r="U304" i="6"/>
  <c r="U307" i="6" s="1"/>
  <c r="AS72" i="6"/>
  <c r="AS73" i="6" s="1"/>
  <c r="W262" i="6"/>
  <c r="W264" i="6"/>
  <c r="N100" i="1"/>
  <c r="M101" i="1"/>
  <c r="AT46" i="28"/>
  <c r="AT48" i="28"/>
  <c r="N102" i="1"/>
  <c r="M103" i="1"/>
  <c r="AY113" i="28"/>
  <c r="AY112" i="28" s="1"/>
  <c r="AY110" i="28" s="1"/>
  <c r="AS42" i="28"/>
  <c r="AS40" i="28" s="1"/>
  <c r="AT43" i="28" s="1"/>
  <c r="AA241" i="6"/>
  <c r="AB238" i="6" s="1"/>
  <c r="AC175" i="6"/>
  <c r="AD174" i="6" s="1"/>
  <c r="AO121" i="6"/>
  <c r="AP118" i="6" s="1"/>
  <c r="AL130" i="6"/>
  <c r="AL132" i="6"/>
  <c r="AX152" i="28"/>
  <c r="AX150" i="28" s="1"/>
  <c r="AY153" i="28" s="1"/>
  <c r="X319" i="6"/>
  <c r="Y316" i="6" s="1"/>
  <c r="AI94" i="6"/>
  <c r="AI97" i="6" s="1"/>
  <c r="AR61" i="6"/>
  <c r="AS58" i="6" s="1"/>
  <c r="T312" i="6"/>
  <c r="T313" i="6" s="1"/>
  <c r="AH157" i="6"/>
  <c r="AL145" i="6"/>
  <c r="AM142" i="6" s="1"/>
  <c r="AY107" i="28"/>
  <c r="AY105" i="28" s="1"/>
  <c r="AZ108" i="28" s="1"/>
  <c r="AU52" i="28"/>
  <c r="AU50" i="28" s="1"/>
  <c r="AV51" i="28" s="1"/>
  <c r="BA132" i="28"/>
  <c r="BA130" i="28" s="1"/>
  <c r="AD187" i="6"/>
  <c r="AE186" i="6" s="1"/>
  <c r="AG169" i="6"/>
  <c r="AH166" i="6" s="1"/>
  <c r="Y211" i="6"/>
  <c r="AJ115" i="6"/>
  <c r="AK112" i="6" s="1"/>
  <c r="AT66" i="28"/>
  <c r="AT68" i="28"/>
  <c r="AR48" i="6"/>
  <c r="AR46" i="6"/>
  <c r="T70" i="1"/>
  <c r="T72" i="1" s="1"/>
  <c r="T76" i="1" s="1"/>
  <c r="S19" i="6"/>
  <c r="S87" i="1"/>
  <c r="S88" i="1"/>
  <c r="Y85" i="1"/>
  <c r="AV73" i="21"/>
  <c r="AV71" i="21"/>
  <c r="AY83" i="21"/>
  <c r="AY81" i="21"/>
  <c r="AS66" i="6"/>
  <c r="AS64" i="6"/>
  <c r="AW78" i="21"/>
  <c r="AW76" i="21"/>
  <c r="AS82" i="6"/>
  <c r="AS84" i="6"/>
  <c r="V289" i="6"/>
  <c r="U259" i="6"/>
  <c r="AZ121" i="28"/>
  <c r="AZ123" i="28"/>
  <c r="AJ139" i="6"/>
  <c r="AS76" i="6"/>
  <c r="AS78" i="6"/>
  <c r="AV61" i="28"/>
  <c r="AV63" i="28"/>
  <c r="AZ82" i="28"/>
  <c r="AZ80" i="28" s="1"/>
  <c r="AY31" i="28"/>
  <c r="AY33" i="28"/>
  <c r="AZ106" i="21"/>
  <c r="AZ108" i="21"/>
  <c r="AM106" i="6"/>
  <c r="AM108" i="6"/>
  <c r="AR42" i="21"/>
  <c r="AR40" i="21" s="1"/>
  <c r="AX93" i="21"/>
  <c r="AX91" i="21"/>
  <c r="BA117" i="21"/>
  <c r="BA115" i="21" s="1"/>
  <c r="AI148" i="6"/>
  <c r="AI150" i="6"/>
  <c r="AT52" i="21"/>
  <c r="AT50" i="21" s="1"/>
  <c r="AB220" i="6"/>
  <c r="AB222" i="6"/>
  <c r="AU31" i="6"/>
  <c r="U271" i="6"/>
  <c r="F44" i="25"/>
  <c r="T280" i="6"/>
  <c r="T282" i="6"/>
  <c r="BA128" i="21"/>
  <c r="BA126" i="21"/>
  <c r="AS37" i="6"/>
  <c r="AX102" i="21"/>
  <c r="AX100" i="21" s="1"/>
  <c r="AY96" i="21"/>
  <c r="AY98" i="21"/>
  <c r="AW91" i="28"/>
  <c r="AW93" i="28"/>
  <c r="AL124" i="6"/>
  <c r="AL126" i="6"/>
  <c r="AW72" i="28"/>
  <c r="AW70" i="28" s="1"/>
  <c r="AJ162" i="6"/>
  <c r="AJ160" i="6"/>
  <c r="AD172" i="6"/>
  <c r="H158" i="1"/>
  <c r="W252" i="6"/>
  <c r="W250" i="6"/>
  <c r="AE202" i="6"/>
  <c r="AE204" i="6"/>
  <c r="S301" i="6"/>
  <c r="AZ36" i="28"/>
  <c r="AZ38" i="28"/>
  <c r="BA163" i="28"/>
  <c r="BA161" i="28"/>
  <c r="AF181" i="6"/>
  <c r="AR43" i="6"/>
  <c r="AA25" i="28" l="1"/>
  <c r="AA22" i="28" s="1"/>
  <c r="Z226" i="6"/>
  <c r="X276" i="6"/>
  <c r="X277" i="6" s="1"/>
  <c r="X247" i="6"/>
  <c r="Y244" i="6" s="1"/>
  <c r="AF193" i="6"/>
  <c r="AB26" i="28"/>
  <c r="AB28" i="28"/>
  <c r="AB4" i="28" s="1"/>
  <c r="U295" i="6"/>
  <c r="V292" i="6" s="1"/>
  <c r="Z234" i="6"/>
  <c r="Z235" i="6" s="1"/>
  <c r="AB240" i="6"/>
  <c r="AB241" i="6" s="1"/>
  <c r="AP88" i="6"/>
  <c r="AP91" i="6" s="1"/>
  <c r="AR49" i="6"/>
  <c r="AS46" i="6" s="1"/>
  <c r="AS36" i="21"/>
  <c r="AS37" i="21" s="1"/>
  <c r="AS35" i="21" s="1"/>
  <c r="AS48" i="21"/>
  <c r="AS47" i="21" s="1"/>
  <c r="AS45" i="21" s="1"/>
  <c r="AT48" i="21" s="1"/>
  <c r="BA88" i="28"/>
  <c r="BA87" i="28" s="1"/>
  <c r="BA85" i="28" s="1"/>
  <c r="O165" i="1"/>
  <c r="AY98" i="28"/>
  <c r="AY97" i="28" s="1"/>
  <c r="AY95" i="28" s="1"/>
  <c r="AZ96" i="28" s="1"/>
  <c r="AX78" i="28"/>
  <c r="AX77" i="28" s="1"/>
  <c r="AX75" i="28" s="1"/>
  <c r="AW86" i="21"/>
  <c r="AW87" i="21" s="1"/>
  <c r="AW85" i="21" s="1"/>
  <c r="AX88" i="21" s="1"/>
  <c r="Q126" i="1"/>
  <c r="Q121" i="1" s="1"/>
  <c r="Q129" i="1" s="1"/>
  <c r="Q128" i="1" s="1"/>
  <c r="Q138" i="1" s="1"/>
  <c r="Q137" i="1" s="1"/>
  <c r="P121" i="1"/>
  <c r="P129" i="1" s="1"/>
  <c r="P128" i="1" s="1"/>
  <c r="P138" i="1" s="1"/>
  <c r="P137" i="1" s="1"/>
  <c r="P145" i="1" s="1"/>
  <c r="R90" i="1"/>
  <c r="S86" i="1" s="1"/>
  <c r="S89" i="1" s="1"/>
  <c r="S92" i="1" s="1"/>
  <c r="S93" i="1" s="1"/>
  <c r="S95" i="1" s="1"/>
  <c r="S96" i="1" s="1"/>
  <c r="R94" i="1"/>
  <c r="R97" i="1"/>
  <c r="R26" i="25" s="1"/>
  <c r="R93" i="1"/>
  <c r="R95" i="1" s="1"/>
  <c r="R96" i="1" s="1"/>
  <c r="R126" i="1" s="1"/>
  <c r="Q28" i="25"/>
  <c r="Q15" i="25"/>
  <c r="V306" i="6"/>
  <c r="V304" i="6"/>
  <c r="BA127" i="21"/>
  <c r="BA125" i="21" s="1"/>
  <c r="Y246" i="6"/>
  <c r="Y247" i="6" s="1"/>
  <c r="AY82" i="21"/>
  <c r="AY80" i="21" s="1"/>
  <c r="AZ83" i="21" s="1"/>
  <c r="N131" i="1"/>
  <c r="M132" i="1" s="1"/>
  <c r="AV72" i="21"/>
  <c r="AV70" i="21" s="1"/>
  <c r="AW71" i="21" s="1"/>
  <c r="AD26" i="21"/>
  <c r="AC22" i="21"/>
  <c r="AD28" i="21"/>
  <c r="AD4" i="21" s="1"/>
  <c r="AE74" i="1" s="1"/>
  <c r="AU57" i="28"/>
  <c r="AU55" i="28" s="1"/>
  <c r="AD143" i="1"/>
  <c r="AD14" i="25"/>
  <c r="AX92" i="21"/>
  <c r="AX90" i="21" s="1"/>
  <c r="AY91" i="21" s="1"/>
  <c r="AZ111" i="21"/>
  <c r="AZ113" i="21"/>
  <c r="AY102" i="28"/>
  <c r="AY100" i="28" s="1"/>
  <c r="AZ101" i="28" s="1"/>
  <c r="AS57" i="21"/>
  <c r="AS55" i="21" s="1"/>
  <c r="AR67" i="21"/>
  <c r="AR65" i="21" s="1"/>
  <c r="BA133" i="21"/>
  <c r="BA131" i="21"/>
  <c r="L29" i="25"/>
  <c r="AX24" i="6"/>
  <c r="AX25" i="6" s="1"/>
  <c r="AK114" i="6"/>
  <c r="AK115" i="6" s="1"/>
  <c r="AT41" i="28"/>
  <c r="AT42" i="28" s="1"/>
  <c r="AT40" i="28" s="1"/>
  <c r="AU41" i="28" s="1"/>
  <c r="L108" i="1"/>
  <c r="L109" i="1" s="1"/>
  <c r="W265" i="6"/>
  <c r="X264" i="6" s="1"/>
  <c r="M106" i="1"/>
  <c r="AT47" i="28"/>
  <c r="AT45" i="28" s="1"/>
  <c r="N101" i="1"/>
  <c r="O100" i="1"/>
  <c r="AZ116" i="28"/>
  <c r="AZ118" i="28"/>
  <c r="AP120" i="6"/>
  <c r="AP121" i="6" s="1"/>
  <c r="AL133" i="6"/>
  <c r="AM132" i="6" s="1"/>
  <c r="AE184" i="6"/>
  <c r="AE187" i="6" s="1"/>
  <c r="AF184" i="6" s="1"/>
  <c r="N103" i="1"/>
  <c r="O102" i="1"/>
  <c r="O104" i="1"/>
  <c r="N105" i="1"/>
  <c r="AV62" i="28"/>
  <c r="AV60" i="28" s="1"/>
  <c r="AW63" i="28" s="1"/>
  <c r="AU54" i="6"/>
  <c r="AU55" i="6" s="1"/>
  <c r="AY151" i="28"/>
  <c r="AY152" i="28" s="1"/>
  <c r="AY150" i="28" s="1"/>
  <c r="AT67" i="28"/>
  <c r="AT65" i="28" s="1"/>
  <c r="AU66" i="28" s="1"/>
  <c r="AZ106" i="28"/>
  <c r="AZ107" i="28" s="1"/>
  <c r="AZ105" i="28" s="1"/>
  <c r="BA108" i="28" s="1"/>
  <c r="AS60" i="6"/>
  <c r="AS61" i="6" s="1"/>
  <c r="Z229" i="6"/>
  <c r="Y318" i="6"/>
  <c r="Y319" i="6" s="1"/>
  <c r="AS67" i="6"/>
  <c r="AT64" i="6" s="1"/>
  <c r="U310" i="6"/>
  <c r="U312" i="6"/>
  <c r="AH168" i="6"/>
  <c r="AH169" i="6" s="1"/>
  <c r="V294" i="6"/>
  <c r="V295" i="6" s="1"/>
  <c r="Z210" i="6"/>
  <c r="Z208" i="6"/>
  <c r="AZ37" i="28"/>
  <c r="AZ35" i="28" s="1"/>
  <c r="BA36" i="28" s="1"/>
  <c r="AY32" i="28"/>
  <c r="AY30" i="28" s="1"/>
  <c r="AZ31" i="28" s="1"/>
  <c r="AW92" i="28"/>
  <c r="AW90" i="28" s="1"/>
  <c r="AX91" i="28" s="1"/>
  <c r="AB223" i="6"/>
  <c r="AC220" i="6" s="1"/>
  <c r="AM109" i="6"/>
  <c r="AN108" i="6" s="1"/>
  <c r="AQ102" i="6"/>
  <c r="AQ103" i="6" s="1"/>
  <c r="AM144" i="6"/>
  <c r="AM145" i="6" s="1"/>
  <c r="AV53" i="28"/>
  <c r="AV52" i="28" s="1"/>
  <c r="AV50" i="28" s="1"/>
  <c r="AI156" i="6"/>
  <c r="AI154" i="6"/>
  <c r="AE205" i="6"/>
  <c r="AF202" i="6" s="1"/>
  <c r="AJ163" i="6"/>
  <c r="AK162" i="6" s="1"/>
  <c r="AL127" i="6"/>
  <c r="AM126" i="6" s="1"/>
  <c r="AS85" i="6"/>
  <c r="AT84" i="6" s="1"/>
  <c r="AJ96" i="6"/>
  <c r="AJ94" i="6"/>
  <c r="AF198" i="6"/>
  <c r="AF196" i="6"/>
  <c r="AK136" i="6"/>
  <c r="AK138" i="6"/>
  <c r="AS33" i="21"/>
  <c r="AS31" i="21"/>
  <c r="AI151" i="6"/>
  <c r="AS43" i="21"/>
  <c r="AS41" i="21"/>
  <c r="AS42" i="6"/>
  <c r="AS40" i="6"/>
  <c r="AY97" i="21"/>
  <c r="AY95" i="21" s="1"/>
  <c r="T283" i="6"/>
  <c r="BA83" i="28"/>
  <c r="BA81" i="28"/>
  <c r="AX71" i="28"/>
  <c r="AX73" i="28"/>
  <c r="AE214" i="6"/>
  <c r="AE216" i="6"/>
  <c r="AV30" i="6"/>
  <c r="AV28" i="6"/>
  <c r="AT82" i="6"/>
  <c r="T78" i="1"/>
  <c r="T79" i="1" s="1"/>
  <c r="T80" i="1" s="1"/>
  <c r="T81" i="1" s="1"/>
  <c r="AY103" i="21"/>
  <c r="AY101" i="21"/>
  <c r="AS79" i="6"/>
  <c r="W288" i="6"/>
  <c r="W286" i="6"/>
  <c r="AG180" i="6"/>
  <c r="AG178" i="6"/>
  <c r="T300" i="6"/>
  <c r="T18" i="6" s="1"/>
  <c r="T298" i="6"/>
  <c r="AY63" i="21"/>
  <c r="AY61" i="21"/>
  <c r="AZ111" i="28"/>
  <c r="AZ113" i="28"/>
  <c r="AT34" i="6"/>
  <c r="AT36" i="6"/>
  <c r="AU51" i="21"/>
  <c r="AU53" i="21"/>
  <c r="AZ107" i="21"/>
  <c r="AZ105" i="21" s="1"/>
  <c r="AZ122" i="28"/>
  <c r="AZ120" i="28" s="1"/>
  <c r="AD175" i="6"/>
  <c r="V268" i="6"/>
  <c r="V270" i="6"/>
  <c r="BA162" i="28"/>
  <c r="BA160" i="28" s="1"/>
  <c r="W253" i="6"/>
  <c r="BA153" i="21"/>
  <c r="BA151" i="21"/>
  <c r="H160" i="1"/>
  <c r="AT70" i="6"/>
  <c r="AT72" i="6"/>
  <c r="V258" i="6"/>
  <c r="V256" i="6"/>
  <c r="AW77" i="21"/>
  <c r="AW75" i="21" s="1"/>
  <c r="AS48" i="6" l="1"/>
  <c r="V307" i="6"/>
  <c r="W304" i="6" s="1"/>
  <c r="AF186" i="6"/>
  <c r="AB27" i="28"/>
  <c r="AG192" i="6"/>
  <c r="AG190" i="6"/>
  <c r="W306" i="6"/>
  <c r="AW73" i="21"/>
  <c r="AY76" i="28"/>
  <c r="AY78" i="28"/>
  <c r="R8" i="25"/>
  <c r="R125" i="1"/>
  <c r="R121" i="1" s="1"/>
  <c r="R129" i="1" s="1"/>
  <c r="R128" i="1" s="1"/>
  <c r="R138" i="1" s="1"/>
  <c r="R137" i="1" s="1"/>
  <c r="R145" i="1" s="1"/>
  <c r="P156" i="1"/>
  <c r="P165" i="1"/>
  <c r="O131" i="1"/>
  <c r="N132" i="1" s="1"/>
  <c r="R28" i="25"/>
  <c r="R15" i="25"/>
  <c r="AT46" i="21"/>
  <c r="AT47" i="21" s="1"/>
  <c r="AT45" i="21" s="1"/>
  <c r="AU46" i="21" s="1"/>
  <c r="AZ81" i="21"/>
  <c r="AZ82" i="21" s="1"/>
  <c r="AZ80" i="21" s="1"/>
  <c r="BA81" i="21" s="1"/>
  <c r="X262" i="6"/>
  <c r="AY93" i="21"/>
  <c r="AY92" i="21" s="1"/>
  <c r="AY90" i="21" s="1"/>
  <c r="AS32" i="21"/>
  <c r="AS30" i="21" s="1"/>
  <c r="AT33" i="21" s="1"/>
  <c r="AK160" i="6"/>
  <c r="AK163" i="6" s="1"/>
  <c r="AL160" i="6" s="1"/>
  <c r="BA106" i="28"/>
  <c r="BA107" i="28" s="1"/>
  <c r="BA105" i="28" s="1"/>
  <c r="BA152" i="21"/>
  <c r="BA150" i="21" s="1"/>
  <c r="AE27" i="25"/>
  <c r="AE40" i="25" s="1"/>
  <c r="AE13" i="25"/>
  <c r="AE39" i="25"/>
  <c r="AE144" i="1"/>
  <c r="AD27" i="21"/>
  <c r="AX86" i="21"/>
  <c r="AX87" i="21" s="1"/>
  <c r="AX85" i="21" s="1"/>
  <c r="AY88" i="21" s="1"/>
  <c r="AU68" i="28"/>
  <c r="AU67" i="28" s="1"/>
  <c r="AU65" i="28" s="1"/>
  <c r="AD38" i="25"/>
  <c r="AD36" i="25" s="1"/>
  <c r="AD48" i="25" s="1"/>
  <c r="AD142" i="1"/>
  <c r="AV56" i="28"/>
  <c r="AV58" i="28"/>
  <c r="AY62" i="21"/>
  <c r="AY60" i="21" s="1"/>
  <c r="AZ63" i="21" s="1"/>
  <c r="AZ33" i="28"/>
  <c r="AZ32" i="28" s="1"/>
  <c r="AZ30" i="28" s="1"/>
  <c r="AZ112" i="21"/>
  <c r="AZ110" i="21" s="1"/>
  <c r="AS66" i="21"/>
  <c r="AS68" i="21"/>
  <c r="AZ103" i="28"/>
  <c r="AZ102" i="28" s="1"/>
  <c r="AZ100" i="28" s="1"/>
  <c r="AT58" i="21"/>
  <c r="AT56" i="21"/>
  <c r="BA132" i="21"/>
  <c r="BA130" i="21" s="1"/>
  <c r="S94" i="1"/>
  <c r="AW61" i="28"/>
  <c r="AW62" i="28" s="1"/>
  <c r="AW60" i="28" s="1"/>
  <c r="AN106" i="6"/>
  <c r="AN109" i="6" s="1"/>
  <c r="S97" i="1"/>
  <c r="S26" i="25" s="1"/>
  <c r="AZ117" i="28"/>
  <c r="AZ115" i="28" s="1"/>
  <c r="BA118" i="28" s="1"/>
  <c r="AA232" i="6"/>
  <c r="AA234" i="6"/>
  <c r="X265" i="6"/>
  <c r="Y264" i="6" s="1"/>
  <c r="AM130" i="6"/>
  <c r="AM133" i="6" s="1"/>
  <c r="AN132" i="6" s="1"/>
  <c r="BA38" i="28"/>
  <c r="BA37" i="28" s="1"/>
  <c r="BA35" i="28" s="1"/>
  <c r="S90" i="1"/>
  <c r="T86" i="1" s="1"/>
  <c r="S98" i="1"/>
  <c r="S126" i="1" s="1"/>
  <c r="M29" i="25"/>
  <c r="M16" i="25"/>
  <c r="M108" i="1"/>
  <c r="M109" i="1" s="1"/>
  <c r="AV54" i="6"/>
  <c r="AV52" i="6"/>
  <c r="AU43" i="28"/>
  <c r="AU42" i="28" s="1"/>
  <c r="AU40" i="28" s="1"/>
  <c r="AV41" i="28" s="1"/>
  <c r="AX93" i="28"/>
  <c r="AX92" i="28" s="1"/>
  <c r="AX90" i="28" s="1"/>
  <c r="BA82" i="28"/>
  <c r="BA80" i="28" s="1"/>
  <c r="O101" i="1"/>
  <c r="P100" i="1"/>
  <c r="AF204" i="6"/>
  <c r="AF205" i="6" s="1"/>
  <c r="AG202" i="6" s="1"/>
  <c r="N106" i="1"/>
  <c r="O105" i="1"/>
  <c r="P104" i="1"/>
  <c r="AC222" i="6"/>
  <c r="AC223" i="6" s="1"/>
  <c r="AD220" i="6" s="1"/>
  <c r="P102" i="1"/>
  <c r="O103" i="1"/>
  <c r="T301" i="6"/>
  <c r="U300" i="6" s="1"/>
  <c r="AU46" i="28"/>
  <c r="AU48" i="28"/>
  <c r="AZ151" i="28"/>
  <c r="AZ153" i="28"/>
  <c r="AA228" i="6"/>
  <c r="AA226" i="6"/>
  <c r="AZ98" i="28"/>
  <c r="AZ97" i="28" s="1"/>
  <c r="AZ95" i="28" s="1"/>
  <c r="V259" i="6"/>
  <c r="W258" i="6" s="1"/>
  <c r="AT66" i="6"/>
  <c r="AT67" i="6" s="1"/>
  <c r="AF187" i="6"/>
  <c r="AG184" i="6" s="1"/>
  <c r="W289" i="6"/>
  <c r="X286" i="6" s="1"/>
  <c r="AI157" i="6"/>
  <c r="AJ154" i="6" s="1"/>
  <c r="AR100" i="6"/>
  <c r="AR102" i="6"/>
  <c r="AF199" i="6"/>
  <c r="AG196" i="6" s="1"/>
  <c r="AS49" i="6"/>
  <c r="AZ112" i="28"/>
  <c r="AZ110" i="28" s="1"/>
  <c r="BA113" i="28" s="1"/>
  <c r="AJ97" i="6"/>
  <c r="AK94" i="6" s="1"/>
  <c r="AM124" i="6"/>
  <c r="AM127" i="6" s="1"/>
  <c r="AN126" i="6" s="1"/>
  <c r="AK139" i="6"/>
  <c r="AL136" i="6" s="1"/>
  <c r="AG181" i="6"/>
  <c r="AH178" i="6" s="1"/>
  <c r="Z211" i="6"/>
  <c r="U313" i="6"/>
  <c r="U70" i="1"/>
  <c r="U72" i="1" s="1"/>
  <c r="U76" i="1" s="1"/>
  <c r="T19" i="6"/>
  <c r="T87" i="1"/>
  <c r="T88" i="1"/>
  <c r="Z85" i="1"/>
  <c r="AQ120" i="6"/>
  <c r="AQ118" i="6"/>
  <c r="AZ96" i="21"/>
  <c r="AZ98" i="21"/>
  <c r="AX72" i="28"/>
  <c r="AX70" i="28" s="1"/>
  <c r="AT73" i="6"/>
  <c r="Z318" i="6"/>
  <c r="Z316" i="6"/>
  <c r="W294" i="6"/>
  <c r="W292" i="6"/>
  <c r="AT37" i="6"/>
  <c r="AT85" i="6"/>
  <c r="AE217" i="6"/>
  <c r="AI168" i="6"/>
  <c r="AI166" i="6"/>
  <c r="AW72" i="21"/>
  <c r="AW70" i="21" s="1"/>
  <c r="AW51" i="28"/>
  <c r="AW53" i="28"/>
  <c r="AJ150" i="6"/>
  <c r="AJ148" i="6"/>
  <c r="AL112" i="6"/>
  <c r="AL114" i="6"/>
  <c r="AU52" i="21"/>
  <c r="AU50" i="21" s="1"/>
  <c r="AN144" i="6"/>
  <c r="AN142" i="6"/>
  <c r="BA123" i="28"/>
  <c r="BA121" i="28"/>
  <c r="AY102" i="21"/>
  <c r="AY100" i="21" s="1"/>
  <c r="Y274" i="6"/>
  <c r="Y276" i="6"/>
  <c r="AC240" i="6"/>
  <c r="AC238" i="6"/>
  <c r="AS42" i="21"/>
  <c r="AS40" i="21" s="1"/>
  <c r="AT76" i="6"/>
  <c r="AT78" i="6"/>
  <c r="Z246" i="6"/>
  <c r="Z244" i="6"/>
  <c r="AQ88" i="6"/>
  <c r="AQ90" i="6"/>
  <c r="X250" i="6"/>
  <c r="X252" i="6"/>
  <c r="AE174" i="6"/>
  <c r="AE172" i="6"/>
  <c r="BA106" i="21"/>
  <c r="BA108" i="21"/>
  <c r="AT58" i="6"/>
  <c r="AT60" i="6"/>
  <c r="U280" i="6"/>
  <c r="U282" i="6"/>
  <c r="AS43" i="6"/>
  <c r="V271" i="6"/>
  <c r="AT38" i="21"/>
  <c r="AT36" i="21"/>
  <c r="Q145" i="1"/>
  <c r="H161" i="1"/>
  <c r="AX78" i="21"/>
  <c r="AX76" i="21"/>
  <c r="AY24" i="6"/>
  <c r="AY22" i="6"/>
  <c r="AV31" i="6"/>
  <c r="AG193" i="6" l="1"/>
  <c r="AH190" i="6" s="1"/>
  <c r="W307" i="6"/>
  <c r="X304" i="6" s="1"/>
  <c r="AY25" i="6"/>
  <c r="AA229" i="6"/>
  <c r="AB228" i="6" s="1"/>
  <c r="AH192" i="6"/>
  <c r="AY77" i="28"/>
  <c r="AY75" i="28" s="1"/>
  <c r="AZ78" i="28" s="1"/>
  <c r="AV55" i="6"/>
  <c r="AW52" i="6" s="1"/>
  <c r="AB275" i="28"/>
  <c r="AB25" i="28"/>
  <c r="AT37" i="21"/>
  <c r="AT35" i="21" s="1"/>
  <c r="P131" i="1"/>
  <c r="Q131" i="1" s="1"/>
  <c r="P132" i="1" s="1"/>
  <c r="AZ152" i="28"/>
  <c r="AZ150" i="28" s="1"/>
  <c r="BA153" i="28" s="1"/>
  <c r="AU48" i="21"/>
  <c r="AU47" i="21" s="1"/>
  <c r="AU45" i="21" s="1"/>
  <c r="AY86" i="21"/>
  <c r="AY87" i="21" s="1"/>
  <c r="AY85" i="21" s="1"/>
  <c r="AT57" i="21"/>
  <c r="AT55" i="21" s="1"/>
  <c r="AU58" i="21" s="1"/>
  <c r="AT31" i="21"/>
  <c r="AT32" i="21" s="1"/>
  <c r="AT30" i="21" s="1"/>
  <c r="AU31" i="21" s="1"/>
  <c r="AO106" i="6"/>
  <c r="AO108" i="6"/>
  <c r="AZ93" i="21"/>
  <c r="AZ91" i="21"/>
  <c r="AG186" i="6"/>
  <c r="AG187" i="6" s="1"/>
  <c r="AN130" i="6"/>
  <c r="AN133" i="6" s="1"/>
  <c r="AO130" i="6" s="1"/>
  <c r="AG198" i="6"/>
  <c r="AG199" i="6" s="1"/>
  <c r="AZ61" i="21"/>
  <c r="AZ62" i="21" s="1"/>
  <c r="AZ60" i="21" s="1"/>
  <c r="AC241" i="6"/>
  <c r="AD240" i="6" s="1"/>
  <c r="AD275" i="21"/>
  <c r="AD25" i="21"/>
  <c r="AV57" i="28"/>
  <c r="AV55" i="28" s="1"/>
  <c r="BA101" i="28"/>
  <c r="BA103" i="28"/>
  <c r="BA113" i="21"/>
  <c r="BA111" i="21"/>
  <c r="AS67" i="21"/>
  <c r="AS65" i="21" s="1"/>
  <c r="BA111" i="28"/>
  <c r="BA112" i="28" s="1"/>
  <c r="BA110" i="28" s="1"/>
  <c r="BA83" i="21"/>
  <c r="BA82" i="21" s="1"/>
  <c r="BA80" i="21" s="1"/>
  <c r="AX77" i="21"/>
  <c r="AX75" i="21" s="1"/>
  <c r="AY76" i="21" s="1"/>
  <c r="S125" i="1"/>
  <c r="S121" i="1" s="1"/>
  <c r="S129" i="1" s="1"/>
  <c r="S128" i="1" s="1"/>
  <c r="S8" i="25"/>
  <c r="AU64" i="6"/>
  <c r="AU66" i="6"/>
  <c r="Y262" i="6"/>
  <c r="Y265" i="6" s="1"/>
  <c r="AA235" i="6"/>
  <c r="X306" i="6"/>
  <c r="AI169" i="6"/>
  <c r="AJ168" i="6" s="1"/>
  <c r="S15" i="25"/>
  <c r="T89" i="1"/>
  <c r="T92" i="1" s="1"/>
  <c r="T94" i="1" s="1"/>
  <c r="AJ156" i="6"/>
  <c r="S28" i="25"/>
  <c r="AD222" i="6"/>
  <c r="AD223" i="6" s="1"/>
  <c r="AE220" i="6" s="1"/>
  <c r="U298" i="6"/>
  <c r="U301" i="6" s="1"/>
  <c r="BA116" i="28"/>
  <c r="BA117" i="28" s="1"/>
  <c r="BA115" i="28" s="1"/>
  <c r="AR103" i="6"/>
  <c r="AS100" i="6" s="1"/>
  <c r="P105" i="1"/>
  <c r="Q104" i="1"/>
  <c r="W256" i="6"/>
  <c r="W259" i="6" s="1"/>
  <c r="X258" i="6" s="1"/>
  <c r="AU47" i="28"/>
  <c r="AU45" i="28" s="1"/>
  <c r="N29" i="25"/>
  <c r="N108" i="1"/>
  <c r="N109" i="1" s="1"/>
  <c r="N16" i="25"/>
  <c r="AJ157" i="6"/>
  <c r="AK154" i="6" s="1"/>
  <c r="AN145" i="6"/>
  <c r="AO144" i="6" s="1"/>
  <c r="Q102" i="1"/>
  <c r="P103" i="1"/>
  <c r="O106" i="1"/>
  <c r="P101" i="1"/>
  <c r="Q100" i="1"/>
  <c r="AN124" i="6"/>
  <c r="AN127" i="6" s="1"/>
  <c r="AO126" i="6" s="1"/>
  <c r="AB226" i="6"/>
  <c r="X288" i="6"/>
  <c r="X289" i="6" s="1"/>
  <c r="AL162" i="6"/>
  <c r="AL163" i="6" s="1"/>
  <c r="AV43" i="28"/>
  <c r="AV42" i="28" s="1"/>
  <c r="AV40" i="28" s="1"/>
  <c r="AT46" i="6"/>
  <c r="AT48" i="6"/>
  <c r="AW52" i="28"/>
  <c r="AW50" i="28" s="1"/>
  <c r="AX53" i="28" s="1"/>
  <c r="AH180" i="6"/>
  <c r="AH181" i="6" s="1"/>
  <c r="AG204" i="6"/>
  <c r="AG205" i="6" s="1"/>
  <c r="AA210" i="6"/>
  <c r="AA208" i="6"/>
  <c r="AV66" i="28"/>
  <c r="AV68" i="28"/>
  <c r="AL138" i="6"/>
  <c r="AL139" i="6" s="1"/>
  <c r="AK96" i="6"/>
  <c r="AK97" i="6" s="1"/>
  <c r="X253" i="6"/>
  <c r="Y250" i="6" s="1"/>
  <c r="BA122" i="28"/>
  <c r="BA120" i="28" s="1"/>
  <c r="AJ151" i="6"/>
  <c r="AK150" i="6" s="1"/>
  <c r="AQ121" i="6"/>
  <c r="AR118" i="6" s="1"/>
  <c r="V312" i="6"/>
  <c r="V310" i="6"/>
  <c r="Q165" i="1"/>
  <c r="Q156" i="1"/>
  <c r="AZ97" i="21"/>
  <c r="AZ95" i="21" s="1"/>
  <c r="Y277" i="6"/>
  <c r="U18" i="6"/>
  <c r="V70" i="1" s="1"/>
  <c r="V72" i="1" s="1"/>
  <c r="V76" i="1" s="1"/>
  <c r="BA107" i="21"/>
  <c r="BA105" i="21" s="1"/>
  <c r="AQ91" i="6"/>
  <c r="AT79" i="6"/>
  <c r="U283" i="6"/>
  <c r="AE175" i="6"/>
  <c r="AX71" i="21"/>
  <c r="AX73" i="21"/>
  <c r="AU84" i="6"/>
  <c r="AU82" i="6"/>
  <c r="AY91" i="28"/>
  <c r="AY93" i="28"/>
  <c r="R165" i="1"/>
  <c r="R156" i="1"/>
  <c r="AV53" i="21"/>
  <c r="AV51" i="21"/>
  <c r="BA96" i="28"/>
  <c r="BA98" i="28"/>
  <c r="U78" i="1"/>
  <c r="U79" i="1" s="1"/>
  <c r="U80" i="1" s="1"/>
  <c r="U81" i="1" s="1"/>
  <c r="W270" i="6"/>
  <c r="W268" i="6"/>
  <c r="AZ24" i="6"/>
  <c r="AZ22" i="6"/>
  <c r="AZ101" i="21"/>
  <c r="AZ103" i="21"/>
  <c r="BA33" i="28"/>
  <c r="BA31" i="28"/>
  <c r="X307" i="6"/>
  <c r="AT61" i="6"/>
  <c r="AL115" i="6"/>
  <c r="AU36" i="6"/>
  <c r="AU34" i="6"/>
  <c r="AU72" i="6"/>
  <c r="AU70" i="6"/>
  <c r="AT41" i="21"/>
  <c r="AT43" i="21"/>
  <c r="AW28" i="6"/>
  <c r="AW30" i="6"/>
  <c r="AU36" i="21"/>
  <c r="AU38" i="21"/>
  <c r="AT40" i="6"/>
  <c r="AT42" i="6"/>
  <c r="AD238" i="6"/>
  <c r="AF214" i="6"/>
  <c r="AF216" i="6"/>
  <c r="H163" i="1"/>
  <c r="AX61" i="28"/>
  <c r="AX63" i="28"/>
  <c r="Z247" i="6"/>
  <c r="W295" i="6"/>
  <c r="Z319" i="6"/>
  <c r="AY71" i="28"/>
  <c r="AY73" i="28"/>
  <c r="AA211" i="6" l="1"/>
  <c r="AW54" i="6"/>
  <c r="AJ166" i="6"/>
  <c r="AZ76" i="28"/>
  <c r="AZ77" i="28" s="1"/>
  <c r="AZ75" i="28" s="1"/>
  <c r="BA76" i="28" s="1"/>
  <c r="AO109" i="6"/>
  <c r="AP108" i="6" s="1"/>
  <c r="AU37" i="6"/>
  <c r="AV36" i="6" s="1"/>
  <c r="BA151" i="28"/>
  <c r="AC26" i="28"/>
  <c r="AC28" i="28"/>
  <c r="AC4" i="28" s="1"/>
  <c r="AB22" i="28"/>
  <c r="AH193" i="6"/>
  <c r="O132" i="1"/>
  <c r="AU67" i="6"/>
  <c r="AV64" i="6" s="1"/>
  <c r="Y252" i="6"/>
  <c r="Y253" i="6" s="1"/>
  <c r="AU56" i="21"/>
  <c r="AU57" i="21" s="1"/>
  <c r="AU55" i="21" s="1"/>
  <c r="AV56" i="21" s="1"/>
  <c r="AZ92" i="21"/>
  <c r="AZ90" i="21" s="1"/>
  <c r="BA91" i="21" s="1"/>
  <c r="AY78" i="21"/>
  <c r="AY77" i="21" s="1"/>
  <c r="AY75" i="21" s="1"/>
  <c r="AT42" i="21"/>
  <c r="AT40" i="21" s="1"/>
  <c r="AU41" i="21" s="1"/>
  <c r="AZ25" i="6"/>
  <c r="BA24" i="6" s="1"/>
  <c r="AO124" i="6"/>
  <c r="AO127" i="6" s="1"/>
  <c r="AV46" i="21"/>
  <c r="AV48" i="21"/>
  <c r="AW56" i="28"/>
  <c r="AW58" i="28"/>
  <c r="AE26" i="21"/>
  <c r="AD22" i="21"/>
  <c r="AE28" i="21"/>
  <c r="AE4" i="21" s="1"/>
  <c r="AF74" i="1" s="1"/>
  <c r="BA112" i="21"/>
  <c r="BA110" i="21" s="1"/>
  <c r="AE14" i="25"/>
  <c r="AE143" i="1"/>
  <c r="T93" i="1"/>
  <c r="T95" i="1" s="1"/>
  <c r="T96" i="1" s="1"/>
  <c r="AT66" i="21"/>
  <c r="AT68" i="21"/>
  <c r="AU33" i="21"/>
  <c r="AU32" i="21" s="1"/>
  <c r="AU30" i="21" s="1"/>
  <c r="AZ102" i="21"/>
  <c r="AZ100" i="21" s="1"/>
  <c r="BA103" i="21" s="1"/>
  <c r="BA102" i="28"/>
  <c r="BA100" i="28" s="1"/>
  <c r="T98" i="1"/>
  <c r="T90" i="1"/>
  <c r="U86" i="1" s="1"/>
  <c r="T97" i="1"/>
  <c r="T125" i="1" s="1"/>
  <c r="P106" i="1"/>
  <c r="P16" i="25" s="1"/>
  <c r="AB234" i="6"/>
  <c r="AB232" i="6"/>
  <c r="AO142" i="6"/>
  <c r="AO145" i="6" s="1"/>
  <c r="AO132" i="6"/>
  <c r="AO133" i="6" s="1"/>
  <c r="AP130" i="6" s="1"/>
  <c r="AS102" i="6"/>
  <c r="AS103" i="6" s="1"/>
  <c r="AT100" i="6" s="1"/>
  <c r="AK156" i="6"/>
  <c r="R100" i="1"/>
  <c r="Q101" i="1"/>
  <c r="Q103" i="1"/>
  <c r="R102" i="1"/>
  <c r="AV48" i="28"/>
  <c r="AV46" i="28"/>
  <c r="Z264" i="6"/>
  <c r="Z262" i="6"/>
  <c r="O108" i="1"/>
  <c r="O109" i="1" s="1"/>
  <c r="O29" i="25"/>
  <c r="O16" i="25"/>
  <c r="Q105" i="1"/>
  <c r="R104" i="1"/>
  <c r="U19" i="6"/>
  <c r="W271" i="6"/>
  <c r="X268" i="6" s="1"/>
  <c r="X256" i="6"/>
  <c r="X259" i="6" s="1"/>
  <c r="AR120" i="6"/>
  <c r="AR121" i="6" s="1"/>
  <c r="AS118" i="6" s="1"/>
  <c r="AX51" i="28"/>
  <c r="AX52" i="28" s="1"/>
  <c r="AX50" i="28" s="1"/>
  <c r="AY51" i="28" s="1"/>
  <c r="AB229" i="6"/>
  <c r="AV67" i="28"/>
  <c r="AV65" i="28" s="1"/>
  <c r="AW66" i="28" s="1"/>
  <c r="V313" i="6"/>
  <c r="W310" i="6" s="1"/>
  <c r="AH202" i="6"/>
  <c r="AH204" i="6"/>
  <c r="AL96" i="6"/>
  <c r="AL94" i="6"/>
  <c r="AB210" i="6"/>
  <c r="AB208" i="6"/>
  <c r="AT49" i="6"/>
  <c r="AU73" i="6"/>
  <c r="AV72" i="6" s="1"/>
  <c r="AK148" i="6"/>
  <c r="AK151" i="6" s="1"/>
  <c r="AL148" i="6" s="1"/>
  <c r="AY92" i="28"/>
  <c r="AY90" i="28" s="1"/>
  <c r="AZ93" i="28" s="1"/>
  <c r="BA97" i="28"/>
  <c r="BA95" i="28" s="1"/>
  <c r="AE222" i="6"/>
  <c r="AE223" i="6" s="1"/>
  <c r="AF222" i="6" s="1"/>
  <c r="AK157" i="6"/>
  <c r="AW31" i="6"/>
  <c r="AX28" i="6" s="1"/>
  <c r="AX62" i="28"/>
  <c r="AX60" i="28" s="1"/>
  <c r="U87" i="1"/>
  <c r="U88" i="1"/>
  <c r="AA85" i="1"/>
  <c r="V300" i="6"/>
  <c r="V298" i="6"/>
  <c r="AU78" i="6"/>
  <c r="AU76" i="6"/>
  <c r="AY72" i="28"/>
  <c r="AY70" i="28" s="1"/>
  <c r="AA246" i="6"/>
  <c r="AA244" i="6"/>
  <c r="AF217" i="6"/>
  <c r="AT43" i="6"/>
  <c r="AM162" i="6"/>
  <c r="AM160" i="6"/>
  <c r="AU85" i="6"/>
  <c r="AI180" i="6"/>
  <c r="AI178" i="6"/>
  <c r="BA152" i="28"/>
  <c r="BA150" i="28" s="1"/>
  <c r="AW55" i="6"/>
  <c r="AF174" i="6"/>
  <c r="AF172" i="6"/>
  <c r="AM138" i="6"/>
  <c r="AM136" i="6"/>
  <c r="X292" i="6"/>
  <c r="X294" i="6"/>
  <c r="AU37" i="21"/>
  <c r="AU35" i="21" s="1"/>
  <c r="AX72" i="21"/>
  <c r="AX70" i="21" s="1"/>
  <c r="V280" i="6"/>
  <c r="V282" i="6"/>
  <c r="AR90" i="6"/>
  <c r="AR88" i="6"/>
  <c r="Z274" i="6"/>
  <c r="Z276" i="6"/>
  <c r="I158" i="1"/>
  <c r="AD241" i="6"/>
  <c r="AJ169" i="6"/>
  <c r="AM114" i="6"/>
  <c r="AM112" i="6"/>
  <c r="AU60" i="6"/>
  <c r="AU58" i="6"/>
  <c r="BA96" i="21"/>
  <c r="BA98" i="21"/>
  <c r="AH184" i="6"/>
  <c r="AH186" i="6"/>
  <c r="Y304" i="6"/>
  <c r="Y306" i="6"/>
  <c r="AZ86" i="21"/>
  <c r="AZ88" i="21"/>
  <c r="V78" i="1"/>
  <c r="V79" i="1" s="1"/>
  <c r="V80" i="1" s="1"/>
  <c r="V81" i="1" s="1"/>
  <c r="AA318" i="6"/>
  <c r="AA316" i="6"/>
  <c r="AW41" i="28"/>
  <c r="AW43" i="28"/>
  <c r="S138" i="1"/>
  <c r="S137" i="1" s="1"/>
  <c r="S145" i="1" s="1"/>
  <c r="BA61" i="21"/>
  <c r="BA63" i="21"/>
  <c r="AH196" i="6"/>
  <c r="AH198" i="6"/>
  <c r="BA32" i="28"/>
  <c r="BA30" i="28" s="1"/>
  <c r="Y286" i="6"/>
  <c r="Y288" i="6"/>
  <c r="AV52" i="21"/>
  <c r="AV50" i="21" s="1"/>
  <c r="R131" i="1"/>
  <c r="Q132" i="1" s="1"/>
  <c r="AP106" i="6" l="1"/>
  <c r="AP109" i="6" s="1"/>
  <c r="AQ108" i="6" s="1"/>
  <c r="AV34" i="6"/>
  <c r="AI190" i="6"/>
  <c r="AI192" i="6"/>
  <c r="AC27" i="28"/>
  <c r="AV66" i="6"/>
  <c r="AV67" i="6" s="1"/>
  <c r="AW64" i="6" s="1"/>
  <c r="BA93" i="21"/>
  <c r="BA78" i="28"/>
  <c r="BA77" i="28" s="1"/>
  <c r="BA75" i="28" s="1"/>
  <c r="BA92" i="21"/>
  <c r="BA90" i="21" s="1"/>
  <c r="AZ78" i="21"/>
  <c r="AZ76" i="21"/>
  <c r="AW68" i="28"/>
  <c r="AW67" i="28" s="1"/>
  <c r="AW65" i="28" s="1"/>
  <c r="AU43" i="21"/>
  <c r="AU42" i="21" s="1"/>
  <c r="AU40" i="21" s="1"/>
  <c r="AV41" i="21" s="1"/>
  <c r="AP124" i="6"/>
  <c r="AP126" i="6"/>
  <c r="AL97" i="6"/>
  <c r="AM96" i="6" s="1"/>
  <c r="AV47" i="21"/>
  <c r="AV45" i="21" s="1"/>
  <c r="AW48" i="21" s="1"/>
  <c r="BA101" i="21"/>
  <c r="BA102" i="21" s="1"/>
  <c r="BA100" i="21" s="1"/>
  <c r="BA22" i="6"/>
  <c r="BA25" i="6" s="1"/>
  <c r="AV58" i="21"/>
  <c r="AV57" i="21" s="1"/>
  <c r="AV55" i="21" s="1"/>
  <c r="T15" i="25"/>
  <c r="AW57" i="28"/>
  <c r="AW55" i="28" s="1"/>
  <c r="AE27" i="21"/>
  <c r="T126" i="1"/>
  <c r="T121" i="1" s="1"/>
  <c r="T129" i="1" s="1"/>
  <c r="T128" i="1" s="1"/>
  <c r="T138" i="1" s="1"/>
  <c r="T137" i="1" s="1"/>
  <c r="T145" i="1" s="1"/>
  <c r="T26" i="25"/>
  <c r="AE142" i="1"/>
  <c r="AE38" i="25"/>
  <c r="AE36" i="25" s="1"/>
  <c r="AE48" i="25" s="1"/>
  <c r="AF39" i="25"/>
  <c r="AF27" i="25"/>
  <c r="AF40" i="25" s="1"/>
  <c r="AF144" i="1"/>
  <c r="AF13" i="25"/>
  <c r="T28" i="25"/>
  <c r="U89" i="1"/>
  <c r="U92" i="1" s="1"/>
  <c r="U97" i="1" s="1"/>
  <c r="AZ91" i="28"/>
  <c r="AZ92" i="28" s="1"/>
  <c r="AZ90" i="28" s="1"/>
  <c r="AT67" i="21"/>
  <c r="AT65" i="21" s="1"/>
  <c r="T8" i="25"/>
  <c r="P108" i="1"/>
  <c r="P109" i="1" s="1"/>
  <c r="P29" i="25"/>
  <c r="W312" i="6"/>
  <c r="W313" i="6" s="1"/>
  <c r="X270" i="6"/>
  <c r="X271" i="6" s="1"/>
  <c r="Y268" i="6" s="1"/>
  <c r="AB211" i="6"/>
  <c r="AC210" i="6" s="1"/>
  <c r="AB235" i="6"/>
  <c r="AL150" i="6"/>
  <c r="AV70" i="6"/>
  <c r="AV73" i="6" s="1"/>
  <c r="AX30" i="6"/>
  <c r="AX31" i="6" s="1"/>
  <c r="AA247" i="6"/>
  <c r="AB244" i="6" s="1"/>
  <c r="V18" i="6"/>
  <c r="W70" i="1" s="1"/>
  <c r="W72" i="1" s="1"/>
  <c r="W76" i="1" s="1"/>
  <c r="W78" i="1" s="1"/>
  <c r="W79" i="1" s="1"/>
  <c r="W80" i="1" s="1"/>
  <c r="W81" i="1" s="1"/>
  <c r="AF220" i="6"/>
  <c r="AF223" i="6" s="1"/>
  <c r="Z265" i="6"/>
  <c r="AQ106" i="6"/>
  <c r="AQ109" i="6" s="1"/>
  <c r="AR108" i="6" s="1"/>
  <c r="AV47" i="28"/>
  <c r="AV45" i="28" s="1"/>
  <c r="Q106" i="1"/>
  <c r="S102" i="1"/>
  <c r="R103" i="1"/>
  <c r="S104" i="1"/>
  <c r="R105" i="1"/>
  <c r="S100" i="1"/>
  <c r="R101" i="1"/>
  <c r="Y289" i="6"/>
  <c r="Z286" i="6" s="1"/>
  <c r="AP132" i="6"/>
  <c r="AP133" i="6" s="1"/>
  <c r="AY53" i="28"/>
  <c r="AY52" i="28" s="1"/>
  <c r="AY50" i="28" s="1"/>
  <c r="AC228" i="6"/>
  <c r="AC226" i="6"/>
  <c r="AH187" i="6"/>
  <c r="AI184" i="6" s="1"/>
  <c r="AV37" i="6"/>
  <c r="AW34" i="6" s="1"/>
  <c r="AU79" i="6"/>
  <c r="AV76" i="6" s="1"/>
  <c r="AI181" i="6"/>
  <c r="AJ180" i="6" s="1"/>
  <c r="AM163" i="6"/>
  <c r="AN162" i="6" s="1"/>
  <c r="S131" i="1"/>
  <c r="R132" i="1" s="1"/>
  <c r="AY63" i="28"/>
  <c r="AL151" i="6"/>
  <c r="AM150" i="6" s="1"/>
  <c r="AF175" i="6"/>
  <c r="AG172" i="6" s="1"/>
  <c r="AY61" i="28"/>
  <c r="AU48" i="6"/>
  <c r="AU46" i="6"/>
  <c r="AT102" i="6"/>
  <c r="AT103" i="6" s="1"/>
  <c r="AS120" i="6"/>
  <c r="AS121" i="6" s="1"/>
  <c r="AL154" i="6"/>
  <c r="AL156" i="6"/>
  <c r="AH205" i="6"/>
  <c r="V87" i="1"/>
  <c r="V88" i="1"/>
  <c r="AB85" i="1"/>
  <c r="I160" i="1"/>
  <c r="I161" i="1" s="1"/>
  <c r="AU42" i="6"/>
  <c r="AU40" i="6"/>
  <c r="AZ87" i="21"/>
  <c r="AZ85" i="21" s="1"/>
  <c r="AM115" i="6"/>
  <c r="AG216" i="6"/>
  <c r="AG214" i="6"/>
  <c r="AV84" i="6"/>
  <c r="AV82" i="6"/>
  <c r="AV38" i="21"/>
  <c r="AV36" i="21"/>
  <c r="AX52" i="6"/>
  <c r="AX54" i="6"/>
  <c r="AW53" i="21"/>
  <c r="AW51" i="21"/>
  <c r="AV33" i="21"/>
  <c r="AV31" i="21"/>
  <c r="AZ71" i="28"/>
  <c r="AZ73" i="28"/>
  <c r="AH199" i="6"/>
  <c r="BA62" i="21"/>
  <c r="BA60" i="21" s="1"/>
  <c r="AW42" i="28"/>
  <c r="AW40" i="28" s="1"/>
  <c r="BA97" i="21"/>
  <c r="BA95" i="21" s="1"/>
  <c r="AE238" i="6"/>
  <c r="AE240" i="6"/>
  <c r="Z277" i="6"/>
  <c r="V283" i="6"/>
  <c r="X295" i="6"/>
  <c r="AV78" i="6"/>
  <c r="Y256" i="6"/>
  <c r="Y258" i="6"/>
  <c r="AK166" i="6"/>
  <c r="AK168" i="6"/>
  <c r="Y307" i="6"/>
  <c r="AP142" i="6"/>
  <c r="AP144" i="6"/>
  <c r="AR91" i="6"/>
  <c r="AY73" i="21"/>
  <c r="AY71" i="21"/>
  <c r="AM139" i="6"/>
  <c r="V301" i="6"/>
  <c r="Z250" i="6"/>
  <c r="Z252" i="6"/>
  <c r="S165" i="1"/>
  <c r="S156" i="1"/>
  <c r="AA319" i="6"/>
  <c r="AU61" i="6"/>
  <c r="AM94" i="6" l="1"/>
  <c r="AM97" i="6" s="1"/>
  <c r="AN96" i="6" s="1"/>
  <c r="AP127" i="6"/>
  <c r="AQ126" i="6" s="1"/>
  <c r="AW66" i="6"/>
  <c r="AC275" i="28"/>
  <c r="AC25" i="28"/>
  <c r="AI193" i="6"/>
  <c r="AW36" i="6"/>
  <c r="AW37" i="6" s="1"/>
  <c r="AZ77" i="21"/>
  <c r="AZ75" i="21" s="1"/>
  <c r="U93" i="1"/>
  <c r="U95" i="1" s="1"/>
  <c r="U96" i="1" s="1"/>
  <c r="AV43" i="21"/>
  <c r="AV42" i="21" s="1"/>
  <c r="AV40" i="21" s="1"/>
  <c r="U94" i="1"/>
  <c r="V19" i="6"/>
  <c r="AW46" i="21"/>
  <c r="AW47" i="21" s="1"/>
  <c r="AW45" i="21" s="1"/>
  <c r="AX48" i="21" s="1"/>
  <c r="AC208" i="6"/>
  <c r="AC211" i="6" s="1"/>
  <c r="AD210" i="6" s="1"/>
  <c r="AX55" i="6"/>
  <c r="AY52" i="6" s="1"/>
  <c r="U90" i="1"/>
  <c r="V86" i="1" s="1"/>
  <c r="V89" i="1" s="1"/>
  <c r="V92" i="1" s="1"/>
  <c r="V97" i="1" s="1"/>
  <c r="U98" i="1"/>
  <c r="AX56" i="28"/>
  <c r="AX58" i="28"/>
  <c r="AV32" i="21"/>
  <c r="AV30" i="21" s="1"/>
  <c r="AW33" i="21" s="1"/>
  <c r="AE275" i="21"/>
  <c r="AE25" i="21"/>
  <c r="AW52" i="21"/>
  <c r="AW50" i="21" s="1"/>
  <c r="AX53" i="21" s="1"/>
  <c r="AU66" i="21"/>
  <c r="AU68" i="21"/>
  <c r="AV37" i="21"/>
  <c r="AV35" i="21" s="1"/>
  <c r="AW38" i="21" s="1"/>
  <c r="AW56" i="21"/>
  <c r="AW58" i="21"/>
  <c r="AY72" i="21"/>
  <c r="AY70" i="21" s="1"/>
  <c r="AZ71" i="21" s="1"/>
  <c r="AY28" i="6"/>
  <c r="AY30" i="6"/>
  <c r="AC232" i="6"/>
  <c r="AC234" i="6"/>
  <c r="AB246" i="6"/>
  <c r="AB247" i="6" s="1"/>
  <c r="AQ124" i="6"/>
  <c r="AQ127" i="6" s="1"/>
  <c r="T131" i="1"/>
  <c r="S132" i="1" s="1"/>
  <c r="AQ130" i="6"/>
  <c r="AQ132" i="6"/>
  <c r="Z288" i="6"/>
  <c r="Z289" i="6" s="1"/>
  <c r="R106" i="1"/>
  <c r="AW46" i="28"/>
  <c r="AW48" i="28"/>
  <c r="S101" i="1"/>
  <c r="T100" i="1"/>
  <c r="T102" i="1"/>
  <c r="S103" i="1"/>
  <c r="AA264" i="6"/>
  <c r="AA262" i="6"/>
  <c r="AR106" i="6"/>
  <c r="AR109" i="6" s="1"/>
  <c r="AS106" i="6" s="1"/>
  <c r="AY62" i="28"/>
  <c r="AY60" i="28" s="1"/>
  <c r="AZ63" i="28" s="1"/>
  <c r="T104" i="1"/>
  <c r="U104" i="1" s="1"/>
  <c r="V104" i="1" s="1"/>
  <c r="S105" i="1"/>
  <c r="Q16" i="25"/>
  <c r="Q29" i="25"/>
  <c r="Q108" i="1"/>
  <c r="Q109" i="1" s="1"/>
  <c r="AI186" i="6"/>
  <c r="AI187" i="6" s="1"/>
  <c r="AV79" i="6"/>
  <c r="AW78" i="6" s="1"/>
  <c r="AN160" i="6"/>
  <c r="AN163" i="6" s="1"/>
  <c r="AC229" i="6"/>
  <c r="AJ178" i="6"/>
  <c r="AJ181" i="6" s="1"/>
  <c r="AU102" i="6"/>
  <c r="AU100" i="6"/>
  <c r="AG174" i="6"/>
  <c r="AG175" i="6" s="1"/>
  <c r="AI204" i="6"/>
  <c r="AI202" i="6"/>
  <c r="AU49" i="6"/>
  <c r="X310" i="6"/>
  <c r="X312" i="6"/>
  <c r="AZ72" i="28"/>
  <c r="AZ70" i="28" s="1"/>
  <c r="BA73" i="28" s="1"/>
  <c r="Y270" i="6"/>
  <c r="Y271" i="6" s="1"/>
  <c r="AM148" i="6"/>
  <c r="AM151" i="6" s="1"/>
  <c r="AX68" i="28"/>
  <c r="AX66" i="28"/>
  <c r="AL157" i="6"/>
  <c r="W87" i="1"/>
  <c r="W88" i="1"/>
  <c r="AC85" i="1"/>
  <c r="W282" i="6"/>
  <c r="W280" i="6"/>
  <c r="W300" i="6"/>
  <c r="W298" i="6"/>
  <c r="BA91" i="28"/>
  <c r="BA93" i="28"/>
  <c r="AW72" i="6"/>
  <c r="AW70" i="6"/>
  <c r="Y292" i="6"/>
  <c r="Y294" i="6"/>
  <c r="AX41" i="28"/>
  <c r="AX43" i="28"/>
  <c r="AV85" i="6"/>
  <c r="AG217" i="6"/>
  <c r="AN138" i="6"/>
  <c r="AN136" i="6"/>
  <c r="Z306" i="6"/>
  <c r="Z304" i="6"/>
  <c r="T165" i="1"/>
  <c r="T156" i="1"/>
  <c r="AP145" i="6"/>
  <c r="AT118" i="6"/>
  <c r="AT120" i="6"/>
  <c r="AE241" i="6"/>
  <c r="BA88" i="21"/>
  <c r="BA86" i="21"/>
  <c r="AB316" i="6"/>
  <c r="AB318" i="6"/>
  <c r="I163" i="1"/>
  <c r="AA276" i="6"/>
  <c r="AA274" i="6"/>
  <c r="U125" i="1"/>
  <c r="U8" i="25"/>
  <c r="U26" i="25"/>
  <c r="Z253" i="6"/>
  <c r="AS90" i="6"/>
  <c r="AS88" i="6"/>
  <c r="AK169" i="6"/>
  <c r="AW67" i="6"/>
  <c r="Y259" i="6"/>
  <c r="AI196" i="6"/>
  <c r="AI198" i="6"/>
  <c r="AZ51" i="28"/>
  <c r="AZ53" i="28"/>
  <c r="AV60" i="6"/>
  <c r="AV58" i="6"/>
  <c r="BA76" i="21"/>
  <c r="BA78" i="21"/>
  <c r="AG222" i="6"/>
  <c r="AG220" i="6"/>
  <c r="AN114" i="6"/>
  <c r="AN112" i="6"/>
  <c r="AU43" i="6"/>
  <c r="AN94" i="6" l="1"/>
  <c r="AY54" i="6"/>
  <c r="AG223" i="6"/>
  <c r="AH220" i="6" s="1"/>
  <c r="AY31" i="6"/>
  <c r="AZ30" i="6" s="1"/>
  <c r="AJ190" i="6"/>
  <c r="AJ192" i="6"/>
  <c r="AX67" i="28"/>
  <c r="AX65" i="28" s="1"/>
  <c r="AY66" i="28" s="1"/>
  <c r="AI205" i="6"/>
  <c r="AJ204" i="6" s="1"/>
  <c r="AC22" i="28"/>
  <c r="AD26" i="28"/>
  <c r="AD28" i="28"/>
  <c r="AD4" i="28" s="1"/>
  <c r="U126" i="1"/>
  <c r="U121" i="1" s="1"/>
  <c r="AW31" i="21"/>
  <c r="AX46" i="21"/>
  <c r="AX47" i="21" s="1"/>
  <c r="AX45" i="21" s="1"/>
  <c r="AX51" i="21"/>
  <c r="AX52" i="21" s="1"/>
  <c r="AX50" i="21" s="1"/>
  <c r="AY51" i="21" s="1"/>
  <c r="U15" i="25"/>
  <c r="U28" i="25"/>
  <c r="AU103" i="6"/>
  <c r="AV100" i="6" s="1"/>
  <c r="AW43" i="21"/>
  <c r="AW41" i="21"/>
  <c r="AZ73" i="21"/>
  <c r="AZ72" i="21" s="1"/>
  <c r="AZ70" i="21" s="1"/>
  <c r="AF143" i="1"/>
  <c r="AF14" i="25"/>
  <c r="AX57" i="28"/>
  <c r="AX55" i="28" s="1"/>
  <c r="AF26" i="21"/>
  <c r="AE22" i="21"/>
  <c r="AF28" i="21"/>
  <c r="AF4" i="21" s="1"/>
  <c r="AG74" i="1" s="1"/>
  <c r="AW36" i="21"/>
  <c r="AW37" i="21" s="1"/>
  <c r="AW35" i="21" s="1"/>
  <c r="AZ61" i="28"/>
  <c r="AZ62" i="28" s="1"/>
  <c r="AZ60" i="28" s="1"/>
  <c r="AW32" i="21"/>
  <c r="AW30" i="21" s="1"/>
  <c r="AX33" i="21" s="1"/>
  <c r="AW57" i="21"/>
  <c r="AW55" i="21" s="1"/>
  <c r="BA77" i="21"/>
  <c r="BA75" i="21" s="1"/>
  <c r="AU67" i="21"/>
  <c r="AU65" i="21" s="1"/>
  <c r="S106" i="1"/>
  <c r="S108" i="1" s="1"/>
  <c r="S109" i="1" s="1"/>
  <c r="V93" i="1"/>
  <c r="V95" i="1" s="1"/>
  <c r="V96" i="1" s="1"/>
  <c r="V90" i="1"/>
  <c r="W86" i="1" s="1"/>
  <c r="W89" i="1" s="1"/>
  <c r="W92" i="1" s="1"/>
  <c r="W93" i="1" s="1"/>
  <c r="W95" i="1" s="1"/>
  <c r="W96" i="1" s="1"/>
  <c r="V98" i="1"/>
  <c r="AN115" i="6"/>
  <c r="AO112" i="6" s="1"/>
  <c r="AS91" i="6"/>
  <c r="AT88" i="6" s="1"/>
  <c r="V94" i="1"/>
  <c r="AC235" i="6"/>
  <c r="AW76" i="6"/>
  <c r="AW79" i="6" s="1"/>
  <c r="AX76" i="6" s="1"/>
  <c r="T101" i="1"/>
  <c r="U100" i="1"/>
  <c r="V100" i="1" s="1"/>
  <c r="W100" i="1" s="1"/>
  <c r="T105" i="1"/>
  <c r="AW47" i="28"/>
  <c r="AW45" i="28" s="1"/>
  <c r="W301" i="6"/>
  <c r="X298" i="6" s="1"/>
  <c r="AA265" i="6"/>
  <c r="R16" i="25"/>
  <c r="R29" i="25"/>
  <c r="R108" i="1"/>
  <c r="R109" i="1" s="1"/>
  <c r="AD208" i="6"/>
  <c r="AD211" i="6" s="1"/>
  <c r="AE210" i="6" s="1"/>
  <c r="U102" i="1"/>
  <c r="V102" i="1" s="1"/>
  <c r="W102" i="1" s="1"/>
  <c r="T103" i="1"/>
  <c r="AQ133" i="6"/>
  <c r="W18" i="6"/>
  <c r="X70" i="1" s="1"/>
  <c r="X72" i="1" s="1"/>
  <c r="X76" i="1" s="1"/>
  <c r="X78" i="1" s="1"/>
  <c r="X79" i="1" s="1"/>
  <c r="X80" i="1" s="1"/>
  <c r="X81" i="1" s="1"/>
  <c r="AS108" i="6"/>
  <c r="AS109" i="6" s="1"/>
  <c r="AT106" i="6" s="1"/>
  <c r="BA71" i="28"/>
  <c r="BA72" i="28" s="1"/>
  <c r="BA70" i="28" s="1"/>
  <c r="AD226" i="6"/>
  <c r="AD228" i="6"/>
  <c r="AJ202" i="6"/>
  <c r="AA277" i="6"/>
  <c r="AB276" i="6" s="1"/>
  <c r="AW73" i="6"/>
  <c r="AX72" i="6" s="1"/>
  <c r="AM154" i="6"/>
  <c r="AM156" i="6"/>
  <c r="BA92" i="28"/>
  <c r="BA90" i="28" s="1"/>
  <c r="AT121" i="6"/>
  <c r="AU118" i="6" s="1"/>
  <c r="AN139" i="6"/>
  <c r="AO136" i="6" s="1"/>
  <c r="AZ52" i="28"/>
  <c r="AZ50" i="28" s="1"/>
  <c r="BA51" i="28" s="1"/>
  <c r="X313" i="6"/>
  <c r="AY68" i="28"/>
  <c r="AV61" i="6"/>
  <c r="AW60" i="6" s="1"/>
  <c r="AN97" i="6"/>
  <c r="AO96" i="6" s="1"/>
  <c r="AV46" i="6"/>
  <c r="AV48" i="6"/>
  <c r="AN150" i="6"/>
  <c r="AN148" i="6"/>
  <c r="AL166" i="6"/>
  <c r="AL168" i="6"/>
  <c r="J158" i="1"/>
  <c r="Z270" i="6"/>
  <c r="Z268" i="6"/>
  <c r="Y295" i="6"/>
  <c r="AI199" i="6"/>
  <c r="AH172" i="6"/>
  <c r="AH174" i="6"/>
  <c r="AO160" i="6"/>
  <c r="AO162" i="6"/>
  <c r="AR126" i="6"/>
  <c r="AR124" i="6"/>
  <c r="AZ28" i="6"/>
  <c r="AQ144" i="6"/>
  <c r="AQ142" i="6"/>
  <c r="AX42" i="28"/>
  <c r="AX40" i="28" s="1"/>
  <c r="AA252" i="6"/>
  <c r="AA250" i="6"/>
  <c r="AF238" i="6"/>
  <c r="AF240" i="6"/>
  <c r="AV42" i="6"/>
  <c r="AV40" i="6"/>
  <c r="W104" i="1"/>
  <c r="AB319" i="6"/>
  <c r="AC246" i="6"/>
  <c r="AC244" i="6"/>
  <c r="AJ186" i="6"/>
  <c r="AJ184" i="6"/>
  <c r="Z258" i="6"/>
  <c r="Z256" i="6"/>
  <c r="AX34" i="6"/>
  <c r="AX36" i="6"/>
  <c r="BA87" i="21"/>
  <c r="BA85" i="21" s="1"/>
  <c r="AW82" i="6"/>
  <c r="AW84" i="6"/>
  <c r="AY55" i="6"/>
  <c r="V125" i="1"/>
  <c r="V26" i="25"/>
  <c r="V8" i="25"/>
  <c r="AH216" i="6"/>
  <c r="AH214" i="6"/>
  <c r="AK178" i="6"/>
  <c r="AK180" i="6"/>
  <c r="AA288" i="6"/>
  <c r="AA286" i="6"/>
  <c r="AA289" i="6" s="1"/>
  <c r="AX64" i="6"/>
  <c r="AX66" i="6"/>
  <c r="Z307" i="6"/>
  <c r="W283" i="6"/>
  <c r="AH222" i="6" l="1"/>
  <c r="AH223" i="6" s="1"/>
  <c r="AI220" i="6" s="1"/>
  <c r="AR127" i="6"/>
  <c r="AS124" i="6" s="1"/>
  <c r="AT90" i="6"/>
  <c r="AT91" i="6" s="1"/>
  <c r="AU90" i="6" s="1"/>
  <c r="AD27" i="28"/>
  <c r="AJ193" i="6"/>
  <c r="AO114" i="6"/>
  <c r="AO115" i="6" s="1"/>
  <c r="AY53" i="21"/>
  <c r="AY52" i="21" s="1"/>
  <c r="AY50" i="21" s="1"/>
  <c r="AZ53" i="21" s="1"/>
  <c r="AW42" i="21"/>
  <c r="AW40" i="21" s="1"/>
  <c r="AX43" i="21" s="1"/>
  <c r="AV102" i="6"/>
  <c r="AV103" i="6" s="1"/>
  <c r="AW100" i="6" s="1"/>
  <c r="S16" i="25"/>
  <c r="BA61" i="28"/>
  <c r="BA63" i="28"/>
  <c r="BA71" i="21"/>
  <c r="BA73" i="21"/>
  <c r="AG27" i="25"/>
  <c r="AG40" i="25" s="1"/>
  <c r="AG144" i="1"/>
  <c r="AG39" i="25"/>
  <c r="AG13" i="25"/>
  <c r="AF27" i="21"/>
  <c r="AY46" i="21"/>
  <c r="AY48" i="21"/>
  <c r="AF38" i="25"/>
  <c r="AF36" i="25" s="1"/>
  <c r="AF48" i="25" s="1"/>
  <c r="AF142" i="1"/>
  <c r="S29" i="25"/>
  <c r="AY56" i="28"/>
  <c r="AY58" i="28"/>
  <c r="AV68" i="21"/>
  <c r="AV66" i="21"/>
  <c r="AX56" i="21"/>
  <c r="AX58" i="21"/>
  <c r="AX31" i="21"/>
  <c r="AX32" i="21" s="1"/>
  <c r="AX30" i="21" s="1"/>
  <c r="V15" i="25"/>
  <c r="V126" i="1"/>
  <c r="V121" i="1" s="1"/>
  <c r="V101" i="1" s="1"/>
  <c r="V28" i="25"/>
  <c r="AD232" i="6"/>
  <c r="AD234" i="6"/>
  <c r="X300" i="6"/>
  <c r="X301" i="6" s="1"/>
  <c r="AU120" i="6"/>
  <c r="AU121" i="6" s="1"/>
  <c r="AV120" i="6" s="1"/>
  <c r="W90" i="1"/>
  <c r="X86" i="1" s="1"/>
  <c r="W97" i="1"/>
  <c r="W125" i="1" s="1"/>
  <c r="T106" i="1"/>
  <c r="T29" i="25" s="1"/>
  <c r="W94" i="1"/>
  <c r="AB262" i="6"/>
  <c r="AB264" i="6"/>
  <c r="AD229" i="6"/>
  <c r="AE226" i="6" s="1"/>
  <c r="AE208" i="6"/>
  <c r="AE211" i="6" s="1"/>
  <c r="AF208" i="6" s="1"/>
  <c r="W19" i="6"/>
  <c r="AX46" i="28"/>
  <c r="AX48" i="28"/>
  <c r="AO138" i="6"/>
  <c r="AO139" i="6" s="1"/>
  <c r="AF241" i="6"/>
  <c r="AG240" i="6" s="1"/>
  <c r="AR132" i="6"/>
  <c r="AR130" i="6"/>
  <c r="AA253" i="6"/>
  <c r="AB252" i="6" s="1"/>
  <c r="AW58" i="6"/>
  <c r="AW61" i="6" s="1"/>
  <c r="AB274" i="6"/>
  <c r="AB277" i="6" s="1"/>
  <c r="AO94" i="6"/>
  <c r="AO97" i="6" s="1"/>
  <c r="AP94" i="6" s="1"/>
  <c r="AV43" i="6"/>
  <c r="AW42" i="6" s="1"/>
  <c r="AX70" i="6"/>
  <c r="AX73" i="6" s="1"/>
  <c r="W98" i="1"/>
  <c r="W126" i="1" s="1"/>
  <c r="AY67" i="28"/>
  <c r="AY65" i="28" s="1"/>
  <c r="AZ66" i="28" s="1"/>
  <c r="AJ205" i="6"/>
  <c r="AK202" i="6" s="1"/>
  <c r="AC247" i="6"/>
  <c r="AD244" i="6" s="1"/>
  <c r="Z259" i="6"/>
  <c r="AA258" i="6" s="1"/>
  <c r="Z271" i="6"/>
  <c r="AA270" i="6" s="1"/>
  <c r="AM157" i="6"/>
  <c r="AX78" i="6"/>
  <c r="AX79" i="6" s="1"/>
  <c r="BA53" i="28"/>
  <c r="BA52" i="28" s="1"/>
  <c r="BA50" i="28" s="1"/>
  <c r="AT108" i="6"/>
  <c r="AT109" i="6" s="1"/>
  <c r="AV49" i="6"/>
  <c r="Y310" i="6"/>
  <c r="Y312" i="6"/>
  <c r="AB288" i="6"/>
  <c r="AB286" i="6"/>
  <c r="AW85" i="6"/>
  <c r="AX41" i="21"/>
  <c r="AJ187" i="6"/>
  <c r="AZ31" i="6"/>
  <c r="AO163" i="6"/>
  <c r="Z294" i="6"/>
  <c r="Z292" i="6"/>
  <c r="X87" i="1"/>
  <c r="X88" i="1"/>
  <c r="AD85" i="1"/>
  <c r="U129" i="1"/>
  <c r="U128" i="1" s="1"/>
  <c r="U103" i="1"/>
  <c r="U105" i="1"/>
  <c r="U101" i="1"/>
  <c r="AX36" i="21"/>
  <c r="AX38" i="21"/>
  <c r="AH175" i="6"/>
  <c r="AH217" i="6"/>
  <c r="AX37" i="6"/>
  <c r="AQ145" i="6"/>
  <c r="AJ198" i="6"/>
  <c r="AJ196" i="6"/>
  <c r="AN151" i="6"/>
  <c r="AL169" i="6"/>
  <c r="X280" i="6"/>
  <c r="X282" i="6"/>
  <c r="X100" i="1"/>
  <c r="AC318" i="6"/>
  <c r="AC316" i="6"/>
  <c r="X102" i="1"/>
  <c r="J160" i="1"/>
  <c r="J161" i="1" s="1"/>
  <c r="X104" i="1"/>
  <c r="AY41" i="28"/>
  <c r="AY43" i="28"/>
  <c r="AS126" i="6"/>
  <c r="AK181" i="6"/>
  <c r="AZ54" i="6"/>
  <c r="AZ52" i="6"/>
  <c r="AA306" i="6"/>
  <c r="AA304" i="6"/>
  <c r="AX67" i="6"/>
  <c r="AA256" i="6" l="1"/>
  <c r="AA259" i="6" s="1"/>
  <c r="AB256" i="6" s="1"/>
  <c r="AW102" i="6"/>
  <c r="AK192" i="6"/>
  <c r="AK190" i="6"/>
  <c r="AK193" i="6" s="1"/>
  <c r="AD275" i="28"/>
  <c r="AD25" i="28"/>
  <c r="AF210" i="6"/>
  <c r="AA268" i="6"/>
  <c r="AA271" i="6" s="1"/>
  <c r="AE228" i="6"/>
  <c r="BA62" i="28"/>
  <c r="BA60" i="28" s="1"/>
  <c r="AY57" i="28"/>
  <c r="AY55" i="28" s="1"/>
  <c r="AZ56" i="28" s="1"/>
  <c r="AB250" i="6"/>
  <c r="AB253" i="6" s="1"/>
  <c r="AD235" i="6"/>
  <c r="AE232" i="6" s="1"/>
  <c r="AY47" i="21"/>
  <c r="AY45" i="21" s="1"/>
  <c r="BA72" i="21"/>
  <c r="BA70" i="21" s="1"/>
  <c r="AF275" i="21"/>
  <c r="AF25" i="21"/>
  <c r="T108" i="1"/>
  <c r="T109" i="1" s="1"/>
  <c r="AV67" i="21"/>
  <c r="AV65" i="21" s="1"/>
  <c r="W26" i="25"/>
  <c r="AX57" i="21"/>
  <c r="AX55" i="21" s="1"/>
  <c r="AZ51" i="21"/>
  <c r="AZ52" i="21" s="1"/>
  <c r="AZ50" i="21" s="1"/>
  <c r="BA51" i="21" s="1"/>
  <c r="T16" i="25"/>
  <c r="Y300" i="6"/>
  <c r="Y298" i="6"/>
  <c r="X89" i="1"/>
  <c r="X92" i="1" s="1"/>
  <c r="X93" i="1" s="1"/>
  <c r="X95" i="1" s="1"/>
  <c r="X96" i="1" s="1"/>
  <c r="AI222" i="6"/>
  <c r="AI223" i="6" s="1"/>
  <c r="AW103" i="6"/>
  <c r="AX100" i="6" s="1"/>
  <c r="X18" i="6"/>
  <c r="Y70" i="1" s="1"/>
  <c r="Y72" i="1" s="1"/>
  <c r="Y76" i="1" s="1"/>
  <c r="Y78" i="1" s="1"/>
  <c r="Y79" i="1" s="1"/>
  <c r="Y80" i="1" s="1"/>
  <c r="Y81" i="1" s="1"/>
  <c r="AZ68" i="28"/>
  <c r="AZ67" i="28" s="1"/>
  <c r="AZ65" i="28" s="1"/>
  <c r="BA66" i="28" s="1"/>
  <c r="AR133" i="6"/>
  <c r="AS130" i="6" s="1"/>
  <c r="W8" i="25"/>
  <c r="W28" i="25"/>
  <c r="W15" i="25"/>
  <c r="AC319" i="6"/>
  <c r="AD316" i="6" s="1"/>
  <c r="AG238" i="6"/>
  <c r="AG241" i="6" s="1"/>
  <c r="AX47" i="28"/>
  <c r="AX45" i="28" s="1"/>
  <c r="AK204" i="6"/>
  <c r="AK205" i="6" s="1"/>
  <c r="AL202" i="6" s="1"/>
  <c r="AB265" i="6"/>
  <c r="V103" i="1"/>
  <c r="AY72" i="6"/>
  <c r="AY70" i="6"/>
  <c r="AC274" i="6"/>
  <c r="AC276" i="6"/>
  <c r="AD246" i="6"/>
  <c r="AD247" i="6" s="1"/>
  <c r="AE244" i="6" s="1"/>
  <c r="AV118" i="6"/>
  <c r="AV121" i="6" s="1"/>
  <c r="AW120" i="6" s="1"/>
  <c r="W121" i="1"/>
  <c r="W129" i="1" s="1"/>
  <c r="W128" i="1" s="1"/>
  <c r="W138" i="1" s="1"/>
  <c r="W137" i="1" s="1"/>
  <c r="W145" i="1" s="1"/>
  <c r="AE229" i="6"/>
  <c r="AP96" i="6"/>
  <c r="AP97" i="6" s="1"/>
  <c r="AJ199" i="6"/>
  <c r="AK198" i="6" s="1"/>
  <c r="AW40" i="6"/>
  <c r="AW43" i="6" s="1"/>
  <c r="AZ55" i="6"/>
  <c r="BA54" i="6" s="1"/>
  <c r="Y313" i="6"/>
  <c r="V129" i="1"/>
  <c r="V128" i="1" s="1"/>
  <c r="V138" i="1" s="1"/>
  <c r="V137" i="1" s="1"/>
  <c r="V145" i="1" s="1"/>
  <c r="V156" i="1" s="1"/>
  <c r="V105" i="1"/>
  <c r="AN154" i="6"/>
  <c r="AN156" i="6"/>
  <c r="AW48" i="6"/>
  <c r="AW46" i="6"/>
  <c r="AU88" i="6"/>
  <c r="AU91" i="6" s="1"/>
  <c r="AV90" i="6" s="1"/>
  <c r="X283" i="6"/>
  <c r="Y282" i="6" s="1"/>
  <c r="Z295" i="6"/>
  <c r="AA292" i="6" s="1"/>
  <c r="Y102" i="1"/>
  <c r="AX37" i="21"/>
  <c r="AX35" i="21" s="1"/>
  <c r="AP160" i="6"/>
  <c r="AP162" i="6"/>
  <c r="AP136" i="6"/>
  <c r="AP138" i="6"/>
  <c r="AU108" i="6"/>
  <c r="AU106" i="6"/>
  <c r="AR144" i="6"/>
  <c r="AR142" i="6"/>
  <c r="U106" i="1"/>
  <c r="BA30" i="6"/>
  <c r="BA28" i="6"/>
  <c r="AY76" i="6"/>
  <c r="AY78" i="6"/>
  <c r="AB289" i="6"/>
  <c r="AS127" i="6"/>
  <c r="AI214" i="6"/>
  <c r="AI216" i="6"/>
  <c r="AK184" i="6"/>
  <c r="AK186" i="6"/>
  <c r="AX58" i="6"/>
  <c r="AX60" i="6"/>
  <c r="AX82" i="6"/>
  <c r="AX84" i="6"/>
  <c r="AY64" i="6"/>
  <c r="AY66" i="6"/>
  <c r="J162" i="1"/>
  <c r="J163" i="1" s="1"/>
  <c r="K158" i="1" s="1"/>
  <c r="AA307" i="6"/>
  <c r="Y100" i="1"/>
  <c r="AX42" i="21"/>
  <c r="AX40" i="21" s="1"/>
  <c r="AI172" i="6"/>
  <c r="AI174" i="6"/>
  <c r="AM166" i="6"/>
  <c r="AM168" i="6"/>
  <c r="AY36" i="6"/>
  <c r="AY34" i="6"/>
  <c r="AP112" i="6"/>
  <c r="AP114" i="6"/>
  <c r="AY42" i="28"/>
  <c r="AY40" i="28" s="1"/>
  <c r="Y104" i="1"/>
  <c r="AY33" i="21"/>
  <c r="AY31" i="21"/>
  <c r="AL178" i="6"/>
  <c r="AL180" i="6"/>
  <c r="AF211" i="6"/>
  <c r="AO148" i="6"/>
  <c r="AO150" i="6"/>
  <c r="U138" i="1"/>
  <c r="U137" i="1" s="1"/>
  <c r="U145" i="1" s="1"/>
  <c r="U131" i="1"/>
  <c r="Y301" i="6" l="1"/>
  <c r="Z300" i="6" s="1"/>
  <c r="AE28" i="28"/>
  <c r="AE4" i="28" s="1"/>
  <c r="AE26" i="28"/>
  <c r="AD22" i="28"/>
  <c r="AL192" i="6"/>
  <c r="AL190" i="6"/>
  <c r="AK196" i="6"/>
  <c r="AK199" i="6" s="1"/>
  <c r="AL198" i="6" s="1"/>
  <c r="AZ58" i="28"/>
  <c r="AZ57" i="28" s="1"/>
  <c r="AZ55" i="28" s="1"/>
  <c r="BA53" i="21"/>
  <c r="X97" i="1"/>
  <c r="X125" i="1" s="1"/>
  <c r="X94" i="1"/>
  <c r="AH238" i="6"/>
  <c r="AH240" i="6"/>
  <c r="AS132" i="6"/>
  <c r="AS133" i="6" s="1"/>
  <c r="AE234" i="6"/>
  <c r="AE235" i="6" s="1"/>
  <c r="BA52" i="21"/>
  <c r="BA50" i="21" s="1"/>
  <c r="Y18" i="6"/>
  <c r="Z70" i="1" s="1"/>
  <c r="Z72" i="1" s="1"/>
  <c r="Z76" i="1" s="1"/>
  <c r="Z78" i="1" s="1"/>
  <c r="Z79" i="1" s="1"/>
  <c r="Z80" i="1" s="1"/>
  <c r="Z81" i="1" s="1"/>
  <c r="AG28" i="21"/>
  <c r="AG4" i="21" s="1"/>
  <c r="AH74" i="1" s="1"/>
  <c r="AG26" i="21"/>
  <c r="AG27" i="21" s="1"/>
  <c r="AG275" i="21" s="1"/>
  <c r="AF22" i="21"/>
  <c r="AG14" i="25"/>
  <c r="AG143" i="1"/>
  <c r="AZ46" i="21"/>
  <c r="AZ48" i="21"/>
  <c r="AY56" i="21"/>
  <c r="AY58" i="21"/>
  <c r="BA68" i="28"/>
  <c r="BA67" i="28" s="1"/>
  <c r="BA65" i="28" s="1"/>
  <c r="AW68" i="21"/>
  <c r="AW66" i="21"/>
  <c r="AD318" i="6"/>
  <c r="AD319" i="6" s="1"/>
  <c r="V106" i="1"/>
  <c r="V29" i="25" s="1"/>
  <c r="AP115" i="6"/>
  <c r="AQ112" i="6" s="1"/>
  <c r="AX102" i="6"/>
  <c r="AX103" i="6" s="1"/>
  <c r="X98" i="1"/>
  <c r="X28" i="25" s="1"/>
  <c r="AY73" i="6"/>
  <c r="AZ70" i="6" s="1"/>
  <c r="X19" i="6"/>
  <c r="X90" i="1"/>
  <c r="Y86" i="1" s="1"/>
  <c r="AW49" i="6"/>
  <c r="AX46" i="6" s="1"/>
  <c r="W103" i="1"/>
  <c r="AW118" i="6"/>
  <c r="AW121" i="6" s="1"/>
  <c r="AA294" i="6"/>
  <c r="AA295" i="6" s="1"/>
  <c r="AY46" i="28"/>
  <c r="AY48" i="28"/>
  <c r="AC262" i="6"/>
  <c r="AC264" i="6"/>
  <c r="AX85" i="6"/>
  <c r="AY84" i="6" s="1"/>
  <c r="AL204" i="6"/>
  <c r="AL205" i="6" s="1"/>
  <c r="BA52" i="6"/>
  <c r="BA55" i="6" s="1"/>
  <c r="AX40" i="6"/>
  <c r="AX42" i="6"/>
  <c r="AO151" i="6"/>
  <c r="AP148" i="6" s="1"/>
  <c r="AU109" i="6"/>
  <c r="AV108" i="6" s="1"/>
  <c r="W101" i="1"/>
  <c r="W105" i="1"/>
  <c r="AC277" i="6"/>
  <c r="AB258" i="6"/>
  <c r="AB259" i="6" s="1"/>
  <c r="AF228" i="6"/>
  <c r="AF226" i="6"/>
  <c r="Y280" i="6"/>
  <c r="Y283" i="6" s="1"/>
  <c r="V165" i="1"/>
  <c r="AK187" i="6"/>
  <c r="AL184" i="6" s="1"/>
  <c r="AV88" i="6"/>
  <c r="AV91" i="6" s="1"/>
  <c r="Z310" i="6"/>
  <c r="Z312" i="6"/>
  <c r="AE246" i="6"/>
  <c r="AE247" i="6" s="1"/>
  <c r="AN157" i="6"/>
  <c r="AP163" i="6"/>
  <c r="AQ160" i="6" s="1"/>
  <c r="AL181" i="6"/>
  <c r="AM180" i="6" s="1"/>
  <c r="AP139" i="6"/>
  <c r="AQ136" i="6" s="1"/>
  <c r="Y87" i="1"/>
  <c r="Y88" i="1"/>
  <c r="AE85" i="1"/>
  <c r="K160" i="1"/>
  <c r="K161" i="1" s="1"/>
  <c r="AY36" i="21"/>
  <c r="AY38" i="21"/>
  <c r="U165" i="1"/>
  <c r="U156" i="1"/>
  <c r="U16" i="25"/>
  <c r="U29" i="25"/>
  <c r="U108" i="1"/>
  <c r="U109" i="1" s="1"/>
  <c r="AJ220" i="6"/>
  <c r="AJ222" i="6"/>
  <c r="AQ96" i="6"/>
  <c r="AQ94" i="6"/>
  <c r="Z102" i="1"/>
  <c r="AB304" i="6"/>
  <c r="AB306" i="6"/>
  <c r="AR145" i="6"/>
  <c r="AG210" i="6"/>
  <c r="AG208" i="6"/>
  <c r="AY43" i="21"/>
  <c r="AY41" i="21"/>
  <c r="W165" i="1"/>
  <c r="W156" i="1"/>
  <c r="T132" i="1"/>
  <c r="V131" i="1"/>
  <c r="U132" i="1" s="1"/>
  <c r="J166" i="1"/>
  <c r="AB268" i="6"/>
  <c r="AB270" i="6"/>
  <c r="AX61" i="6"/>
  <c r="AT124" i="6"/>
  <c r="AT126" i="6"/>
  <c r="AI175" i="6"/>
  <c r="AY79" i="6"/>
  <c r="AC252" i="6"/>
  <c r="AC250" i="6"/>
  <c r="Z100" i="1"/>
  <c r="Z104" i="1"/>
  <c r="AI217" i="6"/>
  <c r="AM169" i="6"/>
  <c r="AY67" i="6"/>
  <c r="AC288" i="6"/>
  <c r="AC286" i="6"/>
  <c r="AZ41" i="28"/>
  <c r="AZ43" i="28"/>
  <c r="AZ72" i="6"/>
  <c r="AY32" i="21"/>
  <c r="AY30" i="21" s="1"/>
  <c r="AY37" i="6"/>
  <c r="BA31" i="6"/>
  <c r="Z298" i="6" l="1"/>
  <c r="Z301" i="6" s="1"/>
  <c r="Y19" i="6"/>
  <c r="AH241" i="6"/>
  <c r="AI238" i="6" s="1"/>
  <c r="AP150" i="6"/>
  <c r="AL196" i="6"/>
  <c r="AL199" i="6" s="1"/>
  <c r="AM198" i="6" s="1"/>
  <c r="AL193" i="6"/>
  <c r="AC289" i="6"/>
  <c r="AD286" i="6" s="1"/>
  <c r="AE27" i="28"/>
  <c r="AC253" i="6"/>
  <c r="AD250" i="6" s="1"/>
  <c r="BA56" i="28"/>
  <c r="BA58" i="28"/>
  <c r="X8" i="25"/>
  <c r="X26" i="25"/>
  <c r="AG25" i="21"/>
  <c r="AH28" i="21" s="1"/>
  <c r="AH4" i="21" s="1"/>
  <c r="AI74" i="1" s="1"/>
  <c r="AW67" i="21"/>
  <c r="AW65" i="21" s="1"/>
  <c r="AX66" i="21" s="1"/>
  <c r="AT130" i="6"/>
  <c r="AT132" i="6"/>
  <c r="V16" i="25"/>
  <c r="AY82" i="6"/>
  <c r="AY85" i="6" s="1"/>
  <c r="AZ84" i="6" s="1"/>
  <c r="AX48" i="6"/>
  <c r="AX49" i="6" s="1"/>
  <c r="AL186" i="6"/>
  <c r="AL187" i="6" s="1"/>
  <c r="AZ73" i="6"/>
  <c r="BA70" i="6" s="1"/>
  <c r="Y89" i="1"/>
  <c r="Y92" i="1" s="1"/>
  <c r="Y94" i="1" s="1"/>
  <c r="AZ47" i="21"/>
  <c r="AZ45" i="21" s="1"/>
  <c r="AG142" i="1"/>
  <c r="AG38" i="25"/>
  <c r="AG36" i="25" s="1"/>
  <c r="AG48" i="25" s="1"/>
  <c r="AG22" i="21"/>
  <c r="AH26" i="21"/>
  <c r="AH143" i="1"/>
  <c r="AH14" i="25"/>
  <c r="AH144" i="1"/>
  <c r="AH39" i="25"/>
  <c r="AH13" i="25"/>
  <c r="AH27" i="25"/>
  <c r="AH40" i="25" s="1"/>
  <c r="AY57" i="21"/>
  <c r="AY55" i="21" s="1"/>
  <c r="V108" i="1"/>
  <c r="V109" i="1" s="1"/>
  <c r="X15" i="25"/>
  <c r="X126" i="1"/>
  <c r="X121" i="1" s="1"/>
  <c r="AE316" i="6"/>
  <c r="AE318" i="6"/>
  <c r="AQ114" i="6"/>
  <c r="AQ115" i="6" s="1"/>
  <c r="AF234" i="6"/>
  <c r="AF232" i="6"/>
  <c r="AC265" i="6"/>
  <c r="AY47" i="28"/>
  <c r="AY45" i="28" s="1"/>
  <c r="AX43" i="6"/>
  <c r="AY40" i="6" s="1"/>
  <c r="AV106" i="6"/>
  <c r="AV109" i="6" s="1"/>
  <c r="AQ162" i="6"/>
  <c r="AQ163" i="6" s="1"/>
  <c r="AM178" i="6"/>
  <c r="AD276" i="6"/>
  <c r="AD274" i="6"/>
  <c r="AP151" i="6"/>
  <c r="AQ148" i="6" s="1"/>
  <c r="W106" i="1"/>
  <c r="AQ97" i="6"/>
  <c r="AR96" i="6" s="1"/>
  <c r="AF229" i="6"/>
  <c r="AT127" i="6"/>
  <c r="AU126" i="6" s="1"/>
  <c r="Z313" i="6"/>
  <c r="AQ138" i="6"/>
  <c r="AQ139" i="6" s="1"/>
  <c r="AO154" i="6"/>
  <c r="AO156" i="6"/>
  <c r="Z87" i="1"/>
  <c r="Z88" i="1"/>
  <c r="AF85" i="1"/>
  <c r="Z282" i="6"/>
  <c r="Z18" i="6" s="1"/>
  <c r="AA70" i="1" s="1"/>
  <c r="AA72" i="1" s="1"/>
  <c r="AA76" i="1" s="1"/>
  <c r="Z280" i="6"/>
  <c r="AJ216" i="6"/>
  <c r="AJ214" i="6"/>
  <c r="AA300" i="6"/>
  <c r="AA298" i="6"/>
  <c r="AS142" i="6"/>
  <c r="AS144" i="6"/>
  <c r="AM202" i="6"/>
  <c r="AM204" i="6"/>
  <c r="AX118" i="6"/>
  <c r="AX120" i="6"/>
  <c r="AZ66" i="6"/>
  <c r="AZ64" i="6"/>
  <c r="AA104" i="1"/>
  <c r="AA100" i="1"/>
  <c r="AF246" i="6"/>
  <c r="AF244" i="6"/>
  <c r="AJ174" i="6"/>
  <c r="AJ172" i="6"/>
  <c r="AB271" i="6"/>
  <c r="AW88" i="6"/>
  <c r="AW90" i="6"/>
  <c r="AJ223" i="6"/>
  <c r="AZ36" i="6"/>
  <c r="AZ34" i="6"/>
  <c r="AZ78" i="6"/>
  <c r="AZ76" i="6"/>
  <c r="AZ33" i="21"/>
  <c r="AZ31" i="21"/>
  <c r="AZ42" i="28"/>
  <c r="AZ40" i="28" s="1"/>
  <c r="AB292" i="6"/>
  <c r="AB294" i="6"/>
  <c r="AY42" i="21"/>
  <c r="AY40" i="21" s="1"/>
  <c r="AA102" i="1"/>
  <c r="AC258" i="6"/>
  <c r="AC256" i="6"/>
  <c r="J167" i="1"/>
  <c r="K162" i="1"/>
  <c r="K163" i="1" s="1"/>
  <c r="L158" i="1" s="1"/>
  <c r="AY60" i="6"/>
  <c r="AY58" i="6"/>
  <c r="W131" i="1"/>
  <c r="V132" i="1" s="1"/>
  <c r="AM181" i="6"/>
  <c r="AY37" i="21"/>
  <c r="AY35" i="21" s="1"/>
  <c r="AY100" i="6"/>
  <c r="AY102" i="6"/>
  <c r="AN168" i="6"/>
  <c r="AN166" i="6"/>
  <c r="AG211" i="6"/>
  <c r="AB307" i="6"/>
  <c r="AT133" i="6" l="1"/>
  <c r="AU132" i="6" s="1"/>
  <c r="BA72" i="6"/>
  <c r="BA73" i="6" s="1"/>
  <c r="AI240" i="6"/>
  <c r="AI241" i="6" s="1"/>
  <c r="AD288" i="6"/>
  <c r="AD289" i="6" s="1"/>
  <c r="AU130" i="6"/>
  <c r="AU133" i="6" s="1"/>
  <c r="AV132" i="6" s="1"/>
  <c r="AE275" i="28"/>
  <c r="AE25" i="28"/>
  <c r="AD252" i="6"/>
  <c r="AD253" i="6" s="1"/>
  <c r="AM192" i="6"/>
  <c r="AM190" i="6"/>
  <c r="BA57" i="28"/>
  <c r="BA55" i="28" s="1"/>
  <c r="AY42" i="6"/>
  <c r="AY43" i="6" s="1"/>
  <c r="AZ42" i="6" s="1"/>
  <c r="AE319" i="6"/>
  <c r="AF316" i="6" s="1"/>
  <c r="AJ175" i="6"/>
  <c r="AF235" i="6"/>
  <c r="AG234" i="6" s="1"/>
  <c r="AX68" i="21"/>
  <c r="AX67" i="21" s="1"/>
  <c r="AX65" i="21" s="1"/>
  <c r="AY68" i="21" s="1"/>
  <c r="Y97" i="1"/>
  <c r="Y125" i="1" s="1"/>
  <c r="Y98" i="1"/>
  <c r="AM186" i="6"/>
  <c r="AM184" i="6"/>
  <c r="AM187" i="6" s="1"/>
  <c r="Y90" i="1"/>
  <c r="Z86" i="1" s="1"/>
  <c r="Z89" i="1" s="1"/>
  <c r="Z92" i="1" s="1"/>
  <c r="Z97" i="1" s="1"/>
  <c r="Y93" i="1"/>
  <c r="Y95" i="1" s="1"/>
  <c r="Y96" i="1" s="1"/>
  <c r="AI39" i="25"/>
  <c r="AI144" i="1"/>
  <c r="AI13" i="25"/>
  <c r="AI27" i="25"/>
  <c r="AI40" i="25" s="1"/>
  <c r="AH38" i="25"/>
  <c r="AH36" i="25" s="1"/>
  <c r="AH48" i="25" s="1"/>
  <c r="AH142" i="1"/>
  <c r="AH27" i="21"/>
  <c r="BA46" i="21"/>
  <c r="BA48" i="21"/>
  <c r="AZ56" i="21"/>
  <c r="AZ58" i="21"/>
  <c r="AZ32" i="21"/>
  <c r="AZ30" i="21" s="1"/>
  <c r="BA33" i="21" s="1"/>
  <c r="X129" i="1"/>
  <c r="X128" i="1" s="1"/>
  <c r="X131" i="1" s="1"/>
  <c r="W132" i="1" s="1"/>
  <c r="X105" i="1"/>
  <c r="X103" i="1"/>
  <c r="X101" i="1"/>
  <c r="AS145" i="6"/>
  <c r="AT142" i="6" s="1"/>
  <c r="AZ82" i="6"/>
  <c r="AZ85" i="6" s="1"/>
  <c r="BA82" i="6" s="1"/>
  <c r="AA301" i="6"/>
  <c r="AB300" i="6" s="1"/>
  <c r="AQ150" i="6"/>
  <c r="AD277" i="6"/>
  <c r="AZ48" i="28"/>
  <c r="AZ46" i="28"/>
  <c r="AD262" i="6"/>
  <c r="AD264" i="6"/>
  <c r="AW106" i="6"/>
  <c r="AW108" i="6"/>
  <c r="W16" i="25"/>
  <c r="W108" i="1"/>
  <c r="W109" i="1" s="1"/>
  <c r="W29" i="25"/>
  <c r="AR94" i="6"/>
  <c r="AR97" i="6" s="1"/>
  <c r="AZ37" i="6"/>
  <c r="BA36" i="6" s="1"/>
  <c r="AG228" i="6"/>
  <c r="AG226" i="6"/>
  <c r="AZ79" i="6"/>
  <c r="BA78" i="6" s="1"/>
  <c r="AF247" i="6"/>
  <c r="AG246" i="6" s="1"/>
  <c r="AX121" i="6"/>
  <c r="AY120" i="6" s="1"/>
  <c r="AO157" i="6"/>
  <c r="AM196" i="6"/>
  <c r="AM199" i="6" s="1"/>
  <c r="AN198" i="6" s="1"/>
  <c r="Z19" i="6"/>
  <c r="AY48" i="6"/>
  <c r="AY46" i="6"/>
  <c r="AU124" i="6"/>
  <c r="AU127" i="6" s="1"/>
  <c r="AV126" i="6" s="1"/>
  <c r="AA312" i="6"/>
  <c r="AA310" i="6"/>
  <c r="AZ67" i="6"/>
  <c r="BA66" i="6" s="1"/>
  <c r="L160" i="1"/>
  <c r="L161" i="1" s="1"/>
  <c r="AB102" i="1"/>
  <c r="AB100" i="1"/>
  <c r="AZ43" i="21"/>
  <c r="AZ41" i="21"/>
  <c r="AK174" i="6"/>
  <c r="AK172" i="6"/>
  <c r="AM205" i="6"/>
  <c r="AN169" i="6"/>
  <c r="AN180" i="6"/>
  <c r="AN178" i="6"/>
  <c r="AR114" i="6"/>
  <c r="AR112" i="6"/>
  <c r="AB295" i="6"/>
  <c r="AJ217" i="6"/>
  <c r="AH208" i="6"/>
  <c r="AH210" i="6"/>
  <c r="AJ240" i="6"/>
  <c r="AJ238" i="6"/>
  <c r="AC270" i="6"/>
  <c r="AC268" i="6"/>
  <c r="AK222" i="6"/>
  <c r="AK220" i="6"/>
  <c r="AF318" i="6"/>
  <c r="J30" i="25"/>
  <c r="J18" i="25"/>
  <c r="J147" i="1"/>
  <c r="Z283" i="6"/>
  <c r="AR162" i="6"/>
  <c r="AR160" i="6"/>
  <c r="AR138" i="6"/>
  <c r="AR136" i="6"/>
  <c r="AB104" i="1"/>
  <c r="K166" i="1"/>
  <c r="AC306" i="6"/>
  <c r="AC304" i="6"/>
  <c r="AY103" i="6"/>
  <c r="AZ38" i="21"/>
  <c r="AZ36" i="21"/>
  <c r="AY61" i="6"/>
  <c r="AQ151" i="6"/>
  <c r="AC259" i="6"/>
  <c r="BA43" i="28"/>
  <c r="BA41" i="28"/>
  <c r="AW91" i="6"/>
  <c r="AA78" i="1"/>
  <c r="AA79" i="1" s="1"/>
  <c r="AA80" i="1" s="1"/>
  <c r="AA81" i="1" s="1"/>
  <c r="AM193" i="6" l="1"/>
  <c r="AN190" i="6" s="1"/>
  <c r="AT144" i="6"/>
  <c r="AF319" i="6"/>
  <c r="AG229" i="6"/>
  <c r="AH228" i="6" s="1"/>
  <c r="AN192" i="6"/>
  <c r="BA84" i="6"/>
  <c r="BA85" i="6" s="1"/>
  <c r="AJ241" i="6"/>
  <c r="AK238" i="6" s="1"/>
  <c r="AN181" i="6"/>
  <c r="AO178" i="6" s="1"/>
  <c r="AE22" i="28"/>
  <c r="AF26" i="28"/>
  <c r="AF28" i="28"/>
  <c r="AF4" i="28" s="1"/>
  <c r="AG232" i="6"/>
  <c r="AG235" i="6" s="1"/>
  <c r="Y8" i="25"/>
  <c r="Y26" i="25"/>
  <c r="AB298" i="6"/>
  <c r="AB301" i="6" s="1"/>
  <c r="X106" i="1"/>
  <c r="X16" i="25" s="1"/>
  <c r="BA31" i="21"/>
  <c r="AY66" i="21"/>
  <c r="AY67" i="21" s="1"/>
  <c r="AY65" i="21" s="1"/>
  <c r="X138" i="1"/>
  <c r="X137" i="1" s="1"/>
  <c r="X145" i="1" s="1"/>
  <c r="X165" i="1" s="1"/>
  <c r="Y15" i="25"/>
  <c r="AC307" i="6"/>
  <c r="AD304" i="6" s="1"/>
  <c r="BA76" i="6"/>
  <c r="BA79" i="6" s="1"/>
  <c r="Y126" i="1"/>
  <c r="Y121" i="1" s="1"/>
  <c r="Y28" i="25"/>
  <c r="BA47" i="21"/>
  <c r="BA45" i="21" s="1"/>
  <c r="AH275" i="21"/>
  <c r="AH25" i="21"/>
  <c r="AZ57" i="21"/>
  <c r="AZ55" i="21" s="1"/>
  <c r="BA58" i="21" s="1"/>
  <c r="BA42" i="28"/>
  <c r="BA40" i="28" s="1"/>
  <c r="BA32" i="21"/>
  <c r="BA30" i="21" s="1"/>
  <c r="AZ37" i="21"/>
  <c r="AZ35" i="21" s="1"/>
  <c r="BA36" i="21" s="1"/>
  <c r="AZ42" i="21"/>
  <c r="AZ40" i="21" s="1"/>
  <c r="BA41" i="21" s="1"/>
  <c r="AW109" i="6"/>
  <c r="AX108" i="6" s="1"/>
  <c r="AR163" i="6"/>
  <c r="AS162" i="6" s="1"/>
  <c r="AZ40" i="6"/>
  <c r="AZ43" i="6" s="1"/>
  <c r="BA40" i="6" s="1"/>
  <c r="AZ47" i="28"/>
  <c r="AZ45" i="28" s="1"/>
  <c r="BA48" i="28" s="1"/>
  <c r="BA64" i="6"/>
  <c r="BA67" i="6" s="1"/>
  <c r="AV130" i="6"/>
  <c r="AV133" i="6" s="1"/>
  <c r="AW132" i="6" s="1"/>
  <c r="AD265" i="6"/>
  <c r="AY118" i="6"/>
  <c r="AY121" i="6" s="1"/>
  <c r="BA34" i="6"/>
  <c r="BA37" i="6" s="1"/>
  <c r="AE274" i="6"/>
  <c r="AE276" i="6"/>
  <c r="Z90" i="1"/>
  <c r="AA86" i="1" s="1"/>
  <c r="Z98" i="1"/>
  <c r="AH226" i="6"/>
  <c r="Z94" i="1"/>
  <c r="Z93" i="1"/>
  <c r="Z95" i="1" s="1"/>
  <c r="Z96" i="1" s="1"/>
  <c r="AG244" i="6"/>
  <c r="AG247" i="6" s="1"/>
  <c r="AR139" i="6"/>
  <c r="AS138" i="6" s="1"/>
  <c r="AV124" i="6"/>
  <c r="AV127" i="6" s="1"/>
  <c r="AW124" i="6" s="1"/>
  <c r="AC271" i="6"/>
  <c r="AD268" i="6" s="1"/>
  <c r="AR115" i="6"/>
  <c r="AS114" i="6" s="1"/>
  <c r="AY49" i="6"/>
  <c r="AH211" i="6"/>
  <c r="AI210" i="6" s="1"/>
  <c r="AP154" i="6"/>
  <c r="AP156" i="6"/>
  <c r="AN196" i="6"/>
  <c r="AN199" i="6" s="1"/>
  <c r="AA313" i="6"/>
  <c r="L162" i="1"/>
  <c r="L163" i="1" s="1"/>
  <c r="M158" i="1" s="1"/>
  <c r="AA87" i="1"/>
  <c r="AA88" i="1"/>
  <c r="AG85" i="1"/>
  <c r="AG318" i="6"/>
  <c r="AG316" i="6"/>
  <c r="AZ102" i="6"/>
  <c r="AZ100" i="6"/>
  <c r="AC104" i="1"/>
  <c r="AK223" i="6"/>
  <c r="AK175" i="6"/>
  <c r="AE286" i="6"/>
  <c r="AE288" i="6"/>
  <c r="AE250" i="6"/>
  <c r="AE252" i="6"/>
  <c r="AX106" i="6"/>
  <c r="AD256" i="6"/>
  <c r="AD258" i="6"/>
  <c r="AX88" i="6"/>
  <c r="AX90" i="6"/>
  <c r="AO168" i="6"/>
  <c r="AO166" i="6"/>
  <c r="AN204" i="6"/>
  <c r="AN202" i="6"/>
  <c r="AO180" i="6"/>
  <c r="AC100" i="1"/>
  <c r="AR150" i="6"/>
  <c r="AR148" i="6"/>
  <c r="AZ60" i="6"/>
  <c r="AZ58" i="6"/>
  <c r="AT145" i="6"/>
  <c r="AC294" i="6"/>
  <c r="AC292" i="6"/>
  <c r="Z125" i="1"/>
  <c r="Z8" i="25"/>
  <c r="Z26" i="25"/>
  <c r="AS94" i="6"/>
  <c r="AS96" i="6"/>
  <c r="K167" i="1"/>
  <c r="AA282" i="6"/>
  <c r="AA18" i="6" s="1"/>
  <c r="AA280" i="6"/>
  <c r="J148" i="1"/>
  <c r="AK214" i="6"/>
  <c r="AK216" i="6"/>
  <c r="AN186" i="6"/>
  <c r="AN184" i="6"/>
  <c r="AC102" i="1"/>
  <c r="X156" i="1" l="1"/>
  <c r="AK240" i="6"/>
  <c r="AW130" i="6"/>
  <c r="AW133" i="6" s="1"/>
  <c r="AX130" i="6" s="1"/>
  <c r="AH232" i="6"/>
  <c r="AH234" i="6"/>
  <c r="AS136" i="6"/>
  <c r="AS139" i="6" s="1"/>
  <c r="AD306" i="6"/>
  <c r="AD307" i="6" s="1"/>
  <c r="AE304" i="6" s="1"/>
  <c r="AF27" i="28"/>
  <c r="X108" i="1"/>
  <c r="X109" i="1" s="1"/>
  <c r="AN193" i="6"/>
  <c r="AC300" i="6"/>
  <c r="AC298" i="6"/>
  <c r="AZ68" i="21"/>
  <c r="AZ66" i="21"/>
  <c r="AZ67" i="21" s="1"/>
  <c r="AZ65" i="21" s="1"/>
  <c r="X29" i="25"/>
  <c r="BA56" i="21"/>
  <c r="BA57" i="21" s="1"/>
  <c r="BA55" i="21" s="1"/>
  <c r="BA38" i="21"/>
  <c r="BA37" i="21" s="1"/>
  <c r="BA35" i="21" s="1"/>
  <c r="AS160" i="6"/>
  <c r="AS163" i="6" s="1"/>
  <c r="AT160" i="6" s="1"/>
  <c r="AI208" i="6"/>
  <c r="AI211" i="6" s="1"/>
  <c r="AJ210" i="6" s="1"/>
  <c r="BA43" i="21"/>
  <c r="BA42" i="21" s="1"/>
  <c r="BA40" i="21" s="1"/>
  <c r="AI14" i="25"/>
  <c r="AI143" i="1"/>
  <c r="AI26" i="21"/>
  <c r="AI28" i="21"/>
  <c r="AI4" i="21" s="1"/>
  <c r="AJ74" i="1" s="1"/>
  <c r="AH22" i="21"/>
  <c r="BA46" i="28"/>
  <c r="BA47" i="28" s="1"/>
  <c r="BA45" i="28" s="1"/>
  <c r="AA89" i="1"/>
  <c r="AA92" i="1" s="1"/>
  <c r="AA97" i="1" s="1"/>
  <c r="AN205" i="6"/>
  <c r="AO204" i="6" s="1"/>
  <c r="AE277" i="6"/>
  <c r="AZ103" i="6"/>
  <c r="BA100" i="6" s="1"/>
  <c r="Z28" i="25"/>
  <c r="AE264" i="6"/>
  <c r="AE262" i="6"/>
  <c r="AD270" i="6"/>
  <c r="AD271" i="6" s="1"/>
  <c r="AW126" i="6"/>
  <c r="AW127" i="6" s="1"/>
  <c r="AC295" i="6"/>
  <c r="AD292" i="6" s="1"/>
  <c r="Z15" i="25"/>
  <c r="AS112" i="6"/>
  <c r="AS115" i="6" s="1"/>
  <c r="AT112" i="6" s="1"/>
  <c r="BA42" i="6"/>
  <c r="BA43" i="6" s="1"/>
  <c r="Z126" i="1"/>
  <c r="Z121" i="1" s="1"/>
  <c r="AK217" i="6"/>
  <c r="AL214" i="6" s="1"/>
  <c r="AP157" i="6"/>
  <c r="AQ154" i="6" s="1"/>
  <c r="AH229" i="6"/>
  <c r="AO169" i="6"/>
  <c r="AP166" i="6" s="1"/>
  <c r="AB312" i="6"/>
  <c r="AB310" i="6"/>
  <c r="AZ48" i="6"/>
  <c r="AZ46" i="6"/>
  <c r="AE289" i="6"/>
  <c r="AF286" i="6" s="1"/>
  <c r="M160" i="1"/>
  <c r="M161" i="1" s="1"/>
  <c r="AB70" i="1"/>
  <c r="AB72" i="1" s="1"/>
  <c r="AB76" i="1" s="1"/>
  <c r="AA19" i="6"/>
  <c r="J17" i="25"/>
  <c r="J31" i="25"/>
  <c r="AA283" i="6"/>
  <c r="AS97" i="6"/>
  <c r="AZ61" i="6"/>
  <c r="AR151" i="6"/>
  <c r="AG319" i="6"/>
  <c r="AL216" i="6"/>
  <c r="AD104" i="1"/>
  <c r="AO196" i="6"/>
  <c r="AO198" i="6"/>
  <c r="AL172" i="6"/>
  <c r="AL174" i="6"/>
  <c r="Y129" i="1"/>
  <c r="Y128" i="1" s="1"/>
  <c r="Y103" i="1"/>
  <c r="Y101" i="1"/>
  <c r="Y105" i="1"/>
  <c r="AD100" i="1"/>
  <c r="AD259" i="6"/>
  <c r="AD102" i="1"/>
  <c r="AL220" i="6"/>
  <c r="AL222" i="6"/>
  <c r="AZ120" i="6"/>
  <c r="AZ118" i="6"/>
  <c r="AE253" i="6"/>
  <c r="L166" i="1"/>
  <c r="AX91" i="6"/>
  <c r="K30" i="25"/>
  <c r="K18" i="25"/>
  <c r="K147" i="1"/>
  <c r="AU144" i="6"/>
  <c r="AU142" i="6"/>
  <c r="AN187" i="6"/>
  <c r="J146" i="1"/>
  <c r="AH244" i="6"/>
  <c r="AH246" i="6"/>
  <c r="AO181" i="6"/>
  <c r="AX109" i="6"/>
  <c r="AK241" i="6"/>
  <c r="AC301" i="6" l="1"/>
  <c r="AD300" i="6" s="1"/>
  <c r="AH235" i="6"/>
  <c r="AI232" i="6" s="1"/>
  <c r="AO192" i="6"/>
  <c r="AO190" i="6"/>
  <c r="AD294" i="6"/>
  <c r="AD295" i="6" s="1"/>
  <c r="AF275" i="28"/>
  <c r="AF25" i="28"/>
  <c r="AZ49" i="6"/>
  <c r="BA48" i="6" s="1"/>
  <c r="AO202" i="6"/>
  <c r="AO205" i="6" s="1"/>
  <c r="AE265" i="6"/>
  <c r="AF262" i="6" s="1"/>
  <c r="AX132" i="6"/>
  <c r="AX133" i="6" s="1"/>
  <c r="AQ156" i="6"/>
  <c r="AQ157" i="6" s="1"/>
  <c r="AP168" i="6"/>
  <c r="AP169" i="6" s="1"/>
  <c r="AE306" i="6"/>
  <c r="AE307" i="6" s="1"/>
  <c r="BA102" i="6"/>
  <c r="BA103" i="6" s="1"/>
  <c r="AA94" i="1"/>
  <c r="AA98" i="1"/>
  <c r="AJ27" i="25"/>
  <c r="AJ40" i="25" s="1"/>
  <c r="AJ144" i="1"/>
  <c r="AJ39" i="25"/>
  <c r="AJ13" i="25"/>
  <c r="AI27" i="21"/>
  <c r="AI38" i="25"/>
  <c r="AI36" i="25" s="1"/>
  <c r="AI48" i="25" s="1"/>
  <c r="B48" i="25" s="1"/>
  <c r="AI142" i="1"/>
  <c r="AA90" i="1"/>
  <c r="AB86" i="1" s="1"/>
  <c r="AA93" i="1"/>
  <c r="AA95" i="1" s="1"/>
  <c r="AA96" i="1" s="1"/>
  <c r="BA66" i="21"/>
  <c r="BA68" i="21"/>
  <c r="AX124" i="6"/>
  <c r="AX126" i="6"/>
  <c r="AD298" i="6"/>
  <c r="AD301" i="6" s="1"/>
  <c r="AE298" i="6" s="1"/>
  <c r="AT114" i="6"/>
  <c r="AT115" i="6" s="1"/>
  <c r="AF274" i="6"/>
  <c r="AF276" i="6"/>
  <c r="AJ208" i="6"/>
  <c r="AJ211" i="6" s="1"/>
  <c r="AK208" i="6" s="1"/>
  <c r="AE270" i="6"/>
  <c r="AE268" i="6"/>
  <c r="AF288" i="6"/>
  <c r="AF289" i="6" s="1"/>
  <c r="Z129" i="1"/>
  <c r="Z128" i="1" s="1"/>
  <c r="Z138" i="1" s="1"/>
  <c r="Z137" i="1" s="1"/>
  <c r="Z145" i="1" s="1"/>
  <c r="Z105" i="1"/>
  <c r="Z101" i="1"/>
  <c r="Z103" i="1"/>
  <c r="AB313" i="6"/>
  <c r="AC312" i="6" s="1"/>
  <c r="AI228" i="6"/>
  <c r="AI226" i="6"/>
  <c r="AT162" i="6"/>
  <c r="AT163" i="6" s="1"/>
  <c r="AT136" i="6"/>
  <c r="AT138" i="6"/>
  <c r="AY88" i="6"/>
  <c r="AY90" i="6"/>
  <c r="AE100" i="1"/>
  <c r="AH316" i="6"/>
  <c r="AH318" i="6"/>
  <c r="M162" i="1"/>
  <c r="M166" i="1" s="1"/>
  <c r="M167" i="1" s="1"/>
  <c r="AL238" i="6"/>
  <c r="AL240" i="6"/>
  <c r="AL175" i="6"/>
  <c r="J23" i="25"/>
  <c r="AF250" i="6"/>
  <c r="AF252" i="6"/>
  <c r="AY108" i="6"/>
  <c r="AY106" i="6"/>
  <c r="J149" i="1"/>
  <c r="K148" i="1"/>
  <c r="K146" i="1" s="1"/>
  <c r="K149" i="1" s="1"/>
  <c r="L167" i="1"/>
  <c r="AZ121" i="6"/>
  <c r="Y138" i="1"/>
  <c r="Y137" i="1" s="1"/>
  <c r="Y145" i="1" s="1"/>
  <c r="Y131" i="1"/>
  <c r="AT94" i="6"/>
  <c r="AT96" i="6"/>
  <c r="AB78" i="1"/>
  <c r="AB79" i="1" s="1"/>
  <c r="AB80" i="1" s="1"/>
  <c r="AB81" i="1" s="1"/>
  <c r="AS148" i="6"/>
  <c r="AS150" i="6"/>
  <c r="J4" i="25"/>
  <c r="AO199" i="6"/>
  <c r="AE104" i="1"/>
  <c r="AB280" i="6"/>
  <c r="AB282" i="6"/>
  <c r="AB18" i="6" s="1"/>
  <c r="AC70" i="1" s="1"/>
  <c r="AC72" i="1" s="1"/>
  <c r="AC76" i="1" s="1"/>
  <c r="AE102" i="1"/>
  <c r="Y106" i="1"/>
  <c r="BA60" i="6"/>
  <c r="BA58" i="6"/>
  <c r="AA125" i="1"/>
  <c r="AA8" i="25"/>
  <c r="AA26" i="25"/>
  <c r="AH247" i="6"/>
  <c r="AO184" i="6"/>
  <c r="AO186" i="6"/>
  <c r="AP178" i="6"/>
  <c r="AP180" i="6"/>
  <c r="AU145" i="6"/>
  <c r="AL223" i="6"/>
  <c r="AE256" i="6"/>
  <c r="AE258" i="6"/>
  <c r="AL217" i="6"/>
  <c r="BA46" i="6" l="1"/>
  <c r="AI234" i="6"/>
  <c r="AF264" i="6"/>
  <c r="AF265" i="6" s="1"/>
  <c r="AO193" i="6"/>
  <c r="AG28" i="28"/>
  <c r="AG4" i="28" s="1"/>
  <c r="AG26" i="28"/>
  <c r="AF22" i="28"/>
  <c r="AR154" i="6"/>
  <c r="AR156" i="6"/>
  <c r="AX127" i="6"/>
  <c r="AY126" i="6" s="1"/>
  <c r="AA15" i="25"/>
  <c r="Z106" i="1"/>
  <c r="Z29" i="25" s="1"/>
  <c r="AK210" i="6"/>
  <c r="AK211" i="6" s="1"/>
  <c r="AL208" i="6" s="1"/>
  <c r="AE271" i="6"/>
  <c r="AF270" i="6" s="1"/>
  <c r="AA28" i="25"/>
  <c r="AA126" i="1"/>
  <c r="AA121" i="1" s="1"/>
  <c r="AA101" i="1" s="1"/>
  <c r="AI25" i="21"/>
  <c r="AI275" i="21"/>
  <c r="BA67" i="21"/>
  <c r="BA65" i="21" s="1"/>
  <c r="AF277" i="6"/>
  <c r="AI235" i="6"/>
  <c r="AG288" i="6"/>
  <c r="AG286" i="6"/>
  <c r="Z131" i="1"/>
  <c r="Y132" i="1" s="1"/>
  <c r="BA61" i="6"/>
  <c r="BA49" i="6"/>
  <c r="AC310" i="6"/>
  <c r="AC313" i="6" s="1"/>
  <c r="AD312" i="6" s="1"/>
  <c r="AI229" i="6"/>
  <c r="AE300" i="6"/>
  <c r="AE301" i="6" s="1"/>
  <c r="AO187" i="6"/>
  <c r="AP186" i="6" s="1"/>
  <c r="AB283" i="6"/>
  <c r="AC282" i="6" s="1"/>
  <c r="AC18" i="6" s="1"/>
  <c r="AD70" i="1" s="1"/>
  <c r="AD72" i="1" s="1"/>
  <c r="AD76" i="1" s="1"/>
  <c r="AS151" i="6"/>
  <c r="AT150" i="6" s="1"/>
  <c r="Y29" i="25"/>
  <c r="Y16" i="25"/>
  <c r="Y108" i="1"/>
  <c r="Y109" i="1" s="1"/>
  <c r="Z165" i="1"/>
  <c r="Z156" i="1"/>
  <c r="AE259" i="6"/>
  <c r="AP181" i="6"/>
  <c r="AU114" i="6"/>
  <c r="AU112" i="6"/>
  <c r="AF102" i="1"/>
  <c r="AC78" i="1"/>
  <c r="AC79" i="1" s="1"/>
  <c r="AC80" i="1" s="1"/>
  <c r="AC81" i="1" s="1"/>
  <c r="BA120" i="6"/>
  <c r="BA118" i="6"/>
  <c r="K31" i="25"/>
  <c r="K17" i="25"/>
  <c r="AF253" i="6"/>
  <c r="AH319" i="6"/>
  <c r="AU162" i="6"/>
  <c r="AU160" i="6"/>
  <c r="AP202" i="6"/>
  <c r="AP204" i="6"/>
  <c r="J46" i="25"/>
  <c r="AY132" i="6"/>
  <c r="AY130" i="6"/>
  <c r="AY124" i="6"/>
  <c r="AT97" i="6"/>
  <c r="L18" i="25"/>
  <c r="L30" i="25"/>
  <c r="L147" i="1"/>
  <c r="AY109" i="6"/>
  <c r="AE292" i="6"/>
  <c r="AE294" i="6"/>
  <c r="AL241" i="6"/>
  <c r="AF100" i="1"/>
  <c r="AT139" i="6"/>
  <c r="AM174" i="6"/>
  <c r="AM172" i="6"/>
  <c r="AF104" i="1"/>
  <c r="X132" i="1"/>
  <c r="AF306" i="6"/>
  <c r="AF304" i="6"/>
  <c r="M18" i="25"/>
  <c r="M30" i="25"/>
  <c r="M147" i="1"/>
  <c r="AM222" i="6"/>
  <c r="AM220" i="6"/>
  <c r="AI244" i="6"/>
  <c r="AI246" i="6"/>
  <c r="AB87" i="1"/>
  <c r="AB88" i="1"/>
  <c r="AB89" i="1" s="1"/>
  <c r="AB92" i="1" s="1"/>
  <c r="AH85" i="1"/>
  <c r="AQ168" i="6"/>
  <c r="AQ166" i="6"/>
  <c r="AY91" i="6"/>
  <c r="AM214" i="6"/>
  <c r="AM216" i="6"/>
  <c r="AV144" i="6"/>
  <c r="AV142" i="6"/>
  <c r="AB19" i="6"/>
  <c r="AP196" i="6"/>
  <c r="AP198" i="6"/>
  <c r="Y165" i="1"/>
  <c r="Y156" i="1"/>
  <c r="J47" i="25"/>
  <c r="M163" i="1"/>
  <c r="N158" i="1" s="1"/>
  <c r="AG27" i="28" l="1"/>
  <c r="AF268" i="6"/>
  <c r="AQ169" i="6"/>
  <c r="AR157" i="6"/>
  <c r="AS154" i="6" s="1"/>
  <c r="AP184" i="6"/>
  <c r="AP187" i="6" s="1"/>
  <c r="AG25" i="28"/>
  <c r="AG275" i="28"/>
  <c r="AP190" i="6"/>
  <c r="AP192" i="6"/>
  <c r="AP193" i="6" s="1"/>
  <c r="AG289" i="6"/>
  <c r="AH286" i="6" s="1"/>
  <c r="Z108" i="1"/>
  <c r="Z109" i="1" s="1"/>
  <c r="Z16" i="25"/>
  <c r="AH288" i="6"/>
  <c r="AC280" i="6"/>
  <c r="AC283" i="6" s="1"/>
  <c r="AJ143" i="1"/>
  <c r="AJ14" i="25"/>
  <c r="AI22" i="21"/>
  <c r="AJ26" i="21"/>
  <c r="AJ28" i="21"/>
  <c r="AJ4" i="21" s="1"/>
  <c r="AK74" i="1" s="1"/>
  <c r="AF271" i="6"/>
  <c r="AG270" i="6" s="1"/>
  <c r="AF307" i="6"/>
  <c r="AG306" i="6" s="1"/>
  <c r="AJ234" i="6"/>
  <c r="AJ232" i="6"/>
  <c r="AT148" i="6"/>
  <c r="AT151" i="6" s="1"/>
  <c r="AU148" i="6" s="1"/>
  <c r="AG274" i="6"/>
  <c r="AG276" i="6"/>
  <c r="AG264" i="6"/>
  <c r="AG262" i="6"/>
  <c r="AD310" i="6"/>
  <c r="AD313" i="6" s="1"/>
  <c r="AE310" i="6" s="1"/>
  <c r="AA103" i="1"/>
  <c r="AA129" i="1"/>
  <c r="AA128" i="1" s="1"/>
  <c r="AA138" i="1" s="1"/>
  <c r="AA137" i="1" s="1"/>
  <c r="AA145" i="1" s="1"/>
  <c r="AL210" i="6"/>
  <c r="AL211" i="6" s="1"/>
  <c r="AY133" i="6"/>
  <c r="AZ132" i="6" s="1"/>
  <c r="BA121" i="6"/>
  <c r="AJ226" i="6"/>
  <c r="AJ228" i="6"/>
  <c r="AA105" i="1"/>
  <c r="AI247" i="6"/>
  <c r="AJ244" i="6" s="1"/>
  <c r="AM223" i="6"/>
  <c r="AN222" i="6" s="1"/>
  <c r="AM175" i="6"/>
  <c r="AN174" i="6" s="1"/>
  <c r="AU163" i="6"/>
  <c r="AV162" i="6" s="1"/>
  <c r="AM217" i="6"/>
  <c r="AN216" i="6" s="1"/>
  <c r="AB94" i="1"/>
  <c r="AB97" i="1"/>
  <c r="AB93" i="1"/>
  <c r="AB95" i="1" s="1"/>
  <c r="AB96" i="1" s="1"/>
  <c r="AB98" i="1"/>
  <c r="AD78" i="1"/>
  <c r="AD79" i="1" s="1"/>
  <c r="AD80" i="1" s="1"/>
  <c r="AD81" i="1" s="1"/>
  <c r="M148" i="1"/>
  <c r="M146" i="1" s="1"/>
  <c r="M149" i="1" s="1"/>
  <c r="AG100" i="1"/>
  <c r="AF298" i="6"/>
  <c r="AF300" i="6"/>
  <c r="AG104" i="1"/>
  <c r="AM238" i="6"/>
  <c r="AM240" i="6"/>
  <c r="K4" i="25"/>
  <c r="AU115" i="6"/>
  <c r="AZ90" i="6"/>
  <c r="AZ88" i="6"/>
  <c r="K23" i="25"/>
  <c r="AE295" i="6"/>
  <c r="AY127" i="6"/>
  <c r="J44" i="25"/>
  <c r="AZ108" i="6"/>
  <c r="AZ106" i="6"/>
  <c r="AI316" i="6"/>
  <c r="AI318" i="6"/>
  <c r="AF258" i="6"/>
  <c r="AF256" i="6"/>
  <c r="AC19" i="6"/>
  <c r="AB90" i="1"/>
  <c r="AC86" i="1" s="1"/>
  <c r="AU138" i="6"/>
  <c r="AU136" i="6"/>
  <c r="AG252" i="6"/>
  <c r="AG250" i="6"/>
  <c r="AC87" i="1"/>
  <c r="AC88" i="1"/>
  <c r="AI85" i="1"/>
  <c r="N160" i="1"/>
  <c r="N161" i="1" s="1"/>
  <c r="AR168" i="6"/>
  <c r="AR166" i="6"/>
  <c r="AU96" i="6"/>
  <c r="AU94" i="6"/>
  <c r="AQ180" i="6"/>
  <c r="AQ178" i="6"/>
  <c r="AP199" i="6"/>
  <c r="AV145" i="6"/>
  <c r="L148" i="1"/>
  <c r="L146" i="1" s="1"/>
  <c r="AP205" i="6"/>
  <c r="AG102" i="1"/>
  <c r="AS156" i="6" l="1"/>
  <c r="AS157" i="6" s="1"/>
  <c r="AJ235" i="6"/>
  <c r="AK234" i="6" s="1"/>
  <c r="AG304" i="6"/>
  <c r="AG307" i="6" s="1"/>
  <c r="AH289" i="6"/>
  <c r="AI286" i="6" s="1"/>
  <c r="AG277" i="6"/>
  <c r="AH276" i="6" s="1"/>
  <c r="AH28" i="28"/>
  <c r="AH4" i="28" s="1"/>
  <c r="AH26" i="28"/>
  <c r="AG22" i="28"/>
  <c r="AQ192" i="6"/>
  <c r="AQ190" i="6"/>
  <c r="AG268" i="6"/>
  <c r="AN220" i="6"/>
  <c r="AN223" i="6" s="1"/>
  <c r="AO220" i="6" s="1"/>
  <c r="AK39" i="25"/>
  <c r="AK13" i="25"/>
  <c r="AK27" i="25"/>
  <c r="AK40" i="25" s="1"/>
  <c r="AK144" i="1"/>
  <c r="AJ27" i="21"/>
  <c r="AJ38" i="25"/>
  <c r="AJ36" i="25" s="1"/>
  <c r="AJ48" i="25" s="1"/>
  <c r="AJ142" i="1"/>
  <c r="AA131" i="1"/>
  <c r="Z132" i="1" s="1"/>
  <c r="AK232" i="6"/>
  <c r="AJ246" i="6"/>
  <c r="AJ247" i="6" s="1"/>
  <c r="AG265" i="6"/>
  <c r="AH264" i="6" s="1"/>
  <c r="AG253" i="6"/>
  <c r="AH250" i="6" s="1"/>
  <c r="AA106" i="1"/>
  <c r="AA108" i="1" s="1"/>
  <c r="AA109" i="1" s="1"/>
  <c r="AV160" i="6"/>
  <c r="AV163" i="6" s="1"/>
  <c r="AW160" i="6" s="1"/>
  <c r="AC89" i="1"/>
  <c r="AC92" i="1" s="1"/>
  <c r="AC94" i="1" s="1"/>
  <c r="AF259" i="6"/>
  <c r="AG258" i="6" s="1"/>
  <c r="AZ130" i="6"/>
  <c r="AZ133" i="6" s="1"/>
  <c r="AN172" i="6"/>
  <c r="AN175" i="6" s="1"/>
  <c r="AO174" i="6" s="1"/>
  <c r="AU150" i="6"/>
  <c r="AU151" i="6" s="1"/>
  <c r="AE312" i="6"/>
  <c r="AE313" i="6" s="1"/>
  <c r="AJ229" i="6"/>
  <c r="AI319" i="6"/>
  <c r="AJ316" i="6" s="1"/>
  <c r="AG271" i="6"/>
  <c r="AH268" i="6" s="1"/>
  <c r="AQ181" i="6"/>
  <c r="AR180" i="6" s="1"/>
  <c r="AZ109" i="6"/>
  <c r="BA108" i="6" s="1"/>
  <c r="AZ91" i="6"/>
  <c r="BA88" i="6" s="1"/>
  <c r="AT156" i="6"/>
  <c r="AT154" i="6"/>
  <c r="AN214" i="6"/>
  <c r="AN217" i="6" s="1"/>
  <c r="AO216" i="6" s="1"/>
  <c r="AD87" i="1"/>
  <c r="AD88" i="1"/>
  <c r="AJ85" i="1"/>
  <c r="L149" i="1"/>
  <c r="N162" i="1"/>
  <c r="N166" i="1" s="1"/>
  <c r="N167" i="1" s="1"/>
  <c r="AH100" i="1"/>
  <c r="AQ196" i="6"/>
  <c r="AQ198" i="6"/>
  <c r="AU97" i="6"/>
  <c r="AM241" i="6"/>
  <c r="AZ126" i="6"/>
  <c r="AZ124" i="6"/>
  <c r="AV114" i="6"/>
  <c r="AV112" i="6"/>
  <c r="AB8" i="25"/>
  <c r="AB125" i="1"/>
  <c r="AB26" i="25"/>
  <c r="AW144" i="6"/>
  <c r="AW142" i="6"/>
  <c r="AH104" i="1"/>
  <c r="AA165" i="1"/>
  <c r="AA156" i="1"/>
  <c r="AD280" i="6"/>
  <c r="AD282" i="6"/>
  <c r="AD18" i="6" s="1"/>
  <c r="AE70" i="1" s="1"/>
  <c r="AE72" i="1" s="1"/>
  <c r="AE76" i="1" s="1"/>
  <c r="AQ204" i="6"/>
  <c r="AQ202" i="6"/>
  <c r="AF301" i="6"/>
  <c r="AB126" i="1"/>
  <c r="AB28" i="25"/>
  <c r="AB15" i="25"/>
  <c r="AF294" i="6"/>
  <c r="AF292" i="6"/>
  <c r="L17" i="25"/>
  <c r="L31" i="25"/>
  <c r="AQ184" i="6"/>
  <c r="AQ186" i="6"/>
  <c r="AM210" i="6"/>
  <c r="AM208" i="6"/>
  <c r="K46" i="25"/>
  <c r="M31" i="25"/>
  <c r="M23" i="25" s="1"/>
  <c r="M47" i="25" s="1"/>
  <c r="M17" i="25"/>
  <c r="M4" i="25" s="1"/>
  <c r="M46" i="25" s="1"/>
  <c r="AH102" i="1"/>
  <c r="AR169" i="6"/>
  <c r="AU139" i="6"/>
  <c r="K47" i="25"/>
  <c r="AH274" i="6" l="1"/>
  <c r="AH27" i="28"/>
  <c r="AQ193" i="6"/>
  <c r="AR192" i="6" s="1"/>
  <c r="AH270" i="6"/>
  <c r="AI288" i="6"/>
  <c r="AI289" i="6" s="1"/>
  <c r="AJ288" i="6" s="1"/>
  <c r="AJ318" i="6"/>
  <c r="AJ319" i="6" s="1"/>
  <c r="AW145" i="6"/>
  <c r="AX142" i="6" s="1"/>
  <c r="AO222" i="6"/>
  <c r="AO223" i="6" s="1"/>
  <c r="AW162" i="6"/>
  <c r="AH252" i="6"/>
  <c r="AH253" i="6" s="1"/>
  <c r="AJ275" i="21"/>
  <c r="AJ25" i="21"/>
  <c r="AA29" i="25"/>
  <c r="AA16" i="25"/>
  <c r="AH277" i="6"/>
  <c r="AH262" i="6"/>
  <c r="AH265" i="6" s="1"/>
  <c r="AI262" i="6" s="1"/>
  <c r="AO214" i="6"/>
  <c r="AO217" i="6" s="1"/>
  <c r="AP214" i="6" s="1"/>
  <c r="AK235" i="6"/>
  <c r="AQ205" i="6"/>
  <c r="AR202" i="6" s="1"/>
  <c r="AC98" i="1"/>
  <c r="AC93" i="1"/>
  <c r="AC95" i="1" s="1"/>
  <c r="AC96" i="1" s="1"/>
  <c r="AC97" i="1"/>
  <c r="AC26" i="25" s="1"/>
  <c r="AC90" i="1"/>
  <c r="AD86" i="1" s="1"/>
  <c r="AD89" i="1" s="1"/>
  <c r="AD92" i="1" s="1"/>
  <c r="AD93" i="1" s="1"/>
  <c r="AD95" i="1" s="1"/>
  <c r="AD96" i="1" s="1"/>
  <c r="BA90" i="6"/>
  <c r="BA91" i="6" s="1"/>
  <c r="AM211" i="6"/>
  <c r="AN208" i="6" s="1"/>
  <c r="AG256" i="6"/>
  <c r="AG259" i="6" s="1"/>
  <c r="AH258" i="6" s="1"/>
  <c r="AO172" i="6"/>
  <c r="AO175" i="6" s="1"/>
  <c r="BA132" i="6"/>
  <c r="BA130" i="6"/>
  <c r="AV150" i="6"/>
  <c r="AV148" i="6"/>
  <c r="AK228" i="6"/>
  <c r="AK226" i="6"/>
  <c r="M44" i="25"/>
  <c r="AD19" i="6"/>
  <c r="AH271" i="6"/>
  <c r="AI270" i="6" s="1"/>
  <c r="BA106" i="6"/>
  <c r="BA109" i="6" s="1"/>
  <c r="AR178" i="6"/>
  <c r="AR181" i="6" s="1"/>
  <c r="AS178" i="6" s="1"/>
  <c r="AF295" i="6"/>
  <c r="AG294" i="6" s="1"/>
  <c r="AT157" i="6"/>
  <c r="AU156" i="6" s="1"/>
  <c r="AV115" i="6"/>
  <c r="AW112" i="6" s="1"/>
  <c r="AF310" i="6"/>
  <c r="AF312" i="6"/>
  <c r="AI100" i="1"/>
  <c r="AZ127" i="6"/>
  <c r="AK246" i="6"/>
  <c r="AK244" i="6"/>
  <c r="AQ187" i="6"/>
  <c r="AV96" i="6"/>
  <c r="AV94" i="6"/>
  <c r="AV138" i="6"/>
  <c r="AV136" i="6"/>
  <c r="AI104" i="1"/>
  <c r="AS166" i="6"/>
  <c r="AS168" i="6"/>
  <c r="AE78" i="1"/>
  <c r="AE79" i="1" s="1"/>
  <c r="AE80" i="1" s="1"/>
  <c r="AE81" i="1" s="1"/>
  <c r="AB121" i="1"/>
  <c r="AN240" i="6"/>
  <c r="AN238" i="6"/>
  <c r="N18" i="25"/>
  <c r="N30" i="25"/>
  <c r="N147" i="1"/>
  <c r="AI102" i="1"/>
  <c r="K44" i="25"/>
  <c r="L23" i="25"/>
  <c r="AW163" i="6"/>
  <c r="AH304" i="6"/>
  <c r="AH306" i="6"/>
  <c r="L4" i="25"/>
  <c r="AG300" i="6"/>
  <c r="AG298" i="6"/>
  <c r="AD283" i="6"/>
  <c r="AQ199" i="6"/>
  <c r="N163" i="1"/>
  <c r="O158" i="1" s="1"/>
  <c r="AR204" i="6" l="1"/>
  <c r="AR190" i="6"/>
  <c r="AX144" i="6"/>
  <c r="AR193" i="6"/>
  <c r="AS192" i="6" s="1"/>
  <c r="AH275" i="28"/>
  <c r="AH25" i="28"/>
  <c r="AJ286" i="6"/>
  <c r="AJ289" i="6" s="1"/>
  <c r="AG292" i="6"/>
  <c r="AG295" i="6" s="1"/>
  <c r="AH292" i="6" s="1"/>
  <c r="AK247" i="6"/>
  <c r="AL246" i="6" s="1"/>
  <c r="AU154" i="6"/>
  <c r="AN210" i="6"/>
  <c r="AN211" i="6" s="1"/>
  <c r="AC28" i="25"/>
  <c r="AI264" i="6"/>
  <c r="AI265" i="6" s="1"/>
  <c r="AS180" i="6"/>
  <c r="AS181" i="6" s="1"/>
  <c r="AT178" i="6" s="1"/>
  <c r="BA133" i="6"/>
  <c r="AK229" i="6"/>
  <c r="AK26" i="21"/>
  <c r="AK28" i="21"/>
  <c r="AK4" i="21" s="1"/>
  <c r="AL74" i="1" s="1"/>
  <c r="AJ22" i="21"/>
  <c r="AK143" i="1"/>
  <c r="AK14" i="25"/>
  <c r="AC15" i="25"/>
  <c r="AV139" i="6"/>
  <c r="AC126" i="1"/>
  <c r="AL232" i="6"/>
  <c r="AL234" i="6"/>
  <c r="AH256" i="6"/>
  <c r="AH259" i="6" s="1"/>
  <c r="AC125" i="1"/>
  <c r="AC8" i="25"/>
  <c r="AI268" i="6"/>
  <c r="AI271" i="6" s="1"/>
  <c r="AI274" i="6"/>
  <c r="AI276" i="6"/>
  <c r="AP216" i="6"/>
  <c r="AP217" i="6" s="1"/>
  <c r="AV151" i="6"/>
  <c r="AL228" i="6"/>
  <c r="AL226" i="6"/>
  <c r="AG301" i="6"/>
  <c r="AH300" i="6" s="1"/>
  <c r="AN241" i="6"/>
  <c r="AO238" i="6" s="1"/>
  <c r="AF313" i="6"/>
  <c r="AG310" i="6" s="1"/>
  <c r="AW114" i="6"/>
  <c r="AW115" i="6" s="1"/>
  <c r="AV97" i="6"/>
  <c r="AW96" i="6" s="1"/>
  <c r="AS169" i="6"/>
  <c r="AT166" i="6" s="1"/>
  <c r="AD94" i="1"/>
  <c r="AX145" i="6"/>
  <c r="AY142" i="6" s="1"/>
  <c r="AD97" i="1"/>
  <c r="AD8" i="25" s="1"/>
  <c r="AD98" i="1"/>
  <c r="AD28" i="25" s="1"/>
  <c r="AD90" i="1"/>
  <c r="AE86" i="1" s="1"/>
  <c r="AR205" i="6"/>
  <c r="AS202" i="6" s="1"/>
  <c r="AU157" i="6"/>
  <c r="AE280" i="6"/>
  <c r="AE282" i="6"/>
  <c r="AE18" i="6" s="1"/>
  <c r="L47" i="25"/>
  <c r="AP220" i="6"/>
  <c r="AP222" i="6"/>
  <c r="AJ104" i="1"/>
  <c r="AR186" i="6"/>
  <c r="AR184" i="6"/>
  <c r="O160" i="1"/>
  <c r="O161" i="1" s="1"/>
  <c r="AW136" i="6"/>
  <c r="AW138" i="6"/>
  <c r="AR198" i="6"/>
  <c r="AR196" i="6"/>
  <c r="AH307" i="6"/>
  <c r="AI250" i="6"/>
  <c r="AI252" i="6"/>
  <c r="AX160" i="6"/>
  <c r="AX162" i="6"/>
  <c r="BA126" i="6"/>
  <c r="BA124" i="6"/>
  <c r="AJ100" i="1"/>
  <c r="AE87" i="1"/>
  <c r="AE88" i="1"/>
  <c r="AK85" i="1"/>
  <c r="AP172" i="6"/>
  <c r="AP174" i="6"/>
  <c r="AK318" i="6"/>
  <c r="AK316" i="6"/>
  <c r="AB129" i="1"/>
  <c r="AB128" i="1" s="1"/>
  <c r="AB103" i="1"/>
  <c r="AB101" i="1"/>
  <c r="AB105" i="1"/>
  <c r="AJ102" i="1"/>
  <c r="L46" i="25"/>
  <c r="N148" i="1"/>
  <c r="N146" i="1" s="1"/>
  <c r="N149" i="1" s="1"/>
  <c r="AS190" i="6" l="1"/>
  <c r="AS193" i="6" s="1"/>
  <c r="AL244" i="6"/>
  <c r="AI28" i="28"/>
  <c r="AI4" i="28" s="1"/>
  <c r="AI26" i="28"/>
  <c r="AI27" i="28" s="1"/>
  <c r="AI275" i="28" s="1"/>
  <c r="AI25" i="28"/>
  <c r="AH22" i="28"/>
  <c r="AK288" i="6"/>
  <c r="AK286" i="6"/>
  <c r="AH298" i="6"/>
  <c r="AH301" i="6" s="1"/>
  <c r="AL229" i="6"/>
  <c r="AM226" i="6" s="1"/>
  <c r="AJ264" i="6"/>
  <c r="AJ262" i="6"/>
  <c r="AT168" i="6"/>
  <c r="AT169" i="6" s="1"/>
  <c r="AO240" i="6"/>
  <c r="AO241" i="6" s="1"/>
  <c r="AP238" i="6" s="1"/>
  <c r="AY144" i="6"/>
  <c r="AY145" i="6" s="1"/>
  <c r="AL235" i="6"/>
  <c r="AM234" i="6" s="1"/>
  <c r="AK38" i="25"/>
  <c r="AK36" i="25" s="1"/>
  <c r="AK48" i="25" s="1"/>
  <c r="AK142" i="1"/>
  <c r="AL13" i="25"/>
  <c r="AL39" i="25"/>
  <c r="AL27" i="25"/>
  <c r="AL40" i="25" s="1"/>
  <c r="AL144" i="1"/>
  <c r="AK27" i="21"/>
  <c r="AC121" i="1"/>
  <c r="AC129" i="1" s="1"/>
  <c r="AC128" i="1" s="1"/>
  <c r="AH294" i="6"/>
  <c r="AH295" i="6" s="1"/>
  <c r="AI277" i="6"/>
  <c r="AD15" i="25"/>
  <c r="AW148" i="6"/>
  <c r="AW150" i="6"/>
  <c r="AW94" i="6"/>
  <c r="AW97" i="6" s="1"/>
  <c r="AP223" i="6"/>
  <c r="AQ220" i="6" s="1"/>
  <c r="AL247" i="6"/>
  <c r="AM244" i="6" s="1"/>
  <c r="AT180" i="6"/>
  <c r="AT181" i="6" s="1"/>
  <c r="AG312" i="6"/>
  <c r="AG313" i="6" s="1"/>
  <c r="AR187" i="6"/>
  <c r="AS186" i="6" s="1"/>
  <c r="AD125" i="1"/>
  <c r="AD26" i="25"/>
  <c r="AV156" i="6"/>
  <c r="AV154" i="6"/>
  <c r="AK319" i="6"/>
  <c r="AL316" i="6" s="1"/>
  <c r="AD126" i="1"/>
  <c r="AR199" i="6"/>
  <c r="AS196" i="6" s="1"/>
  <c r="AS204" i="6"/>
  <c r="AS205" i="6" s="1"/>
  <c r="AE89" i="1"/>
  <c r="AE92" i="1" s="1"/>
  <c r="AE98" i="1" s="1"/>
  <c r="AP175" i="6"/>
  <c r="AQ174" i="6" s="1"/>
  <c r="AE283" i="6"/>
  <c r="AF282" i="6" s="1"/>
  <c r="AF18" i="6" s="1"/>
  <c r="AG70" i="1" s="1"/>
  <c r="AG72" i="1" s="1"/>
  <c r="AG76" i="1" s="1"/>
  <c r="O162" i="1"/>
  <c r="O166" i="1" s="1"/>
  <c r="O167" i="1" s="1"/>
  <c r="AB131" i="1"/>
  <c r="AB138" i="1"/>
  <c r="AB137" i="1" s="1"/>
  <c r="AB145" i="1" s="1"/>
  <c r="AX163" i="6"/>
  <c r="AO208" i="6"/>
  <c r="AO210" i="6"/>
  <c r="AK100" i="1"/>
  <c r="AW139" i="6"/>
  <c r="AI256" i="6"/>
  <c r="AI258" i="6"/>
  <c r="BA127" i="6"/>
  <c r="AI253" i="6"/>
  <c r="AF70" i="1"/>
  <c r="AF72" i="1" s="1"/>
  <c r="AF76" i="1" s="1"/>
  <c r="AE19" i="6"/>
  <c r="N31" i="25"/>
  <c r="N23" i="25" s="1"/>
  <c r="N47" i="25" s="1"/>
  <c r="N17" i="25"/>
  <c r="N4" i="25" s="1"/>
  <c r="N46" i="25" s="1"/>
  <c r="AQ216" i="6"/>
  <c r="AQ214" i="6"/>
  <c r="AK102" i="1"/>
  <c r="AJ268" i="6"/>
  <c r="AJ270" i="6"/>
  <c r="L44" i="25"/>
  <c r="AB106" i="1"/>
  <c r="AX112" i="6"/>
  <c r="AX114" i="6"/>
  <c r="AI304" i="6"/>
  <c r="AI306" i="6"/>
  <c r="AK104" i="1"/>
  <c r="AK289" i="6" l="1"/>
  <c r="AL286" i="6" s="1"/>
  <c r="AJ265" i="6"/>
  <c r="AK264" i="6" s="1"/>
  <c r="AM228" i="6"/>
  <c r="AJ28" i="28"/>
  <c r="AJ4" i="28" s="1"/>
  <c r="AJ26" i="28"/>
  <c r="AI22" i="28"/>
  <c r="AK262" i="6"/>
  <c r="AT192" i="6"/>
  <c r="AT190" i="6"/>
  <c r="AM232" i="6"/>
  <c r="AM235" i="6" s="1"/>
  <c r="AQ217" i="6"/>
  <c r="AR214" i="6" s="1"/>
  <c r="AS184" i="6"/>
  <c r="AS187" i="6" s="1"/>
  <c r="AF280" i="6"/>
  <c r="AF283" i="6" s="1"/>
  <c r="AV157" i="6"/>
  <c r="AW154" i="6" s="1"/>
  <c r="AC101" i="1"/>
  <c r="AC105" i="1"/>
  <c r="AC103" i="1"/>
  <c r="AK275" i="21"/>
  <c r="AK25" i="21"/>
  <c r="AJ276" i="6"/>
  <c r="AJ274" i="6"/>
  <c r="AE97" i="1"/>
  <c r="AE26" i="25" s="1"/>
  <c r="AL318" i="6"/>
  <c r="AL319" i="6" s="1"/>
  <c r="AD121" i="1"/>
  <c r="AD105" i="1" s="1"/>
  <c r="AL288" i="6"/>
  <c r="AL289" i="6" s="1"/>
  <c r="AQ222" i="6"/>
  <c r="AQ223" i="6" s="1"/>
  <c r="AM246" i="6"/>
  <c r="AM247" i="6" s="1"/>
  <c r="AW151" i="6"/>
  <c r="N44" i="25"/>
  <c r="AE94" i="1"/>
  <c r="AE90" i="1"/>
  <c r="AF86" i="1" s="1"/>
  <c r="AE93" i="1"/>
  <c r="AE95" i="1" s="1"/>
  <c r="AE96" i="1" s="1"/>
  <c r="AE126" i="1" s="1"/>
  <c r="AM229" i="6"/>
  <c r="AP240" i="6"/>
  <c r="AP241" i="6" s="1"/>
  <c r="AQ240" i="6" s="1"/>
  <c r="AS198" i="6"/>
  <c r="AS199" i="6" s="1"/>
  <c r="AQ172" i="6"/>
  <c r="AQ175" i="6" s="1"/>
  <c r="AT202" i="6"/>
  <c r="AT204" i="6"/>
  <c r="AH312" i="6"/>
  <c r="AH310" i="6"/>
  <c r="AF19" i="6"/>
  <c r="AJ252" i="6"/>
  <c r="AJ250" i="6"/>
  <c r="AX115" i="6"/>
  <c r="AB16" i="25"/>
  <c r="AB29" i="25"/>
  <c r="AB108" i="1"/>
  <c r="AB109" i="1" s="1"/>
  <c r="AI298" i="6"/>
  <c r="AI300" i="6"/>
  <c r="AF78" i="1"/>
  <c r="AF79" i="1" s="1"/>
  <c r="AF80" i="1" s="1"/>
  <c r="AF81" i="1" s="1"/>
  <c r="AI259" i="6"/>
  <c r="AO211" i="6"/>
  <c r="AL102" i="1"/>
  <c r="AC138" i="1"/>
  <c r="AC137" i="1" s="1"/>
  <c r="AC145" i="1" s="1"/>
  <c r="AC131" i="1"/>
  <c r="AB132" i="1" s="1"/>
  <c r="AX136" i="6"/>
  <c r="AX138" i="6"/>
  <c r="AU180" i="6"/>
  <c r="AU178" i="6"/>
  <c r="O18" i="25"/>
  <c r="O30" i="25"/>
  <c r="O147" i="1"/>
  <c r="AZ144" i="6"/>
  <c r="AZ142" i="6"/>
  <c r="AU166" i="6"/>
  <c r="AU168" i="6"/>
  <c r="AA132" i="1"/>
  <c r="AX94" i="6"/>
  <c r="AX96" i="6"/>
  <c r="AG78" i="1"/>
  <c r="AI292" i="6"/>
  <c r="AI294" i="6"/>
  <c r="AL100" i="1"/>
  <c r="O163" i="1"/>
  <c r="P158" i="1" s="1"/>
  <c r="AY160" i="6"/>
  <c r="AY162" i="6"/>
  <c r="AI307" i="6"/>
  <c r="AB165" i="1"/>
  <c r="AB156" i="1"/>
  <c r="AJ271" i="6"/>
  <c r="AL104" i="1"/>
  <c r="AK265" i="6" l="1"/>
  <c r="AL262" i="6" s="1"/>
  <c r="AJ27" i="28"/>
  <c r="AT193" i="6"/>
  <c r="AU192" i="6" s="1"/>
  <c r="AN234" i="6"/>
  <c r="AN232" i="6"/>
  <c r="AR216" i="6"/>
  <c r="AR217" i="6" s="1"/>
  <c r="AS214" i="6" s="1"/>
  <c r="AC106" i="1"/>
  <c r="AC16" i="25" s="1"/>
  <c r="AG280" i="6"/>
  <c r="AG283" i="6" s="1"/>
  <c r="AH280" i="6" s="1"/>
  <c r="AG282" i="6"/>
  <c r="AG18" i="6" s="1"/>
  <c r="AH70" i="1" s="1"/>
  <c r="AH72" i="1" s="1"/>
  <c r="AH76" i="1" s="1"/>
  <c r="AH78" i="1" s="1"/>
  <c r="AH79" i="1" s="1"/>
  <c r="AH80" i="1" s="1"/>
  <c r="AH81" i="1" s="1"/>
  <c r="AH313" i="6"/>
  <c r="AI312" i="6" s="1"/>
  <c r="AJ277" i="6"/>
  <c r="AK276" i="6" s="1"/>
  <c r="AW156" i="6"/>
  <c r="AW157" i="6" s="1"/>
  <c r="AL28" i="21"/>
  <c r="AL4" i="21" s="1"/>
  <c r="AM74" i="1" s="1"/>
  <c r="AL26" i="21"/>
  <c r="AK22" i="21"/>
  <c r="AL143" i="1"/>
  <c r="AL14" i="25"/>
  <c r="AG79" i="1"/>
  <c r="AG80" i="1" s="1"/>
  <c r="AG81" i="1" s="1"/>
  <c r="AM85" i="1" s="1"/>
  <c r="AE8" i="25"/>
  <c r="AD103" i="1"/>
  <c r="AE125" i="1"/>
  <c r="AE121" i="1" s="1"/>
  <c r="AT196" i="6"/>
  <c r="AT198" i="6"/>
  <c r="AD101" i="1"/>
  <c r="AD129" i="1"/>
  <c r="AD128" i="1" s="1"/>
  <c r="AD131" i="1" s="1"/>
  <c r="AN246" i="6"/>
  <c r="AN244" i="6"/>
  <c r="AT205" i="6"/>
  <c r="AU204" i="6" s="1"/>
  <c r="AE15" i="25"/>
  <c r="AE28" i="25"/>
  <c r="AX148" i="6"/>
  <c r="AX150" i="6"/>
  <c r="AN228" i="6"/>
  <c r="AN226" i="6"/>
  <c r="AQ238" i="6"/>
  <c r="AQ241" i="6" s="1"/>
  <c r="AI301" i="6"/>
  <c r="AJ298" i="6" s="1"/>
  <c r="AJ253" i="6"/>
  <c r="AK252" i="6" s="1"/>
  <c r="AM102" i="1"/>
  <c r="AJ256" i="6"/>
  <c r="AJ258" i="6"/>
  <c r="AR174" i="6"/>
  <c r="AR172" i="6"/>
  <c r="P160" i="1"/>
  <c r="P161" i="1" s="1"/>
  <c r="AZ145" i="6"/>
  <c r="AX139" i="6"/>
  <c r="AM316" i="6"/>
  <c r="AM318" i="6"/>
  <c r="AF87" i="1"/>
  <c r="AF88" i="1"/>
  <c r="AF89" i="1" s="1"/>
  <c r="AF92" i="1" s="1"/>
  <c r="AL85" i="1"/>
  <c r="AM100" i="1"/>
  <c r="AR222" i="6"/>
  <c r="AR220" i="6"/>
  <c r="AJ304" i="6"/>
  <c r="AJ306" i="6"/>
  <c r="AC165" i="1"/>
  <c r="AC156" i="1"/>
  <c r="AM286" i="6"/>
  <c r="AM288" i="6"/>
  <c r="AM104" i="1"/>
  <c r="AU169" i="6"/>
  <c r="AT184" i="6"/>
  <c r="AT186" i="6"/>
  <c r="AX97" i="6"/>
  <c r="AK270" i="6"/>
  <c r="AK268" i="6"/>
  <c r="AY163" i="6"/>
  <c r="AI295" i="6"/>
  <c r="AU181" i="6"/>
  <c r="AP208" i="6"/>
  <c r="AP210" i="6"/>
  <c r="O148" i="1"/>
  <c r="AY112" i="6"/>
  <c r="AY114" i="6"/>
  <c r="AU190" i="6" l="1"/>
  <c r="AU202" i="6"/>
  <c r="AU205" i="6" s="1"/>
  <c r="AV202" i="6" s="1"/>
  <c r="AN247" i="6"/>
  <c r="AO246" i="6" s="1"/>
  <c r="AL264" i="6"/>
  <c r="AL265" i="6" s="1"/>
  <c r="AM262" i="6" s="1"/>
  <c r="AJ275" i="28"/>
  <c r="AJ25" i="28"/>
  <c r="AT199" i="6"/>
  <c r="AU196" i="6" s="1"/>
  <c r="AN235" i="6"/>
  <c r="AU193" i="6"/>
  <c r="AJ300" i="6"/>
  <c r="AJ301" i="6" s="1"/>
  <c r="AK298" i="6" s="1"/>
  <c r="AI310" i="6"/>
  <c r="AI313" i="6" s="1"/>
  <c r="AJ310" i="6" s="1"/>
  <c r="AC108" i="1"/>
  <c r="AC109" i="1" s="1"/>
  <c r="AC29" i="25"/>
  <c r="AK274" i="6"/>
  <c r="AK277" i="6" s="1"/>
  <c r="AG19" i="6"/>
  <c r="AG88" i="1"/>
  <c r="AG87" i="1"/>
  <c r="AL38" i="25"/>
  <c r="AL36" i="25" s="1"/>
  <c r="AL48" i="25" s="1"/>
  <c r="AL142" i="1"/>
  <c r="AL27" i="21"/>
  <c r="AM144" i="1"/>
  <c r="AM27" i="25"/>
  <c r="AM40" i="25" s="1"/>
  <c r="AM13" i="25"/>
  <c r="AM39" i="25"/>
  <c r="AD106" i="1"/>
  <c r="AD108" i="1" s="1"/>
  <c r="AD109" i="1" s="1"/>
  <c r="AD138" i="1"/>
  <c r="AD137" i="1" s="1"/>
  <c r="AD145" i="1" s="1"/>
  <c r="AD156" i="1" s="1"/>
  <c r="AS216" i="6"/>
  <c r="AS217" i="6" s="1"/>
  <c r="AK271" i="6"/>
  <c r="AL270" i="6" s="1"/>
  <c r="AP211" i="6"/>
  <c r="AQ208" i="6" s="1"/>
  <c r="AX151" i="6"/>
  <c r="AH282" i="6"/>
  <c r="AH18" i="6" s="1"/>
  <c r="AI70" i="1" s="1"/>
  <c r="AI72" i="1" s="1"/>
  <c r="AI76" i="1" s="1"/>
  <c r="AI78" i="1" s="1"/>
  <c r="AI79" i="1" s="1"/>
  <c r="AI80" i="1" s="1"/>
  <c r="AI81" i="1" s="1"/>
  <c r="AN229" i="6"/>
  <c r="AR223" i="6"/>
  <c r="AS222" i="6" s="1"/>
  <c r="AR175" i="6"/>
  <c r="AS172" i="6" s="1"/>
  <c r="AK250" i="6"/>
  <c r="AK253" i="6" s="1"/>
  <c r="AL252" i="6" s="1"/>
  <c r="AX154" i="6"/>
  <c r="AX156" i="6"/>
  <c r="AT187" i="6"/>
  <c r="AU186" i="6" s="1"/>
  <c r="AH87" i="1"/>
  <c r="AH88" i="1"/>
  <c r="AN85" i="1"/>
  <c r="P162" i="1"/>
  <c r="P166" i="1" s="1"/>
  <c r="P167" i="1" s="1"/>
  <c r="AF94" i="1"/>
  <c r="AF97" i="1"/>
  <c r="AF93" i="1"/>
  <c r="AF95" i="1" s="1"/>
  <c r="AF96" i="1" s="1"/>
  <c r="AF98" i="1"/>
  <c r="AY115" i="6"/>
  <c r="AM289" i="6"/>
  <c r="AJ307" i="6"/>
  <c r="AM319" i="6"/>
  <c r="O17" i="25"/>
  <c r="O4" i="25" s="1"/>
  <c r="O46" i="25" s="1"/>
  <c r="O31" i="25"/>
  <c r="O23" i="25" s="1"/>
  <c r="O47" i="25" s="1"/>
  <c r="AC132" i="1"/>
  <c r="AY136" i="6"/>
  <c r="AY138" i="6"/>
  <c r="AJ259" i="6"/>
  <c r="AV180" i="6"/>
  <c r="AV178" i="6"/>
  <c r="AZ162" i="6"/>
  <c r="AZ160" i="6"/>
  <c r="AV168" i="6"/>
  <c r="AV166" i="6"/>
  <c r="AE129" i="1"/>
  <c r="AE128" i="1" s="1"/>
  <c r="AE101" i="1"/>
  <c r="AE105" i="1"/>
  <c r="AE103" i="1"/>
  <c r="AN100" i="1"/>
  <c r="BA144" i="6"/>
  <c r="BA142" i="6"/>
  <c r="AN102" i="1"/>
  <c r="AJ292" i="6"/>
  <c r="AJ294" i="6"/>
  <c r="O146" i="1"/>
  <c r="O149" i="1" s="1"/>
  <c r="AY96" i="6"/>
  <c r="AY94" i="6"/>
  <c r="AN104" i="1"/>
  <c r="AF90" i="1"/>
  <c r="AG86" i="1" s="1"/>
  <c r="AR240" i="6"/>
  <c r="AR238" i="6"/>
  <c r="AD16" i="25" l="1"/>
  <c r="AO244" i="6"/>
  <c r="AO247" i="6" s="1"/>
  <c r="AM264" i="6"/>
  <c r="AM265" i="6" s="1"/>
  <c r="AN262" i="6" s="1"/>
  <c r="AJ312" i="6"/>
  <c r="AK28" i="28"/>
  <c r="AK4" i="28" s="1"/>
  <c r="AK26" i="28"/>
  <c r="AJ22" i="28"/>
  <c r="AV192" i="6"/>
  <c r="AV190" i="6"/>
  <c r="AV193" i="6" s="1"/>
  <c r="AU198" i="6"/>
  <c r="AU199" i="6" s="1"/>
  <c r="AO232" i="6"/>
  <c r="AO234" i="6"/>
  <c r="AN264" i="6"/>
  <c r="AN265" i="6" s="1"/>
  <c r="AS220" i="6"/>
  <c r="AS223" i="6" s="1"/>
  <c r="AR241" i="6"/>
  <c r="AS238" i="6" s="1"/>
  <c r="AD29" i="25"/>
  <c r="AG89" i="1"/>
  <c r="AG92" i="1" s="1"/>
  <c r="AG97" i="1" s="1"/>
  <c r="BA145" i="6"/>
  <c r="AQ210" i="6"/>
  <c r="AQ211" i="6" s="1"/>
  <c r="AY97" i="6"/>
  <c r="AZ96" i="6" s="1"/>
  <c r="AL275" i="21"/>
  <c r="AL25" i="21"/>
  <c r="AD165" i="1"/>
  <c r="AK300" i="6"/>
  <c r="AK301" i="6" s="1"/>
  <c r="AL276" i="6"/>
  <c r="AL274" i="6"/>
  <c r="AL250" i="6"/>
  <c r="AL268" i="6"/>
  <c r="AL271" i="6" s="1"/>
  <c r="AV204" i="6"/>
  <c r="AV205" i="6" s="1"/>
  <c r="AH283" i="6"/>
  <c r="AY148" i="6"/>
  <c r="AY150" i="6"/>
  <c r="AU184" i="6"/>
  <c r="AU187" i="6" s="1"/>
  <c r="AV186" i="6" s="1"/>
  <c r="AS174" i="6"/>
  <c r="AS175" i="6" s="1"/>
  <c r="AH19" i="6"/>
  <c r="AO226" i="6"/>
  <c r="AO228" i="6"/>
  <c r="AX157" i="6"/>
  <c r="AZ163" i="6"/>
  <c r="BA162" i="6" s="1"/>
  <c r="AJ313" i="6"/>
  <c r="AI87" i="1"/>
  <c r="AI88" i="1"/>
  <c r="AO85" i="1"/>
  <c r="O44" i="25"/>
  <c r="AF126" i="1"/>
  <c r="AF28" i="25"/>
  <c r="AF15" i="25"/>
  <c r="AO102" i="1"/>
  <c r="AO100" i="1"/>
  <c r="P30" i="25"/>
  <c r="P18" i="25"/>
  <c r="P147" i="1"/>
  <c r="AN318" i="6"/>
  <c r="AN316" i="6"/>
  <c r="AF125" i="1"/>
  <c r="AF8" i="25"/>
  <c r="AF26" i="25"/>
  <c r="AY139" i="6"/>
  <c r="AT214" i="6"/>
  <c r="AT216" i="6"/>
  <c r="AE106" i="1"/>
  <c r="AE131" i="1"/>
  <c r="AE138" i="1"/>
  <c r="AE137" i="1" s="1"/>
  <c r="AE145" i="1" s="1"/>
  <c r="AK306" i="6"/>
  <c r="AK304" i="6"/>
  <c r="AZ114" i="6"/>
  <c r="AZ112" i="6"/>
  <c r="AJ295" i="6"/>
  <c r="AK258" i="6"/>
  <c r="AK256" i="6"/>
  <c r="P163" i="1"/>
  <c r="Q158" i="1" s="1"/>
  <c r="AO104" i="1"/>
  <c r="AP244" i="6"/>
  <c r="AP246" i="6"/>
  <c r="AL253" i="6"/>
  <c r="AV169" i="6"/>
  <c r="AV181" i="6"/>
  <c r="AN286" i="6"/>
  <c r="AN288" i="6"/>
  <c r="AK307" i="6" l="1"/>
  <c r="AL304" i="6" s="1"/>
  <c r="AL277" i="6"/>
  <c r="AM274" i="6" s="1"/>
  <c r="AK27" i="28"/>
  <c r="AO235" i="6"/>
  <c r="AP232" i="6" s="1"/>
  <c r="AV198" i="6"/>
  <c r="AV196" i="6"/>
  <c r="AW190" i="6"/>
  <c r="AW192" i="6"/>
  <c r="AG94" i="1"/>
  <c r="AZ94" i="6"/>
  <c r="AZ97" i="6" s="1"/>
  <c r="BA96" i="6" s="1"/>
  <c r="AS240" i="6"/>
  <c r="AS241" i="6" s="1"/>
  <c r="AG98" i="1"/>
  <c r="AG93" i="1"/>
  <c r="AG95" i="1" s="1"/>
  <c r="AG96" i="1" s="1"/>
  <c r="AG90" i="1"/>
  <c r="AH86" i="1" s="1"/>
  <c r="AH89" i="1" s="1"/>
  <c r="AH92" i="1" s="1"/>
  <c r="AH97" i="1" s="1"/>
  <c r="AH26" i="25" s="1"/>
  <c r="AL298" i="6"/>
  <c r="AL300" i="6"/>
  <c r="AM26" i="21"/>
  <c r="AM28" i="21"/>
  <c r="AM4" i="21" s="1"/>
  <c r="AN74" i="1" s="1"/>
  <c r="AL22" i="21"/>
  <c r="AM143" i="1"/>
  <c r="AM14" i="25"/>
  <c r="AM268" i="6"/>
  <c r="AM270" i="6"/>
  <c r="AI280" i="6"/>
  <c r="AI282" i="6"/>
  <c r="AI18" i="6" s="1"/>
  <c r="AJ70" i="1" s="1"/>
  <c r="AJ72" i="1" s="1"/>
  <c r="AJ76" i="1" s="1"/>
  <c r="AJ78" i="1" s="1"/>
  <c r="AJ79" i="1" s="1"/>
  <c r="AJ80" i="1" s="1"/>
  <c r="AJ81" i="1" s="1"/>
  <c r="AJ87" i="1" s="1"/>
  <c r="AF121" i="1"/>
  <c r="AF101" i="1" s="1"/>
  <c r="AO264" i="6"/>
  <c r="AO262" i="6"/>
  <c r="BA160" i="6"/>
  <c r="BA163" i="6" s="1"/>
  <c r="AY151" i="6"/>
  <c r="AV184" i="6"/>
  <c r="AV187" i="6" s="1"/>
  <c r="AN319" i="6"/>
  <c r="AO318" i="6" s="1"/>
  <c r="AO229" i="6"/>
  <c r="AK310" i="6"/>
  <c r="AK312" i="6"/>
  <c r="AY156" i="6"/>
  <c r="AY154" i="6"/>
  <c r="Q160" i="1"/>
  <c r="Q161" i="1" s="1"/>
  <c r="AE16" i="25"/>
  <c r="AE29" i="25"/>
  <c r="AE108" i="1"/>
  <c r="AE109" i="1" s="1"/>
  <c r="AP104" i="1"/>
  <c r="AK294" i="6"/>
  <c r="AK292" i="6"/>
  <c r="AT172" i="6"/>
  <c r="AT174" i="6"/>
  <c r="AP100" i="1"/>
  <c r="AN289" i="6"/>
  <c r="AZ115" i="6"/>
  <c r="AM250" i="6"/>
  <c r="AM252" i="6"/>
  <c r="AK259" i="6"/>
  <c r="AR210" i="6"/>
  <c r="AR208" i="6"/>
  <c r="AG125" i="1"/>
  <c r="AG8" i="25"/>
  <c r="AG26" i="25"/>
  <c r="AT220" i="6"/>
  <c r="AT222" i="6"/>
  <c r="P148" i="1"/>
  <c r="P146" i="1" s="1"/>
  <c r="P149" i="1" s="1"/>
  <c r="AL306" i="6"/>
  <c r="AW168" i="6"/>
  <c r="AW166" i="6"/>
  <c r="AE165" i="1"/>
  <c r="AE156" i="1"/>
  <c r="AW178" i="6"/>
  <c r="AW180" i="6"/>
  <c r="AT217" i="6"/>
  <c r="AW202" i="6"/>
  <c r="AW204" i="6"/>
  <c r="AP247" i="6"/>
  <c r="AD132" i="1"/>
  <c r="AZ138" i="6"/>
  <c r="AZ136" i="6"/>
  <c r="AP102" i="1"/>
  <c r="AW186" i="6" l="1"/>
  <c r="AW184" i="6"/>
  <c r="AW187" i="6" s="1"/>
  <c r="AX186" i="6" s="1"/>
  <c r="AM276" i="6"/>
  <c r="AM277" i="6" s="1"/>
  <c r="AK275" i="28"/>
  <c r="AK25" i="28"/>
  <c r="AP234" i="6"/>
  <c r="AP235" i="6" s="1"/>
  <c r="AL301" i="6"/>
  <c r="AW193" i="6"/>
  <c r="AV199" i="6"/>
  <c r="AG15" i="25"/>
  <c r="AM271" i="6"/>
  <c r="AN270" i="6" s="1"/>
  <c r="AH94" i="1"/>
  <c r="AH125" i="1"/>
  <c r="AG126" i="1"/>
  <c r="AG121" i="1" s="1"/>
  <c r="AH8" i="25"/>
  <c r="AH93" i="1"/>
  <c r="AH95" i="1" s="1"/>
  <c r="AH96" i="1" s="1"/>
  <c r="AH90" i="1"/>
  <c r="AI86" i="1" s="1"/>
  <c r="AI89" i="1" s="1"/>
  <c r="AI92" i="1" s="1"/>
  <c r="AG28" i="25"/>
  <c r="AH98" i="1"/>
  <c r="AR211" i="6"/>
  <c r="AS210" i="6" s="1"/>
  <c r="AO265" i="6"/>
  <c r="AP262" i="6" s="1"/>
  <c r="AI283" i="6"/>
  <c r="AJ280" i="6" s="1"/>
  <c r="AI19" i="6"/>
  <c r="AN144" i="1"/>
  <c r="AN13" i="25"/>
  <c r="AN39" i="25"/>
  <c r="AN27" i="25"/>
  <c r="AN40" i="25" s="1"/>
  <c r="AM38" i="25"/>
  <c r="AM36" i="25" s="1"/>
  <c r="AM48" i="25" s="1"/>
  <c r="AM142" i="1"/>
  <c r="AM27" i="21"/>
  <c r="AF105" i="1"/>
  <c r="AF129" i="1"/>
  <c r="AF128" i="1" s="1"/>
  <c r="AF138" i="1" s="1"/>
  <c r="AF137" i="1" s="1"/>
  <c r="AF145" i="1" s="1"/>
  <c r="AF103" i="1"/>
  <c r="AP85" i="1"/>
  <c r="AJ88" i="1"/>
  <c r="AO316" i="6"/>
  <c r="AO319" i="6" s="1"/>
  <c r="AZ139" i="6"/>
  <c r="BA138" i="6" s="1"/>
  <c r="BA94" i="6"/>
  <c r="BA97" i="6" s="1"/>
  <c r="AZ150" i="6"/>
  <c r="AZ148" i="6"/>
  <c r="AK295" i="6"/>
  <c r="AL294" i="6" s="1"/>
  <c r="AP228" i="6"/>
  <c r="AP226" i="6"/>
  <c r="AY157" i="6"/>
  <c r="AZ156" i="6" s="1"/>
  <c r="AM253" i="6"/>
  <c r="AN250" i="6" s="1"/>
  <c r="AK313" i="6"/>
  <c r="AW181" i="6"/>
  <c r="AX178" i="6" s="1"/>
  <c r="BA114" i="6"/>
  <c r="BA112" i="6"/>
  <c r="AQ244" i="6"/>
  <c r="AQ246" i="6"/>
  <c r="AO288" i="6"/>
  <c r="AO286" i="6"/>
  <c r="AT175" i="6"/>
  <c r="AW205" i="6"/>
  <c r="AT238" i="6"/>
  <c r="AT240" i="6"/>
  <c r="AQ104" i="1"/>
  <c r="AU214" i="6"/>
  <c r="AU216" i="6"/>
  <c r="AW169" i="6"/>
  <c r="P17" i="25"/>
  <c r="P4" i="25" s="1"/>
  <c r="P46" i="25" s="1"/>
  <c r="P31" i="25"/>
  <c r="P23" i="25" s="1"/>
  <c r="P47" i="25" s="1"/>
  <c r="AL258" i="6"/>
  <c r="AL256" i="6"/>
  <c r="AQ100" i="1"/>
  <c r="AM298" i="6"/>
  <c r="AM300" i="6"/>
  <c r="Q162" i="1"/>
  <c r="Q166" i="1" s="1"/>
  <c r="Q167" i="1" s="1"/>
  <c r="AQ102" i="1"/>
  <c r="AT223" i="6"/>
  <c r="AL307" i="6"/>
  <c r="AS208" i="6" l="1"/>
  <c r="AN276" i="6"/>
  <c r="AN274" i="6"/>
  <c r="AQ232" i="6"/>
  <c r="AQ234" i="6"/>
  <c r="AL28" i="28"/>
  <c r="AL4" i="28" s="1"/>
  <c r="AL26" i="28"/>
  <c r="AK22" i="28"/>
  <c r="AJ282" i="6"/>
  <c r="AJ18" i="6" s="1"/>
  <c r="AK70" i="1" s="1"/>
  <c r="AK72" i="1" s="1"/>
  <c r="AK76" i="1" s="1"/>
  <c r="AK78" i="1" s="1"/>
  <c r="AK79" i="1" s="1"/>
  <c r="AK80" i="1" s="1"/>
  <c r="AK81" i="1" s="1"/>
  <c r="AK88" i="1" s="1"/>
  <c r="BA136" i="6"/>
  <c r="BA139" i="6" s="1"/>
  <c r="AP229" i="6"/>
  <c r="AN268" i="6"/>
  <c r="AN271" i="6" s="1"/>
  <c r="AO268" i="6" s="1"/>
  <c r="AW198" i="6"/>
  <c r="AW196" i="6"/>
  <c r="AX192" i="6"/>
  <c r="AX190" i="6"/>
  <c r="AX193" i="6" s="1"/>
  <c r="AS211" i="6"/>
  <c r="AT210" i="6" s="1"/>
  <c r="AP264" i="6"/>
  <c r="AP265" i="6" s="1"/>
  <c r="AH15" i="25"/>
  <c r="AH28" i="25"/>
  <c r="AF131" i="1"/>
  <c r="AE132" i="1" s="1"/>
  <c r="AH126" i="1"/>
  <c r="AH121" i="1" s="1"/>
  <c r="AH103" i="1" s="1"/>
  <c r="AI90" i="1"/>
  <c r="AJ86" i="1" s="1"/>
  <c r="AJ89" i="1" s="1"/>
  <c r="AJ92" i="1" s="1"/>
  <c r="AJ94" i="1" s="1"/>
  <c r="AF106" i="1"/>
  <c r="AF16" i="25" s="1"/>
  <c r="AN277" i="6"/>
  <c r="AM275" i="21"/>
  <c r="AM25" i="21"/>
  <c r="AZ151" i="6"/>
  <c r="BA150" i="6" s="1"/>
  <c r="AN252" i="6"/>
  <c r="AN253" i="6" s="1"/>
  <c r="AL292" i="6"/>
  <c r="AL295" i="6" s="1"/>
  <c r="BA115" i="6"/>
  <c r="AQ228" i="6"/>
  <c r="AQ226" i="6"/>
  <c r="AX184" i="6"/>
  <c r="AX187" i="6" s="1"/>
  <c r="AZ154" i="6"/>
  <c r="AZ157" i="6" s="1"/>
  <c r="AL310" i="6"/>
  <c r="AL312" i="6"/>
  <c r="AT241" i="6"/>
  <c r="AU238" i="6" s="1"/>
  <c r="AX180" i="6"/>
  <c r="AX181" i="6" s="1"/>
  <c r="AL259" i="6"/>
  <c r="AM256" i="6" s="1"/>
  <c r="AI97" i="1"/>
  <c r="AI93" i="1"/>
  <c r="AI95" i="1" s="1"/>
  <c r="AI96" i="1" s="1"/>
  <c r="AI98" i="1"/>
  <c r="AI94" i="1"/>
  <c r="AU222" i="6"/>
  <c r="AU220" i="6"/>
  <c r="AR100" i="1"/>
  <c r="AM304" i="6"/>
  <c r="AM306" i="6"/>
  <c r="AM301" i="6"/>
  <c r="Q163" i="1"/>
  <c r="R158" i="1" s="1"/>
  <c r="AR104" i="1"/>
  <c r="AF165" i="1"/>
  <c r="AF156" i="1"/>
  <c r="Q18" i="25"/>
  <c r="Q30" i="25"/>
  <c r="Q147" i="1"/>
  <c r="AU217" i="6"/>
  <c r="AQ247" i="6"/>
  <c r="AX202" i="6"/>
  <c r="AX204" i="6"/>
  <c r="AU174" i="6"/>
  <c r="AU172" i="6"/>
  <c r="AP316" i="6"/>
  <c r="AP318" i="6"/>
  <c r="AX166" i="6"/>
  <c r="AX168" i="6"/>
  <c r="AG129" i="1"/>
  <c r="AG128" i="1" s="1"/>
  <c r="AG105" i="1"/>
  <c r="AG101" i="1"/>
  <c r="AG103" i="1"/>
  <c r="AR102" i="1"/>
  <c r="P44" i="25"/>
  <c r="AO289" i="6"/>
  <c r="AJ19" i="6" l="1"/>
  <c r="AT208" i="6"/>
  <c r="AO270" i="6"/>
  <c r="AO271" i="6" s="1"/>
  <c r="AP270" i="6" s="1"/>
  <c r="AQ85" i="1"/>
  <c r="AL27" i="28"/>
  <c r="AJ283" i="6"/>
  <c r="AW199" i="6"/>
  <c r="AK87" i="1"/>
  <c r="AQ235" i="6"/>
  <c r="AY192" i="6"/>
  <c r="AY190" i="6"/>
  <c r="AX196" i="6"/>
  <c r="AX198" i="6"/>
  <c r="AQ229" i="6"/>
  <c r="AR228" i="6" s="1"/>
  <c r="AH105" i="1"/>
  <c r="AH101" i="1"/>
  <c r="AH129" i="1"/>
  <c r="AH128" i="1" s="1"/>
  <c r="AH138" i="1" s="1"/>
  <c r="AH137" i="1" s="1"/>
  <c r="AH145" i="1" s="1"/>
  <c r="AH156" i="1" s="1"/>
  <c r="AF108" i="1"/>
  <c r="AF109" i="1" s="1"/>
  <c r="AF29" i="25"/>
  <c r="AJ98" i="1"/>
  <c r="AP268" i="6"/>
  <c r="AO274" i="6"/>
  <c r="AO276" i="6"/>
  <c r="AJ90" i="1"/>
  <c r="AK86" i="1" s="1"/>
  <c r="AK89" i="1" s="1"/>
  <c r="AK92" i="1" s="1"/>
  <c r="AK96" i="1" s="1"/>
  <c r="AJ97" i="1"/>
  <c r="AJ125" i="1" s="1"/>
  <c r="AN26" i="21"/>
  <c r="AM22" i="21"/>
  <c r="AN28" i="21"/>
  <c r="AN4" i="21" s="1"/>
  <c r="AO74" i="1" s="1"/>
  <c r="AN14" i="25"/>
  <c r="AN143" i="1"/>
  <c r="AJ96" i="1"/>
  <c r="AU240" i="6"/>
  <c r="AU241" i="6" s="1"/>
  <c r="AV240" i="6" s="1"/>
  <c r="BA148" i="6"/>
  <c r="BA151" i="6" s="1"/>
  <c r="AM258" i="6"/>
  <c r="AM259" i="6" s="1"/>
  <c r="AN258" i="6" s="1"/>
  <c r="AQ262" i="6"/>
  <c r="AQ264" i="6"/>
  <c r="AX169" i="6"/>
  <c r="AY166" i="6" s="1"/>
  <c r="AU175" i="6"/>
  <c r="AV172" i="6" s="1"/>
  <c r="AI15" i="25"/>
  <c r="AI126" i="1"/>
  <c r="AI28" i="25"/>
  <c r="BA154" i="6"/>
  <c r="BA156" i="6"/>
  <c r="AI8" i="25"/>
  <c r="AI125" i="1"/>
  <c r="AI26" i="25"/>
  <c r="AL313" i="6"/>
  <c r="AM292" i="6"/>
  <c r="AM294" i="6"/>
  <c r="AS100" i="1"/>
  <c r="AP286" i="6"/>
  <c r="AP288" i="6"/>
  <c r="AN298" i="6"/>
  <c r="AN300" i="6"/>
  <c r="AG106" i="1"/>
  <c r="AU223" i="6"/>
  <c r="R160" i="1"/>
  <c r="R161" i="1" s="1"/>
  <c r="AS102" i="1"/>
  <c r="AG138" i="1"/>
  <c r="AG137" i="1" s="1"/>
  <c r="AG145" i="1" s="1"/>
  <c r="AG131" i="1"/>
  <c r="AX205" i="6"/>
  <c r="AR246" i="6"/>
  <c r="AR244" i="6"/>
  <c r="AS104" i="1"/>
  <c r="AM307" i="6"/>
  <c r="Q148" i="1"/>
  <c r="AP319" i="6"/>
  <c r="AO252" i="6"/>
  <c r="AO250" i="6"/>
  <c r="AT211" i="6"/>
  <c r="AY180" i="6"/>
  <c r="AY178" i="6"/>
  <c r="AV216" i="6"/>
  <c r="AV214" i="6"/>
  <c r="AY184" i="6"/>
  <c r="AY186" i="6"/>
  <c r="AP271" i="6" l="1"/>
  <c r="AR232" i="6"/>
  <c r="AR235" i="6" s="1"/>
  <c r="AR234" i="6"/>
  <c r="AY168" i="6"/>
  <c r="AY169" i="6" s="1"/>
  <c r="AK282" i="6"/>
  <c r="AK18" i="6" s="1"/>
  <c r="AK280" i="6"/>
  <c r="AX199" i="6"/>
  <c r="AY198" i="6" s="1"/>
  <c r="AL275" i="28"/>
  <c r="AL25" i="28"/>
  <c r="AH165" i="1"/>
  <c r="AR226" i="6"/>
  <c r="AY193" i="6"/>
  <c r="AH106" i="1"/>
  <c r="AH16" i="25" s="1"/>
  <c r="AJ28" i="25"/>
  <c r="AN27" i="21"/>
  <c r="AN275" i="21" s="1"/>
  <c r="AO143" i="1" s="1"/>
  <c r="AJ26" i="25"/>
  <c r="AO277" i="6"/>
  <c r="AN25" i="21"/>
  <c r="AO26" i="21" s="1"/>
  <c r="AR229" i="6"/>
  <c r="AS228" i="6" s="1"/>
  <c r="AJ8" i="25"/>
  <c r="AJ126" i="1"/>
  <c r="AJ121" i="1" s="1"/>
  <c r="AJ129" i="1" s="1"/>
  <c r="AJ128" i="1" s="1"/>
  <c r="AJ138" i="1" s="1"/>
  <c r="AJ137" i="1" s="1"/>
  <c r="AJ145" i="1" s="1"/>
  <c r="AJ15" i="25"/>
  <c r="AK94" i="1"/>
  <c r="AO144" i="1"/>
  <c r="AO39" i="25"/>
  <c r="AO13" i="25"/>
  <c r="AO27" i="25"/>
  <c r="AO40" i="25" s="1"/>
  <c r="AN38" i="25"/>
  <c r="AN36" i="25" s="1"/>
  <c r="AN48" i="25" s="1"/>
  <c r="AN142" i="1"/>
  <c r="AK97" i="1"/>
  <c r="AK125" i="1" s="1"/>
  <c r="AQ265" i="6"/>
  <c r="AR264" i="6" s="1"/>
  <c r="AK90" i="1"/>
  <c r="AL86" i="1" s="1"/>
  <c r="AK98" i="1"/>
  <c r="AK126" i="1" s="1"/>
  <c r="AY181" i="6"/>
  <c r="AZ180" i="6" s="1"/>
  <c r="AN256" i="6"/>
  <c r="AN259" i="6" s="1"/>
  <c r="AV174" i="6"/>
  <c r="AV175" i="6" s="1"/>
  <c r="BA157" i="6"/>
  <c r="AI121" i="1"/>
  <c r="AO253" i="6"/>
  <c r="AP250" i="6" s="1"/>
  <c r="AM312" i="6"/>
  <c r="AM310" i="6"/>
  <c r="AV238" i="6"/>
  <c r="AV241" i="6" s="1"/>
  <c r="AW240" i="6" s="1"/>
  <c r="AV217" i="6"/>
  <c r="AW216" i="6" s="1"/>
  <c r="R162" i="1"/>
  <c r="R166" i="1" s="1"/>
  <c r="R167" i="1" s="1"/>
  <c r="Q31" i="25"/>
  <c r="Q23" i="25" s="1"/>
  <c r="Q47" i="25" s="1"/>
  <c r="Q17" i="25"/>
  <c r="Q4" i="25" s="1"/>
  <c r="Q46" i="25" s="1"/>
  <c r="AV222" i="6"/>
  <c r="AV220" i="6"/>
  <c r="Q146" i="1"/>
  <c r="Q149" i="1" s="1"/>
  <c r="AY204" i="6"/>
  <c r="AY202" i="6"/>
  <c r="AN301" i="6"/>
  <c r="AG165" i="1"/>
  <c r="AG156" i="1"/>
  <c r="AP289" i="6"/>
  <c r="AU210" i="6"/>
  <c r="AU208" i="6"/>
  <c r="AF132" i="1"/>
  <c r="AH131" i="1"/>
  <c r="AM295" i="6"/>
  <c r="AN306" i="6"/>
  <c r="AN304" i="6"/>
  <c r="AQ268" i="6"/>
  <c r="AQ270" i="6"/>
  <c r="AY187" i="6"/>
  <c r="AT104" i="1"/>
  <c r="AT100" i="1"/>
  <c r="AQ316" i="6"/>
  <c r="AQ318" i="6"/>
  <c r="AR247" i="6"/>
  <c r="AT102" i="1"/>
  <c r="AG29" i="25"/>
  <c r="AG16" i="25"/>
  <c r="AG108" i="1"/>
  <c r="AG109" i="1" s="1"/>
  <c r="AY196" i="6" l="1"/>
  <c r="AH29" i="25"/>
  <c r="AK283" i="6"/>
  <c r="AM28" i="28"/>
  <c r="AM4" i="28" s="1"/>
  <c r="AL22" i="28"/>
  <c r="AM26" i="28"/>
  <c r="AL70" i="1"/>
  <c r="AL72" i="1" s="1"/>
  <c r="AL76" i="1" s="1"/>
  <c r="AK19" i="6"/>
  <c r="AL282" i="6"/>
  <c r="AL18" i="6" s="1"/>
  <c r="AM70" i="1" s="1"/>
  <c r="AM72" i="1" s="1"/>
  <c r="AM76" i="1" s="1"/>
  <c r="AL280" i="6"/>
  <c r="AS234" i="6"/>
  <c r="AS232" i="6"/>
  <c r="AH108" i="1"/>
  <c r="AH109" i="1" s="1"/>
  <c r="AS226" i="6"/>
  <c r="AS229" i="6" s="1"/>
  <c r="AT226" i="6" s="1"/>
  <c r="AY199" i="6"/>
  <c r="AZ192" i="6"/>
  <c r="AZ190" i="6"/>
  <c r="AM313" i="6"/>
  <c r="AN312" i="6" s="1"/>
  <c r="AR262" i="6"/>
  <c r="AR265" i="6" s="1"/>
  <c r="AS262" i="6" s="1"/>
  <c r="AO14" i="25"/>
  <c r="AO28" i="21"/>
  <c r="AO4" i="21" s="1"/>
  <c r="AP74" i="1" s="1"/>
  <c r="AP27" i="25" s="1"/>
  <c r="AP40" i="25" s="1"/>
  <c r="AO27" i="21"/>
  <c r="AO25" i="21" s="1"/>
  <c r="AN22" i="21"/>
  <c r="AW172" i="6"/>
  <c r="AW174" i="6"/>
  <c r="AO275" i="21"/>
  <c r="AP14" i="25" s="1"/>
  <c r="AY205" i="6"/>
  <c r="AZ204" i="6" s="1"/>
  <c r="AP252" i="6"/>
  <c r="AP253" i="6" s="1"/>
  <c r="AJ105" i="1"/>
  <c r="AP274" i="6"/>
  <c r="AP276" i="6"/>
  <c r="AK15" i="25"/>
  <c r="AJ101" i="1"/>
  <c r="AK8" i="25"/>
  <c r="AJ103" i="1"/>
  <c r="AO38" i="25"/>
  <c r="AO36" i="25" s="1"/>
  <c r="AO48" i="25" s="1"/>
  <c r="AO142" i="1"/>
  <c r="AK26" i="25"/>
  <c r="AK28" i="25"/>
  <c r="AS264" i="6"/>
  <c r="AW238" i="6"/>
  <c r="AW241" i="6" s="1"/>
  <c r="AZ178" i="6"/>
  <c r="AZ181" i="6" s="1"/>
  <c r="BA180" i="6" s="1"/>
  <c r="AK121" i="1"/>
  <c r="AK129" i="1" s="1"/>
  <c r="AK128" i="1" s="1"/>
  <c r="AV223" i="6"/>
  <c r="AW222" i="6" s="1"/>
  <c r="AW214" i="6"/>
  <c r="AW217" i="6" s="1"/>
  <c r="AX214" i="6" s="1"/>
  <c r="Q44" i="25"/>
  <c r="AN307" i="6"/>
  <c r="AO306" i="6" s="1"/>
  <c r="AU211" i="6"/>
  <c r="AV210" i="6" s="1"/>
  <c r="AI101" i="1"/>
  <c r="AI129" i="1"/>
  <c r="AI128" i="1" s="1"/>
  <c r="AI138" i="1" s="1"/>
  <c r="AI137" i="1" s="1"/>
  <c r="AI145" i="1" s="1"/>
  <c r="AI165" i="1" s="1"/>
  <c r="AI105" i="1"/>
  <c r="AI103" i="1"/>
  <c r="AN310" i="6"/>
  <c r="AG132" i="1"/>
  <c r="AO258" i="6"/>
  <c r="AO256" i="6"/>
  <c r="AQ319" i="6"/>
  <c r="AQ271" i="6"/>
  <c r="AQ286" i="6"/>
  <c r="AQ288" i="6"/>
  <c r="R163" i="1"/>
  <c r="S158" i="1" s="1"/>
  <c r="AU102" i="1"/>
  <c r="AZ168" i="6"/>
  <c r="AZ166" i="6"/>
  <c r="AU104" i="1"/>
  <c r="AO300" i="6"/>
  <c r="AO298" i="6"/>
  <c r="AZ186" i="6"/>
  <c r="AZ184" i="6"/>
  <c r="AS244" i="6"/>
  <c r="AS246" i="6"/>
  <c r="AZ202" i="6"/>
  <c r="AU100" i="1"/>
  <c r="R30" i="25"/>
  <c r="R18" i="25"/>
  <c r="R147" i="1"/>
  <c r="AJ162" i="1"/>
  <c r="AJ147" i="1"/>
  <c r="AJ165" i="1"/>
  <c r="AJ156" i="1"/>
  <c r="AN294" i="6"/>
  <c r="AN292" i="6"/>
  <c r="AZ193" i="6" l="1"/>
  <c r="BA190" i="6" s="1"/>
  <c r="AT228" i="6"/>
  <c r="AW220" i="6"/>
  <c r="AW223" i="6" s="1"/>
  <c r="AL283" i="6"/>
  <c r="AW175" i="6"/>
  <c r="AX172" i="6" s="1"/>
  <c r="AL19" i="6"/>
  <c r="AM27" i="28"/>
  <c r="AS235" i="6"/>
  <c r="AL78" i="1"/>
  <c r="AL79" i="1" s="1"/>
  <c r="AL80" i="1" s="1"/>
  <c r="AL81" i="1" s="1"/>
  <c r="AM78" i="1"/>
  <c r="AZ198" i="6"/>
  <c r="AZ196" i="6"/>
  <c r="BA192" i="6"/>
  <c r="AP277" i="6"/>
  <c r="AQ274" i="6" s="1"/>
  <c r="AX216" i="6"/>
  <c r="AX217" i="6" s="1"/>
  <c r="AS265" i="6"/>
  <c r="AT262" i="6" s="1"/>
  <c r="AP28" i="21"/>
  <c r="AP4" i="21" s="1"/>
  <c r="AQ74" i="1" s="1"/>
  <c r="AQ39" i="25" s="1"/>
  <c r="AP26" i="21"/>
  <c r="AP39" i="25"/>
  <c r="AP13" i="25"/>
  <c r="AP144" i="1"/>
  <c r="AO22" i="21"/>
  <c r="AP143" i="1"/>
  <c r="AP38" i="25" s="1"/>
  <c r="AZ205" i="6"/>
  <c r="BA204" i="6" s="1"/>
  <c r="AV208" i="6"/>
  <c r="AV211" i="6" s="1"/>
  <c r="AJ106" i="1"/>
  <c r="AJ16" i="25" s="1"/>
  <c r="AT229" i="6"/>
  <c r="AU228" i="6" s="1"/>
  <c r="AZ187" i="6"/>
  <c r="BA186" i="6" s="1"/>
  <c r="AK103" i="1"/>
  <c r="AK101" i="1"/>
  <c r="AK105" i="1"/>
  <c r="BA178" i="6"/>
  <c r="BA181" i="6" s="1"/>
  <c r="AO304" i="6"/>
  <c r="AO307" i="6" s="1"/>
  <c r="AP306" i="6" s="1"/>
  <c r="AN313" i="6"/>
  <c r="AO312" i="6" s="1"/>
  <c r="AI156" i="1"/>
  <c r="AJ166" i="1"/>
  <c r="AJ167" i="1" s="1"/>
  <c r="AI106" i="1"/>
  <c r="AI131" i="1"/>
  <c r="AZ169" i="6"/>
  <c r="BA168" i="6" s="1"/>
  <c r="AO259" i="6"/>
  <c r="AP258" i="6" s="1"/>
  <c r="AJ148" i="1"/>
  <c r="AJ146" i="1" s="1"/>
  <c r="AJ149" i="1" s="1"/>
  <c r="AQ289" i="6"/>
  <c r="AV100" i="1"/>
  <c r="AR316" i="6"/>
  <c r="AR318" i="6"/>
  <c r="AQ250" i="6"/>
  <c r="AQ252" i="6"/>
  <c r="AX238" i="6"/>
  <c r="AX240" i="6"/>
  <c r="R148" i="1"/>
  <c r="R146" i="1" s="1"/>
  <c r="R149" i="1" s="1"/>
  <c r="S160" i="1"/>
  <c r="S161" i="1" s="1"/>
  <c r="AV104" i="1"/>
  <c r="AN295" i="6"/>
  <c r="AS247" i="6"/>
  <c r="AO301" i="6"/>
  <c r="AR268" i="6"/>
  <c r="AR270" i="6"/>
  <c r="AV102" i="1"/>
  <c r="AK138" i="1"/>
  <c r="AK137" i="1" s="1"/>
  <c r="AK145" i="1" s="1"/>
  <c r="AX220" i="6" l="1"/>
  <c r="AX222" i="6"/>
  <c r="BA184" i="6"/>
  <c r="AM280" i="6"/>
  <c r="AM282" i="6"/>
  <c r="AM18" i="6" s="1"/>
  <c r="AU226" i="6"/>
  <c r="AM79" i="1"/>
  <c r="AM80" i="1" s="1"/>
  <c r="AM81" i="1" s="1"/>
  <c r="AS85" i="1" s="1"/>
  <c r="AX174" i="6"/>
  <c r="AX175" i="6" s="1"/>
  <c r="AY174" i="6" s="1"/>
  <c r="AL87" i="1"/>
  <c r="AR85" i="1"/>
  <c r="AL88" i="1"/>
  <c r="AL89" i="1"/>
  <c r="AL92" i="1" s="1"/>
  <c r="AM275" i="28"/>
  <c r="AM25" i="28"/>
  <c r="BA193" i="6"/>
  <c r="AT232" i="6"/>
  <c r="AT234" i="6"/>
  <c r="AT264" i="6"/>
  <c r="AT265" i="6" s="1"/>
  <c r="AQ276" i="6"/>
  <c r="AQ277" i="6" s="1"/>
  <c r="AZ199" i="6"/>
  <c r="AP27" i="21"/>
  <c r="AP275" i="21" s="1"/>
  <c r="AQ144" i="1"/>
  <c r="AQ13" i="25"/>
  <c r="BA202" i="6"/>
  <c r="BA205" i="6" s="1"/>
  <c r="AP36" i="25"/>
  <c r="AP48" i="25" s="1"/>
  <c r="AP142" i="1"/>
  <c r="AQ27" i="25"/>
  <c r="AQ40" i="25" s="1"/>
  <c r="AJ29" i="25"/>
  <c r="AJ108" i="1"/>
  <c r="AJ109" i="1" s="1"/>
  <c r="AP25" i="21"/>
  <c r="AK106" i="1"/>
  <c r="AK29" i="25" s="1"/>
  <c r="BA187" i="6"/>
  <c r="AO310" i="6"/>
  <c r="AO313" i="6" s="1"/>
  <c r="AP310" i="6" s="1"/>
  <c r="AP304" i="6"/>
  <c r="AP307" i="6" s="1"/>
  <c r="AJ131" i="1"/>
  <c r="AH132" i="1"/>
  <c r="AI29" i="25"/>
  <c r="AI108" i="1"/>
  <c r="AI109" i="1" s="1"/>
  <c r="AI16" i="25"/>
  <c r="AX241" i="6"/>
  <c r="AY240" i="6" s="1"/>
  <c r="AX223" i="6"/>
  <c r="AY220" i="6" s="1"/>
  <c r="BA166" i="6"/>
  <c r="BA169" i="6" s="1"/>
  <c r="AP256" i="6"/>
  <c r="AP259" i="6" s="1"/>
  <c r="AQ256" i="6" s="1"/>
  <c r="AP300" i="6"/>
  <c r="AP298" i="6"/>
  <c r="AT244" i="6"/>
  <c r="AT246" i="6"/>
  <c r="AW104" i="1"/>
  <c r="AQ253" i="6"/>
  <c r="AR319" i="6"/>
  <c r="AW102" i="1"/>
  <c r="AW208" i="6"/>
  <c r="AW210" i="6"/>
  <c r="AJ18" i="25"/>
  <c r="AJ30" i="25"/>
  <c r="AR288" i="6"/>
  <c r="AR286" i="6"/>
  <c r="S162" i="1"/>
  <c r="S166" i="1" s="1"/>
  <c r="S167" i="1" s="1"/>
  <c r="AW100" i="1"/>
  <c r="R17" i="25"/>
  <c r="R4" i="25" s="1"/>
  <c r="R46" i="25" s="1"/>
  <c r="R31" i="25"/>
  <c r="R23" i="25" s="1"/>
  <c r="R47" i="25" s="1"/>
  <c r="AO294" i="6"/>
  <c r="AO292" i="6"/>
  <c r="AK165" i="1"/>
  <c r="AK156" i="1"/>
  <c r="AK162" i="1"/>
  <c r="AK147" i="1"/>
  <c r="AR271" i="6"/>
  <c r="AU229" i="6"/>
  <c r="AY216" i="6"/>
  <c r="AY214" i="6"/>
  <c r="AJ17" i="25"/>
  <c r="AJ31" i="25"/>
  <c r="AM88" i="1" l="1"/>
  <c r="AM87" i="1"/>
  <c r="AN70" i="1"/>
  <c r="AN72" i="1" s="1"/>
  <c r="AN76" i="1" s="1"/>
  <c r="AN78" i="1" s="1"/>
  <c r="AN79" i="1" s="1"/>
  <c r="AN80" i="1" s="1"/>
  <c r="AN81" i="1" s="1"/>
  <c r="AT85" i="1" s="1"/>
  <c r="AM19" i="6"/>
  <c r="AM283" i="6"/>
  <c r="AL90" i="1"/>
  <c r="AM86" i="1" s="1"/>
  <c r="AT235" i="6"/>
  <c r="AY172" i="6"/>
  <c r="AY175" i="6" s="1"/>
  <c r="AZ174" i="6" s="1"/>
  <c r="AL94" i="1"/>
  <c r="AL97" i="1"/>
  <c r="AL98" i="1"/>
  <c r="AL96" i="1"/>
  <c r="AY238" i="6"/>
  <c r="AY241" i="6" s="1"/>
  <c r="AN28" i="28"/>
  <c r="AN4" i="28" s="1"/>
  <c r="AM22" i="28"/>
  <c r="AN26" i="28"/>
  <c r="BA196" i="6"/>
  <c r="BA198" i="6"/>
  <c r="AR276" i="6"/>
  <c r="AR274" i="6"/>
  <c r="AQ143" i="1"/>
  <c r="AQ14" i="25"/>
  <c r="AQ28" i="21"/>
  <c r="AQ4" i="21" s="1"/>
  <c r="AR74" i="1" s="1"/>
  <c r="AQ26" i="21"/>
  <c r="AP22" i="21"/>
  <c r="AK108" i="1"/>
  <c r="AK109" i="1" s="1"/>
  <c r="AK16" i="25"/>
  <c r="AY222" i="6"/>
  <c r="AY217" i="6"/>
  <c r="AZ216" i="6" s="1"/>
  <c r="AR289" i="6"/>
  <c r="AS286" i="6" s="1"/>
  <c r="AP312" i="6"/>
  <c r="AP313" i="6" s="1"/>
  <c r="AJ23" i="25"/>
  <c r="AJ47" i="25" s="1"/>
  <c r="AT247" i="6"/>
  <c r="AU246" i="6" s="1"/>
  <c r="AO295" i="6"/>
  <c r="AP294" i="6" s="1"/>
  <c r="AP301" i="6"/>
  <c r="AQ300" i="6" s="1"/>
  <c r="AK131" i="1"/>
  <c r="AJ132" i="1" s="1"/>
  <c r="AI132" i="1"/>
  <c r="AQ258" i="6"/>
  <c r="AQ259" i="6" s="1"/>
  <c r="AS270" i="6"/>
  <c r="AS268" i="6"/>
  <c r="AQ304" i="6"/>
  <c r="AQ306" i="6"/>
  <c r="AY223" i="6"/>
  <c r="AX100" i="1"/>
  <c r="AJ4" i="25"/>
  <c r="AJ46" i="25" s="1"/>
  <c r="AV228" i="6"/>
  <c r="AV226" i="6"/>
  <c r="AX104" i="1"/>
  <c r="AS318" i="6"/>
  <c r="AS316" i="6"/>
  <c r="R44" i="25"/>
  <c r="AK148" i="1"/>
  <c r="AK146" i="1" s="1"/>
  <c r="AK149" i="1" s="1"/>
  <c r="AX102" i="1"/>
  <c r="AK166" i="1"/>
  <c r="AK167" i="1" s="1"/>
  <c r="S30" i="25"/>
  <c r="S18" i="25"/>
  <c r="S147" i="1"/>
  <c r="AW211" i="6"/>
  <c r="AR252" i="6"/>
  <c r="AR250" i="6"/>
  <c r="S163" i="1"/>
  <c r="T158" i="1" s="1"/>
  <c r="AU262" i="6"/>
  <c r="AU264" i="6"/>
  <c r="AQ298" i="6" l="1"/>
  <c r="AN87" i="1"/>
  <c r="AN88" i="1"/>
  <c r="AN27" i="28"/>
  <c r="AN275" i="28" s="1"/>
  <c r="AM89" i="1"/>
  <c r="AM92" i="1" s="1"/>
  <c r="AM96" i="1" s="1"/>
  <c r="AN282" i="6"/>
  <c r="AN18" i="6" s="1"/>
  <c r="AO70" i="1" s="1"/>
  <c r="AO72" i="1" s="1"/>
  <c r="AO76" i="1" s="1"/>
  <c r="AO78" i="1" s="1"/>
  <c r="AO79" i="1" s="1"/>
  <c r="AO80" i="1" s="1"/>
  <c r="AO81" i="1" s="1"/>
  <c r="AO88" i="1" s="1"/>
  <c r="AN280" i="6"/>
  <c r="AS288" i="6"/>
  <c r="AS289" i="6" s="1"/>
  <c r="AR277" i="6"/>
  <c r="AP292" i="6"/>
  <c r="AL8" i="25"/>
  <c r="AL125" i="1"/>
  <c r="AL26" i="25"/>
  <c r="AL126" i="1"/>
  <c r="AL15" i="25"/>
  <c r="AL28" i="25"/>
  <c r="AU234" i="6"/>
  <c r="AU232" i="6"/>
  <c r="AU235" i="6" s="1"/>
  <c r="AZ214" i="6"/>
  <c r="AZ217" i="6" s="1"/>
  <c r="BA216" i="6" s="1"/>
  <c r="BA199" i="6"/>
  <c r="AQ27" i="21"/>
  <c r="AQ275" i="21" s="1"/>
  <c r="AZ172" i="6"/>
  <c r="AZ175" i="6" s="1"/>
  <c r="BA172" i="6" s="1"/>
  <c r="AR143" i="1"/>
  <c r="AR14" i="25"/>
  <c r="AQ142" i="1"/>
  <c r="AQ38" i="25"/>
  <c r="AQ36" i="25" s="1"/>
  <c r="AQ48" i="25" s="1"/>
  <c r="AR144" i="1"/>
  <c r="AR13" i="25"/>
  <c r="AR39" i="25"/>
  <c r="AR27" i="25"/>
  <c r="AR40" i="25" s="1"/>
  <c r="AQ25" i="21"/>
  <c r="AJ44" i="25"/>
  <c r="AQ312" i="6"/>
  <c r="AQ310" i="6"/>
  <c r="AU244" i="6"/>
  <c r="AU247" i="6" s="1"/>
  <c r="AR253" i="6"/>
  <c r="AS252" i="6" s="1"/>
  <c r="AV229" i="6"/>
  <c r="AW226" i="6" s="1"/>
  <c r="AS271" i="6"/>
  <c r="AT268" i="6" s="1"/>
  <c r="AP295" i="6"/>
  <c r="AK31" i="25"/>
  <c r="AK17" i="25"/>
  <c r="AS319" i="6"/>
  <c r="AZ222" i="6"/>
  <c r="AZ220" i="6"/>
  <c r="AY104" i="1"/>
  <c r="AK18" i="25"/>
  <c r="AK30" i="25"/>
  <c r="AR258" i="6"/>
  <c r="AR256" i="6"/>
  <c r="T160" i="1"/>
  <c r="T161" i="1" s="1"/>
  <c r="AX208" i="6"/>
  <c r="AX210" i="6"/>
  <c r="AQ307" i="6"/>
  <c r="AY102" i="1"/>
  <c r="AU265" i="6"/>
  <c r="AZ240" i="6"/>
  <c r="AZ238" i="6"/>
  <c r="S148" i="1"/>
  <c r="S146" i="1" s="1"/>
  <c r="S149" i="1" s="1"/>
  <c r="AQ301" i="6"/>
  <c r="AY100" i="1"/>
  <c r="AN25" i="28" l="1"/>
  <c r="AO26" i="28" s="1"/>
  <c r="AO27" i="28" s="1"/>
  <c r="AO275" i="28" s="1"/>
  <c r="AO87" i="1"/>
  <c r="AM94" i="1"/>
  <c r="AM98" i="1"/>
  <c r="AM97" i="1"/>
  <c r="AM90" i="1"/>
  <c r="AN86" i="1" s="1"/>
  <c r="AN89" i="1" s="1"/>
  <c r="AN92" i="1" s="1"/>
  <c r="AN96" i="1" s="1"/>
  <c r="AS276" i="6"/>
  <c r="AS274" i="6"/>
  <c r="AL121" i="1"/>
  <c r="AL105" i="1" s="1"/>
  <c r="AN19" i="6"/>
  <c r="AU85" i="1"/>
  <c r="AN283" i="6"/>
  <c r="AV234" i="6"/>
  <c r="AV232" i="6"/>
  <c r="AN22" i="28"/>
  <c r="AO28" i="28"/>
  <c r="AO4" i="28" s="1"/>
  <c r="AQ313" i="6"/>
  <c r="AR312" i="6" s="1"/>
  <c r="AQ22" i="21"/>
  <c r="AR28" i="21"/>
  <c r="AR4" i="21" s="1"/>
  <c r="AS74" i="1" s="1"/>
  <c r="AR26" i="21"/>
  <c r="AR142" i="1"/>
  <c r="AR38" i="25"/>
  <c r="AR36" i="25" s="1"/>
  <c r="AR48" i="25" s="1"/>
  <c r="BA214" i="6"/>
  <c r="BA217" i="6" s="1"/>
  <c r="BA174" i="6"/>
  <c r="BA175" i="6" s="1"/>
  <c r="AR259" i="6"/>
  <c r="AS258" i="6" s="1"/>
  <c r="AS250" i="6"/>
  <c r="AS253" i="6" s="1"/>
  <c r="AZ223" i="6"/>
  <c r="BA222" i="6" s="1"/>
  <c r="AT270" i="6"/>
  <c r="AT271" i="6" s="1"/>
  <c r="AW228" i="6"/>
  <c r="AW229" i="6" s="1"/>
  <c r="AX211" i="6"/>
  <c r="AY210" i="6" s="1"/>
  <c r="T162" i="1"/>
  <c r="T166" i="1" s="1"/>
  <c r="T167" i="1" s="1"/>
  <c r="AV246" i="6"/>
  <c r="AV244" i="6"/>
  <c r="AV264" i="6"/>
  <c r="AV262" i="6"/>
  <c r="AT316" i="6"/>
  <c r="AT318" i="6"/>
  <c r="AZ100" i="1"/>
  <c r="AK4" i="25"/>
  <c r="AK46" i="25" s="1"/>
  <c r="AZ102" i="1"/>
  <c r="AZ241" i="6"/>
  <c r="AZ104" i="1"/>
  <c r="AR300" i="6"/>
  <c r="AR298" i="6"/>
  <c r="AK23" i="25"/>
  <c r="AK47" i="25" s="1"/>
  <c r="AQ292" i="6"/>
  <c r="AQ294" i="6"/>
  <c r="S17" i="25"/>
  <c r="S4" i="25" s="1"/>
  <c r="S46" i="25" s="1"/>
  <c r="S31" i="25"/>
  <c r="S23" i="25" s="1"/>
  <c r="S47" i="25" s="1"/>
  <c r="AT286" i="6"/>
  <c r="AT288" i="6"/>
  <c r="AR304" i="6"/>
  <c r="AR306" i="6"/>
  <c r="AL101" i="1" l="1"/>
  <c r="AN98" i="1"/>
  <c r="AM125" i="1"/>
  <c r="AM8" i="25"/>
  <c r="AM26" i="25"/>
  <c r="AN90" i="1"/>
  <c r="AO86" i="1" s="1"/>
  <c r="AO89" i="1" s="1"/>
  <c r="AO92" i="1" s="1"/>
  <c r="AO97" i="1" s="1"/>
  <c r="AO125" i="1" s="1"/>
  <c r="AN97" i="1"/>
  <c r="AN125" i="1" s="1"/>
  <c r="AN94" i="1"/>
  <c r="AM126" i="1"/>
  <c r="AM28" i="25"/>
  <c r="AM15" i="25"/>
  <c r="AL103" i="1"/>
  <c r="AL129" i="1"/>
  <c r="AL128" i="1" s="1"/>
  <c r="AL138" i="1" s="1"/>
  <c r="AL137" i="1" s="1"/>
  <c r="AL145" i="1" s="1"/>
  <c r="AO282" i="6"/>
  <c r="AO18" i="6" s="1"/>
  <c r="AP70" i="1" s="1"/>
  <c r="AP72" i="1" s="1"/>
  <c r="AP76" i="1" s="1"/>
  <c r="AO280" i="6"/>
  <c r="AR310" i="6"/>
  <c r="AS277" i="6"/>
  <c r="AV235" i="6"/>
  <c r="AW232" i="6" s="1"/>
  <c r="AN15" i="25"/>
  <c r="AN28" i="25"/>
  <c r="AN126" i="1"/>
  <c r="AR313" i="6"/>
  <c r="AS312" i="6" s="1"/>
  <c r="AO25" i="28"/>
  <c r="AS256" i="6"/>
  <c r="AS259" i="6" s="1"/>
  <c r="AR27" i="21"/>
  <c r="AT250" i="6"/>
  <c r="AT252" i="6"/>
  <c r="AS13" i="25"/>
  <c r="AS27" i="25"/>
  <c r="AS40" i="25" s="1"/>
  <c r="AS144" i="1"/>
  <c r="AS39" i="25"/>
  <c r="AR275" i="21"/>
  <c r="AR25" i="21"/>
  <c r="BA220" i="6"/>
  <c r="BA223" i="6" s="1"/>
  <c r="AX228" i="6"/>
  <c r="AX226" i="6"/>
  <c r="AY208" i="6"/>
  <c r="AY211" i="6" s="1"/>
  <c r="AZ210" i="6" s="1"/>
  <c r="AT289" i="6"/>
  <c r="AU288" i="6" s="1"/>
  <c r="AR301" i="6"/>
  <c r="AS298" i="6" s="1"/>
  <c r="AU270" i="6"/>
  <c r="AU268" i="6"/>
  <c r="AQ295" i="6"/>
  <c r="BA100" i="1"/>
  <c r="BA104" i="1"/>
  <c r="BA102" i="1"/>
  <c r="AV265" i="6"/>
  <c r="AV247" i="6"/>
  <c r="S44" i="25"/>
  <c r="T18" i="25"/>
  <c r="T30" i="25"/>
  <c r="T147" i="1"/>
  <c r="AR307" i="6"/>
  <c r="BA240" i="6"/>
  <c r="BA238" i="6"/>
  <c r="AK44" i="25"/>
  <c r="AT319" i="6"/>
  <c r="T163" i="1"/>
  <c r="U158" i="1" s="1"/>
  <c r="AL106" i="1" l="1"/>
  <c r="AL16" i="25" s="1"/>
  <c r="AO26" i="25"/>
  <c r="AW234" i="6"/>
  <c r="AO283" i="6"/>
  <c r="AO8" i="25"/>
  <c r="AO96" i="1"/>
  <c r="AO90" i="1"/>
  <c r="AP86" i="1" s="1"/>
  <c r="AO94" i="1"/>
  <c r="AN26" i="25"/>
  <c r="AO98" i="1"/>
  <c r="AL131" i="1"/>
  <c r="AM121" i="1"/>
  <c r="AN8" i="25"/>
  <c r="AT276" i="6"/>
  <c r="AT274" i="6"/>
  <c r="AO19" i="6"/>
  <c r="AS310" i="6"/>
  <c r="AS313" i="6" s="1"/>
  <c r="AP78" i="1"/>
  <c r="AP79" i="1" s="1"/>
  <c r="AP80" i="1" s="1"/>
  <c r="AP81" i="1" s="1"/>
  <c r="AP280" i="6"/>
  <c r="AP282" i="6"/>
  <c r="AP18" i="6" s="1"/>
  <c r="AQ70" i="1" s="1"/>
  <c r="AQ72" i="1" s="1"/>
  <c r="AQ76" i="1" s="1"/>
  <c r="AQ78" i="1" s="1"/>
  <c r="AQ79" i="1" s="1"/>
  <c r="AQ80" i="1" s="1"/>
  <c r="AQ81" i="1" s="1"/>
  <c r="AL29" i="25"/>
  <c r="AO28" i="25"/>
  <c r="AN121" i="1"/>
  <c r="AK132" i="1"/>
  <c r="AL162" i="1"/>
  <c r="AL165" i="1"/>
  <c r="AL147" i="1"/>
  <c r="AL148" i="1" s="1"/>
  <c r="AL156" i="1"/>
  <c r="AW235" i="6"/>
  <c r="AP26" i="28"/>
  <c r="AP28" i="28"/>
  <c r="AP4" i="28" s="1"/>
  <c r="AO22" i="28"/>
  <c r="AT253" i="6"/>
  <c r="AU250" i="6" s="1"/>
  <c r="AX229" i="6"/>
  <c r="AY228" i="6" s="1"/>
  <c r="AR22" i="21"/>
  <c r="AS28" i="21"/>
  <c r="AS4" i="21" s="1"/>
  <c r="AT74" i="1" s="1"/>
  <c r="AS26" i="21"/>
  <c r="AS143" i="1"/>
  <c r="AS14" i="25"/>
  <c r="AZ208" i="6"/>
  <c r="AZ211" i="6" s="1"/>
  <c r="BA210" i="6" s="1"/>
  <c r="BA241" i="6"/>
  <c r="AU286" i="6"/>
  <c r="AU289" i="6" s="1"/>
  <c r="AS300" i="6"/>
  <c r="AS301" i="6" s="1"/>
  <c r="BB102" i="1"/>
  <c r="BB100" i="1"/>
  <c r="U160" i="1"/>
  <c r="U161" i="1" s="1"/>
  <c r="AU271" i="6"/>
  <c r="AS306" i="6"/>
  <c r="AS304" i="6"/>
  <c r="AR292" i="6"/>
  <c r="AR294" i="6"/>
  <c r="AT256" i="6"/>
  <c r="AT258" i="6"/>
  <c r="AU318" i="6"/>
  <c r="AU316" i="6"/>
  <c r="T148" i="1"/>
  <c r="T146" i="1" s="1"/>
  <c r="T149" i="1" s="1"/>
  <c r="AW244" i="6"/>
  <c r="AW246" i="6"/>
  <c r="BB104" i="1"/>
  <c r="AW264" i="6"/>
  <c r="AW262" i="6"/>
  <c r="AL108" i="1" l="1"/>
  <c r="AL109" i="1" s="1"/>
  <c r="AO126" i="1"/>
  <c r="AO121" i="1" s="1"/>
  <c r="AO129" i="1" s="1"/>
  <c r="AO128" i="1" s="1"/>
  <c r="AP283" i="6"/>
  <c r="AO15" i="25"/>
  <c r="AM129" i="1"/>
  <c r="AM128" i="1" s="1"/>
  <c r="AM105" i="1"/>
  <c r="AM101" i="1"/>
  <c r="AM103" i="1"/>
  <c r="AT310" i="6"/>
  <c r="AT312" i="6"/>
  <c r="AQ87" i="1"/>
  <c r="AQ88" i="1"/>
  <c r="AW85" i="1"/>
  <c r="AP27" i="28"/>
  <c r="AP19" i="6"/>
  <c r="AP87" i="1"/>
  <c r="AV85" i="1"/>
  <c r="AP88" i="1"/>
  <c r="AP89" i="1" s="1"/>
  <c r="AP92" i="1" s="1"/>
  <c r="AT277" i="6"/>
  <c r="AQ282" i="6"/>
  <c r="AQ18" i="6" s="1"/>
  <c r="AR70" i="1" s="1"/>
  <c r="AR72" i="1" s="1"/>
  <c r="AR76" i="1" s="1"/>
  <c r="AR78" i="1" s="1"/>
  <c r="AR79" i="1" s="1"/>
  <c r="AR80" i="1" s="1"/>
  <c r="AR81" i="1" s="1"/>
  <c r="AX85" i="1" s="1"/>
  <c r="AQ280" i="6"/>
  <c r="AN129" i="1"/>
  <c r="AN128" i="1" s="1"/>
  <c r="AN138" i="1" s="1"/>
  <c r="AN137" i="1" s="1"/>
  <c r="AN145" i="1" s="1"/>
  <c r="AN105" i="1"/>
  <c r="AN103" i="1"/>
  <c r="AN101" i="1"/>
  <c r="AU252" i="6"/>
  <c r="AU253" i="6" s="1"/>
  <c r="AV250" i="6" s="1"/>
  <c r="AX232" i="6"/>
  <c r="AX234" i="6"/>
  <c r="AL166" i="1"/>
  <c r="AL167" i="1" s="1"/>
  <c r="AL146" i="1"/>
  <c r="AL149" i="1" s="1"/>
  <c r="AL17" i="25"/>
  <c r="AL31" i="25"/>
  <c r="AU319" i="6"/>
  <c r="AV316" i="6" s="1"/>
  <c r="AY226" i="6"/>
  <c r="AY229" i="6" s="1"/>
  <c r="AZ228" i="6" s="1"/>
  <c r="AS27" i="21"/>
  <c r="AS275" i="21"/>
  <c r="AS25" i="21"/>
  <c r="AT39" i="25"/>
  <c r="AT27" i="25"/>
  <c r="AT40" i="25" s="1"/>
  <c r="AT144" i="1"/>
  <c r="AT13" i="25"/>
  <c r="AS38" i="25"/>
  <c r="AS36" i="25" s="1"/>
  <c r="AS48" i="25" s="1"/>
  <c r="AS142" i="1"/>
  <c r="BA208" i="6"/>
  <c r="BA211" i="6" s="1"/>
  <c r="AT313" i="6"/>
  <c r="AU312" i="6" s="1"/>
  <c r="AO101" i="1"/>
  <c r="AO105" i="1"/>
  <c r="AO103" i="1"/>
  <c r="AR295" i="6"/>
  <c r="AS294" i="6" s="1"/>
  <c r="AS307" i="6"/>
  <c r="AT304" i="6" s="1"/>
  <c r="AW247" i="6"/>
  <c r="AX244" i="6" s="1"/>
  <c r="AW265" i="6"/>
  <c r="AX264" i="6" s="1"/>
  <c r="A104" i="1"/>
  <c r="B104" i="1"/>
  <c r="AV270" i="6"/>
  <c r="AV268" i="6"/>
  <c r="A102" i="1"/>
  <c r="B102" i="1"/>
  <c r="AV286" i="6"/>
  <c r="AV288" i="6"/>
  <c r="AO138" i="1"/>
  <c r="AO137" i="1" s="1"/>
  <c r="AO145" i="1" s="1"/>
  <c r="AT298" i="6"/>
  <c r="AT300" i="6"/>
  <c r="B100" i="1"/>
  <c r="A100" i="1"/>
  <c r="T17" i="25"/>
  <c r="T4" i="25" s="1"/>
  <c r="T46" i="25" s="1"/>
  <c r="T31" i="25"/>
  <c r="T23" i="25" s="1"/>
  <c r="T47" i="25" s="1"/>
  <c r="AT259" i="6"/>
  <c r="U162" i="1"/>
  <c r="U166" i="1" s="1"/>
  <c r="U167" i="1" s="1"/>
  <c r="AZ226" i="6" l="1"/>
  <c r="AZ229" i="6" s="1"/>
  <c r="BA228" i="6" s="1"/>
  <c r="AM106" i="1"/>
  <c r="AM138" i="1"/>
  <c r="AM137" i="1" s="1"/>
  <c r="AM145" i="1" s="1"/>
  <c r="AM131" i="1"/>
  <c r="AL132" i="1" s="1"/>
  <c r="AP97" i="1"/>
  <c r="AP98" i="1"/>
  <c r="AP96" i="1"/>
  <c r="AP94" i="1"/>
  <c r="AR88" i="1"/>
  <c r="AP90" i="1"/>
  <c r="AQ86" i="1" s="1"/>
  <c r="AR87" i="1"/>
  <c r="AQ19" i="6"/>
  <c r="AQ283" i="6"/>
  <c r="AP275" i="28"/>
  <c r="AP25" i="28"/>
  <c r="AU276" i="6"/>
  <c r="AU274" i="6"/>
  <c r="AU277" i="6" s="1"/>
  <c r="AV274" i="6" s="1"/>
  <c r="AN106" i="1"/>
  <c r="AN162" i="1"/>
  <c r="AN156" i="1"/>
  <c r="AN147" i="1"/>
  <c r="AN148" i="1" s="1"/>
  <c r="AN146" i="1" s="1"/>
  <c r="AN149" i="1" s="1"/>
  <c r="AN165" i="1"/>
  <c r="AV318" i="6"/>
  <c r="AV319" i="6" s="1"/>
  <c r="AW318" i="6" s="1"/>
  <c r="AL30" i="25"/>
  <c r="AL23" i="25" s="1"/>
  <c r="AL47" i="25" s="1"/>
  <c r="AL18" i="25"/>
  <c r="AL4" i="25" s="1"/>
  <c r="AL46" i="25" s="1"/>
  <c r="AX235" i="6"/>
  <c r="AV252" i="6"/>
  <c r="AV253" i="6" s="1"/>
  <c r="AU310" i="6"/>
  <c r="AU313" i="6" s="1"/>
  <c r="AV310" i="6" s="1"/>
  <c r="AT26" i="21"/>
  <c r="AS22" i="21"/>
  <c r="AT28" i="21"/>
  <c r="AT4" i="21" s="1"/>
  <c r="AU74" i="1" s="1"/>
  <c r="AT143" i="1"/>
  <c r="AT14" i="25"/>
  <c r="BA226" i="6"/>
  <c r="BA229" i="6" s="1"/>
  <c r="AT306" i="6"/>
  <c r="AT307" i="6" s="1"/>
  <c r="AO106" i="1"/>
  <c r="AO29" i="25" s="1"/>
  <c r="AX246" i="6"/>
  <c r="AX247" i="6" s="1"/>
  <c r="AS292" i="6"/>
  <c r="AS295" i="6" s="1"/>
  <c r="AX262" i="6"/>
  <c r="AX265" i="6" s="1"/>
  <c r="AV289" i="6"/>
  <c r="AW288" i="6" s="1"/>
  <c r="U18" i="25"/>
  <c r="U30" i="25"/>
  <c r="U147" i="1"/>
  <c r="AT301" i="6"/>
  <c r="T44" i="25"/>
  <c r="AO165" i="1"/>
  <c r="AO147" i="1"/>
  <c r="AO156" i="1"/>
  <c r="AO162" i="1"/>
  <c r="AV271" i="6"/>
  <c r="AU258" i="6"/>
  <c r="AU256" i="6"/>
  <c r="U163" i="1"/>
  <c r="V158" i="1" s="1"/>
  <c r="AN131" i="1" l="1"/>
  <c r="AM132" i="1" s="1"/>
  <c r="AM162" i="1"/>
  <c r="AM165" i="1"/>
  <c r="AM156" i="1"/>
  <c r="AM166" i="1" s="1"/>
  <c r="AM167" i="1" s="1"/>
  <c r="AM147" i="1"/>
  <c r="AM148" i="1" s="1"/>
  <c r="AM16" i="25"/>
  <c r="AM29" i="25"/>
  <c r="AM108" i="1"/>
  <c r="AM109" i="1" s="1"/>
  <c r="AN17" i="25"/>
  <c r="AN108" i="1"/>
  <c r="AN109" i="1" s="1"/>
  <c r="AN29" i="25"/>
  <c r="AN16" i="25"/>
  <c r="AV276" i="6"/>
  <c r="AV277" i="6" s="1"/>
  <c r="AQ89" i="1"/>
  <c r="AQ92" i="1" s="1"/>
  <c r="AQ90" i="1"/>
  <c r="AR86" i="1" s="1"/>
  <c r="AR89" i="1" s="1"/>
  <c r="AR92" i="1" s="1"/>
  <c r="AR94" i="1" s="1"/>
  <c r="AQ26" i="28"/>
  <c r="AP22" i="28"/>
  <c r="AQ28" i="28"/>
  <c r="AQ4" i="28" s="1"/>
  <c r="AP126" i="1"/>
  <c r="AP15" i="25"/>
  <c r="AP28" i="25"/>
  <c r="AN166" i="1"/>
  <c r="AR282" i="6"/>
  <c r="AR18" i="6" s="1"/>
  <c r="AS70" i="1" s="1"/>
  <c r="AS72" i="1" s="1"/>
  <c r="AS76" i="1" s="1"/>
  <c r="AS78" i="1" s="1"/>
  <c r="AS79" i="1" s="1"/>
  <c r="AS80" i="1" s="1"/>
  <c r="AS81" i="1" s="1"/>
  <c r="AS87" i="1" s="1"/>
  <c r="AR280" i="6"/>
  <c r="AP125" i="1"/>
  <c r="AP8" i="25"/>
  <c r="AP26" i="25"/>
  <c r="AN167" i="1"/>
  <c r="AL44" i="25"/>
  <c r="AN31" i="25"/>
  <c r="AV312" i="6"/>
  <c r="AY232" i="6"/>
  <c r="AY234" i="6"/>
  <c r="AW250" i="6"/>
  <c r="AW252" i="6"/>
  <c r="AT27" i="21"/>
  <c r="AT275" i="21" s="1"/>
  <c r="AU143" i="1" s="1"/>
  <c r="AT38" i="25"/>
  <c r="AT36" i="25" s="1"/>
  <c r="AT48" i="25" s="1"/>
  <c r="AT142" i="1"/>
  <c r="AU27" i="25"/>
  <c r="AU40" i="25" s="1"/>
  <c r="AU144" i="1"/>
  <c r="AU13" i="25"/>
  <c r="AU39" i="25"/>
  <c r="AO16" i="25"/>
  <c r="AO108" i="1"/>
  <c r="AO109" i="1" s="1"/>
  <c r="AY246" i="6"/>
  <c r="AY244" i="6"/>
  <c r="AR90" i="1"/>
  <c r="AS86" i="1" s="1"/>
  <c r="AR97" i="1"/>
  <c r="AR125" i="1" s="1"/>
  <c r="AR98" i="1"/>
  <c r="AT294" i="6"/>
  <c r="AT292" i="6"/>
  <c r="AV313" i="6"/>
  <c r="AW312" i="6" s="1"/>
  <c r="AW316" i="6"/>
  <c r="AW319" i="6" s="1"/>
  <c r="AW286" i="6"/>
  <c r="AW289" i="6" s="1"/>
  <c r="AX286" i="6" s="1"/>
  <c r="AS88" i="1"/>
  <c r="AY264" i="6"/>
  <c r="AY262" i="6"/>
  <c r="AW268" i="6"/>
  <c r="AW270" i="6"/>
  <c r="AU306" i="6"/>
  <c r="AU304" i="6"/>
  <c r="V160" i="1"/>
  <c r="V161" i="1" s="1"/>
  <c r="AU300" i="6"/>
  <c r="AU298" i="6"/>
  <c r="AO148" i="1"/>
  <c r="AO146" i="1" s="1"/>
  <c r="AO149" i="1" s="1"/>
  <c r="AW274" i="6"/>
  <c r="AW276" i="6"/>
  <c r="AU259" i="6"/>
  <c r="AO166" i="1"/>
  <c r="AO167" i="1" s="1"/>
  <c r="U148" i="1"/>
  <c r="U146" i="1" s="1"/>
  <c r="U149" i="1" s="1"/>
  <c r="AO131" i="1" l="1"/>
  <c r="AN132" i="1" s="1"/>
  <c r="AM146" i="1"/>
  <c r="AM149" i="1" s="1"/>
  <c r="AM31" i="25"/>
  <c r="AM17" i="25"/>
  <c r="AM18" i="25"/>
  <c r="AM30" i="25"/>
  <c r="AP121" i="1"/>
  <c r="AP129" i="1" s="1"/>
  <c r="AP128" i="1" s="1"/>
  <c r="AR96" i="1"/>
  <c r="AR15" i="25" s="1"/>
  <c r="AQ96" i="1"/>
  <c r="AQ98" i="1"/>
  <c r="AQ94" i="1"/>
  <c r="AQ97" i="1"/>
  <c r="AY85" i="1"/>
  <c r="AR283" i="6"/>
  <c r="AQ27" i="28"/>
  <c r="AR19" i="6"/>
  <c r="AN30" i="25"/>
  <c r="AN23" i="25" s="1"/>
  <c r="AN47" i="25" s="1"/>
  <c r="AN18" i="25"/>
  <c r="AN4" i="25" s="1"/>
  <c r="AN46" i="25" s="1"/>
  <c r="AY235" i="6"/>
  <c r="AW253" i="6"/>
  <c r="AX250" i="6" s="1"/>
  <c r="AT25" i="21"/>
  <c r="AT22" i="21" s="1"/>
  <c r="AY247" i="6"/>
  <c r="AT295" i="6"/>
  <c r="AU294" i="6" s="1"/>
  <c r="AU307" i="6"/>
  <c r="AV306" i="6" s="1"/>
  <c r="AU14" i="25"/>
  <c r="AU142" i="1"/>
  <c r="AU38" i="25"/>
  <c r="AU36" i="25" s="1"/>
  <c r="AU48" i="25" s="1"/>
  <c r="AR8" i="25"/>
  <c r="AR26" i="25"/>
  <c r="AS89" i="1"/>
  <c r="AS92" i="1" s="1"/>
  <c r="AS94" i="1" s="1"/>
  <c r="AW310" i="6"/>
  <c r="AW313" i="6" s="1"/>
  <c r="AX288" i="6"/>
  <c r="AX289" i="6" s="1"/>
  <c r="AY265" i="6"/>
  <c r="AZ264" i="6" s="1"/>
  <c r="AU301" i="6"/>
  <c r="AV300" i="6" s="1"/>
  <c r="AW277" i="6"/>
  <c r="AX274" i="6" s="1"/>
  <c r="V162" i="1"/>
  <c r="V166" i="1" s="1"/>
  <c r="V167" i="1" s="1"/>
  <c r="AO18" i="25"/>
  <c r="AO30" i="25"/>
  <c r="AW271" i="6"/>
  <c r="AX316" i="6"/>
  <c r="AX318" i="6"/>
  <c r="AO17" i="25"/>
  <c r="AO31" i="25"/>
  <c r="AZ246" i="6"/>
  <c r="AZ244" i="6"/>
  <c r="U31" i="25"/>
  <c r="U23" i="25" s="1"/>
  <c r="U47" i="25" s="1"/>
  <c r="U17" i="25"/>
  <c r="U4" i="25" s="1"/>
  <c r="U46" i="25" s="1"/>
  <c r="AV258" i="6"/>
  <c r="AV256" i="6"/>
  <c r="AU292" i="6"/>
  <c r="AR126" i="1" l="1"/>
  <c r="AR121" i="1" s="1"/>
  <c r="AR129" i="1" s="1"/>
  <c r="AR128" i="1" s="1"/>
  <c r="AR138" i="1" s="1"/>
  <c r="AR137" i="1" s="1"/>
  <c r="AR145" i="1" s="1"/>
  <c r="AP103" i="1"/>
  <c r="AN44" i="25"/>
  <c r="AM4" i="25"/>
  <c r="AM46" i="25" s="1"/>
  <c r="AR28" i="25"/>
  <c r="AP101" i="1"/>
  <c r="AM23" i="25"/>
  <c r="AM47" i="25" s="1"/>
  <c r="AM44" i="25"/>
  <c r="AP105" i="1"/>
  <c r="AP106" i="1" s="1"/>
  <c r="AV304" i="6"/>
  <c r="AV307" i="6" s="1"/>
  <c r="AW306" i="6" s="1"/>
  <c r="AX252" i="6"/>
  <c r="AX253" i="6" s="1"/>
  <c r="AY250" i="6" s="1"/>
  <c r="AP131" i="1"/>
  <c r="AO132" i="1" s="1"/>
  <c r="AP138" i="1"/>
  <c r="AP137" i="1" s="1"/>
  <c r="AP145" i="1" s="1"/>
  <c r="AQ125" i="1"/>
  <c r="AQ26" i="25"/>
  <c r="AQ8" i="25"/>
  <c r="AS282" i="6"/>
  <c r="AS18" i="6" s="1"/>
  <c r="AT70" i="1" s="1"/>
  <c r="AT72" i="1" s="1"/>
  <c r="AT76" i="1" s="1"/>
  <c r="AS280" i="6"/>
  <c r="AQ28" i="25"/>
  <c r="AQ126" i="1"/>
  <c r="AQ121" i="1" s="1"/>
  <c r="AQ15" i="25"/>
  <c r="AQ275" i="28"/>
  <c r="AQ25" i="28"/>
  <c r="AZ232" i="6"/>
  <c r="AZ234" i="6"/>
  <c r="AV259" i="6"/>
  <c r="AW256" i="6" s="1"/>
  <c r="AU26" i="21"/>
  <c r="AU28" i="21"/>
  <c r="AU4" i="21" s="1"/>
  <c r="AV74" i="1" s="1"/>
  <c r="AV144" i="1" s="1"/>
  <c r="AX312" i="6"/>
  <c r="AX310" i="6"/>
  <c r="AX313" i="6" s="1"/>
  <c r="AY310" i="6" s="1"/>
  <c r="AS98" i="1"/>
  <c r="AV298" i="6"/>
  <c r="AV301" i="6" s="1"/>
  <c r="U44" i="25"/>
  <c r="AS97" i="1"/>
  <c r="AS125" i="1" s="1"/>
  <c r="AS96" i="1"/>
  <c r="AZ247" i="6"/>
  <c r="BA246" i="6" s="1"/>
  <c r="AS90" i="1"/>
  <c r="AT86" i="1" s="1"/>
  <c r="AY288" i="6"/>
  <c r="AY286" i="6"/>
  <c r="AZ262" i="6"/>
  <c r="AZ265" i="6" s="1"/>
  <c r="AO23" i="25"/>
  <c r="AO47" i="25" s="1"/>
  <c r="AO4" i="25"/>
  <c r="AO46" i="25" s="1"/>
  <c r="AX276" i="6"/>
  <c r="AX277" i="6" s="1"/>
  <c r="AX268" i="6"/>
  <c r="AX270" i="6"/>
  <c r="V18" i="25"/>
  <c r="V30" i="25"/>
  <c r="V147" i="1"/>
  <c r="AX319" i="6"/>
  <c r="AT78" i="1"/>
  <c r="AT79" i="1" s="1"/>
  <c r="AT80" i="1" s="1"/>
  <c r="AT81" i="1" s="1"/>
  <c r="AU295" i="6"/>
  <c r="V163" i="1"/>
  <c r="W158" i="1" s="1"/>
  <c r="AR101" i="1" l="1"/>
  <c r="AR106" i="1" s="1"/>
  <c r="AR29" i="25" s="1"/>
  <c r="AR103" i="1"/>
  <c r="AR105" i="1"/>
  <c r="AY252" i="6"/>
  <c r="AY253" i="6" s="1"/>
  <c r="AZ252" i="6" s="1"/>
  <c r="AV13" i="25"/>
  <c r="AP16" i="25"/>
  <c r="AP29" i="25"/>
  <c r="AP108" i="1"/>
  <c r="AP109" i="1" s="1"/>
  <c r="AR28" i="28"/>
  <c r="AR4" i="28" s="1"/>
  <c r="AR26" i="28"/>
  <c r="AR27" i="28" s="1"/>
  <c r="AQ22" i="28"/>
  <c r="AQ101" i="1"/>
  <c r="AQ103" i="1"/>
  <c r="AQ105" i="1"/>
  <c r="AQ129" i="1"/>
  <c r="AQ128" i="1" s="1"/>
  <c r="AS283" i="6"/>
  <c r="AP165" i="1"/>
  <c r="AP162" i="1"/>
  <c r="AP147" i="1"/>
  <c r="AP148" i="1" s="1"/>
  <c r="AP156" i="1"/>
  <c r="AS19" i="6"/>
  <c r="AW258" i="6"/>
  <c r="AW259" i="6" s="1"/>
  <c r="AZ235" i="6"/>
  <c r="AV39" i="25"/>
  <c r="AV27" i="25"/>
  <c r="AV40" i="25" s="1"/>
  <c r="AU27" i="21"/>
  <c r="AU275" i="21"/>
  <c r="AV143" i="1" s="1"/>
  <c r="AU25" i="21"/>
  <c r="AV28" i="21" s="1"/>
  <c r="AV4" i="21" s="1"/>
  <c r="AW74" i="1" s="1"/>
  <c r="AY312" i="6"/>
  <c r="AY313" i="6" s="1"/>
  <c r="AV26" i="21"/>
  <c r="AS126" i="1"/>
  <c r="AS121" i="1" s="1"/>
  <c r="AS15" i="25"/>
  <c r="AW304" i="6"/>
  <c r="AW307" i="6" s="1"/>
  <c r="AX304" i="6" s="1"/>
  <c r="AY289" i="6"/>
  <c r="AZ288" i="6" s="1"/>
  <c r="AS28" i="25"/>
  <c r="AS26" i="25"/>
  <c r="AS8" i="25"/>
  <c r="BA244" i="6"/>
  <c r="BA247" i="6" s="1"/>
  <c r="AO44" i="25"/>
  <c r="AV294" i="6"/>
  <c r="AV292" i="6"/>
  <c r="W160" i="1"/>
  <c r="W161" i="1" s="1"/>
  <c r="BA264" i="6"/>
  <c r="BA262" i="6"/>
  <c r="AT87" i="1"/>
  <c r="AT88" i="1"/>
  <c r="AT89" i="1" s="1"/>
  <c r="AT92" i="1" s="1"/>
  <c r="AZ85" i="1"/>
  <c r="V148" i="1"/>
  <c r="V146" i="1" s="1"/>
  <c r="V149" i="1" s="1"/>
  <c r="AR162" i="1"/>
  <c r="AR147" i="1"/>
  <c r="AR165" i="1"/>
  <c r="AR156" i="1"/>
  <c r="AY276" i="6"/>
  <c r="AY274" i="6"/>
  <c r="AX271" i="6"/>
  <c r="AY316" i="6"/>
  <c r="AY318" i="6"/>
  <c r="AW300" i="6"/>
  <c r="AW298" i="6"/>
  <c r="AR275" i="28" l="1"/>
  <c r="AR25" i="28"/>
  <c r="AP166" i="1"/>
  <c r="AP167" i="1" s="1"/>
  <c r="AQ106" i="1"/>
  <c r="AP146" i="1"/>
  <c r="AP149" i="1" s="1"/>
  <c r="AP31" i="25"/>
  <c r="AP17" i="25"/>
  <c r="AX306" i="6"/>
  <c r="AX307" i="6" s="1"/>
  <c r="AZ250" i="6"/>
  <c r="AZ253" i="6" s="1"/>
  <c r="AT280" i="6"/>
  <c r="AT282" i="6"/>
  <c r="AT18" i="6" s="1"/>
  <c r="AQ138" i="1"/>
  <c r="AQ137" i="1" s="1"/>
  <c r="AQ145" i="1" s="1"/>
  <c r="AQ131" i="1"/>
  <c r="BA234" i="6"/>
  <c r="BA232" i="6"/>
  <c r="BA235" i="6" s="1"/>
  <c r="BA265" i="6"/>
  <c r="AZ286" i="6"/>
  <c r="AZ289" i="6" s="1"/>
  <c r="BA286" i="6" s="1"/>
  <c r="AU22" i="21"/>
  <c r="AV14" i="25"/>
  <c r="AV142" i="1"/>
  <c r="AV38" i="25"/>
  <c r="AV36" i="25" s="1"/>
  <c r="AV48" i="25" s="1"/>
  <c r="AV27" i="21"/>
  <c r="AW13" i="25"/>
  <c r="AW27" i="25"/>
  <c r="AW40" i="25" s="1"/>
  <c r="AW39" i="25"/>
  <c r="AW144" i="1"/>
  <c r="AR16" i="25"/>
  <c r="AR108" i="1"/>
  <c r="AR109" i="1" s="1"/>
  <c r="AY319" i="6"/>
  <c r="AZ316" i="6" s="1"/>
  <c r="AR166" i="1"/>
  <c r="AR167" i="1" s="1"/>
  <c r="AW301" i="6"/>
  <c r="AX300" i="6" s="1"/>
  <c r="AT97" i="1"/>
  <c r="AT96" i="1"/>
  <c r="AT94" i="1"/>
  <c r="AT98" i="1"/>
  <c r="W162" i="1"/>
  <c r="W166" i="1" s="1"/>
  <c r="W167" i="1" s="1"/>
  <c r="AZ312" i="6"/>
  <c r="AZ310" i="6"/>
  <c r="AT90" i="1"/>
  <c r="AU86" i="1" s="1"/>
  <c r="V31" i="25"/>
  <c r="V23" i="25" s="1"/>
  <c r="V47" i="25" s="1"/>
  <c r="V17" i="25"/>
  <c r="V4" i="25" s="1"/>
  <c r="V46" i="25" s="1"/>
  <c r="AR148" i="1"/>
  <c r="AR146" i="1" s="1"/>
  <c r="AR149" i="1" s="1"/>
  <c r="AS129" i="1"/>
  <c r="AS128" i="1" s="1"/>
  <c r="AS101" i="1"/>
  <c r="AS105" i="1"/>
  <c r="AS103" i="1"/>
  <c r="AY268" i="6"/>
  <c r="AY270" i="6"/>
  <c r="AX256" i="6"/>
  <c r="AX258" i="6"/>
  <c r="AY277" i="6"/>
  <c r="AV295" i="6"/>
  <c r="AP30" i="25" l="1"/>
  <c r="AP23" i="25" s="1"/>
  <c r="AP47" i="25" s="1"/>
  <c r="AP18" i="25"/>
  <c r="AP4" i="25" s="1"/>
  <c r="AP46" i="25" s="1"/>
  <c r="AP132" i="1"/>
  <c r="AR131" i="1"/>
  <c r="AS131" i="1" s="1"/>
  <c r="AQ162" i="1"/>
  <c r="AQ165" i="1"/>
  <c r="AQ156" i="1"/>
  <c r="AQ147" i="1"/>
  <c r="AQ148" i="1" s="1"/>
  <c r="AT283" i="6"/>
  <c r="AS28" i="28"/>
  <c r="AS4" i="28" s="1"/>
  <c r="AS26" i="28"/>
  <c r="AR22" i="28"/>
  <c r="AQ108" i="1"/>
  <c r="AQ109" i="1" s="1"/>
  <c r="AQ16" i="25"/>
  <c r="AQ29" i="25"/>
  <c r="AU70" i="1"/>
  <c r="AU72" i="1" s="1"/>
  <c r="AU76" i="1" s="1"/>
  <c r="AT19" i="6"/>
  <c r="AV275" i="21"/>
  <c r="AV25" i="21"/>
  <c r="AZ313" i="6"/>
  <c r="BA312" i="6" s="1"/>
  <c r="AX298" i="6"/>
  <c r="AX301" i="6" s="1"/>
  <c r="BA288" i="6"/>
  <c r="BA289" i="6" s="1"/>
  <c r="AZ318" i="6"/>
  <c r="AZ319" i="6" s="1"/>
  <c r="V44" i="25"/>
  <c r="AW292" i="6"/>
  <c r="AW294" i="6"/>
  <c r="AS106" i="1"/>
  <c r="AT15" i="25"/>
  <c r="AT28" i="25"/>
  <c r="AT126" i="1"/>
  <c r="AS138" i="1"/>
  <c r="AS137" i="1" s="1"/>
  <c r="AS145" i="1" s="1"/>
  <c r="AR18" i="25"/>
  <c r="AR30" i="25"/>
  <c r="W163" i="1"/>
  <c r="X158" i="1" s="1"/>
  <c r="BA252" i="6"/>
  <c r="BA250" i="6"/>
  <c r="AR17" i="25"/>
  <c r="AR31" i="25"/>
  <c r="W30" i="25"/>
  <c r="W18" i="25"/>
  <c r="W147" i="1"/>
  <c r="AX259" i="6"/>
  <c r="AZ276" i="6"/>
  <c r="AZ274" i="6"/>
  <c r="AY271" i="6"/>
  <c r="AY304" i="6"/>
  <c r="AY306" i="6"/>
  <c r="AT125" i="1"/>
  <c r="AT8" i="25"/>
  <c r="AT26" i="25"/>
  <c r="AQ166" i="1" l="1"/>
  <c r="AQ167" i="1" s="1"/>
  <c r="AP44" i="25"/>
  <c r="AS27" i="28"/>
  <c r="AQ132" i="1"/>
  <c r="AU78" i="1"/>
  <c r="AU79" i="1" s="1"/>
  <c r="AU80" i="1" s="1"/>
  <c r="AU81" i="1" s="1"/>
  <c r="AU282" i="6"/>
  <c r="AU18" i="6" s="1"/>
  <c r="AV70" i="1" s="1"/>
  <c r="AV72" i="1" s="1"/>
  <c r="AV76" i="1" s="1"/>
  <c r="AV78" i="1" s="1"/>
  <c r="AV79" i="1" s="1"/>
  <c r="AV80" i="1" s="1"/>
  <c r="AV81" i="1" s="1"/>
  <c r="AU280" i="6"/>
  <c r="AQ146" i="1"/>
  <c r="AQ149" i="1" s="1"/>
  <c r="AQ17" i="25"/>
  <c r="AQ31" i="25"/>
  <c r="BA310" i="6"/>
  <c r="BA313" i="6" s="1"/>
  <c r="AW26" i="21"/>
  <c r="AV22" i="21"/>
  <c r="AW28" i="21"/>
  <c r="AW4" i="21" s="1"/>
  <c r="AX74" i="1" s="1"/>
  <c r="AW143" i="1"/>
  <c r="AW14" i="25"/>
  <c r="AY300" i="6"/>
  <c r="AY298" i="6"/>
  <c r="AZ277" i="6"/>
  <c r="BA276" i="6" s="1"/>
  <c r="AW295" i="6"/>
  <c r="AX292" i="6" s="1"/>
  <c r="BA253" i="6"/>
  <c r="AR4" i="25"/>
  <c r="AR46" i="25" s="1"/>
  <c r="BA318" i="6"/>
  <c r="BA316" i="6"/>
  <c r="X160" i="1"/>
  <c r="X161" i="1" s="1"/>
  <c r="AR23" i="25"/>
  <c r="AR47" i="25" s="1"/>
  <c r="W148" i="1"/>
  <c r="W146" i="1" s="1"/>
  <c r="W149" i="1" s="1"/>
  <c r="AY307" i="6"/>
  <c r="AR132" i="1"/>
  <c r="AZ270" i="6"/>
  <c r="AZ268" i="6"/>
  <c r="AT121" i="1"/>
  <c r="AY256" i="6"/>
  <c r="AY258" i="6"/>
  <c r="AS16" i="25"/>
  <c r="AS29" i="25"/>
  <c r="AS108" i="1"/>
  <c r="AS109" i="1" s="1"/>
  <c r="AS165" i="1"/>
  <c r="AS156" i="1"/>
  <c r="AS162" i="1"/>
  <c r="AS147" i="1"/>
  <c r="AU283" i="6" l="1"/>
  <c r="AV280" i="6" s="1"/>
  <c r="AU19" i="6"/>
  <c r="AY301" i="6"/>
  <c r="BB85" i="1"/>
  <c r="AV87" i="1"/>
  <c r="AV88" i="1"/>
  <c r="AV282" i="6"/>
  <c r="AV18" i="6" s="1"/>
  <c r="AW70" i="1" s="1"/>
  <c r="AW72" i="1" s="1"/>
  <c r="AW76" i="1" s="1"/>
  <c r="AW78" i="1" s="1"/>
  <c r="AW79" i="1" s="1"/>
  <c r="AW80" i="1" s="1"/>
  <c r="AW81" i="1" s="1"/>
  <c r="BA319" i="6"/>
  <c r="AQ30" i="25"/>
  <c r="AQ23" i="25" s="1"/>
  <c r="AQ47" i="25" s="1"/>
  <c r="AQ18" i="25"/>
  <c r="AQ4" i="25" s="1"/>
  <c r="AQ46" i="25" s="1"/>
  <c r="AU87" i="1"/>
  <c r="AU88" i="1"/>
  <c r="AU89" i="1" s="1"/>
  <c r="AU92" i="1" s="1"/>
  <c r="BA85" i="1"/>
  <c r="AS275" i="28"/>
  <c r="AS25" i="28"/>
  <c r="BA274" i="6"/>
  <c r="BA277" i="6" s="1"/>
  <c r="AX144" i="1"/>
  <c r="AX39" i="25"/>
  <c r="AX13" i="25"/>
  <c r="AX27" i="25"/>
  <c r="AX40" i="25" s="1"/>
  <c r="AW27" i="21"/>
  <c r="AW142" i="1"/>
  <c r="AW38" i="25"/>
  <c r="AW36" i="25" s="1"/>
  <c r="AW48" i="25" s="1"/>
  <c r="AX294" i="6"/>
  <c r="AR44" i="25"/>
  <c r="AZ271" i="6"/>
  <c r="BA270" i="6" s="1"/>
  <c r="X162" i="1"/>
  <c r="X166" i="1" s="1"/>
  <c r="X167" i="1" s="1"/>
  <c r="AS148" i="1"/>
  <c r="AS146" i="1" s="1"/>
  <c r="AS149" i="1" s="1"/>
  <c r="AY259" i="6"/>
  <c r="AS166" i="1"/>
  <c r="AS167" i="1" s="1"/>
  <c r="AT129" i="1"/>
  <c r="AT128" i="1" s="1"/>
  <c r="AT103" i="1"/>
  <c r="AT101" i="1"/>
  <c r="AT105" i="1"/>
  <c r="AZ300" i="6"/>
  <c r="AZ298" i="6"/>
  <c r="W17" i="25"/>
  <c r="W4" i="25" s="1"/>
  <c r="W46" i="25" s="1"/>
  <c r="W31" i="25"/>
  <c r="W23" i="25" s="1"/>
  <c r="W47" i="25" s="1"/>
  <c r="AZ304" i="6"/>
  <c r="AZ306" i="6"/>
  <c r="AQ44" i="25" l="1"/>
  <c r="AU94" i="1"/>
  <c r="AU98" i="1"/>
  <c r="AU96" i="1"/>
  <c r="AU97" i="1"/>
  <c r="AT26" i="28"/>
  <c r="AS22" i="28"/>
  <c r="AT28" i="28"/>
  <c r="AT4" i="28" s="1"/>
  <c r="AV283" i="6"/>
  <c r="AU90" i="1"/>
  <c r="AV86" i="1" s="1"/>
  <c r="AV89" i="1" s="1"/>
  <c r="AV92" i="1" s="1"/>
  <c r="AW87" i="1"/>
  <c r="AW88" i="1"/>
  <c r="AV19" i="6"/>
  <c r="AX295" i="6"/>
  <c r="AY292" i="6" s="1"/>
  <c r="AW275" i="21"/>
  <c r="AW25" i="21"/>
  <c r="AZ307" i="6"/>
  <c r="BA306" i="6" s="1"/>
  <c r="BA268" i="6"/>
  <c r="BA271" i="6" s="1"/>
  <c r="AZ301" i="6"/>
  <c r="BA298" i="6" s="1"/>
  <c r="W44" i="25"/>
  <c r="BA304" i="6"/>
  <c r="AS18" i="25"/>
  <c r="AS30" i="25"/>
  <c r="X30" i="25"/>
  <c r="X18" i="25"/>
  <c r="X147" i="1"/>
  <c r="AZ258" i="6"/>
  <c r="AZ256" i="6"/>
  <c r="AT138" i="1"/>
  <c r="AT137" i="1" s="1"/>
  <c r="AT145" i="1" s="1"/>
  <c r="AT131" i="1"/>
  <c r="X163" i="1"/>
  <c r="Y158" i="1" s="1"/>
  <c r="AS31" i="25"/>
  <c r="AS17" i="25"/>
  <c r="AT106" i="1"/>
  <c r="AY294" i="6" l="1"/>
  <c r="AU26" i="25"/>
  <c r="AU125" i="1"/>
  <c r="AU8" i="25"/>
  <c r="AV98" i="1"/>
  <c r="AV94" i="1"/>
  <c r="AV96" i="1"/>
  <c r="AV97" i="1"/>
  <c r="AW280" i="6"/>
  <c r="AW282" i="6"/>
  <c r="AV90" i="1"/>
  <c r="AW86" i="1" s="1"/>
  <c r="AW89" i="1" s="1"/>
  <c r="AW92" i="1" s="1"/>
  <c r="AT27" i="28"/>
  <c r="AU28" i="25"/>
  <c r="AU126" i="1"/>
  <c r="AU15" i="25"/>
  <c r="BA307" i="6"/>
  <c r="AX28" i="21"/>
  <c r="AX4" i="21" s="1"/>
  <c r="AY74" i="1" s="1"/>
  <c r="AW22" i="21"/>
  <c r="AX26" i="21"/>
  <c r="AX14" i="25"/>
  <c r="AX143" i="1"/>
  <c r="BA300" i="6"/>
  <c r="BA301" i="6" s="1"/>
  <c r="Y160" i="1"/>
  <c r="Y161" i="1" s="1"/>
  <c r="AZ259" i="6"/>
  <c r="AS4" i="25"/>
  <c r="AS46" i="25" s="1"/>
  <c r="AY295" i="6"/>
  <c r="X148" i="1"/>
  <c r="X146" i="1" s="1"/>
  <c r="X149" i="1" s="1"/>
  <c r="AT29" i="25"/>
  <c r="AT16" i="25"/>
  <c r="AT108" i="1"/>
  <c r="AT109" i="1" s="1"/>
  <c r="AS23" i="25"/>
  <c r="AS47" i="25" s="1"/>
  <c r="AS132" i="1"/>
  <c r="AT147" i="1"/>
  <c r="AT156" i="1"/>
  <c r="AT162" i="1"/>
  <c r="AT165" i="1"/>
  <c r="AT275" i="28" l="1"/>
  <c r="AT25" i="28"/>
  <c r="AV125" i="1"/>
  <c r="AV8" i="25"/>
  <c r="AV26" i="25"/>
  <c r="AV28" i="25"/>
  <c r="AW94" i="1"/>
  <c r="AW96" i="1"/>
  <c r="AW98" i="1"/>
  <c r="AW97" i="1"/>
  <c r="AU121" i="1"/>
  <c r="AW283" i="6"/>
  <c r="AW18" i="6"/>
  <c r="AV126" i="1"/>
  <c r="AV15" i="25"/>
  <c r="AW90" i="1"/>
  <c r="AX86" i="1" s="1"/>
  <c r="AX27" i="21"/>
  <c r="AX38" i="25"/>
  <c r="AX36" i="25" s="1"/>
  <c r="AX48" i="25" s="1"/>
  <c r="AX142" i="1"/>
  <c r="AY39" i="25"/>
  <c r="AY27" i="25"/>
  <c r="AY40" i="25" s="1"/>
  <c r="AY144" i="1"/>
  <c r="AY13" i="25"/>
  <c r="AS44" i="25"/>
  <c r="AT166" i="1"/>
  <c r="AT167" i="1" s="1"/>
  <c r="Y162" i="1"/>
  <c r="Y166" i="1" s="1"/>
  <c r="Y167" i="1" s="1"/>
  <c r="AZ294" i="6"/>
  <c r="AZ292" i="6"/>
  <c r="AT148" i="1"/>
  <c r="AT146" i="1" s="1"/>
  <c r="AT149" i="1" s="1"/>
  <c r="BA258" i="6"/>
  <c r="BA256" i="6"/>
  <c r="X17" i="25"/>
  <c r="X4" i="25" s="1"/>
  <c r="X46" i="25" s="1"/>
  <c r="X31" i="25"/>
  <c r="X23" i="25" s="1"/>
  <c r="X47" i="25" s="1"/>
  <c r="AX282" i="6" l="1"/>
  <c r="AX18" i="6" s="1"/>
  <c r="AY70" i="1" s="1"/>
  <c r="AY72" i="1" s="1"/>
  <c r="AY76" i="1" s="1"/>
  <c r="AX280" i="6"/>
  <c r="AX283" i="6" s="1"/>
  <c r="AW28" i="25"/>
  <c r="AW15" i="25"/>
  <c r="AW126" i="1"/>
  <c r="AV121" i="1"/>
  <c r="AU105" i="1"/>
  <c r="AU101" i="1"/>
  <c r="AU103" i="1"/>
  <c r="AU129" i="1"/>
  <c r="AU128" i="1" s="1"/>
  <c r="AX70" i="1"/>
  <c r="AX72" i="1" s="1"/>
  <c r="AX76" i="1" s="1"/>
  <c r="AX78" i="1" s="1"/>
  <c r="AX79" i="1" s="1"/>
  <c r="AX80" i="1" s="1"/>
  <c r="AX81" i="1" s="1"/>
  <c r="AW19" i="6"/>
  <c r="AW26" i="25"/>
  <c r="AW8" i="25"/>
  <c r="AW125" i="1"/>
  <c r="AU26" i="28"/>
  <c r="AU28" i="28"/>
  <c r="AU4" i="28" s="1"/>
  <c r="AT22" i="28"/>
  <c r="AZ295" i="6"/>
  <c r="BA292" i="6" s="1"/>
  <c r="AX275" i="21"/>
  <c r="AX25" i="21"/>
  <c r="AT18" i="25"/>
  <c r="AT30" i="25"/>
  <c r="X44" i="25"/>
  <c r="Y163" i="1"/>
  <c r="Z158" i="1" s="1"/>
  <c r="Z160" i="1" s="1"/>
  <c r="Z161" i="1" s="1"/>
  <c r="BA259" i="6"/>
  <c r="AT31" i="25"/>
  <c r="AT17" i="25"/>
  <c r="Y18" i="25"/>
  <c r="Y30" i="25"/>
  <c r="Y147" i="1"/>
  <c r="AU27" i="28" l="1"/>
  <c r="AU25" i="28" s="1"/>
  <c r="AU106" i="1"/>
  <c r="AU16" i="25" s="1"/>
  <c r="AW121" i="1"/>
  <c r="AV105" i="1"/>
  <c r="AV103" i="1"/>
  <c r="AV101" i="1"/>
  <c r="AV129" i="1"/>
  <c r="AV128" i="1" s="1"/>
  <c r="BA294" i="6"/>
  <c r="AX19" i="6"/>
  <c r="AX88" i="1"/>
  <c r="AX89" i="1" s="1"/>
  <c r="AX92" i="1" s="1"/>
  <c r="AX87" i="1"/>
  <c r="AU138" i="1"/>
  <c r="AU137" i="1" s="1"/>
  <c r="AU145" i="1" s="1"/>
  <c r="AU131" i="1"/>
  <c r="AT132" i="1" s="1"/>
  <c r="AY280" i="6"/>
  <c r="AY282" i="6"/>
  <c r="AY18" i="6" s="1"/>
  <c r="AZ70" i="1" s="1"/>
  <c r="AZ72" i="1" s="1"/>
  <c r="AY78" i="1"/>
  <c r="AY79" i="1" s="1"/>
  <c r="AY80" i="1" s="1"/>
  <c r="AY81" i="1" s="1"/>
  <c r="BA295" i="6"/>
  <c r="AY26" i="21"/>
  <c r="AY28" i="21"/>
  <c r="AY4" i="21" s="1"/>
  <c r="AZ74" i="1" s="1"/>
  <c r="AX22" i="21"/>
  <c r="AY14" i="25"/>
  <c r="AY143" i="1"/>
  <c r="AT4" i="25"/>
  <c r="AT46" i="25" s="1"/>
  <c r="AT23" i="25"/>
  <c r="AT47" i="25" s="1"/>
  <c r="Z162" i="1"/>
  <c r="Z166" i="1" s="1"/>
  <c r="Z167" i="1" s="1"/>
  <c r="Y148" i="1"/>
  <c r="Y146" i="1" s="1"/>
  <c r="Y149" i="1" s="1"/>
  <c r="AY283" i="6" l="1"/>
  <c r="AZ280" i="6" s="1"/>
  <c r="AZ283" i="6" s="1"/>
  <c r="AU108" i="1"/>
  <c r="AU109" i="1" s="1"/>
  <c r="AU275" i="28"/>
  <c r="AV106" i="1"/>
  <c r="AV16" i="25" s="1"/>
  <c r="AU29" i="25"/>
  <c r="AX94" i="1"/>
  <c r="AX96" i="1"/>
  <c r="AX98" i="1"/>
  <c r="AX97" i="1"/>
  <c r="AZ282" i="6"/>
  <c r="AZ18" i="6" s="1"/>
  <c r="BA70" i="1" s="1"/>
  <c r="BA72" i="1" s="1"/>
  <c r="AX90" i="1"/>
  <c r="AY86" i="1" s="1"/>
  <c r="AW101" i="1"/>
  <c r="AW103" i="1"/>
  <c r="AW129" i="1"/>
  <c r="AW128" i="1" s="1"/>
  <c r="AW105" i="1"/>
  <c r="AY19" i="6"/>
  <c r="AV138" i="1"/>
  <c r="AV137" i="1" s="1"/>
  <c r="AV145" i="1" s="1"/>
  <c r="AV131" i="1"/>
  <c r="AU132" i="1" s="1"/>
  <c r="AY88" i="1"/>
  <c r="AY89" i="1" s="1"/>
  <c r="AY92" i="1" s="1"/>
  <c r="AY87" i="1"/>
  <c r="AU147" i="1"/>
  <c r="AU148" i="1" s="1"/>
  <c r="AU165" i="1"/>
  <c r="AU156" i="1"/>
  <c r="AU162" i="1"/>
  <c r="AV26" i="28"/>
  <c r="AU22" i="28"/>
  <c r="AV28" i="28"/>
  <c r="AV4" i="28" s="1"/>
  <c r="AY27" i="21"/>
  <c r="AY142" i="1"/>
  <c r="AY38" i="25"/>
  <c r="AY36" i="25" s="1"/>
  <c r="AY48" i="25" s="1"/>
  <c r="AZ13" i="25"/>
  <c r="AZ76" i="1"/>
  <c r="AZ78" i="1" s="1"/>
  <c r="AZ79" i="1" s="1"/>
  <c r="AZ80" i="1" s="1"/>
  <c r="AZ81" i="1" s="1"/>
  <c r="AZ39" i="25"/>
  <c r="AZ27" i="25"/>
  <c r="AZ40" i="25" s="1"/>
  <c r="AZ144" i="1"/>
  <c r="AT44" i="25"/>
  <c r="Z163" i="1"/>
  <c r="AA158" i="1" s="1"/>
  <c r="AA160" i="1" s="1"/>
  <c r="AA161" i="1" s="1"/>
  <c r="Y31" i="25"/>
  <c r="Y23" i="25" s="1"/>
  <c r="Y47" i="25" s="1"/>
  <c r="Y17" i="25"/>
  <c r="Y4" i="25" s="1"/>
  <c r="Y46" i="25" s="1"/>
  <c r="Z30" i="25"/>
  <c r="Z18" i="25"/>
  <c r="Z147" i="1"/>
  <c r="AV108" i="1" l="1"/>
  <c r="AV109" i="1" s="1"/>
  <c r="AV29" i="25"/>
  <c r="AV27" i="28"/>
  <c r="AV147" i="1"/>
  <c r="AV165" i="1"/>
  <c r="AV156" i="1"/>
  <c r="AV162" i="1"/>
  <c r="AZ19" i="6"/>
  <c r="AU166" i="1"/>
  <c r="AU167" i="1" s="1"/>
  <c r="AU146" i="1"/>
  <c r="AU149" i="1" s="1"/>
  <c r="AU17" i="25"/>
  <c r="AU31" i="25"/>
  <c r="AX26" i="25"/>
  <c r="AX8" i="25"/>
  <c r="AX125" i="1"/>
  <c r="AY90" i="1"/>
  <c r="AZ86" i="1" s="1"/>
  <c r="AW106" i="1"/>
  <c r="AX126" i="1"/>
  <c r="AX28" i="25"/>
  <c r="AX15" i="25"/>
  <c r="AY96" i="1"/>
  <c r="AY97" i="1"/>
  <c r="AY94" i="1"/>
  <c r="AY98" i="1"/>
  <c r="AW131" i="1"/>
  <c r="AV132" i="1" s="1"/>
  <c r="AW138" i="1"/>
  <c r="AW137" i="1" s="1"/>
  <c r="AW145" i="1" s="1"/>
  <c r="BA282" i="6"/>
  <c r="BA18" i="6" s="1"/>
  <c r="BB70" i="1" s="1"/>
  <c r="BA280" i="6"/>
  <c r="AY25" i="21"/>
  <c r="AY275" i="21"/>
  <c r="AZ87" i="1"/>
  <c r="AZ88" i="1"/>
  <c r="AZ89" i="1" s="1"/>
  <c r="AZ92" i="1" s="1"/>
  <c r="AA162" i="1"/>
  <c r="AA166" i="1" s="1"/>
  <c r="AA167" i="1" s="1"/>
  <c r="Z148" i="1"/>
  <c r="Z146" i="1" s="1"/>
  <c r="Z149" i="1" s="1"/>
  <c r="Y44" i="25"/>
  <c r="AU30" i="25" l="1"/>
  <c r="AU23" i="25" s="1"/>
  <c r="AU47" i="25" s="1"/>
  <c r="AU18" i="25"/>
  <c r="AU4" i="25" s="1"/>
  <c r="AU46" i="25" s="1"/>
  <c r="AW165" i="1"/>
  <c r="AW162" i="1"/>
  <c r="AW147" i="1"/>
  <c r="AW148" i="1" s="1"/>
  <c r="AW156" i="1"/>
  <c r="AY15" i="25"/>
  <c r="AY126" i="1"/>
  <c r="AY28" i="25"/>
  <c r="BA19" i="6"/>
  <c r="AX121" i="1"/>
  <c r="AY125" i="1"/>
  <c r="AY26" i="25"/>
  <c r="AY8" i="25"/>
  <c r="AV166" i="1"/>
  <c r="AV167" i="1" s="1"/>
  <c r="AW29" i="25"/>
  <c r="AW108" i="1"/>
  <c r="AW109" i="1" s="1"/>
  <c r="AW16" i="25"/>
  <c r="BA283" i="6"/>
  <c r="AV148" i="1"/>
  <c r="AV146" i="1"/>
  <c r="AV149" i="1" s="1"/>
  <c r="B70" i="1"/>
  <c r="BB72" i="1"/>
  <c r="A70" i="1"/>
  <c r="AV275" i="28"/>
  <c r="AV25" i="28"/>
  <c r="AZ14" i="25"/>
  <c r="AZ143" i="1"/>
  <c r="AZ26" i="21"/>
  <c r="AY22" i="21"/>
  <c r="AZ28" i="21"/>
  <c r="AZ4" i="21" s="1"/>
  <c r="BA74" i="1" s="1"/>
  <c r="AZ96" i="1"/>
  <c r="AZ94" i="1"/>
  <c r="AZ98" i="1"/>
  <c r="AZ97" i="1"/>
  <c r="AZ90" i="1"/>
  <c r="BA86" i="1" s="1"/>
  <c r="AA163" i="1"/>
  <c r="AB158" i="1" s="1"/>
  <c r="Z31" i="25"/>
  <c r="Z23" i="25" s="1"/>
  <c r="Z47" i="25" s="1"/>
  <c r="Z17" i="25"/>
  <c r="Z4" i="25" s="1"/>
  <c r="Z46" i="25" s="1"/>
  <c r="AA30" i="25"/>
  <c r="AA18" i="25"/>
  <c r="AA147" i="1"/>
  <c r="AY121" i="1" l="1"/>
  <c r="AY101" i="1" s="1"/>
  <c r="AU44" i="25"/>
  <c r="A72" i="1"/>
  <c r="B72" i="1"/>
  <c r="AV30" i="25"/>
  <c r="AV18" i="25"/>
  <c r="AW166" i="1"/>
  <c r="AW167" i="1" s="1"/>
  <c r="AV17" i="25"/>
  <c r="AV31" i="25"/>
  <c r="AV22" i="28"/>
  <c r="AW26" i="28"/>
  <c r="AW28" i="28"/>
  <c r="AW4" i="28" s="1"/>
  <c r="AX101" i="1"/>
  <c r="AX103" i="1"/>
  <c r="AX105" i="1"/>
  <c r="AX129" i="1"/>
  <c r="AX128" i="1" s="1"/>
  <c r="AW146" i="1"/>
  <c r="AW149" i="1" s="1"/>
  <c r="AW17" i="25"/>
  <c r="AW31" i="25"/>
  <c r="BA27" i="25"/>
  <c r="BA40" i="25" s="1"/>
  <c r="BA144" i="1"/>
  <c r="BA76" i="1"/>
  <c r="BA78" i="1" s="1"/>
  <c r="BA79" i="1" s="1"/>
  <c r="BA80" i="1" s="1"/>
  <c r="BA81" i="1" s="1"/>
  <c r="BA39" i="25"/>
  <c r="BA13" i="25"/>
  <c r="AZ142" i="1"/>
  <c r="AZ38" i="25"/>
  <c r="AZ36" i="25" s="1"/>
  <c r="AZ48" i="25" s="1"/>
  <c r="AZ27" i="21"/>
  <c r="AZ126" i="1"/>
  <c r="AZ28" i="25"/>
  <c r="AZ15" i="25"/>
  <c r="AZ125" i="1"/>
  <c r="AZ26" i="25"/>
  <c r="AZ8" i="25"/>
  <c r="AA148" i="1"/>
  <c r="AA146" i="1" s="1"/>
  <c r="AA149" i="1" s="1"/>
  <c r="AB160" i="1"/>
  <c r="AB161" i="1" s="1"/>
  <c r="Z44" i="25"/>
  <c r="AY103" i="1" l="1"/>
  <c r="AY106" i="1" s="1"/>
  <c r="AY108" i="1" s="1"/>
  <c r="AY109" i="1" s="1"/>
  <c r="AY129" i="1"/>
  <c r="AY128" i="1" s="1"/>
  <c r="AY138" i="1" s="1"/>
  <c r="AY137" i="1" s="1"/>
  <c r="AY145" i="1" s="1"/>
  <c r="AY162" i="1" s="1"/>
  <c r="AY105" i="1"/>
  <c r="AX106" i="1"/>
  <c r="AX108" i="1" s="1"/>
  <c r="AX109" i="1" s="1"/>
  <c r="AV4" i="25"/>
  <c r="AV46" i="25" s="1"/>
  <c r="AY147" i="1"/>
  <c r="AY148" i="1" s="1"/>
  <c r="AY31" i="25" s="1"/>
  <c r="AW27" i="28"/>
  <c r="AW275" i="28" s="1"/>
  <c r="AY156" i="1"/>
  <c r="AY166" i="1" s="1"/>
  <c r="AY165" i="1"/>
  <c r="AW18" i="25"/>
  <c r="AW4" i="25" s="1"/>
  <c r="AW46" i="25" s="1"/>
  <c r="AW30" i="25"/>
  <c r="AW23" i="25" s="1"/>
  <c r="AW47" i="25" s="1"/>
  <c r="AV23" i="25"/>
  <c r="AV47" i="25" s="1"/>
  <c r="AX138" i="1"/>
  <c r="AX137" i="1" s="1"/>
  <c r="AX145" i="1" s="1"/>
  <c r="AX131" i="1"/>
  <c r="AX16" i="25"/>
  <c r="AZ121" i="1"/>
  <c r="AZ105" i="1" s="1"/>
  <c r="AY16" i="25"/>
  <c r="AZ25" i="21"/>
  <c r="AZ275" i="21"/>
  <c r="BA88" i="1"/>
  <c r="BA89" i="1" s="1"/>
  <c r="BA92" i="1" s="1"/>
  <c r="BA87" i="1"/>
  <c r="AY146" i="1"/>
  <c r="AY149" i="1" s="1"/>
  <c r="AB162" i="1"/>
  <c r="AB166" i="1" s="1"/>
  <c r="AB167" i="1" s="1"/>
  <c r="AA31" i="25"/>
  <c r="AA23" i="25" s="1"/>
  <c r="AA47" i="25" s="1"/>
  <c r="AA17" i="25"/>
  <c r="AA4" i="25" s="1"/>
  <c r="AA46" i="25" s="1"/>
  <c r="AX29" i="25" l="1"/>
  <c r="AY167" i="1"/>
  <c r="AV44" i="25"/>
  <c r="AY29" i="25"/>
  <c r="AY17" i="25"/>
  <c r="AW25" i="28"/>
  <c r="AX28" i="28" s="1"/>
  <c r="AX4" i="28" s="1"/>
  <c r="AW44" i="25"/>
  <c r="AW22" i="28"/>
  <c r="AX26" i="28"/>
  <c r="AW132" i="1"/>
  <c r="AY131" i="1"/>
  <c r="AX132" i="1" s="1"/>
  <c r="AX147" i="1"/>
  <c r="AX148" i="1" s="1"/>
  <c r="AX156" i="1"/>
  <c r="AX162" i="1"/>
  <c r="AX165" i="1"/>
  <c r="AZ103" i="1"/>
  <c r="AZ101" i="1"/>
  <c r="AZ129" i="1"/>
  <c r="AZ128" i="1" s="1"/>
  <c r="BA90" i="1"/>
  <c r="BB86" i="1" s="1"/>
  <c r="BA98" i="1"/>
  <c r="BA94" i="1"/>
  <c r="BA96" i="1"/>
  <c r="BA97" i="1"/>
  <c r="BA143" i="1"/>
  <c r="BA14" i="25"/>
  <c r="BA26" i="21"/>
  <c r="BA28" i="21"/>
  <c r="BA4" i="21" s="1"/>
  <c r="BB74" i="1" s="1"/>
  <c r="AZ22" i="21"/>
  <c r="AY30" i="25"/>
  <c r="AY23" i="25" s="1"/>
  <c r="AY47" i="25" s="1"/>
  <c r="AY18" i="25"/>
  <c r="AA44" i="25"/>
  <c r="AB18" i="25"/>
  <c r="AB30" i="25"/>
  <c r="AB147" i="1"/>
  <c r="AB163" i="1"/>
  <c r="AC158" i="1" s="1"/>
  <c r="AY4" i="25" l="1"/>
  <c r="AY46" i="25" s="1"/>
  <c r="AX25" i="28"/>
  <c r="AY26" i="28" s="1"/>
  <c r="AX27" i="28"/>
  <c r="AX275" i="28" s="1"/>
  <c r="AX166" i="1"/>
  <c r="AX167" i="1" s="1"/>
  <c r="AZ131" i="1"/>
  <c r="AY132" i="1" s="1"/>
  <c r="AX146" i="1"/>
  <c r="AX149" i="1" s="1"/>
  <c r="AX17" i="25"/>
  <c r="AX31" i="25"/>
  <c r="AZ106" i="1"/>
  <c r="AZ16" i="25" s="1"/>
  <c r="AZ138" i="1"/>
  <c r="AZ137" i="1" s="1"/>
  <c r="AZ145" i="1" s="1"/>
  <c r="AZ162" i="1" s="1"/>
  <c r="BA126" i="1"/>
  <c r="BB39" i="25"/>
  <c r="BB76" i="1"/>
  <c r="A74" i="1"/>
  <c r="BB144" i="1"/>
  <c r="B74" i="1"/>
  <c r="BB27" i="25"/>
  <c r="BB13" i="25"/>
  <c r="BA27" i="21"/>
  <c r="BA142" i="1"/>
  <c r="BA38" i="25"/>
  <c r="BA36" i="25" s="1"/>
  <c r="BA48" i="25" s="1"/>
  <c r="BA26" i="25"/>
  <c r="BA125" i="1"/>
  <c r="BA121" i="1" s="1"/>
  <c r="BA8" i="25"/>
  <c r="BA15" i="25"/>
  <c r="BA28" i="25"/>
  <c r="AY44" i="25"/>
  <c r="AC160" i="1"/>
  <c r="AC161" i="1" s="1"/>
  <c r="AB148" i="1"/>
  <c r="AB146" i="1" s="1"/>
  <c r="AB149" i="1" s="1"/>
  <c r="AY28" i="28" l="1"/>
  <c r="AY4" i="28" s="1"/>
  <c r="AX22" i="28"/>
  <c r="AZ165" i="1"/>
  <c r="AZ147" i="1"/>
  <c r="AZ148" i="1" s="1"/>
  <c r="AZ146" i="1" s="1"/>
  <c r="AZ149" i="1" s="1"/>
  <c r="AX30" i="25"/>
  <c r="AX23" i="25" s="1"/>
  <c r="AX47" i="25" s="1"/>
  <c r="AX18" i="25"/>
  <c r="AX4" i="25" s="1"/>
  <c r="AX46" i="25" s="1"/>
  <c r="AZ108" i="1"/>
  <c r="AZ109" i="1" s="1"/>
  <c r="AZ29" i="25"/>
  <c r="AZ156" i="1"/>
  <c r="AZ166" i="1" s="1"/>
  <c r="B144" i="1"/>
  <c r="A144" i="1"/>
  <c r="B13" i="25"/>
  <c r="A13" i="25"/>
  <c r="BB40" i="25"/>
  <c r="B27" i="25"/>
  <c r="A27" i="25"/>
  <c r="A39" i="25"/>
  <c r="B39" i="25"/>
  <c r="BA129" i="1"/>
  <c r="BA128" i="1" s="1"/>
  <c r="BA101" i="1"/>
  <c r="BA105" i="1"/>
  <c r="BA103" i="1"/>
  <c r="A76" i="1"/>
  <c r="B76" i="1"/>
  <c r="BB78" i="1"/>
  <c r="BB79" i="1" s="1"/>
  <c r="BB80" i="1" s="1"/>
  <c r="BA275" i="21"/>
  <c r="BA25" i="21"/>
  <c r="BA22" i="21" s="1"/>
  <c r="AC162" i="1"/>
  <c r="AC166" i="1" s="1"/>
  <c r="AC167" i="1" s="1"/>
  <c r="AB17" i="25"/>
  <c r="AB4" i="25" s="1"/>
  <c r="AB46" i="25" s="1"/>
  <c r="AB31" i="25"/>
  <c r="AB23" i="25" s="1"/>
  <c r="AB47" i="25" s="1"/>
  <c r="AX44" i="25" l="1"/>
  <c r="AZ167" i="1"/>
  <c r="AZ30" i="25" s="1"/>
  <c r="AY27" i="28"/>
  <c r="AZ17" i="25"/>
  <c r="AZ31" i="25"/>
  <c r="AZ23" i="25" s="1"/>
  <c r="AZ47" i="25" s="1"/>
  <c r="BB81" i="1"/>
  <c r="B80" i="1"/>
  <c r="A80" i="1"/>
  <c r="BA106" i="1"/>
  <c r="BB14" i="25"/>
  <c r="BB143" i="1"/>
  <c r="BA138" i="1"/>
  <c r="BA137" i="1" s="1"/>
  <c r="BA145" i="1" s="1"/>
  <c r="BA131" i="1"/>
  <c r="AZ132" i="1" s="1"/>
  <c r="B40" i="25"/>
  <c r="A40" i="25"/>
  <c r="AB44" i="25"/>
  <c r="AC18" i="25"/>
  <c r="AC30" i="25"/>
  <c r="AC147" i="1"/>
  <c r="AC163" i="1"/>
  <c r="AD158" i="1" s="1"/>
  <c r="AY275" i="28" l="1"/>
  <c r="AY25" i="28"/>
  <c r="AZ18" i="25"/>
  <c r="AZ4" i="25"/>
  <c r="AZ46" i="25" s="1"/>
  <c r="AZ44" i="25" s="1"/>
  <c r="B143" i="1"/>
  <c r="BB142" i="1"/>
  <c r="BB38" i="25"/>
  <c r="A143" i="1"/>
  <c r="A14" i="25"/>
  <c r="AH74" i="9" s="1"/>
  <c r="B14" i="25"/>
  <c r="BA16" i="25"/>
  <c r="BA29" i="25"/>
  <c r="BA108" i="1"/>
  <c r="BA109" i="1" s="1"/>
  <c r="BA162" i="1"/>
  <c r="BA165" i="1"/>
  <c r="BA156" i="1"/>
  <c r="BA147" i="1"/>
  <c r="B81" i="1"/>
  <c r="BB88" i="1"/>
  <c r="BB89" i="1" s="1"/>
  <c r="BB92" i="1" s="1"/>
  <c r="BB87" i="1"/>
  <c r="A81" i="1"/>
  <c r="AC148" i="1"/>
  <c r="AC146" i="1" s="1"/>
  <c r="AC149" i="1" s="1"/>
  <c r="AD160" i="1"/>
  <c r="AD161" i="1" s="1"/>
  <c r="AZ28" i="28" l="1"/>
  <c r="AZ4" i="28" s="1"/>
  <c r="AY22" i="28"/>
  <c r="AZ26" i="28"/>
  <c r="AZ27" i="28" s="1"/>
  <c r="AZ275" i="28"/>
  <c r="AZ25" i="28"/>
  <c r="BA166" i="1"/>
  <c r="BA167" i="1" s="1"/>
  <c r="BA18" i="25" s="1"/>
  <c r="BB90" i="1"/>
  <c r="BB97" i="1"/>
  <c r="B92" i="1"/>
  <c r="A92" i="1"/>
  <c r="BB94" i="1"/>
  <c r="BB96" i="1"/>
  <c r="BB98" i="1"/>
  <c r="BB36" i="25"/>
  <c r="B38" i="25"/>
  <c r="A38" i="25"/>
  <c r="BA148" i="1"/>
  <c r="BA146" i="1" s="1"/>
  <c r="BA149" i="1" s="1"/>
  <c r="B142" i="1"/>
  <c r="A142" i="1"/>
  <c r="AD162" i="1"/>
  <c r="AD166" i="1" s="1"/>
  <c r="AD167" i="1" s="1"/>
  <c r="AC31" i="25"/>
  <c r="AC23" i="25" s="1"/>
  <c r="AC47" i="25" s="1"/>
  <c r="AC17" i="25"/>
  <c r="AC4" i="25" s="1"/>
  <c r="AC46" i="25" s="1"/>
  <c r="AZ22" i="28" l="1"/>
  <c r="BA26" i="28"/>
  <c r="BA27" i="28" s="1"/>
  <c r="BA275" i="28" s="1"/>
  <c r="BA28" i="28"/>
  <c r="BA4" i="28" s="1"/>
  <c r="BA25" i="28"/>
  <c r="BA22" i="28" s="1"/>
  <c r="BA30" i="25"/>
  <c r="B98" i="1"/>
  <c r="BB28" i="25"/>
  <c r="BB15" i="25"/>
  <c r="A98" i="1"/>
  <c r="BB126" i="1"/>
  <c r="BB48" i="25"/>
  <c r="A48" i="25" s="1"/>
  <c r="A36" i="25"/>
  <c r="D42" i="25"/>
  <c r="B36" i="25"/>
  <c r="A96" i="1"/>
  <c r="B96" i="1"/>
  <c r="B94" i="1"/>
  <c r="A94" i="1"/>
  <c r="BA17" i="25"/>
  <c r="BA4" i="25" s="1"/>
  <c r="BA46" i="25" s="1"/>
  <c r="BA31" i="25"/>
  <c r="BB125" i="1"/>
  <c r="BB8" i="25"/>
  <c r="BB26" i="25"/>
  <c r="A97" i="1"/>
  <c r="B97" i="1"/>
  <c r="AC44" i="25"/>
  <c r="AD18" i="25"/>
  <c r="AD30" i="25"/>
  <c r="AD147" i="1"/>
  <c r="AD163" i="1"/>
  <c r="AE158" i="1" s="1"/>
  <c r="BA23" i="25" l="1"/>
  <c r="BA47" i="25" s="1"/>
  <c r="BA44" i="25" s="1"/>
  <c r="A125" i="1"/>
  <c r="BB121" i="1"/>
  <c r="B125" i="1"/>
  <c r="B15" i="25"/>
  <c r="A15" i="25"/>
  <c r="B26" i="25"/>
  <c r="A26" i="25"/>
  <c r="A28" i="25"/>
  <c r="B28" i="25"/>
  <c r="A126" i="1"/>
  <c r="B126" i="1"/>
  <c r="B8" i="25"/>
  <c r="A8" i="25"/>
  <c r="AD148" i="1"/>
  <c r="AD146" i="1" s="1"/>
  <c r="AD149" i="1" s="1"/>
  <c r="AE160" i="1"/>
  <c r="AE161" i="1" s="1"/>
  <c r="BB103" i="1" l="1"/>
  <c r="BB101" i="1"/>
  <c r="BB105" i="1"/>
  <c r="A121" i="1"/>
  <c r="BB129" i="1"/>
  <c r="B121" i="1"/>
  <c r="AE162" i="1"/>
  <c r="AE166" i="1" s="1"/>
  <c r="AE167" i="1" s="1"/>
  <c r="AD31" i="25"/>
  <c r="AD23" i="25" s="1"/>
  <c r="AD47" i="25" s="1"/>
  <c r="AD17" i="25"/>
  <c r="AD4" i="25" s="1"/>
  <c r="AD46" i="25" s="1"/>
  <c r="B129" i="1" l="1"/>
  <c r="BB128" i="1"/>
  <c r="A129" i="1"/>
  <c r="A105" i="1"/>
  <c r="B105" i="1"/>
  <c r="A101" i="1"/>
  <c r="BB106" i="1"/>
  <c r="B101" i="1"/>
  <c r="B103" i="1"/>
  <c r="A103" i="1"/>
  <c r="AE18" i="25"/>
  <c r="AE30" i="25"/>
  <c r="AE147" i="1"/>
  <c r="AD44" i="25"/>
  <c r="AE163" i="1"/>
  <c r="AF158" i="1" s="1"/>
  <c r="A106" i="1" l="1"/>
  <c r="BB16" i="25"/>
  <c r="BB108" i="1"/>
  <c r="B106" i="1"/>
  <c r="BB29" i="25"/>
  <c r="BB138" i="1"/>
  <c r="A128" i="1"/>
  <c r="BB131" i="1"/>
  <c r="B128" i="1"/>
  <c r="C151" i="9" s="1"/>
  <c r="AG77" i="9" s="1"/>
  <c r="D133" i="1"/>
  <c r="C152" i="9" s="1"/>
  <c r="AF160" i="1"/>
  <c r="AF161" i="1" s="1"/>
  <c r="AE148" i="1"/>
  <c r="AE146" i="1" s="1"/>
  <c r="BB132" i="1" l="1"/>
  <c r="BA132" i="1"/>
  <c r="BB109" i="1"/>
  <c r="B108" i="1"/>
  <c r="A108" i="1"/>
  <c r="B182" i="9"/>
  <c r="B175" i="9"/>
  <c r="B168" i="9"/>
  <c r="Q4" i="9"/>
  <c r="A16" i="25"/>
  <c r="B16" i="25"/>
  <c r="B138" i="1"/>
  <c r="A138" i="1"/>
  <c r="BB137" i="1"/>
  <c r="B29" i="25"/>
  <c r="A29" i="25"/>
  <c r="AE149" i="1"/>
  <c r="AF162" i="1"/>
  <c r="AF163" i="1" s="1"/>
  <c r="AG158" i="1" s="1"/>
  <c r="AE17" i="25"/>
  <c r="AE31" i="25"/>
  <c r="A137" i="1" l="1"/>
  <c r="BB145" i="1"/>
  <c r="B137" i="1"/>
  <c r="A132" i="1"/>
  <c r="B132" i="1"/>
  <c r="AG160" i="1"/>
  <c r="AG161" i="1" s="1"/>
  <c r="AE23" i="25"/>
  <c r="AE4" i="25"/>
  <c r="AF166" i="1"/>
  <c r="A145" i="1" l="1"/>
  <c r="B145" i="1"/>
  <c r="BB165" i="1"/>
  <c r="BB162" i="1"/>
  <c r="BB147" i="1"/>
  <c r="BB156" i="1"/>
  <c r="AG162" i="1"/>
  <c r="AF167" i="1"/>
  <c r="AE46" i="25"/>
  <c r="AE47" i="25"/>
  <c r="BB166" i="1" l="1"/>
  <c r="BB167" i="1" s="1"/>
  <c r="A156" i="1"/>
  <c r="B156" i="1"/>
  <c r="B165" i="1"/>
  <c r="A165" i="1"/>
  <c r="BB148" i="1"/>
  <c r="BB146" i="1" s="1"/>
  <c r="BB149" i="1" s="1"/>
  <c r="AG166" i="1"/>
  <c r="AE44" i="25"/>
  <c r="AF30" i="25"/>
  <c r="AF18" i="25"/>
  <c r="AF147" i="1"/>
  <c r="AG163" i="1"/>
  <c r="AH158" i="1" s="1"/>
  <c r="BB31" i="25" l="1"/>
  <c r="BB17" i="25"/>
  <c r="BB30" i="25"/>
  <c r="BB18" i="25"/>
  <c r="BB4" i="25" s="1"/>
  <c r="BB46" i="25" s="1"/>
  <c r="AH160" i="1"/>
  <c r="AH161" i="1" s="1"/>
  <c r="AG167" i="1"/>
  <c r="AF148" i="1"/>
  <c r="BB23" i="25" l="1"/>
  <c r="BB47" i="25" s="1"/>
  <c r="BB44" i="25" s="1"/>
  <c r="AH162" i="1"/>
  <c r="AF17" i="25"/>
  <c r="AF31" i="25"/>
  <c r="AF146" i="1"/>
  <c r="AG18" i="25"/>
  <c r="AG30" i="25"/>
  <c r="AG147" i="1"/>
  <c r="AF149" i="1" l="1"/>
  <c r="AH166" i="1"/>
  <c r="AF23" i="25"/>
  <c r="AF4" i="25"/>
  <c r="AG148" i="1"/>
  <c r="AG146" i="1" s="1"/>
  <c r="AG149" i="1" s="1"/>
  <c r="AH163" i="1"/>
  <c r="AI158" i="1" s="1"/>
  <c r="AI160" i="1" l="1"/>
  <c r="AI161" i="1" s="1"/>
  <c r="AH167" i="1"/>
  <c r="AF47" i="25"/>
  <c r="AF46" i="25"/>
  <c r="AG17" i="25"/>
  <c r="AG31" i="25"/>
  <c r="AI162" i="1" l="1"/>
  <c r="AG4" i="25"/>
  <c r="AH30" i="25"/>
  <c r="AH18" i="25"/>
  <c r="AH147" i="1"/>
  <c r="AF44" i="25"/>
  <c r="AG23" i="25"/>
  <c r="AH148" i="1" l="1"/>
  <c r="AH146" i="1" s="1"/>
  <c r="AG47" i="25"/>
  <c r="AG46" i="25"/>
  <c r="AI166" i="1"/>
  <c r="B162" i="1"/>
  <c r="A162" i="1"/>
  <c r="AI163" i="1"/>
  <c r="AJ158" i="1" s="1"/>
  <c r="AJ160" i="1" l="1"/>
  <c r="AJ161" i="1" s="1"/>
  <c r="AJ163" i="1" s="1"/>
  <c r="AK158" i="1" s="1"/>
  <c r="AH149" i="1"/>
  <c r="AG44" i="25"/>
  <c r="AH17" i="25"/>
  <c r="AH31" i="25"/>
  <c r="AI167" i="1"/>
  <c r="A166" i="1"/>
  <c r="B166" i="1"/>
  <c r="AK160" i="1" l="1"/>
  <c r="AK161" i="1" s="1"/>
  <c r="AK163" i="1" s="1"/>
  <c r="AL158" i="1" s="1"/>
  <c r="AH4" i="25"/>
  <c r="AI30" i="25"/>
  <c r="AI18" i="25"/>
  <c r="AI147" i="1"/>
  <c r="A167" i="1"/>
  <c r="B238" i="9" s="1"/>
  <c r="B167" i="1"/>
  <c r="B237" i="9" s="1"/>
  <c r="AH23" i="25"/>
  <c r="AL160" i="1" l="1"/>
  <c r="AL161" i="1" s="1"/>
  <c r="AL163" i="1" s="1"/>
  <c r="AM158" i="1" s="1"/>
  <c r="AH47" i="25"/>
  <c r="AH46" i="25"/>
  <c r="AI148" i="1"/>
  <c r="AI146" i="1" s="1"/>
  <c r="A147" i="1"/>
  <c r="B147" i="1"/>
  <c r="B18" i="25"/>
  <c r="A18" i="25"/>
  <c r="B30" i="25"/>
  <c r="A30" i="25"/>
  <c r="AH44" i="25" l="1"/>
  <c r="AI17" i="25"/>
  <c r="AI31" i="25"/>
  <c r="A148" i="1"/>
  <c r="B148" i="1"/>
  <c r="AI149" i="1"/>
  <c r="A146" i="1"/>
  <c r="B146" i="1"/>
  <c r="AM160" i="1"/>
  <c r="AM161" i="1" s="1"/>
  <c r="AM163" i="1" s="1"/>
  <c r="AN158" i="1" s="1"/>
  <c r="AN160" i="1" l="1"/>
  <c r="AN161" i="1" s="1"/>
  <c r="AN163" i="1" s="1"/>
  <c r="AO158" i="1" s="1"/>
  <c r="A149" i="1"/>
  <c r="D151" i="1"/>
  <c r="B149" i="1"/>
  <c r="C153" i="9" s="1"/>
  <c r="AI23" i="25"/>
  <c r="A31" i="25"/>
  <c r="B31" i="25"/>
  <c r="A17" i="25"/>
  <c r="B17" i="25"/>
  <c r="AI4" i="25"/>
  <c r="AO160" i="1" l="1"/>
  <c r="AO161" i="1" s="1"/>
  <c r="AO163" i="1" s="1"/>
  <c r="AP158" i="1" s="1"/>
  <c r="AI47" i="25"/>
  <c r="B23" i="25"/>
  <c r="A23" i="25"/>
  <c r="D33" i="25"/>
  <c r="C157" i="9" s="1"/>
  <c r="AI46" i="25"/>
  <c r="A4" i="25"/>
  <c r="AH71" i="9" s="1"/>
  <c r="D21" i="25"/>
  <c r="C154" i="9" s="1"/>
  <c r="B4" i="25"/>
  <c r="AI44" i="25" l="1"/>
  <c r="B46" i="25"/>
  <c r="A46" i="25"/>
  <c r="B180" i="9"/>
  <c r="B194" i="9"/>
  <c r="B173" i="9"/>
  <c r="Q8" i="9"/>
  <c r="B166" i="9"/>
  <c r="B209" i="9"/>
  <c r="B219" i="9"/>
  <c r="B235" i="9"/>
  <c r="D34" i="25"/>
  <c r="C158" i="9" s="1"/>
  <c r="C156" i="9"/>
  <c r="B47" i="25"/>
  <c r="A47" i="25"/>
  <c r="B236" i="9"/>
  <c r="C155" i="9"/>
  <c r="AH72" i="9"/>
  <c r="AI70" i="9" s="1"/>
  <c r="AP160" i="1"/>
  <c r="AP161" i="1" s="1"/>
  <c r="AP163" i="1" s="1"/>
  <c r="AQ158" i="1" s="1"/>
  <c r="B183" i="9"/>
  <c r="B169" i="9"/>
  <c r="B176" i="9"/>
  <c r="Q6" i="9"/>
  <c r="Q10" i="9" l="1"/>
  <c r="B167" i="9"/>
  <c r="B181" i="9"/>
  <c r="B174" i="9"/>
  <c r="A44" i="25"/>
  <c r="AQ160" i="1"/>
  <c r="AQ161" i="1" s="1"/>
  <c r="AQ163" i="1" s="1"/>
  <c r="AR158" i="1" s="1"/>
  <c r="AR160" i="1" l="1"/>
  <c r="AR161" i="1" s="1"/>
  <c r="AR163" i="1" s="1"/>
  <c r="AS158" i="1" s="1"/>
  <c r="AS160" i="1" l="1"/>
  <c r="AS161" i="1" s="1"/>
  <c r="AS163" i="1" s="1"/>
  <c r="AT158" i="1" s="1"/>
  <c r="AT160" i="1" l="1"/>
  <c r="AT161" i="1" s="1"/>
  <c r="AT163" i="1" s="1"/>
  <c r="AU158" i="1" s="1"/>
  <c r="AU160" i="1" l="1"/>
  <c r="AU161" i="1" s="1"/>
  <c r="AU163" i="1" s="1"/>
  <c r="AV158" i="1" s="1"/>
  <c r="AV160" i="1" l="1"/>
  <c r="AV161" i="1" s="1"/>
  <c r="AV163" i="1" s="1"/>
  <c r="AW158" i="1" s="1"/>
  <c r="AW160" i="1" l="1"/>
  <c r="AW161" i="1" s="1"/>
  <c r="AW163" i="1" s="1"/>
  <c r="AX158" i="1" s="1"/>
  <c r="AX160" i="1" l="1"/>
  <c r="AX161" i="1" s="1"/>
  <c r="AX163" i="1" s="1"/>
  <c r="AY158" i="1" s="1"/>
  <c r="AY160" i="1" l="1"/>
  <c r="AY161" i="1" s="1"/>
  <c r="AY163" i="1" s="1"/>
  <c r="AZ158" i="1" s="1"/>
  <c r="AZ160" i="1" l="1"/>
  <c r="AZ161" i="1" s="1"/>
  <c r="AZ163" i="1" s="1"/>
  <c r="BA158" i="1" s="1"/>
  <c r="BA160" i="1" l="1"/>
  <c r="BA161" i="1" s="1"/>
  <c r="BA163" i="1" s="1"/>
  <c r="BB158" i="1" s="1"/>
  <c r="BB160" i="1" l="1"/>
  <c r="A158" i="1"/>
  <c r="B158" i="1"/>
  <c r="B160" i="1" l="1"/>
  <c r="A160" i="1"/>
  <c r="BB161" i="1"/>
  <c r="BB163" i="1" l="1"/>
  <c r="B161" i="1"/>
  <c r="A161" i="1"/>
  <c r="A163" i="1" l="1"/>
  <c r="B163" i="1"/>
</calcChain>
</file>

<file path=xl/comments1.xml><?xml version="1.0" encoding="utf-8"?>
<comments xmlns="http://schemas.openxmlformats.org/spreadsheetml/2006/main">
  <authors>
    <author>Nicolas Maennling</author>
  </authors>
  <commentList>
    <comment ref="B14" authorId="0">
      <text>
        <r>
          <rPr>
            <b/>
            <sz val="9"/>
            <color indexed="81"/>
            <rFont val="Arial"/>
          </rPr>
          <t>Nicolas Maennling:</t>
        </r>
        <r>
          <rPr>
            <sz val="9"/>
            <color indexed="81"/>
            <rFont val="Arial"/>
          </rPr>
          <t xml:space="preserve">
What is this for? Testing ringfencing. But it is not linked in the model.</t>
        </r>
      </text>
    </comment>
  </commentList>
</comments>
</file>

<file path=xl/sharedStrings.xml><?xml version="1.0" encoding="utf-8"?>
<sst xmlns="http://schemas.openxmlformats.org/spreadsheetml/2006/main" count="1997" uniqueCount="497">
  <si>
    <t>Unit</t>
  </si>
  <si>
    <t>Replacement Capex</t>
  </si>
  <si>
    <t>NPV</t>
  </si>
  <si>
    <t>Interests</t>
  </si>
  <si>
    <t>Dividend Tax</t>
  </si>
  <si>
    <t>Debt</t>
  </si>
  <si>
    <t>Repayment</t>
  </si>
  <si>
    <t>Debt Service - Principal</t>
  </si>
  <si>
    <t>Debt Service - Interests</t>
  </si>
  <si>
    <t>Equity</t>
  </si>
  <si>
    <t>Resource Rent Tax</t>
  </si>
  <si>
    <t>Adjusted Cumulated Cash Flow -1st tier</t>
  </si>
  <si>
    <t>Adjusted Cumulated Cash Flow -2 nd tier</t>
  </si>
  <si>
    <t>Adjusted Cumulated Cash Flow -3 nd tier</t>
  </si>
  <si>
    <t>RRT - 1st tier</t>
  </si>
  <si>
    <t>RRT - 2nd tier</t>
  </si>
  <si>
    <t>RRT- 3rd tier</t>
  </si>
  <si>
    <t>Production</t>
  </si>
  <si>
    <t>Operating Costs</t>
  </si>
  <si>
    <t>Corporate Income Tax</t>
  </si>
  <si>
    <t>Withholding Tax Rate on Dividends</t>
  </si>
  <si>
    <t>Debt costs</t>
  </si>
  <si>
    <t>Debt maturity in years</t>
  </si>
  <si>
    <t>Debt interest</t>
  </si>
  <si>
    <t>Necessary Funds per year</t>
  </si>
  <si>
    <t>Capital to Finance Initial Losses</t>
  </si>
  <si>
    <t>Funds provided per year</t>
  </si>
  <si>
    <t>Debt in Balance Sheet</t>
  </si>
  <si>
    <t>Debt Repayment Scheme</t>
  </si>
  <si>
    <t>Annuity</t>
  </si>
  <si>
    <t>Principal</t>
  </si>
  <si>
    <t>Debt repayment per year</t>
  </si>
  <si>
    <t>Fiscal Variables</t>
  </si>
  <si>
    <t>%</t>
  </si>
  <si>
    <t>Debt to (Equity+Debt) Ratio</t>
  </si>
  <si>
    <t>Debt to (Debt+Equity) Ratio</t>
  </si>
  <si>
    <t>Incremental change in IRR</t>
  </si>
  <si>
    <t>Internal Rate of Return (IRR) Threshold</t>
  </si>
  <si>
    <t xml:space="preserve">Resource Rent Tax (RRT)  Rate </t>
  </si>
  <si>
    <t>Incremental Change in RRT Rate</t>
  </si>
  <si>
    <t>Assumptions</t>
  </si>
  <si>
    <t>Inflation</t>
  </si>
  <si>
    <t>Financial</t>
  </si>
  <si>
    <t>years</t>
  </si>
  <si>
    <t>Year</t>
  </si>
  <si>
    <t>Y-01</t>
  </si>
  <si>
    <t>Y-02</t>
  </si>
  <si>
    <t>Y-03</t>
  </si>
  <si>
    <t>Y-04</t>
  </si>
  <si>
    <t>Y-05</t>
  </si>
  <si>
    <t>Y-06</t>
  </si>
  <si>
    <t>Y-07</t>
  </si>
  <si>
    <t>Y-08</t>
  </si>
  <si>
    <t>Y-09</t>
  </si>
  <si>
    <t>Y-10</t>
  </si>
  <si>
    <t>Y-11</t>
  </si>
  <si>
    <t>Y-12</t>
  </si>
  <si>
    <t>Y-13</t>
  </si>
  <si>
    <t>Y-14</t>
  </si>
  <si>
    <t>Y-15</t>
  </si>
  <si>
    <t>Y-16</t>
  </si>
  <si>
    <t>Y-17</t>
  </si>
  <si>
    <t>Y-18</t>
  </si>
  <si>
    <t>Y-19</t>
  </si>
  <si>
    <t>Y-20</t>
  </si>
  <si>
    <t>Y-21</t>
  </si>
  <si>
    <t>Y-22</t>
  </si>
  <si>
    <t>Y-23</t>
  </si>
  <si>
    <t>Y-24</t>
  </si>
  <si>
    <t>Y-25</t>
  </si>
  <si>
    <t>Y-26</t>
  </si>
  <si>
    <t>Y-27</t>
  </si>
  <si>
    <t>Y-28</t>
  </si>
  <si>
    <t>Y-29</t>
  </si>
  <si>
    <t>Y-30</t>
  </si>
  <si>
    <t>m$</t>
  </si>
  <si>
    <t>Prices</t>
  </si>
  <si>
    <t>Output</t>
  </si>
  <si>
    <t>Costs</t>
  </si>
  <si>
    <t>Economic &amp; Corporate</t>
  </si>
  <si>
    <t>Sensitivity</t>
  </si>
  <si>
    <t>Capital costs</t>
  </si>
  <si>
    <t>Operating costs</t>
  </si>
  <si>
    <t>Price discount (for quality, location, etc.)</t>
  </si>
  <si>
    <t>Depreciation rule</t>
  </si>
  <si>
    <t>Total Revenue</t>
  </si>
  <si>
    <t>Earnings Before Interest and Tax (EBIT)</t>
  </si>
  <si>
    <t>Earnings Before Tax (EBT)</t>
  </si>
  <si>
    <t>Period</t>
  </si>
  <si>
    <t>Method</t>
  </si>
  <si>
    <t>Method (1=straight line, 2=declining)</t>
  </si>
  <si>
    <t>Initial Capital Expenditure</t>
  </si>
  <si>
    <t>Capital Replacement Cost (nominal)</t>
  </si>
  <si>
    <t>Capital Replacement Cost (real)</t>
  </si>
  <si>
    <t>Signature Bonus</t>
  </si>
  <si>
    <t>Operating Cost (real)</t>
  </si>
  <si>
    <t>Inflation Index</t>
  </si>
  <si>
    <t>Corporate Income Taxes</t>
  </si>
  <si>
    <t>Total Capex (Initial + Replacement)</t>
  </si>
  <si>
    <t>Accumulated Initial Capital Expenditure</t>
  </si>
  <si>
    <t>Book value</t>
  </si>
  <si>
    <t>Capex, period</t>
  </si>
  <si>
    <t>Depreciation</t>
  </si>
  <si>
    <t>Book value, eop</t>
  </si>
  <si>
    <t>Factor if declining</t>
  </si>
  <si>
    <t>Factor (years)</t>
  </si>
  <si>
    <t>Depreciation variables (from assumptions sheet)</t>
  </si>
  <si>
    <t>Y-31</t>
  </si>
  <si>
    <t>Y-32</t>
  </si>
  <si>
    <t>Y-33</t>
  </si>
  <si>
    <t>Y-34</t>
  </si>
  <si>
    <t>Y-35</t>
  </si>
  <si>
    <t>Y-36</t>
  </si>
  <si>
    <t>Y-37</t>
  </si>
  <si>
    <t>Y-38</t>
  </si>
  <si>
    <t>Y-39</t>
  </si>
  <si>
    <t>Y-40</t>
  </si>
  <si>
    <t>Y-41</t>
  </si>
  <si>
    <t>Y-42</t>
  </si>
  <si>
    <t>Y-43</t>
  </si>
  <si>
    <t>Y-44</t>
  </si>
  <si>
    <t>Y-45</t>
  </si>
  <si>
    <t>Y-46</t>
  </si>
  <si>
    <t>Y-47</t>
  </si>
  <si>
    <t>Y-48</t>
  </si>
  <si>
    <t>Y-49</t>
  </si>
  <si>
    <t>Y-50</t>
  </si>
  <si>
    <t>Inputs (from assumptions sheet)</t>
  </si>
  <si>
    <t>Depreciation Allowance of Capital Expenditure</t>
  </si>
  <si>
    <t>Accumulated Initial and Replacement Capex</t>
  </si>
  <si>
    <t>Accumulated Replacement Capex</t>
  </si>
  <si>
    <t>Capital Depreciation</t>
  </si>
  <si>
    <t>Accumulated Capital Depreciation</t>
  </si>
  <si>
    <t>Loss carry forward limit</t>
  </si>
  <si>
    <t>year</t>
  </si>
  <si>
    <t>Capital Expenditure</t>
  </si>
  <si>
    <t>Bonus Payments</t>
  </si>
  <si>
    <t>Net Cashflow After CIP &amp; Before RRT</t>
  </si>
  <si>
    <t>Period (useful life in years)</t>
  </si>
  <si>
    <t>Salvage value</t>
  </si>
  <si>
    <t>Operating Cost (nominal)</t>
  </si>
  <si>
    <t>Check</t>
  </si>
  <si>
    <t>Capital Costs  (Equity Financed)</t>
  </si>
  <si>
    <t>Interest Payments</t>
  </si>
  <si>
    <t>Debt Repayment</t>
  </si>
  <si>
    <t>Withholding Taxes on Dividends</t>
  </si>
  <si>
    <t>Lender Cashflow</t>
  </si>
  <si>
    <t>Drawdowns</t>
  </si>
  <si>
    <t>Total Revenues</t>
  </si>
  <si>
    <t>Project Internal Rate of Return</t>
  </si>
  <si>
    <t>Project Cashflow</t>
  </si>
  <si>
    <t>Corporate Net Cashflow</t>
  </si>
  <si>
    <t>Dividends</t>
  </si>
  <si>
    <t>Corporate Dividend Payout</t>
  </si>
  <si>
    <t>Sources of Funds</t>
  </si>
  <si>
    <t>Uses of Funds</t>
  </si>
  <si>
    <t>Net Surplus</t>
  </si>
  <si>
    <t>Withholding Tax on Dividends</t>
  </si>
  <si>
    <t>Lender Rate of Return</t>
  </si>
  <si>
    <t xml:space="preserve">Project Cashflow </t>
  </si>
  <si>
    <t xml:space="preserve">Corporate Cashflow </t>
  </si>
  <si>
    <t>Government Cashflow</t>
  </si>
  <si>
    <t>Gold Production</t>
  </si>
  <si>
    <t>$/oz</t>
  </si>
  <si>
    <t>toz</t>
  </si>
  <si>
    <t>Withholding Tax Rate on Interest</t>
  </si>
  <si>
    <t>Mine</t>
  </si>
  <si>
    <t>Ghana</t>
  </si>
  <si>
    <t>Mining variables</t>
  </si>
  <si>
    <t>Imported Consumable Goods</t>
  </si>
  <si>
    <t>Import Duties on Consumables</t>
  </si>
  <si>
    <t>% of OPEX made up of consumables</t>
  </si>
  <si>
    <t>Withholding Tax on Interest</t>
  </si>
  <si>
    <t>Case 1</t>
  </si>
  <si>
    <t>Case 2</t>
  </si>
  <si>
    <t>Government Take (undiscounted)</t>
  </si>
  <si>
    <t>Government Take (discounted)</t>
  </si>
  <si>
    <t>Key results</t>
  </si>
  <si>
    <t>Government Take (Undiscounted)</t>
  </si>
  <si>
    <t>Government Take (Discounted)</t>
  </si>
  <si>
    <t>Project Free Cashflow After Taxes</t>
  </si>
  <si>
    <t>Withholding taxes on interests</t>
  </si>
  <si>
    <r>
      <t xml:space="preserve">Project </t>
    </r>
    <r>
      <rPr>
        <sz val="10"/>
        <rFont val="Arial"/>
      </rPr>
      <t>Free Cashflow Before Taxes</t>
    </r>
  </si>
  <si>
    <r>
      <rPr>
        <sz val="10"/>
        <rFont val="Arial"/>
      </rPr>
      <t>Free Cashflow Before Taxes</t>
    </r>
  </si>
  <si>
    <t>Total Capex</t>
  </si>
  <si>
    <t xml:space="preserve"> Case 6 </t>
  </si>
  <si>
    <t>Indonesia</t>
  </si>
  <si>
    <t>PNG</t>
  </si>
  <si>
    <t>Tanzania</t>
  </si>
  <si>
    <t>South Africa</t>
  </si>
  <si>
    <t>Tax holiday</t>
  </si>
  <si>
    <t>Start of production</t>
  </si>
  <si>
    <t>moz</t>
  </si>
  <si>
    <t xml:space="preserve">Threshold 1  </t>
  </si>
  <si>
    <t xml:space="preserve">Threshold 2 </t>
  </si>
  <si>
    <t xml:space="preserve">Threshold 3  </t>
  </si>
  <si>
    <t>Royalty rate - Tranche 1</t>
  </si>
  <si>
    <t>Royalty rate - Tranche 2</t>
  </si>
  <si>
    <t>Royalty rate - Tranche 3</t>
  </si>
  <si>
    <t>Royalty rate - Tranche 4</t>
  </si>
  <si>
    <t>Tranche 1</t>
  </si>
  <si>
    <t>Tranche 2</t>
  </si>
  <si>
    <t>Tranche 3</t>
  </si>
  <si>
    <t>Tranche 4</t>
  </si>
  <si>
    <t>Total</t>
  </si>
  <si>
    <t>Average Royalty Rate</t>
  </si>
  <si>
    <t>$m</t>
  </si>
  <si>
    <t>Operating Profit (EBITDA) after Royalty 2</t>
  </si>
  <si>
    <t>Royalties 1</t>
  </si>
  <si>
    <t>Capex to be financed</t>
  </si>
  <si>
    <t>Profit Calculation</t>
  </si>
  <si>
    <t>Deductible government payments</t>
  </si>
  <si>
    <t>Financing Cost or "Interest"</t>
  </si>
  <si>
    <t>Net Project Internal Rate of Return</t>
  </si>
  <si>
    <t>Cashflow to Investors</t>
  </si>
  <si>
    <t>Capital Costs  (out of Cashflows)</t>
  </si>
  <si>
    <t>Government's Equity</t>
  </si>
  <si>
    <t>Investor's Equity</t>
  </si>
  <si>
    <t>Nominal interest rate on carry</t>
  </si>
  <si>
    <t>Paid up Equity</t>
  </si>
  <si>
    <t>Carried interest</t>
  </si>
  <si>
    <t>Potential Government Dividend (Paid + Carried)</t>
  </si>
  <si>
    <t>Loan to Government</t>
  </si>
  <si>
    <t>Initial Balance</t>
  </si>
  <si>
    <t>Loan additions</t>
  </si>
  <si>
    <t>Interest on Loan Balance</t>
  </si>
  <si>
    <t>Repayments</t>
  </si>
  <si>
    <t>Balance after repayments</t>
  </si>
  <si>
    <t>Dividends to Government (Free)</t>
  </si>
  <si>
    <t>Total Government Dividends</t>
  </si>
  <si>
    <t>Government's Dividends Calculation</t>
  </si>
  <si>
    <t>Balance before repayments</t>
  </si>
  <si>
    <t xml:space="preserve">Cashflow from equity </t>
  </si>
  <si>
    <t>Government Dividends</t>
  </si>
  <si>
    <t>Government's participation (pre-carry)</t>
  </si>
  <si>
    <t>Investor's Cashflow through Calculation of Dividends</t>
  </si>
  <si>
    <t>Import duties on consumable goods</t>
  </si>
  <si>
    <t>Import duties on equipment</t>
  </si>
  <si>
    <t>Import Duties on Equipment</t>
  </si>
  <si>
    <t>Imported Equipment</t>
  </si>
  <si>
    <t>State Free Equity</t>
  </si>
  <si>
    <t>Project IRR</t>
  </si>
  <si>
    <t>Investors IRR</t>
  </si>
  <si>
    <t>Prices:</t>
  </si>
  <si>
    <t>Sensitivity Analysis - Selected Case</t>
  </si>
  <si>
    <t>Opex</t>
  </si>
  <si>
    <t>Opex:</t>
  </si>
  <si>
    <t>Impact of Tax Incentives</t>
  </si>
  <si>
    <t>L/C forward</t>
  </si>
  <si>
    <t>Variation in Tax Holiday vs L/C forward on Gov Take (u)</t>
  </si>
  <si>
    <t>Variation in Prices vs RRT Rate</t>
  </si>
  <si>
    <t>RRT Rate</t>
  </si>
  <si>
    <t>State Equity</t>
  </si>
  <si>
    <t>DISCLAIMER</t>
  </si>
  <si>
    <t>Losses expiring</t>
  </si>
  <si>
    <t>Losses being utilized</t>
  </si>
  <si>
    <t>Balance to carry forward</t>
  </si>
  <si>
    <t>Percentage limitation</t>
  </si>
  <si>
    <t>Balance carried forward</t>
  </si>
  <si>
    <t>Taxable Income after loss carry forward</t>
  </si>
  <si>
    <t>Case 7</t>
  </si>
  <si>
    <t>Case 8</t>
  </si>
  <si>
    <t>Brazil</t>
  </si>
  <si>
    <t>Chile</t>
  </si>
  <si>
    <t>Colombia</t>
  </si>
  <si>
    <t>Mexico</t>
  </si>
  <si>
    <t>Peru</t>
  </si>
  <si>
    <t>Current year losses</t>
  </si>
  <si>
    <t>Alternative turnover tax</t>
  </si>
  <si>
    <t>Alternative minimum turnover tax</t>
  </si>
  <si>
    <r>
      <t xml:space="preserve">     </t>
    </r>
    <r>
      <rPr>
        <sz val="10"/>
        <rFont val="Arial"/>
      </rPr>
      <t>which year turnover</t>
    </r>
  </si>
  <si>
    <t xml:space="preserve">       Number of years of consecutive losses in total</t>
  </si>
  <si>
    <t xml:space="preserve">       Series of consecutive years - indicator</t>
  </si>
  <si>
    <t xml:space="preserve">Resource Rent Tax </t>
  </si>
  <si>
    <t xml:space="preserve">        Alternative Tax</t>
  </si>
  <si>
    <t>Infrastructure Credit</t>
  </si>
  <si>
    <r>
      <t xml:space="preserve">    Infrastructure Credit </t>
    </r>
    <r>
      <rPr>
        <sz val="10"/>
        <rFont val="Arial"/>
      </rPr>
      <t>(of taxable income)</t>
    </r>
  </si>
  <si>
    <t xml:space="preserve">Calculation of loss and carry forward </t>
  </si>
  <si>
    <t>Profit after corporate income tax, RRT and tax credits</t>
  </si>
  <si>
    <t>Limit on deductibility of interests based on D/E</t>
  </si>
  <si>
    <t>D/ (E+D) Ratio</t>
  </si>
  <si>
    <t>Minimum</t>
  </si>
  <si>
    <t>Maximum</t>
  </si>
  <si>
    <t>Adjusting factor</t>
  </si>
  <si>
    <t>Adjusting Factor</t>
  </si>
  <si>
    <t>Percentage limitation (of taxable income)</t>
  </si>
  <si>
    <t>Royalty rate - Tranche 5</t>
  </si>
  <si>
    <t>Royalty rate - Tranche 6</t>
  </si>
  <si>
    <t>Royalty rate - Tranche 7</t>
  </si>
  <si>
    <t>Royalty rate - Tranche 8</t>
  </si>
  <si>
    <t>Threshold 4</t>
  </si>
  <si>
    <t>Threshold 5</t>
  </si>
  <si>
    <t>Threshold 6</t>
  </si>
  <si>
    <t>Threshold 7</t>
  </si>
  <si>
    <t>Tranche 5</t>
  </si>
  <si>
    <t>Tranche 6</t>
  </si>
  <si>
    <t>Tranche 7</t>
  </si>
  <si>
    <t>Tranche 8</t>
  </si>
  <si>
    <t>Corporate Income Tax Rate- type South Africa</t>
  </si>
  <si>
    <t>Corporate Income Tax - type South Africa</t>
  </si>
  <si>
    <t>Turnover Margin</t>
  </si>
  <si>
    <t>Threshold 8</t>
  </si>
  <si>
    <t>Threshold 9</t>
  </si>
  <si>
    <t>Threshold 10</t>
  </si>
  <si>
    <t>Threshold 11</t>
  </si>
  <si>
    <t>Threshold 12</t>
  </si>
  <si>
    <t>Threshold 13</t>
  </si>
  <si>
    <t>Threshold 14</t>
  </si>
  <si>
    <t>Threshold 15</t>
  </si>
  <si>
    <t>Threshold 16</t>
  </si>
  <si>
    <t>Royalty rate - Tranche 9</t>
  </si>
  <si>
    <t>Royalty rate - Tranche 10</t>
  </si>
  <si>
    <t>Royalty rate - Tranche 11</t>
  </si>
  <si>
    <t>Royalty rate - Tranche 12</t>
  </si>
  <si>
    <t>Royalty rate - Tranche 13</t>
  </si>
  <si>
    <t>Royalty rate - Tranche 14</t>
  </si>
  <si>
    <t>Royalty rate - Tranche 15</t>
  </si>
  <si>
    <t>Royalty rate - Tranche 16</t>
  </si>
  <si>
    <t>Tranche 9</t>
  </si>
  <si>
    <t>Tranche 10</t>
  </si>
  <si>
    <t>Tranche 11</t>
  </si>
  <si>
    <t>Tranche 12</t>
  </si>
  <si>
    <t>Tranche 13</t>
  </si>
  <si>
    <t>Tranche 14</t>
  </si>
  <si>
    <t>Tranche 15</t>
  </si>
  <si>
    <t>Tranche 16</t>
  </si>
  <si>
    <t>Additional royalty tax on net profit (Indonesia)</t>
  </si>
  <si>
    <t>Additional Royalty based on Net Profit - Indonesia</t>
  </si>
  <si>
    <t>Royalty rate - Tranche 17</t>
  </si>
  <si>
    <t>Tranche 17</t>
  </si>
  <si>
    <t>Basis</t>
  </si>
  <si>
    <t>Royalty 3 Revenue</t>
  </si>
  <si>
    <t>Operating Profit (EBITDA) after Royalty 3</t>
  </si>
  <si>
    <t>Case 3</t>
  </si>
  <si>
    <t>Case 4</t>
  </si>
  <si>
    <t>Case 5</t>
  </si>
  <si>
    <t xml:space="preserve"> Case 9 </t>
  </si>
  <si>
    <t xml:space="preserve"> Case 10 </t>
  </si>
  <si>
    <t xml:space="preserve"> Case 11</t>
  </si>
  <si>
    <t>Royalty 1 Rate - Fixed on Revenues</t>
  </si>
  <si>
    <t>Royalty 2 Rate - Fixed on EBITDA</t>
  </si>
  <si>
    <t>Royalty 3 Rate - Sliding Scale on revenue</t>
  </si>
  <si>
    <t>Royalty 4 Rate - Sliding Scale by operating margin</t>
  </si>
  <si>
    <t>Royalties 2</t>
  </si>
  <si>
    <t>Royalty 5</t>
  </si>
  <si>
    <t>Operating Profit (EBITDA) after Royalty 4</t>
  </si>
  <si>
    <t>Royalty 4 Revenue</t>
  </si>
  <si>
    <t>Royalties 4 - Sliding Scale by operating margin</t>
  </si>
  <si>
    <t>Royalties 3 - Sliding Scale on revenue</t>
  </si>
  <si>
    <t>Operating Profit (EBITDA) after fixed royalty</t>
  </si>
  <si>
    <t>Royalties</t>
  </si>
  <si>
    <t xml:space="preserve">Chile </t>
  </si>
  <si>
    <t>Project Rate of Return</t>
  </si>
  <si>
    <t>Case</t>
  </si>
  <si>
    <t>Country</t>
  </si>
  <si>
    <t>Profit margin</t>
  </si>
  <si>
    <t>Corporate Income Tax - Standard</t>
  </si>
  <si>
    <t>Corporate Income Tax (Standard) - Rate</t>
  </si>
  <si>
    <t>Project Free Cashflow After CIP &amp; Before RRT</t>
  </si>
  <si>
    <t>Cumulative project free cash flow after tax</t>
  </si>
  <si>
    <t xml:space="preserve">Payback </t>
  </si>
  <si>
    <t>Project year</t>
  </si>
  <si>
    <t>Discount Rate Contractor - Real</t>
  </si>
  <si>
    <t>Discount Rate Contractor Nominal</t>
  </si>
  <si>
    <t>Discount Rate Government - Real</t>
  </si>
  <si>
    <t>Discount Rate Government- Nominal</t>
  </si>
  <si>
    <t>PROJECT IRR</t>
  </si>
  <si>
    <t>U-Gov Take</t>
  </si>
  <si>
    <t>Investor IRR</t>
  </si>
  <si>
    <t>D- Gov take</t>
  </si>
  <si>
    <t>Expiry of losses</t>
  </si>
  <si>
    <t>Benchmarking Results</t>
  </si>
  <si>
    <t>TOTAL</t>
  </si>
  <si>
    <t>Gold Prices</t>
  </si>
  <si>
    <t>Capital Costs</t>
  </si>
  <si>
    <t>Capex:</t>
  </si>
  <si>
    <t>NAVIGATING THE MODEL</t>
  </si>
  <si>
    <t>This model contains several tabs:</t>
  </si>
  <si>
    <t>Inputs</t>
  </si>
  <si>
    <t>Calculations</t>
  </si>
  <si>
    <t>Cash flows</t>
  </si>
  <si>
    <t>Capex</t>
  </si>
  <si>
    <t>Debt &amp; equity</t>
  </si>
  <si>
    <t>The engine of the model - income statement calculations are performed here.</t>
  </si>
  <si>
    <t>Tab where mine specific assumptions are inputted, including production, prices and costs.</t>
  </si>
  <si>
    <t>Tab gives a summary of the cashflows to the different parties (project, government and lender).</t>
  </si>
  <si>
    <t>Tab isolates the capital expenditures and depreciation calculations.</t>
  </si>
  <si>
    <t>Tab performs the debt and equity calculations.</t>
  </si>
  <si>
    <t>BACKGROUND &amp; PURPOSE</t>
  </si>
  <si>
    <t>The cells are color coded:</t>
  </si>
  <si>
    <t>Navigate</t>
  </si>
  <si>
    <t>Assumptions &amp; Results</t>
  </si>
  <si>
    <t>Light blue</t>
  </si>
  <si>
    <t>Orange</t>
  </si>
  <si>
    <t>Light green</t>
  </si>
  <si>
    <t>White</t>
  </si>
  <si>
    <t>Graphs of Key Results - Selected Case</t>
  </si>
  <si>
    <t>TOTAL NPV</t>
  </si>
  <si>
    <t>EBT after alternative turnover tax</t>
  </si>
  <si>
    <t>Investor Internal Rate of Return (Leveraged)</t>
  </si>
  <si>
    <t>Red</t>
  </si>
  <si>
    <r>
      <rPr>
        <b/>
        <sz val="20"/>
        <color theme="1"/>
        <rFont val="Calibri"/>
        <scheme val="minor"/>
      </rPr>
      <t>Benchmarking Model:</t>
    </r>
    <r>
      <rPr>
        <sz val="20"/>
        <color theme="1"/>
        <rFont val="Calibri"/>
        <scheme val="minor"/>
      </rPr>
      <t xml:space="preserve"> Comparing fiscal regimes across gold producing jurisdictions</t>
    </r>
  </si>
  <si>
    <t>Royalties 1+ 2+3+4+5+ Additional Royalty Indonesia type</t>
  </si>
  <si>
    <t xml:space="preserve">This work is licensed under the Creative Commons Attribution 4.0 International License. </t>
  </si>
  <si>
    <t>To view a copy of this license, visit http://creativecommons.org/licenses/by/4.0/</t>
  </si>
  <si>
    <t>OPEN LICENSING</t>
  </si>
  <si>
    <t>Average Ghana</t>
  </si>
  <si>
    <t>Average Peru</t>
  </si>
  <si>
    <t>Total Average</t>
  </si>
  <si>
    <t xml:space="preserve">Primary purpose:  benchmarking </t>
  </si>
  <si>
    <t xml:space="preserve">Average Ghana's peer gr. </t>
  </si>
  <si>
    <t>Average Peru's peer gr.</t>
  </si>
  <si>
    <t>Investor Rate of Return (leveraged)</t>
  </si>
  <si>
    <t>Calculations for the benchmarking graphics</t>
  </si>
  <si>
    <t>Calculations for graphics not relevant in model &amp; therefore 'whited out'</t>
  </si>
  <si>
    <t>Project economics graphic</t>
  </si>
  <si>
    <t>CAPEX</t>
  </si>
  <si>
    <t>(see for instance the difference between the %0 rate line and the 20%/50% rate)</t>
  </si>
  <si>
    <t>Impact of the Resource Rent Tax on the Progressivity of the Fiscal Regime</t>
  </si>
  <si>
    <t>Additional Uses</t>
  </si>
  <si>
    <t>Royalty 5 Rate- Formula</t>
  </si>
  <si>
    <t xml:space="preserve">Fields are linked by a formula and should not be changed, as it may result in the model not functioning properly any more. </t>
  </si>
  <si>
    <t>KEY RESULTS</t>
  </si>
  <si>
    <t>- This model is not meant to give an accurate estimate of the impact of a fiscal regime on government take and project profitability. To do so, there will be a need for a more sophisticated model taking into account more variables describing better the gold mining process and the various countries' specific characteristics. The model is only meant to give an indication of the magnitude of impacts and trends.</t>
  </si>
  <si>
    <t>- The sources of the various fiscal regime variables are the different laws of the countries, corroborated with PWC's mining fiscal regime database. CCSI is open to work with stakeholders to correct any inaccuracy that are found while browsing the model.</t>
  </si>
  <si>
    <t>Revenue</t>
  </si>
  <si>
    <t>Lender</t>
  </si>
  <si>
    <t>Government</t>
  </si>
  <si>
    <t>Corporate</t>
  </si>
  <si>
    <t>CAPEX &amp; OPEX</t>
  </si>
  <si>
    <t>Breakdown of total cumulative revenues</t>
  </si>
  <si>
    <t>Net Present Value of Project</t>
  </si>
  <si>
    <t>NPV vs. discount rate figure</t>
  </si>
  <si>
    <r>
      <rPr>
        <b/>
        <sz val="11"/>
        <color theme="1"/>
        <rFont val="Calibri"/>
        <family val="2"/>
        <scheme val="minor"/>
      </rPr>
      <t>A. Key indicators:</t>
    </r>
    <r>
      <rPr>
        <sz val="11"/>
        <color theme="1"/>
        <rFont val="Calibri"/>
        <family val="2"/>
        <scheme val="minor"/>
      </rPr>
      <t xml:space="preserve"> including the undiscounted and discounted government take, the project net present value, the project internal rate of return and the investor internal rate of return can be found in the 'Assumptions and Results' tab in Cells C145, C146, C147, C148, C149.</t>
    </r>
  </si>
  <si>
    <r>
      <t xml:space="preserve">3) </t>
    </r>
    <r>
      <rPr>
        <b/>
        <sz val="11"/>
        <color theme="1"/>
        <rFont val="Calibri"/>
        <family val="2"/>
        <scheme val="minor"/>
      </rPr>
      <t xml:space="preserve">Project NPV at various discount rates: </t>
    </r>
    <r>
      <rPr>
        <sz val="11"/>
        <color theme="1"/>
        <rFont val="Calibri"/>
        <family val="2"/>
        <scheme val="minor"/>
      </rPr>
      <t>Provides an overview at the profitability of the project using different discount rates. The discount rate where NPV=0 is the internal rate of return.</t>
    </r>
  </si>
  <si>
    <r>
      <t xml:space="preserve">4) </t>
    </r>
    <r>
      <rPr>
        <b/>
        <sz val="11"/>
        <color theme="1"/>
        <rFont val="Calibri"/>
        <family val="2"/>
        <scheme val="minor"/>
      </rPr>
      <t xml:space="preserve">Tax schedule: </t>
    </r>
    <r>
      <rPr>
        <sz val="11"/>
        <color theme="1"/>
        <rFont val="Calibri"/>
        <family val="2"/>
        <scheme val="minor"/>
      </rPr>
      <t>Gives an overview of how much the government collects every year and which taxes start flowing when. Front loaded taxes such as royalties start flowing earlier than profit based taxes.</t>
    </r>
  </si>
  <si>
    <r>
      <t xml:space="preserve">5) </t>
    </r>
    <r>
      <rPr>
        <b/>
        <sz val="11"/>
        <color theme="1"/>
        <rFont val="Calibri"/>
        <family val="2"/>
        <scheme val="minor"/>
      </rPr>
      <t xml:space="preserve">Production and Price Assumptions: </t>
    </r>
    <r>
      <rPr>
        <sz val="11"/>
        <color theme="1"/>
        <rFont val="Calibri"/>
        <family val="2"/>
        <scheme val="minor"/>
      </rPr>
      <t>Gives a visual representation of the production and price assumptions that have been inputted in the "inputs" tab.</t>
    </r>
  </si>
  <si>
    <r>
      <t xml:space="preserve">1) </t>
    </r>
    <r>
      <rPr>
        <b/>
        <sz val="11"/>
        <color theme="1"/>
        <rFont val="Calibri"/>
        <family val="2"/>
        <scheme val="minor"/>
      </rPr>
      <t>NPV and IRR:</t>
    </r>
    <r>
      <rPr>
        <sz val="11"/>
        <color theme="1"/>
        <rFont val="Calibri"/>
        <family val="2"/>
        <scheme val="minor"/>
      </rPr>
      <t xml:space="preserve"> Show the profitability of the project. The higher the NPV and IRR the better. The IRR represents the discount rate at which NPV=0 </t>
    </r>
  </si>
  <si>
    <r>
      <t xml:space="preserve">1) </t>
    </r>
    <r>
      <rPr>
        <b/>
        <sz val="11"/>
        <color theme="1"/>
        <rFont val="Calibri"/>
        <family val="2"/>
        <scheme val="minor"/>
      </rPr>
      <t xml:space="preserve">Benchmarking Result Tables: </t>
    </r>
    <r>
      <rPr>
        <sz val="11"/>
        <color theme="1"/>
        <rFont val="Calibri"/>
        <family val="2"/>
        <scheme val="minor"/>
      </rPr>
      <t>Compare the profitability and government take indicators among the peer group countries (see primary purpose above).</t>
    </r>
  </si>
  <si>
    <t>Input variables that can be changed by the user (only the 'Assumptions &amp; Results' and 'Inputs' tabs have input variables).</t>
  </si>
  <si>
    <t>Fiscal regime input variables. Can be changed by the user to update fiscal regimes or to insert the fiscal regimes of the countries of choice.</t>
  </si>
  <si>
    <r>
      <t xml:space="preserve">2) </t>
    </r>
    <r>
      <rPr>
        <b/>
        <sz val="11"/>
        <color theme="1"/>
        <rFont val="Calibri"/>
        <family val="2"/>
        <scheme val="minor"/>
      </rPr>
      <t xml:space="preserve">Impact of operating cost: </t>
    </r>
    <r>
      <rPr>
        <sz val="11"/>
        <color theme="1"/>
        <rFont val="Calibri"/>
        <family val="2"/>
        <scheme val="minor"/>
      </rPr>
      <t>Shows how the profitability and government take indicators change with varying operating costs. The base cost can be found row 14 of the "inputs" tab. A falling government take as a result of lower operating costs indicates a 'regressive' fiscal system in relation to operating costs.</t>
    </r>
  </si>
  <si>
    <r>
      <t xml:space="preserve">3) </t>
    </r>
    <r>
      <rPr>
        <b/>
        <sz val="11"/>
        <color theme="1"/>
        <rFont val="Calibri"/>
        <family val="2"/>
        <scheme val="minor"/>
      </rPr>
      <t xml:space="preserve">Impact of capital cost: </t>
    </r>
    <r>
      <rPr>
        <sz val="11"/>
        <color theme="1"/>
        <rFont val="Calibri"/>
        <family val="2"/>
        <scheme val="minor"/>
      </rPr>
      <t>Shows how the profitability and government take indicators change with varying capital costs. The base cost can be found row 18 of the "inputs" tab. A falling government take as a result of lower capital costs indicates a 'regressive' fiscal system in relation to capital costs.</t>
    </r>
  </si>
  <si>
    <r>
      <rPr>
        <b/>
        <sz val="11"/>
        <color theme="1"/>
        <rFont val="Calibri"/>
        <family val="2"/>
        <scheme val="minor"/>
      </rPr>
      <t xml:space="preserve">C. Sensitivity analysis of a selected case: </t>
    </r>
    <r>
      <rPr>
        <sz val="11"/>
        <color theme="1"/>
        <rFont val="Calibri"/>
        <family val="2"/>
        <scheme val="minor"/>
      </rPr>
      <t>Tables and figures</t>
    </r>
    <r>
      <rPr>
        <b/>
        <sz val="11"/>
        <color theme="1"/>
        <rFont val="Calibri"/>
        <family val="2"/>
        <scheme val="minor"/>
      </rPr>
      <t xml:space="preserve"> </t>
    </r>
    <r>
      <rPr>
        <sz val="11"/>
        <color theme="1"/>
        <rFont val="Calibri"/>
        <family val="2"/>
        <scheme val="minor"/>
      </rPr>
      <t>show how the results of the selected case change if the input variables change. These results can be found in the 'Assumptions and Results' tab between rows 175 and 220.</t>
    </r>
  </si>
  <si>
    <r>
      <t xml:space="preserve">6) </t>
    </r>
    <r>
      <rPr>
        <b/>
        <sz val="11"/>
        <color theme="1"/>
        <rFont val="Calibri"/>
        <family val="2"/>
        <scheme val="minor"/>
      </rPr>
      <t xml:space="preserve">Breakdown of total cumulative revenues: </t>
    </r>
    <r>
      <rPr>
        <sz val="11"/>
        <color theme="1"/>
        <rFont val="Calibri"/>
        <family val="2"/>
        <scheme val="minor"/>
      </rPr>
      <t>Shows how the total revenues are divided up by costs, flows to the investors, government and lender.</t>
    </r>
  </si>
  <si>
    <r>
      <t>7)</t>
    </r>
    <r>
      <rPr>
        <b/>
        <sz val="11"/>
        <color theme="1"/>
        <rFont val="Calibri"/>
        <family val="2"/>
        <scheme val="minor"/>
      </rPr>
      <t xml:space="preserve"> Breakdown of government revenues on a discounted and undiscounted basis:</t>
    </r>
    <r>
      <rPr>
        <sz val="11"/>
        <color theme="1"/>
        <rFont val="Calibri"/>
        <family val="2"/>
        <scheme val="minor"/>
      </rPr>
      <t xml:space="preserve"> Shows what percentage each tax makes up of the total government revenues. On a discounted basis, the taxes that flow to the government at an earlier stage receive a larger weighting.</t>
    </r>
  </si>
  <si>
    <r>
      <t xml:space="preserve">1) </t>
    </r>
    <r>
      <rPr>
        <b/>
        <sz val="11"/>
        <color theme="1"/>
        <rFont val="Calibri"/>
        <family val="2"/>
        <scheme val="minor"/>
      </rPr>
      <t xml:space="preserve">Impact of gold Prices: </t>
    </r>
    <r>
      <rPr>
        <sz val="11"/>
        <color theme="1"/>
        <rFont val="Calibri"/>
        <family val="2"/>
        <scheme val="minor"/>
      </rPr>
      <t>Shows how the profitability and government take indicators change with varying prices. The base price can be found row 10 of the "inputs" tab. A falling government take as a result of higher prices indicates a 'regressive' fiscal system in relation to prices.</t>
    </r>
  </si>
  <si>
    <r>
      <t xml:space="preserve">4) </t>
    </r>
    <r>
      <rPr>
        <b/>
        <sz val="11"/>
        <rFont val="Calibri"/>
        <scheme val="minor"/>
      </rPr>
      <t xml:space="preserve">Impact of tax holidays on government take according to loss and carry forward data points: </t>
    </r>
    <r>
      <rPr>
        <sz val="11"/>
        <rFont val="Calibri"/>
        <scheme val="minor"/>
      </rPr>
      <t>Tax holidays and loss and carry forward are two types of fiscal incentives</t>
    </r>
    <r>
      <rPr>
        <b/>
        <sz val="11"/>
        <rFont val="Calibri"/>
        <scheme val="minor"/>
      </rPr>
      <t xml:space="preserve">. </t>
    </r>
    <r>
      <rPr>
        <sz val="11"/>
        <rFont val="Calibri"/>
        <scheme val="minor"/>
      </rPr>
      <t>The latter is often more recommended than the former as it ends up being less costly and more effective. The chart shows how the government take varies if both tax holidays and loss and carry forward are applied at the same time.</t>
    </r>
    <r>
      <rPr>
        <b/>
        <sz val="11"/>
        <rFont val="Calibri"/>
        <scheme val="minor"/>
      </rPr>
      <t xml:space="preserve">
</t>
    </r>
  </si>
  <si>
    <t xml:space="preserve">Background </t>
  </si>
  <si>
    <t>With the financial support of:</t>
  </si>
  <si>
    <r>
      <rPr>
        <b/>
        <sz val="11"/>
        <color theme="1"/>
        <rFont val="Calibri"/>
        <family val="2"/>
        <scheme val="minor"/>
      </rPr>
      <t>D. Cashflows by stakeholder:</t>
    </r>
    <r>
      <rPr>
        <sz val="11"/>
        <color theme="1"/>
        <rFont val="Calibri"/>
        <family val="2"/>
        <scheme val="minor"/>
      </rPr>
      <t xml:space="preserve"> The cashflows of the Government, Private company and Lender can be found in the 'Cash Flows' tab.</t>
    </r>
  </si>
  <si>
    <t xml:space="preserve">Important calculations in the model. Fields are linked by a formula and should not be changed, as it may result in the model not functioning properly any more. </t>
  </si>
  <si>
    <t>Present tab, which gives background information on how to operate this model. This tab is locked.</t>
  </si>
  <si>
    <r>
      <rPr>
        <b/>
        <sz val="11"/>
        <color theme="1"/>
        <rFont val="Calibri"/>
        <family val="2"/>
        <scheme val="minor"/>
      </rPr>
      <t>B. Graphs of key results of selected case:</t>
    </r>
    <r>
      <rPr>
        <sz val="11"/>
        <color theme="1"/>
        <rFont val="Calibri"/>
        <family val="2"/>
        <scheme val="minor"/>
      </rPr>
      <t xml:space="preserve"> Visualize the results of the model and can be found in the 'Assumptions and Results' tab over columns P-AB</t>
    </r>
  </si>
  <si>
    <t>Cell C3 in the 'Assumptions &amp; Results' tab - Where the country's fiscal regime to be analyzed can be chosen.</t>
  </si>
  <si>
    <r>
      <t xml:space="preserve">2) </t>
    </r>
    <r>
      <rPr>
        <b/>
        <sz val="11"/>
        <color theme="1"/>
        <rFont val="Calibri"/>
        <family val="2"/>
        <scheme val="minor"/>
      </rPr>
      <t xml:space="preserve">Project Economics Figure: </t>
    </r>
    <r>
      <rPr>
        <sz val="11"/>
        <color theme="1"/>
        <rFont val="Calibri"/>
        <family val="2"/>
        <scheme val="minor"/>
      </rPr>
      <t xml:space="preserve">Provides an overview of the costs, revenues and cash flow of the project on an annual basis </t>
    </r>
  </si>
  <si>
    <t>Corporate Income Tax - formulaic - South Africa</t>
  </si>
  <si>
    <t xml:space="preserve">         to be activated after X years of consecutive tax losses</t>
  </si>
  <si>
    <t>This table shows that the Resource Rent Tax can turn a regressive regime into a progressive regime with prices</t>
  </si>
  <si>
    <t>Variation in Costs vs. RRT Rate</t>
  </si>
  <si>
    <t>This table shows that the Resource Rent Tax can turn a regressive regime into a progressive regime with costs</t>
  </si>
  <si>
    <t>Investors' Internal Rate of Return (Leveraged)</t>
  </si>
  <si>
    <t xml:space="preserve">This model can also be used to assess a particular mining contract and to compare how the contract compares to the country's fiscal regime and that of peer countries. Several sensitivity tests are provided, which allow the user to understand how the project economics and government returns change with varying assumptions, such as changes in the prices or changes in costs. CCSI has not locked any cells in the model to ensure that it is highly adaptable depending on the needs/requirement of the user.  </t>
  </si>
  <si>
    <t>Alongside growing revenue and contract transparency, increasing model transparency is needed. Only with financial model transparency can civil society and citizens better assess whether contracts are balanced in terms of fiscal returns and understand when revenues start flowing to the government. The Columbia Center on Sustainable Investment (CCSI) strongly supports financial model transparency. However, care must be taken when modeling financial flows and when interpreting the results. These are only indicative and depend on input variables and assumptions that change over time. With the support of IBIS, CCSI has piloted a project that supports the Africa Center for Energy Policy (ACEP) in Ghana and LATINDADD in Peru in performing financial modeling assessments - specifically to benchmark the gold mining fiscal terms in their respective countries against their peers.</t>
  </si>
  <si>
    <t xml:space="preserve">Impact of Prices and Costs </t>
  </si>
  <si>
    <t>Total Government Revenues</t>
  </si>
  <si>
    <t>Net Present Value Government Revenues</t>
  </si>
  <si>
    <t>Net Present Value for Investor (Leveraged)</t>
  </si>
  <si>
    <t>Note: When the government take is negative or above 100%, it means that the change (in prices, costs, tax rates…) that is being tested is not sustainable for the project. The results may not make sense.</t>
  </si>
  <si>
    <t>Note: For this sensitivity analysis to work please input a "return threshold" in line C94</t>
  </si>
  <si>
    <t>Legal</t>
  </si>
  <si>
    <t>Existence of a Double Tax Agreement lowering the Withholding Tax on Dividends</t>
  </si>
  <si>
    <r>
      <t xml:space="preserve">2) </t>
    </r>
    <r>
      <rPr>
        <b/>
        <sz val="11"/>
        <color theme="1"/>
        <rFont val="Calibri"/>
        <family val="2"/>
        <scheme val="minor"/>
      </rPr>
      <t>Government take:</t>
    </r>
    <r>
      <rPr>
        <sz val="11"/>
        <color theme="1"/>
        <rFont val="Calibri"/>
        <family val="2"/>
        <scheme val="minor"/>
      </rPr>
      <t xml:space="preserve"> is the share of the revenues that flow to the government as compared to the pre-tax cashflows. When the discounted government take is higher than the undiscounted government take, it indicates that the government revenue flows occur mostly in the early stages of the project.</t>
    </r>
  </si>
  <si>
    <t>This benchmarking tool enables the comparison of several countries' fiscal regimes. This comparison should be done among peer countries, which are those with a similar geology, infrastructure and political risk for a specific commodity. ACEP chose Indonesia, PNG, South Africa and Tanzania for the peer countries for Ghana, and Latindadd chose Brazil, Chile, Colombia and Mexico for the peer countries for Peru. The higher the net present value and internal rate of return of a project, the more attractive the fiscal regime is for mining companies. In turn, jurisdictions with high government takes will result in higher government revenues. A balance of these indicators is of importance, because if the internal rate of return is an outlier at the top end among the peer group countries and the government take is low, it is likely that there will be pressures to reform the fiscal regime. In turn, if the internal rate of return is an outlier on the lower end, the country will not be attractive for mining investments and therefore government revenues from the sector will not be forthcoming. This tool aims to provide users with the opportunity to assess the internal rate of return and the discounted and undiscounted government take for 10 countries (with fiscal regime data already inserted for the peer group countries selected by ACEP and Latindadd).</t>
  </si>
  <si>
    <t>Management fees (% turnover)</t>
  </si>
  <si>
    <t>Management fees</t>
  </si>
  <si>
    <t>Operating Costs + Management fees</t>
  </si>
  <si>
    <t>Impact of management fees</t>
  </si>
  <si>
    <t>Gold Prices (real)</t>
  </si>
  <si>
    <t>Adjusted Gold Price (nominal)</t>
  </si>
  <si>
    <t>Per Unit Operating Cost (real)</t>
  </si>
  <si>
    <t>Initial Capital Expenditure (real)</t>
  </si>
  <si>
    <t>Initial Capital Costs (nominal)</t>
  </si>
  <si>
    <t>Discount Rate Lender - Real</t>
  </si>
  <si>
    <t>Discount Rate Lender - Nominal</t>
  </si>
  <si>
    <t xml:space="preserve">Debt nominal interest </t>
  </si>
  <si>
    <t>Government Revenues (NPV)</t>
  </si>
  <si>
    <t>Government Revenues (Undiscounted)</t>
  </si>
  <si>
    <t>Government Dividends (NPV)</t>
  </si>
  <si>
    <t>Government Dividends (Undiscounted)</t>
  </si>
  <si>
    <t>Government Dividends (Paid + Carried)</t>
  </si>
  <si>
    <t>Existence of a Double Tax Agreement lowering the Withholding Tax on Interests</t>
  </si>
  <si>
    <t>Note: The country of your project might have signed a DTA with the home country of the company that restricts the imposition of withholding tax of dividends and interests (lowering the rate or eliminating it)</t>
  </si>
  <si>
    <r>
      <t xml:space="preserve">5) </t>
    </r>
    <r>
      <rPr>
        <b/>
        <sz val="11"/>
        <rFont val="Calibri"/>
        <scheme val="minor"/>
      </rPr>
      <t xml:space="preserve">Impact of prices on government take according to resource rent tax rate: </t>
    </r>
    <r>
      <rPr>
        <sz val="11"/>
        <rFont val="Calibri"/>
        <scheme val="minor"/>
      </rPr>
      <t>the</t>
    </r>
    <r>
      <rPr>
        <b/>
        <sz val="11"/>
        <rFont val="Calibri"/>
        <scheme val="minor"/>
      </rPr>
      <t xml:space="preserve"> '</t>
    </r>
    <r>
      <rPr>
        <sz val="11"/>
        <rFont val="Calibri"/>
        <scheme val="minor"/>
      </rPr>
      <t>Resource Rent Tax' (that kicks in only after a certain threshold of internal rate of return has been reached) can enable progressivity - This chart shows that that government take can increase with an increase in prices if the resource rent tax is applied.</t>
    </r>
    <r>
      <rPr>
        <b/>
        <sz val="11"/>
        <rFont val="Calibri"/>
        <scheme val="minor"/>
      </rPr>
      <t xml:space="preserve">
</t>
    </r>
  </si>
  <si>
    <r>
      <t xml:space="preserve">6) </t>
    </r>
    <r>
      <rPr>
        <b/>
        <sz val="11"/>
        <color rgb="FF000000"/>
        <rFont val="Calibri"/>
        <family val="2"/>
      </rPr>
      <t xml:space="preserve">Impact of costs on government take according to resource rent tax rate: </t>
    </r>
    <r>
      <rPr>
        <sz val="11"/>
        <color rgb="FF000000"/>
        <rFont val="Calibri"/>
        <family val="2"/>
      </rPr>
      <t>the</t>
    </r>
    <r>
      <rPr>
        <b/>
        <sz val="11"/>
        <color rgb="FF000000"/>
        <rFont val="Calibri"/>
        <family val="2"/>
      </rPr>
      <t xml:space="preserve"> '</t>
    </r>
    <r>
      <rPr>
        <sz val="11"/>
        <color rgb="FF000000"/>
        <rFont val="Calibri"/>
        <family val="2"/>
      </rPr>
      <t>Resource Rent Tax' can enable progressivity - This chart shows that that government take can increase with a decrease in operating costs if the resource rent tax is applied.</t>
    </r>
  </si>
  <si>
    <r>
      <t xml:space="preserve">7) </t>
    </r>
    <r>
      <rPr>
        <b/>
        <sz val="11"/>
        <color rgb="FF000000"/>
        <rFont val="Calibri"/>
        <family val="2"/>
      </rPr>
      <t xml:space="preserve">Impact of management fees (as a % of revenues) on government revenues and government dividends: </t>
    </r>
    <r>
      <rPr>
        <sz val="11"/>
        <color rgb="FF000000"/>
        <rFont val="Calibri"/>
        <family val="2"/>
      </rPr>
      <t>Management fees (fees charged by an affiliate entity to the company for management functions) should be regulated and stay under close monitoring and audit to remain within sensible margins and to avoid the shifting of profits offshore through transfer pricing. The sensitivity analysis shows the negative impact of excessive fees on government revenues and dividends.</t>
    </r>
  </si>
  <si>
    <r>
      <t>Tab where all assumptions are inputted that are not mine specific. Current fiscal regime inputs are extracted from different laws and corroborated with PWC's mining tax comparison database (http://www.pwc.com/gx/en/industries/energy-utilities-mining/mining/tax/compare-taxes.html).</t>
    </r>
    <r>
      <rPr>
        <sz val="11"/>
        <color theme="1"/>
        <rFont val="Calibri"/>
        <family val="2"/>
        <scheme val="minor"/>
      </rPr>
      <t xml:space="preserve"> They are up to date as of 2015.</t>
    </r>
    <r>
      <rPr>
        <sz val="11"/>
        <color theme="1"/>
        <rFont val="Calibri"/>
        <family val="2"/>
        <scheme val="minor"/>
      </rPr>
      <t xml:space="preserve"> This tab also contains the key results, diagrams and the sensitivity analysis. Users will mostly be on this tab. On the left bar, there is a possibility to group some assumptions lines in order to shorten the assumptions table (by clicking on the "-") - it will however concatenate the charts. For full visibility of the charts, the lines need to be ungrouped.</t>
    </r>
  </si>
</sst>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8" formatCode="&quot;$&quot;#,##0.00_);[Red]\(&quot;$&quot;#,##0.00\)"/>
    <numFmt numFmtId="164" formatCode="_-* #,##0.00_-;\-* #,##0.00_-;_-* &quot;-&quot;??_-;_-@_-"/>
    <numFmt numFmtId="165" formatCode="_-* #,##0.00\ _€_-;\-* #,##0.00\ _€_-;_-* &quot;-&quot;??\ _€_-;_-@_-"/>
    <numFmt numFmtId="166" formatCode="#,##0.0"/>
    <numFmt numFmtId="167" formatCode="0.0"/>
    <numFmt numFmtId="168" formatCode="0.0%"/>
    <numFmt numFmtId="169" formatCode="_-* #,##0\ _€_-;\-* #,##0\ _€_-;_-* &quot;-&quot;??\ _€_-;_-@_-"/>
    <numFmt numFmtId="170" formatCode="&quot;$&quot;#,##0.0_);\(&quot;$&quot;#,##0.0\)"/>
    <numFmt numFmtId="171" formatCode="0.00_ ;[Red]\-0.00\ "/>
    <numFmt numFmtId="172" formatCode="0.000_ ;[Red]\-0.000\ "/>
    <numFmt numFmtId="173" formatCode="0_ ;[Red]\-0\ "/>
    <numFmt numFmtId="174" formatCode="_-* #,##0_-;\-* #,##0_-;_-* &quot;-&quot;??_-;_-@_-"/>
    <numFmt numFmtId="175" formatCode="#,##0;\-#,##0;\-"/>
    <numFmt numFmtId="176" formatCode="0.00;[Red]0.00"/>
    <numFmt numFmtId="177" formatCode="_-* #,##0.0000000_-;\-* #,##0.0000000_-;_-* &quot;-&quot;??_-;_-@_-"/>
    <numFmt numFmtId="178" formatCode="0.0000_ ;[Red]\-0.0000\ "/>
    <numFmt numFmtId="179" formatCode="0.000000000000000_ ;[Red]\-0.000000000000000\ "/>
    <numFmt numFmtId="180" formatCode="0.0000000;[Red]0.0000000"/>
  </numFmts>
  <fonts count="45" x14ac:knownFonts="1">
    <font>
      <sz val="10"/>
      <name val="Arial"/>
    </font>
    <font>
      <sz val="11"/>
      <color theme="1"/>
      <name val="Calibri"/>
      <family val="2"/>
      <scheme val="minor"/>
    </font>
    <font>
      <sz val="11"/>
      <color theme="1"/>
      <name val="Calibri"/>
      <family val="2"/>
      <scheme val="minor"/>
    </font>
    <font>
      <sz val="10"/>
      <name val="Arial"/>
    </font>
    <font>
      <b/>
      <sz val="10"/>
      <name val="Arial"/>
      <family val="2"/>
    </font>
    <font>
      <i/>
      <sz val="10"/>
      <name val="Arial"/>
      <family val="2"/>
    </font>
    <font>
      <sz val="10"/>
      <name val="Arial"/>
    </font>
    <font>
      <sz val="10"/>
      <name val="Arial"/>
    </font>
    <font>
      <b/>
      <sz val="12"/>
      <name val="Arial"/>
      <family val="2"/>
    </font>
    <font>
      <b/>
      <sz val="10"/>
      <color indexed="12"/>
      <name val="Arial"/>
      <family val="2"/>
    </font>
    <font>
      <u/>
      <sz val="10"/>
      <color theme="11"/>
      <name val="Arial"/>
    </font>
    <font>
      <sz val="10"/>
      <color indexed="9"/>
      <name val="Arial"/>
    </font>
    <font>
      <b/>
      <i/>
      <sz val="10"/>
      <name val="Arial"/>
    </font>
    <font>
      <u/>
      <sz val="10"/>
      <color theme="10"/>
      <name val="Arial"/>
    </font>
    <font>
      <b/>
      <sz val="10"/>
      <color theme="0"/>
      <name val="Arial"/>
    </font>
    <font>
      <b/>
      <sz val="9"/>
      <color indexed="81"/>
      <name val="Arial"/>
    </font>
    <font>
      <sz val="9"/>
      <color indexed="81"/>
      <name val="Arial"/>
    </font>
    <font>
      <sz val="10"/>
      <color theme="0"/>
      <name val="Arial"/>
    </font>
    <font>
      <sz val="8"/>
      <name val="Arial"/>
    </font>
    <font>
      <sz val="9"/>
      <name val="Verdana"/>
      <family val="2"/>
    </font>
    <font>
      <b/>
      <sz val="9"/>
      <name val="Verdana"/>
      <family val="2"/>
    </font>
    <font>
      <b/>
      <sz val="11"/>
      <color theme="1"/>
      <name val="Calibri"/>
      <family val="2"/>
      <scheme val="minor"/>
    </font>
    <font>
      <b/>
      <sz val="10"/>
      <color theme="5"/>
      <name val="Arial"/>
    </font>
    <font>
      <b/>
      <sz val="16"/>
      <name val="Arial"/>
    </font>
    <font>
      <b/>
      <sz val="14"/>
      <color theme="5"/>
      <name val="Arial"/>
    </font>
    <font>
      <sz val="11"/>
      <color theme="1"/>
      <name val="Calibri"/>
      <family val="2"/>
      <scheme val="minor"/>
    </font>
    <font>
      <i/>
      <sz val="18"/>
      <color theme="1"/>
      <name val="Calibri"/>
      <family val="2"/>
      <scheme val="minor"/>
    </font>
    <font>
      <b/>
      <sz val="16"/>
      <color theme="1"/>
      <name val="Calibri"/>
      <scheme val="minor"/>
    </font>
    <font>
      <sz val="16"/>
      <color theme="1"/>
      <name val="Calibri"/>
      <scheme val="minor"/>
    </font>
    <font>
      <b/>
      <sz val="18"/>
      <color theme="1"/>
      <name val="Calibri"/>
      <scheme val="minor"/>
    </font>
    <font>
      <sz val="20"/>
      <color theme="1"/>
      <name val="Calibri"/>
      <scheme val="minor"/>
    </font>
    <font>
      <b/>
      <sz val="20"/>
      <color theme="1"/>
      <name val="Calibri"/>
      <scheme val="minor"/>
    </font>
    <font>
      <b/>
      <sz val="14"/>
      <color theme="7"/>
      <name val="Arial"/>
    </font>
    <font>
      <b/>
      <sz val="14"/>
      <color theme="1"/>
      <name val="Calibri"/>
      <scheme val="minor"/>
    </font>
    <font>
      <i/>
      <sz val="11"/>
      <color theme="1"/>
      <name val="Calibri"/>
      <family val="2"/>
      <scheme val="minor"/>
    </font>
    <font>
      <b/>
      <sz val="16"/>
      <color theme="0"/>
      <name val="Arial"/>
    </font>
    <font>
      <b/>
      <i/>
      <sz val="10"/>
      <color theme="3"/>
      <name val="Arial"/>
    </font>
    <font>
      <b/>
      <i/>
      <u/>
      <sz val="11"/>
      <color theme="3"/>
      <name val="Arial"/>
    </font>
    <font>
      <b/>
      <sz val="14"/>
      <color theme="0"/>
      <name val="Arial"/>
    </font>
    <font>
      <sz val="14"/>
      <color theme="0"/>
      <name val="Arial"/>
    </font>
    <font>
      <sz val="11"/>
      <color rgb="FF000000"/>
      <name val="Calibri"/>
      <family val="2"/>
    </font>
    <font>
      <b/>
      <sz val="11"/>
      <color rgb="FF000000"/>
      <name val="Calibri"/>
      <family val="2"/>
    </font>
    <font>
      <sz val="11"/>
      <name val="Calibri"/>
      <scheme val="minor"/>
    </font>
    <font>
      <b/>
      <sz val="11"/>
      <name val="Calibri"/>
      <scheme val="minor"/>
    </font>
    <font>
      <b/>
      <i/>
      <sz val="8"/>
      <color rgb="FF333399"/>
      <name val="Arial"/>
    </font>
  </fonts>
  <fills count="10">
    <fill>
      <patternFill patternType="none"/>
    </fill>
    <fill>
      <patternFill patternType="gray125"/>
    </fill>
    <fill>
      <patternFill patternType="solid">
        <fgColor theme="8"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9" tint="0.79998168889431442"/>
        <bgColor rgb="FF000000"/>
      </patternFill>
    </fill>
    <fill>
      <patternFill patternType="solid">
        <fgColor theme="5" tint="0.59999389629810485"/>
        <bgColor indexed="64"/>
      </patternFill>
    </fill>
    <fill>
      <patternFill patternType="solid">
        <fgColor theme="0" tint="-0.249977111117893"/>
        <bgColor indexed="64"/>
      </patternFill>
    </fill>
  </fills>
  <borders count="27">
    <border>
      <left/>
      <right/>
      <top/>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style="thin">
        <color auto="1"/>
      </top>
      <bottom/>
      <diagonal/>
    </border>
    <border>
      <left/>
      <right/>
      <top style="thin">
        <color auto="1"/>
      </top>
      <bottom/>
      <diagonal/>
    </border>
    <border>
      <left style="medium">
        <color auto="1"/>
      </left>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style="thin">
        <color auto="1"/>
      </top>
      <bottom/>
      <diagonal/>
    </border>
  </borders>
  <cellStyleXfs count="779">
    <xf numFmtId="0" fontId="0" fillId="0" borderId="0"/>
    <xf numFmtId="165" fontId="7" fillId="0" borderId="0" applyFont="0" applyFill="0" applyBorder="0" applyAlignment="0" applyProtection="0"/>
    <xf numFmtId="0" fontId="6" fillId="0" borderId="0"/>
    <xf numFmtId="9" fontId="3" fillId="0" borderId="0" applyFont="0" applyFill="0" applyBorder="0" applyAlignment="0" applyProtection="0"/>
    <xf numFmtId="9" fontId="7"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4" fontId="3"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25" fillId="0" borderId="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cellStyleXfs>
  <cellXfs count="397">
    <xf numFmtId="0" fontId="0" fillId="0" borderId="0" xfId="0"/>
    <xf numFmtId="0" fontId="4" fillId="0" borderId="0" xfId="0" applyFont="1"/>
    <xf numFmtId="0" fontId="0" fillId="0" borderId="0" xfId="0" applyAlignment="1">
      <alignment horizontal="left" indent="1"/>
    </xf>
    <xf numFmtId="0" fontId="5" fillId="0" borderId="0" xfId="0" applyFont="1" applyAlignment="1">
      <alignment horizontal="left" indent="1"/>
    </xf>
    <xf numFmtId="0" fontId="5" fillId="0" borderId="0" xfId="0" applyFont="1"/>
    <xf numFmtId="168" fontId="5" fillId="0" borderId="0" xfId="4" applyNumberFormat="1" applyFont="1"/>
    <xf numFmtId="0" fontId="0" fillId="0" borderId="0" xfId="0" applyFont="1" applyFill="1"/>
    <xf numFmtId="0" fontId="0" fillId="0" borderId="0" xfId="0" applyFont="1" applyFill="1" applyBorder="1"/>
    <xf numFmtId="0" fontId="0" fillId="0" borderId="0" xfId="0" applyFont="1" applyFill="1" applyBorder="1" applyAlignment="1">
      <alignment horizontal="left" indent="1"/>
    </xf>
    <xf numFmtId="168" fontId="0" fillId="0" borderId="0" xfId="0" applyNumberFormat="1" applyFont="1" applyFill="1" applyBorder="1"/>
    <xf numFmtId="0" fontId="0" fillId="0" borderId="0" xfId="0" applyFont="1" applyFill="1" applyAlignment="1">
      <alignment horizontal="left" indent="1"/>
    </xf>
    <xf numFmtId="0" fontId="0" fillId="0" borderId="0" xfId="0" applyFont="1" applyFill="1" applyBorder="1" applyAlignment="1">
      <alignment horizontal="left"/>
    </xf>
    <xf numFmtId="0" fontId="8" fillId="0" borderId="0" xfId="0" applyFont="1" applyFill="1" applyBorder="1"/>
    <xf numFmtId="166" fontId="0" fillId="0" borderId="0" xfId="0" applyNumberFormat="1" applyFont="1" applyFill="1" applyBorder="1" applyAlignment="1">
      <alignment horizontal="center" vertical="center"/>
    </xf>
    <xf numFmtId="166" fontId="4" fillId="0" borderId="0" xfId="0" applyNumberFormat="1" applyFont="1" applyFill="1" applyBorder="1" applyAlignment="1">
      <alignment horizontal="center" vertical="center"/>
    </xf>
    <xf numFmtId="0" fontId="4" fillId="0" borderId="0" xfId="0" applyFont="1" applyFill="1" applyBorder="1" applyAlignment="1">
      <alignment vertical="center"/>
    </xf>
    <xf numFmtId="0" fontId="0" fillId="0" borderId="0" xfId="0" applyFont="1" applyFill="1" applyBorder="1" applyAlignment="1">
      <alignment vertical="center"/>
    </xf>
    <xf numFmtId="166" fontId="0" fillId="0" borderId="0" xfId="0" applyNumberFormat="1" applyFont="1" applyFill="1" applyBorder="1" applyAlignment="1">
      <alignment horizontal="right" vertical="center"/>
    </xf>
    <xf numFmtId="0" fontId="0" fillId="0" borderId="0" xfId="0" applyFont="1" applyFill="1" applyBorder="1" applyAlignment="1">
      <alignment horizontal="left" vertical="center" indent="1"/>
    </xf>
    <xf numFmtId="3" fontId="0" fillId="0" borderId="0" xfId="0" applyNumberFormat="1" applyFont="1" applyFill="1" applyBorder="1" applyAlignment="1">
      <alignment horizontal="right" vertical="center"/>
    </xf>
    <xf numFmtId="9" fontId="6" fillId="0" borderId="0" xfId="3" quotePrefix="1" applyFont="1" applyFill="1" applyBorder="1" applyAlignment="1">
      <alignment horizontal="right" vertical="center"/>
    </xf>
    <xf numFmtId="168" fontId="0" fillId="0" borderId="0" xfId="0" applyNumberFormat="1" applyFont="1" applyFill="1" applyBorder="1" applyAlignment="1">
      <alignment vertical="center"/>
    </xf>
    <xf numFmtId="166" fontId="4" fillId="0" borderId="0" xfId="0" applyNumberFormat="1" applyFont="1" applyFill="1" applyBorder="1" applyAlignment="1">
      <alignment horizontal="left" vertical="center"/>
    </xf>
    <xf numFmtId="166" fontId="4" fillId="0" borderId="0" xfId="0" applyNumberFormat="1" applyFont="1" applyFill="1" applyBorder="1" applyAlignment="1">
      <alignment horizontal="right" vertical="center"/>
    </xf>
    <xf numFmtId="0" fontId="0" fillId="0" borderId="0" xfId="0" applyAlignment="1">
      <alignment horizontal="center"/>
    </xf>
    <xf numFmtId="0" fontId="4" fillId="0" borderId="0" xfId="0" applyFont="1" applyAlignment="1">
      <alignment horizontal="center"/>
    </xf>
    <xf numFmtId="0" fontId="0" fillId="0" borderId="0" xfId="0" applyFont="1" applyAlignment="1">
      <alignment horizontal="center"/>
    </xf>
    <xf numFmtId="0" fontId="0" fillId="0" borderId="0" xfId="0" applyFont="1" applyFill="1" applyBorder="1" applyAlignment="1">
      <alignment horizontal="center" vertical="center"/>
    </xf>
    <xf numFmtId="9" fontId="0" fillId="2" borderId="0" xfId="0" applyNumberFormat="1" applyFont="1" applyFill="1" applyBorder="1" applyAlignment="1">
      <alignment horizontal="right" vertical="center"/>
    </xf>
    <xf numFmtId="3" fontId="0" fillId="2" borderId="0" xfId="0" applyNumberFormat="1" applyFont="1" applyFill="1" applyBorder="1" applyAlignment="1">
      <alignment horizontal="right" vertical="center"/>
    </xf>
    <xf numFmtId="9" fontId="6" fillId="2" borderId="0" xfId="3" quotePrefix="1" applyFont="1" applyFill="1" applyBorder="1" applyAlignment="1">
      <alignment horizontal="right" vertical="center"/>
    </xf>
    <xf numFmtId="9" fontId="6" fillId="0" borderId="0" xfId="3" applyFont="1" applyFill="1" applyBorder="1"/>
    <xf numFmtId="0" fontId="5" fillId="0" borderId="0" xfId="0" applyFont="1" applyFill="1" applyBorder="1"/>
    <xf numFmtId="0" fontId="5" fillId="0" borderId="0" xfId="0" applyFont="1" applyFill="1" applyBorder="1" applyAlignment="1">
      <alignment horizontal="left" indent="1"/>
    </xf>
    <xf numFmtId="1" fontId="6" fillId="0" borderId="0" xfId="3" applyNumberFormat="1" applyFont="1" applyFill="1" applyBorder="1"/>
    <xf numFmtId="3" fontId="5" fillId="0" borderId="0" xfId="0" applyNumberFormat="1" applyFont="1" applyFill="1" applyBorder="1"/>
    <xf numFmtId="0" fontId="0" fillId="0" borderId="0" xfId="0" applyFont="1" applyFill="1" applyBorder="1" applyAlignment="1">
      <alignment horizontal="center"/>
    </xf>
    <xf numFmtId="8" fontId="0" fillId="0" borderId="0" xfId="0" applyNumberFormat="1" applyFont="1" applyFill="1" applyBorder="1"/>
    <xf numFmtId="3" fontId="0" fillId="0" borderId="0" xfId="0" applyNumberFormat="1" applyFont="1" applyFill="1" applyBorder="1"/>
    <xf numFmtId="0" fontId="0" fillId="0" borderId="1" xfId="0" applyBorder="1"/>
    <xf numFmtId="0" fontId="4" fillId="0" borderId="1" xfId="0" applyFont="1" applyBorder="1"/>
    <xf numFmtId="0" fontId="0" fillId="0" borderId="1" xfId="0" applyFont="1" applyBorder="1" applyAlignment="1">
      <alignment horizontal="center"/>
    </xf>
    <xf numFmtId="0" fontId="4" fillId="2" borderId="0" xfId="0" applyFont="1" applyFill="1" applyAlignment="1">
      <alignment horizontal="center"/>
    </xf>
    <xf numFmtId="0" fontId="5" fillId="0" borderId="0" xfId="0" applyFont="1" applyFill="1" applyBorder="1" applyAlignment="1">
      <alignment horizontal="center"/>
    </xf>
    <xf numFmtId="3" fontId="0" fillId="0" borderId="0" xfId="0" applyNumberFormat="1" applyFont="1" applyFill="1"/>
    <xf numFmtId="170" fontId="0" fillId="0" borderId="0" xfId="0" applyNumberFormat="1"/>
    <xf numFmtId="170" fontId="4" fillId="0" borderId="0" xfId="0" applyNumberFormat="1" applyFont="1"/>
    <xf numFmtId="171" fontId="0" fillId="0" borderId="0" xfId="0" applyNumberFormat="1" applyFont="1" applyFill="1"/>
    <xf numFmtId="171" fontId="0" fillId="0" borderId="0" xfId="0" applyNumberFormat="1"/>
    <xf numFmtId="171" fontId="0" fillId="0" borderId="0" xfId="0" applyNumberFormat="1" applyBorder="1"/>
    <xf numFmtId="0" fontId="0" fillId="0" borderId="0" xfId="0" applyFont="1" applyFill="1" applyAlignment="1">
      <alignment horizontal="left" indent="2"/>
    </xf>
    <xf numFmtId="171" fontId="0" fillId="0" borderId="0" xfId="0" applyNumberFormat="1" applyFont="1" applyFill="1" applyBorder="1"/>
    <xf numFmtId="171" fontId="5" fillId="0" borderId="0" xfId="3" applyNumberFormat="1" applyFont="1" applyFill="1" applyBorder="1"/>
    <xf numFmtId="171" fontId="5" fillId="0" borderId="0" xfId="0" applyNumberFormat="1" applyFont="1" applyFill="1" applyBorder="1"/>
    <xf numFmtId="0" fontId="0" fillId="0" borderId="0" xfId="0" applyFont="1"/>
    <xf numFmtId="0" fontId="11" fillId="0" borderId="0" xfId="0" applyFont="1" applyFill="1"/>
    <xf numFmtId="3" fontId="0" fillId="0" borderId="0" xfId="0" applyNumberFormat="1" applyFont="1"/>
    <xf numFmtId="0" fontId="0" fillId="0" borderId="0" xfId="0" applyFont="1" applyAlignment="1">
      <alignment horizontal="left" indent="1"/>
    </xf>
    <xf numFmtId="168" fontId="3" fillId="0" borderId="0" xfId="4" applyNumberFormat="1" applyFont="1"/>
    <xf numFmtId="3" fontId="3" fillId="0" borderId="0" xfId="2" applyNumberFormat="1" applyFont="1"/>
    <xf numFmtId="0" fontId="0" fillId="0" borderId="0" xfId="0" applyFont="1" applyAlignment="1">
      <alignment vertical="center"/>
    </xf>
    <xf numFmtId="168" fontId="5" fillId="0" borderId="0" xfId="4" applyNumberFormat="1" applyFont="1" applyAlignment="1">
      <alignment vertical="center"/>
    </xf>
    <xf numFmtId="169" fontId="3" fillId="0" borderId="0" xfId="1" applyNumberFormat="1" applyFont="1" applyAlignment="1">
      <alignment vertical="center"/>
    </xf>
    <xf numFmtId="9" fontId="0" fillId="0" borderId="0" xfId="0" applyNumberFormat="1" applyFont="1" applyAlignment="1">
      <alignment vertical="center"/>
    </xf>
    <xf numFmtId="3" fontId="0" fillId="0" borderId="0" xfId="0" applyNumberFormat="1" applyFont="1" applyAlignment="1">
      <alignment vertical="center"/>
    </xf>
    <xf numFmtId="0" fontId="0" fillId="0" borderId="0" xfId="0" applyFont="1" applyAlignment="1">
      <alignment horizontal="center" vertical="center"/>
    </xf>
    <xf numFmtId="0" fontId="0" fillId="0" borderId="0" xfId="0" applyFont="1" applyFill="1" applyBorder="1" applyAlignment="1">
      <alignment horizontal="left" indent="2"/>
    </xf>
    <xf numFmtId="172" fontId="0" fillId="0" borderId="0" xfId="0" applyNumberFormat="1" applyFont="1" applyFill="1" applyBorder="1"/>
    <xf numFmtId="173" fontId="0" fillId="0" borderId="0" xfId="0" applyNumberFormat="1" applyFont="1" applyFill="1" applyBorder="1" applyAlignment="1">
      <alignment horizontal="right"/>
    </xf>
    <xf numFmtId="9" fontId="6" fillId="0" borderId="0" xfId="3" applyFont="1" applyFill="1" applyBorder="1" applyAlignment="1">
      <alignment horizontal="left" indent="2"/>
    </xf>
    <xf numFmtId="0" fontId="0" fillId="2" borderId="0" xfId="0" applyFont="1" applyFill="1" applyBorder="1" applyAlignment="1">
      <alignment vertical="center"/>
    </xf>
    <xf numFmtId="8" fontId="0" fillId="0" borderId="0" xfId="0" applyNumberFormat="1" applyFont="1" applyFill="1"/>
    <xf numFmtId="49" fontId="0" fillId="0" borderId="0" xfId="0" applyNumberFormat="1" applyFont="1" applyFill="1" applyBorder="1" applyAlignment="1">
      <alignment horizontal="center"/>
    </xf>
    <xf numFmtId="49" fontId="0" fillId="0" borderId="0" xfId="0" applyNumberFormat="1" applyFont="1" applyFill="1" applyAlignment="1">
      <alignment horizontal="center"/>
    </xf>
    <xf numFmtId="49" fontId="9" fillId="0" borderId="0" xfId="0" applyNumberFormat="1" applyFont="1" applyBorder="1" applyAlignment="1">
      <alignment horizontal="center"/>
    </xf>
    <xf numFmtId="49" fontId="0" fillId="0" borderId="0" xfId="0" applyNumberFormat="1" applyFont="1" applyAlignment="1">
      <alignment horizontal="center"/>
    </xf>
    <xf numFmtId="0" fontId="0" fillId="0" borderId="0" xfId="0" applyFill="1"/>
    <xf numFmtId="0" fontId="4" fillId="0" borderId="0" xfId="0" applyFont="1" applyFill="1" applyBorder="1"/>
    <xf numFmtId="0" fontId="4" fillId="0" borderId="0" xfId="0" applyFont="1" applyFill="1" applyBorder="1" applyAlignment="1">
      <alignment horizontal="left"/>
    </xf>
    <xf numFmtId="9" fontId="4" fillId="0" borderId="0" xfId="0" applyNumberFormat="1" applyFont="1" applyFill="1" applyBorder="1" applyAlignment="1">
      <alignment horizontal="center"/>
    </xf>
    <xf numFmtId="167" fontId="5" fillId="0" borderId="0" xfId="0" applyNumberFormat="1" applyFont="1" applyFill="1" applyBorder="1" applyAlignment="1">
      <alignment horizontal="center"/>
    </xf>
    <xf numFmtId="0" fontId="0" fillId="0" borderId="0" xfId="0" applyFont="1" applyFill="1" applyAlignment="1">
      <alignment horizontal="center"/>
    </xf>
    <xf numFmtId="174" fontId="0" fillId="0" borderId="0" xfId="51" applyNumberFormat="1" applyFont="1"/>
    <xf numFmtId="174" fontId="0" fillId="0" borderId="1" xfId="51" applyNumberFormat="1" applyFont="1" applyBorder="1"/>
    <xf numFmtId="174" fontId="0" fillId="2" borderId="0" xfId="51" applyNumberFormat="1" applyFont="1" applyFill="1"/>
    <xf numFmtId="0" fontId="4" fillId="0" borderId="0" xfId="0" applyFont="1" applyFill="1" applyBorder="1" applyAlignment="1">
      <alignment horizontal="center" vertical="center"/>
    </xf>
    <xf numFmtId="9" fontId="0" fillId="0" borderId="0" xfId="0" applyNumberFormat="1" applyFont="1" applyFill="1" applyBorder="1" applyAlignment="1">
      <alignment horizontal="right" vertical="center"/>
    </xf>
    <xf numFmtId="9" fontId="6" fillId="3" borderId="0" xfId="3" quotePrefix="1" applyFont="1" applyFill="1" applyBorder="1" applyAlignment="1">
      <alignment horizontal="right" vertical="center"/>
    </xf>
    <xf numFmtId="9" fontId="3" fillId="0" borderId="0" xfId="3" applyFont="1" applyFill="1" applyBorder="1" applyAlignment="1">
      <alignment vertical="center"/>
    </xf>
    <xf numFmtId="10" fontId="14" fillId="0" borderId="0" xfId="3" applyNumberFormat="1" applyFont="1" applyFill="1" applyBorder="1" applyAlignment="1">
      <alignment horizontal="center" vertical="center"/>
    </xf>
    <xf numFmtId="10" fontId="4" fillId="0" borderId="0" xfId="3" applyNumberFormat="1" applyFont="1" applyFill="1" applyBorder="1" applyAlignment="1">
      <alignment horizontal="center" vertical="center"/>
    </xf>
    <xf numFmtId="0" fontId="14" fillId="0" borderId="0" xfId="0" applyFont="1" applyFill="1" applyBorder="1" applyAlignment="1">
      <alignment horizontal="center" vertical="center"/>
    </xf>
    <xf numFmtId="10" fontId="14" fillId="0" borderId="0" xfId="0" applyNumberFormat="1" applyFont="1" applyFill="1" applyBorder="1" applyAlignment="1">
      <alignment horizontal="center" vertical="center"/>
    </xf>
    <xf numFmtId="10" fontId="4" fillId="0" borderId="3" xfId="3" applyNumberFormat="1" applyFont="1" applyFill="1" applyBorder="1" applyAlignment="1">
      <alignment horizontal="center" vertical="center"/>
    </xf>
    <xf numFmtId="170" fontId="0" fillId="0" borderId="0" xfId="0" applyNumberFormat="1" applyFill="1"/>
    <xf numFmtId="171" fontId="0" fillId="0" borderId="0" xfId="0" applyNumberFormat="1" applyFill="1" applyBorder="1"/>
    <xf numFmtId="0" fontId="17" fillId="0" borderId="0" xfId="0" applyFont="1" applyFill="1" applyBorder="1"/>
    <xf numFmtId="9" fontId="3" fillId="2" borderId="0" xfId="3" quotePrefix="1" applyFont="1" applyFill="1" applyBorder="1" applyAlignment="1">
      <alignment horizontal="right" vertical="center"/>
    </xf>
    <xf numFmtId="175" fontId="19" fillId="0" borderId="0" xfId="2" applyNumberFormat="1" applyFont="1" applyFill="1" applyBorder="1" applyAlignment="1">
      <alignment vertical="center"/>
    </xf>
    <xf numFmtId="175" fontId="20" fillId="0" borderId="0" xfId="2" applyNumberFormat="1" applyFont="1" applyFill="1" applyBorder="1" applyAlignment="1">
      <alignment vertical="center"/>
    </xf>
    <xf numFmtId="8" fontId="0" fillId="3" borderId="0" xfId="0" applyNumberFormat="1" applyFont="1" applyFill="1" applyBorder="1"/>
    <xf numFmtId="0" fontId="4" fillId="3" borderId="0" xfId="0" applyFont="1" applyFill="1" applyBorder="1" applyAlignment="1">
      <alignment horizontal="left"/>
    </xf>
    <xf numFmtId="0" fontId="0" fillId="3" borderId="0" xfId="0" applyFont="1" applyFill="1" applyBorder="1" applyAlignment="1">
      <alignment horizontal="center"/>
    </xf>
    <xf numFmtId="171" fontId="0" fillId="3" borderId="0" xfId="0" applyNumberFormat="1" applyFont="1" applyFill="1" applyBorder="1"/>
    <xf numFmtId="3" fontId="0" fillId="3" borderId="0" xfId="0" applyNumberFormat="1" applyFont="1" applyFill="1" applyBorder="1"/>
    <xf numFmtId="0" fontId="0" fillId="3" borderId="0" xfId="0" applyFont="1" applyFill="1" applyBorder="1"/>
    <xf numFmtId="171" fontId="0" fillId="3" borderId="0" xfId="0" applyNumberFormat="1" applyFont="1" applyFill="1" applyBorder="1" applyAlignment="1">
      <alignment horizontal="right"/>
    </xf>
    <xf numFmtId="0" fontId="4" fillId="3" borderId="0" xfId="0" applyFont="1" applyFill="1" applyBorder="1"/>
    <xf numFmtId="0" fontId="5" fillId="3" borderId="0" xfId="0" applyFont="1" applyFill="1" applyBorder="1"/>
    <xf numFmtId="0" fontId="5" fillId="3" borderId="0" xfId="0" applyFont="1" applyFill="1" applyBorder="1" applyAlignment="1">
      <alignment horizontal="center"/>
    </xf>
    <xf numFmtId="171" fontId="5" fillId="3" borderId="0" xfId="3" applyNumberFormat="1" applyFont="1" applyFill="1" applyBorder="1"/>
    <xf numFmtId="3" fontId="5" fillId="3" borderId="0" xfId="3" applyNumberFormat="1" applyFont="1" applyFill="1" applyBorder="1"/>
    <xf numFmtId="176" fontId="0" fillId="3" borderId="0" xfId="0" applyNumberFormat="1" applyFont="1" applyFill="1" applyBorder="1"/>
    <xf numFmtId="0" fontId="4" fillId="3" borderId="0" xfId="0" applyFont="1" applyFill="1"/>
    <xf numFmtId="49" fontId="0" fillId="3" borderId="0" xfId="0" applyNumberFormat="1" applyFont="1" applyFill="1" applyAlignment="1">
      <alignment horizontal="center"/>
    </xf>
    <xf numFmtId="171" fontId="0" fillId="3" borderId="0" xfId="0" applyNumberFormat="1" applyFont="1" applyFill="1"/>
    <xf numFmtId="0" fontId="0" fillId="3" borderId="0" xfId="0" applyFont="1" applyFill="1"/>
    <xf numFmtId="0" fontId="4" fillId="3" borderId="0" xfId="0" applyFont="1" applyFill="1" applyAlignment="1">
      <alignment horizontal="left"/>
    </xf>
    <xf numFmtId="49" fontId="4" fillId="3" borderId="0" xfId="0" applyNumberFormat="1" applyFont="1" applyFill="1" applyAlignment="1">
      <alignment horizontal="center"/>
    </xf>
    <xf numFmtId="171" fontId="4" fillId="3" borderId="0" xfId="0" applyNumberFormat="1" applyFont="1" applyFill="1"/>
    <xf numFmtId="0" fontId="4" fillId="0" borderId="0" xfId="0" applyFont="1" applyFill="1" applyAlignment="1">
      <alignment horizontal="left" indent="1"/>
    </xf>
    <xf numFmtId="0" fontId="4" fillId="3" borderId="5" xfId="0" applyFont="1" applyFill="1" applyBorder="1"/>
    <xf numFmtId="0" fontId="0" fillId="3" borderId="6" xfId="0" applyFont="1" applyFill="1" applyBorder="1" applyAlignment="1">
      <alignment horizontal="left" indent="1"/>
    </xf>
    <xf numFmtId="0" fontId="0" fillId="3" borderId="2" xfId="0" applyFont="1" applyFill="1" applyBorder="1"/>
    <xf numFmtId="0" fontId="0" fillId="3" borderId="7" xfId="0" applyFont="1" applyFill="1" applyBorder="1" applyAlignment="1">
      <alignment horizontal="right"/>
    </xf>
    <xf numFmtId="0" fontId="0" fillId="3" borderId="7" xfId="0" applyFont="1" applyFill="1" applyBorder="1"/>
    <xf numFmtId="0" fontId="0" fillId="3" borderId="4" xfId="0" applyFont="1" applyFill="1" applyBorder="1"/>
    <xf numFmtId="9" fontId="0" fillId="3" borderId="8" xfId="0" applyNumberFormat="1" applyFont="1" applyFill="1" applyBorder="1" applyAlignment="1">
      <alignment horizontal="right"/>
    </xf>
    <xf numFmtId="0" fontId="0" fillId="0" borderId="0" xfId="0" applyFont="1" applyFill="1" applyAlignment="1">
      <alignment horizontal="center" vertical="center"/>
    </xf>
    <xf numFmtId="0" fontId="0" fillId="3" borderId="5" xfId="0" applyFont="1" applyFill="1" applyBorder="1"/>
    <xf numFmtId="0" fontId="0" fillId="3" borderId="6" xfId="0" applyFont="1" applyFill="1" applyBorder="1" applyAlignment="1">
      <alignment vertical="center"/>
    </xf>
    <xf numFmtId="0" fontId="5" fillId="3" borderId="2" xfId="0" applyFont="1" applyFill="1" applyBorder="1" applyAlignment="1">
      <alignment horizontal="left" indent="1"/>
    </xf>
    <xf numFmtId="9" fontId="5" fillId="3" borderId="7" xfId="4" applyFont="1" applyFill="1" applyBorder="1" applyAlignment="1">
      <alignment vertical="center"/>
    </xf>
    <xf numFmtId="169" fontId="5" fillId="3" borderId="7" xfId="1" applyNumberFormat="1" applyFont="1" applyFill="1" applyBorder="1" applyAlignment="1">
      <alignment vertical="center"/>
    </xf>
    <xf numFmtId="0" fontId="5" fillId="3" borderId="4" xfId="0" applyFont="1" applyFill="1" applyBorder="1" applyAlignment="1">
      <alignment horizontal="left" indent="1"/>
    </xf>
    <xf numFmtId="168" fontId="5" fillId="3" borderId="8" xfId="4" applyNumberFormat="1" applyFont="1" applyFill="1" applyBorder="1" applyAlignment="1">
      <alignment vertical="center"/>
    </xf>
    <xf numFmtId="0" fontId="4" fillId="3" borderId="0" xfId="0" applyFont="1" applyFill="1" applyAlignment="1">
      <alignment horizontal="center" vertical="center"/>
    </xf>
    <xf numFmtId="3" fontId="4" fillId="3" borderId="0" xfId="0" applyNumberFormat="1" applyFont="1" applyFill="1"/>
    <xf numFmtId="9" fontId="0" fillId="3" borderId="0" xfId="0" applyNumberFormat="1" applyFont="1" applyFill="1" applyAlignment="1">
      <alignment vertical="center"/>
    </xf>
    <xf numFmtId="168" fontId="3" fillId="3" borderId="0" xfId="4" applyNumberFormat="1" applyFont="1" applyFill="1"/>
    <xf numFmtId="0" fontId="0" fillId="3" borderId="0" xfId="0" applyFont="1" applyFill="1" applyAlignment="1">
      <alignment horizontal="center" vertical="center"/>
    </xf>
    <xf numFmtId="3" fontId="0" fillId="3" borderId="0" xfId="0" applyNumberFormat="1" applyFont="1" applyFill="1"/>
    <xf numFmtId="0" fontId="4" fillId="3" borderId="0" xfId="0" applyFont="1" applyFill="1" applyAlignment="1">
      <alignment horizontal="left" indent="2"/>
    </xf>
    <xf numFmtId="3" fontId="4" fillId="3" borderId="0" xfId="2" applyNumberFormat="1" applyFont="1" applyFill="1"/>
    <xf numFmtId="3" fontId="5" fillId="0" borderId="0" xfId="3" applyNumberFormat="1" applyFont="1" applyFill="1" applyBorder="1"/>
    <xf numFmtId="168" fontId="4" fillId="0" borderId="0" xfId="0" applyNumberFormat="1" applyFont="1" applyFill="1" applyBorder="1" applyAlignment="1">
      <alignment horizontal="center"/>
    </xf>
    <xf numFmtId="9" fontId="0" fillId="0" borderId="0" xfId="3" applyFont="1" applyFill="1" applyBorder="1"/>
    <xf numFmtId="9" fontId="19" fillId="0" borderId="0" xfId="3" applyFont="1" applyFill="1" applyBorder="1" applyAlignment="1">
      <alignment vertical="center"/>
    </xf>
    <xf numFmtId="0" fontId="21" fillId="0" borderId="0" xfId="0" applyFont="1"/>
    <xf numFmtId="0" fontId="21" fillId="0" borderId="0" xfId="0" applyFont="1" applyAlignment="1">
      <alignment horizontal="left" indent="1"/>
    </xf>
    <xf numFmtId="0" fontId="0" fillId="0" borderId="0" xfId="0" applyAlignment="1">
      <alignment horizontal="left" indent="2"/>
    </xf>
    <xf numFmtId="0" fontId="21" fillId="0" borderId="0" xfId="0" applyFont="1" applyAlignment="1">
      <alignment horizontal="left"/>
    </xf>
    <xf numFmtId="176" fontId="0" fillId="0" borderId="0" xfId="0" applyNumberFormat="1" applyFont="1" applyFill="1" applyBorder="1"/>
    <xf numFmtId="9" fontId="19" fillId="0" borderId="0" xfId="3" applyFont="1" applyFill="1" applyBorder="1" applyAlignment="1">
      <alignment horizontal="right" vertical="center"/>
    </xf>
    <xf numFmtId="175" fontId="19" fillId="0" borderId="0" xfId="2" applyNumberFormat="1" applyFont="1" applyFill="1" applyAlignment="1">
      <alignment horizontal="right" vertical="center"/>
    </xf>
    <xf numFmtId="176" fontId="0" fillId="0" borderId="0" xfId="0" applyNumberFormat="1"/>
    <xf numFmtId="0" fontId="22" fillId="0" borderId="0" xfId="0" applyFont="1" applyFill="1" applyBorder="1" applyAlignment="1">
      <alignment vertical="center"/>
    </xf>
    <xf numFmtId="9" fontId="4" fillId="0" borderId="0" xfId="3" applyFont="1" applyFill="1" applyBorder="1" applyAlignment="1">
      <alignment vertical="center"/>
    </xf>
    <xf numFmtId="168" fontId="0" fillId="0" borderId="0" xfId="3" applyNumberFormat="1" applyFont="1" applyFill="1" applyBorder="1" applyAlignment="1">
      <alignment horizontal="right" vertical="center"/>
    </xf>
    <xf numFmtId="10" fontId="14" fillId="0" borderId="0" xfId="0" applyNumberFormat="1" applyFont="1" applyFill="1" applyBorder="1" applyAlignment="1">
      <alignment vertical="center"/>
    </xf>
    <xf numFmtId="168" fontId="3" fillId="0" borderId="0" xfId="3" applyNumberFormat="1" applyFont="1" applyFill="1" applyBorder="1" applyAlignment="1">
      <alignment vertical="center"/>
    </xf>
    <xf numFmtId="10" fontId="3" fillId="0" borderId="0" xfId="3" applyNumberFormat="1" applyFont="1" applyFill="1" applyBorder="1" applyAlignment="1">
      <alignment vertical="center"/>
    </xf>
    <xf numFmtId="10" fontId="0" fillId="0" borderId="0" xfId="3" applyNumberFormat="1" applyFont="1" applyFill="1" applyBorder="1" applyAlignment="1">
      <alignment horizontal="right" vertical="center"/>
    </xf>
    <xf numFmtId="9" fontId="4" fillId="0" borderId="0" xfId="3" applyFont="1" applyFill="1" applyBorder="1" applyAlignment="1">
      <alignment horizontal="right" vertical="center"/>
    </xf>
    <xf numFmtId="9" fontId="0" fillId="0" borderId="0" xfId="3" applyFont="1" applyFill="1" applyBorder="1" applyAlignment="1">
      <alignment vertical="center"/>
    </xf>
    <xf numFmtId="9" fontId="0" fillId="2" borderId="0" xfId="3" quotePrefix="1" applyFont="1" applyFill="1" applyBorder="1" applyAlignment="1">
      <alignment horizontal="right" vertical="center"/>
    </xf>
    <xf numFmtId="9" fontId="3" fillId="0" borderId="0" xfId="3" quotePrefix="1" applyFont="1" applyFill="1" applyBorder="1" applyAlignment="1">
      <alignment horizontal="right" vertical="center"/>
    </xf>
    <xf numFmtId="0" fontId="25" fillId="0" borderId="0" xfId="266"/>
    <xf numFmtId="0" fontId="26" fillId="0" borderId="0" xfId="266" applyFont="1"/>
    <xf numFmtId="0" fontId="21" fillId="0" borderId="0" xfId="266" applyFont="1"/>
    <xf numFmtId="0" fontId="28" fillId="0" borderId="0" xfId="266" applyFont="1"/>
    <xf numFmtId="0" fontId="29" fillId="3" borderId="0" xfId="266" applyFont="1" applyFill="1"/>
    <xf numFmtId="0" fontId="27" fillId="0" borderId="0" xfId="266" applyFont="1"/>
    <xf numFmtId="0" fontId="25" fillId="0" borderId="0" xfId="266" applyFill="1"/>
    <xf numFmtId="171" fontId="0" fillId="0" borderId="0" xfId="0" applyNumberFormat="1" applyFont="1" applyFill="1" applyBorder="1" applyAlignment="1">
      <alignment horizontal="right"/>
    </xf>
    <xf numFmtId="164" fontId="6" fillId="0" borderId="0" xfId="51" quotePrefix="1" applyFont="1" applyFill="1" applyBorder="1" applyAlignment="1">
      <alignment horizontal="right" vertical="center"/>
    </xf>
    <xf numFmtId="0" fontId="0" fillId="0" borderId="0" xfId="0" applyNumberFormat="1" applyFont="1" applyFill="1" applyBorder="1"/>
    <xf numFmtId="168" fontId="0" fillId="0" borderId="0" xfId="3" applyNumberFormat="1" applyFont="1" applyFill="1" applyBorder="1" applyAlignment="1">
      <alignment vertical="center"/>
    </xf>
    <xf numFmtId="178" fontId="0" fillId="0" borderId="0" xfId="0" applyNumberFormat="1" applyFont="1" applyFill="1" applyBorder="1"/>
    <xf numFmtId="9" fontId="0" fillId="0" borderId="0" xfId="3" applyFont="1" applyFill="1" applyBorder="1" applyAlignment="1">
      <alignment horizontal="left" indent="2"/>
    </xf>
    <xf numFmtId="0" fontId="12" fillId="0" borderId="0" xfId="0" applyFont="1" applyFill="1" applyBorder="1" applyAlignment="1">
      <alignment horizontal="left" indent="1"/>
    </xf>
    <xf numFmtId="10" fontId="0" fillId="0" borderId="0" xfId="3" applyNumberFormat="1" applyFont="1" applyFill="1" applyBorder="1" applyAlignment="1">
      <alignment vertical="center"/>
    </xf>
    <xf numFmtId="4" fontId="4" fillId="3" borderId="0" xfId="0" applyNumberFormat="1" applyFont="1" applyFill="1"/>
    <xf numFmtId="9" fontId="0" fillId="0" borderId="0" xfId="3" applyFont="1" applyFill="1" applyBorder="1" applyAlignment="1">
      <alignment horizontal="right"/>
    </xf>
    <xf numFmtId="9" fontId="0" fillId="0" borderId="0" xfId="3" quotePrefix="1" applyFont="1" applyFill="1" applyBorder="1" applyAlignment="1">
      <alignment horizontal="right" vertical="center"/>
    </xf>
    <xf numFmtId="9" fontId="0" fillId="2" borderId="0" xfId="3" applyFont="1" applyFill="1" applyBorder="1" applyAlignment="1">
      <alignment vertical="center"/>
    </xf>
    <xf numFmtId="10" fontId="0" fillId="0" borderId="0" xfId="3" applyNumberFormat="1" applyFont="1" applyFill="1" applyBorder="1"/>
    <xf numFmtId="9" fontId="0" fillId="0" borderId="0" xfId="3" applyFont="1" applyFill="1" applyBorder="1" applyAlignment="1">
      <alignment horizontal="center"/>
    </xf>
    <xf numFmtId="2" fontId="0" fillId="0" borderId="0" xfId="0" applyNumberFormat="1" applyFont="1" applyFill="1" applyBorder="1" applyAlignment="1">
      <alignment vertical="center"/>
    </xf>
    <xf numFmtId="0" fontId="0" fillId="4" borderId="0" xfId="0" applyFont="1" applyFill="1" applyBorder="1" applyAlignment="1">
      <alignment horizontal="center" vertical="center"/>
    </xf>
    <xf numFmtId="9" fontId="0" fillId="4" borderId="0" xfId="3" applyFont="1" applyFill="1" applyBorder="1" applyAlignment="1">
      <alignment vertical="center"/>
    </xf>
    <xf numFmtId="9" fontId="3" fillId="4" borderId="0" xfId="3" quotePrefix="1" applyFont="1" applyFill="1" applyBorder="1" applyAlignment="1">
      <alignment horizontal="right" vertical="center"/>
    </xf>
    <xf numFmtId="168" fontId="3" fillId="4" borderId="0" xfId="3" quotePrefix="1" applyNumberFormat="1" applyFont="1" applyFill="1" applyBorder="1" applyAlignment="1">
      <alignment horizontal="right" vertical="center"/>
    </xf>
    <xf numFmtId="0" fontId="4" fillId="5" borderId="0" xfId="0" applyFont="1" applyFill="1" applyBorder="1" applyAlignment="1">
      <alignment vertical="center"/>
    </xf>
    <xf numFmtId="0" fontId="4" fillId="0" borderId="11" xfId="0" applyFont="1" applyFill="1" applyBorder="1" applyAlignment="1">
      <alignment vertical="center"/>
    </xf>
    <xf numFmtId="0" fontId="4" fillId="0" borderId="12" xfId="0" applyFont="1" applyFill="1" applyBorder="1" applyAlignment="1">
      <alignment vertical="center"/>
    </xf>
    <xf numFmtId="0" fontId="4" fillId="0" borderId="12" xfId="0" applyFont="1" applyFill="1" applyBorder="1" applyAlignment="1">
      <alignment horizontal="center" vertical="center"/>
    </xf>
    <xf numFmtId="0" fontId="4" fillId="0" borderId="13" xfId="0" applyFont="1" applyFill="1" applyBorder="1" applyAlignment="1">
      <alignment horizontal="left" vertical="center"/>
    </xf>
    <xf numFmtId="0" fontId="4" fillId="0" borderId="13" xfId="0" applyFont="1" applyFill="1" applyBorder="1" applyAlignment="1">
      <alignment vertical="center"/>
    </xf>
    <xf numFmtId="0" fontId="4" fillId="0" borderId="14" xfId="0" applyFont="1" applyFill="1" applyBorder="1" applyAlignment="1">
      <alignment horizontal="left" vertical="center"/>
    </xf>
    <xf numFmtId="10" fontId="4" fillId="0" borderId="15" xfId="3" applyNumberFormat="1" applyFont="1" applyFill="1" applyBorder="1" applyAlignment="1">
      <alignment horizontal="center" vertical="center"/>
    </xf>
    <xf numFmtId="0" fontId="14" fillId="0" borderId="0" xfId="51" applyNumberFormat="1" applyFont="1" applyFill="1" applyBorder="1" applyAlignment="1">
      <alignment horizontal="center" vertical="center"/>
    </xf>
    <xf numFmtId="0" fontId="14" fillId="0" borderId="0" xfId="0" applyFont="1" applyFill="1" applyBorder="1" applyAlignment="1">
      <alignment vertical="center"/>
    </xf>
    <xf numFmtId="10" fontId="14" fillId="0" borderId="15" xfId="0" applyNumberFormat="1" applyFont="1" applyFill="1" applyBorder="1" applyAlignment="1">
      <alignment horizontal="center" vertical="center"/>
    </xf>
    <xf numFmtId="0" fontId="14" fillId="0" borderId="3" xfId="51" applyNumberFormat="1" applyFont="1" applyFill="1" applyBorder="1" applyAlignment="1">
      <alignment horizontal="center" vertical="center"/>
    </xf>
    <xf numFmtId="0" fontId="4" fillId="0" borderId="9" xfId="0" applyFont="1" applyFill="1" applyBorder="1" applyAlignment="1">
      <alignment horizontal="center" vertical="center"/>
    </xf>
    <xf numFmtId="10" fontId="4" fillId="0" borderId="10" xfId="3" applyNumberFormat="1" applyFont="1" applyFill="1" applyBorder="1" applyAlignment="1">
      <alignment horizontal="center" vertical="center"/>
    </xf>
    <xf numFmtId="10" fontId="4" fillId="0" borderId="14" xfId="0" applyNumberFormat="1" applyFont="1" applyFill="1" applyBorder="1" applyAlignment="1">
      <alignment horizontal="left" vertical="center"/>
    </xf>
    <xf numFmtId="9" fontId="4" fillId="0" borderId="15" xfId="3" applyFont="1" applyFill="1" applyBorder="1" applyAlignment="1">
      <alignment horizontal="center" vertical="center"/>
    </xf>
    <xf numFmtId="0" fontId="4" fillId="0" borderId="10" xfId="51" applyNumberFormat="1" applyFont="1" applyFill="1" applyBorder="1" applyAlignment="1">
      <alignment horizontal="center" vertical="center"/>
    </xf>
    <xf numFmtId="0" fontId="4" fillId="0" borderId="15" xfId="51" applyNumberFormat="1" applyFont="1" applyFill="1" applyBorder="1" applyAlignment="1">
      <alignment horizontal="center" vertical="center"/>
    </xf>
    <xf numFmtId="10" fontId="4" fillId="4" borderId="3" xfId="3" applyNumberFormat="1" applyFont="1" applyFill="1" applyBorder="1" applyAlignment="1">
      <alignment horizontal="center" vertical="center"/>
    </xf>
    <xf numFmtId="10" fontId="4" fillId="4" borderId="0" xfId="3" applyNumberFormat="1" applyFont="1" applyFill="1" applyBorder="1" applyAlignment="1">
      <alignment horizontal="center" vertical="center"/>
    </xf>
    <xf numFmtId="171" fontId="0" fillId="0" borderId="0" xfId="0" applyNumberFormat="1" applyBorder="1" applyAlignment="1">
      <alignment horizontal="left" indent="3"/>
    </xf>
    <xf numFmtId="179" fontId="0" fillId="0" borderId="0" xfId="0" applyNumberFormat="1"/>
    <xf numFmtId="37" fontId="4" fillId="0" borderId="0" xfId="0" applyNumberFormat="1" applyFont="1" applyAlignment="1">
      <alignment horizontal="left"/>
    </xf>
    <xf numFmtId="164" fontId="0" fillId="0" borderId="0" xfId="51" applyNumberFormat="1" applyFont="1"/>
    <xf numFmtId="164" fontId="0" fillId="0" borderId="0" xfId="51" applyFont="1" applyFill="1" applyBorder="1" applyAlignment="1">
      <alignment vertical="center"/>
    </xf>
    <xf numFmtId="3" fontId="0" fillId="6" borderId="0" xfId="0" applyNumberFormat="1" applyFont="1" applyFill="1" applyBorder="1" applyAlignment="1">
      <alignment horizontal="right" vertical="center"/>
    </xf>
    <xf numFmtId="168" fontId="6" fillId="6" borderId="0" xfId="3" quotePrefix="1" applyNumberFormat="1" applyFont="1" applyFill="1" applyBorder="1" applyAlignment="1">
      <alignment horizontal="right" vertical="center"/>
    </xf>
    <xf numFmtId="168" fontId="3" fillId="6" borderId="0" xfId="3" quotePrefix="1" applyNumberFormat="1" applyFont="1" applyFill="1" applyBorder="1" applyAlignment="1">
      <alignment horizontal="right" vertical="center"/>
    </xf>
    <xf numFmtId="168" fontId="0" fillId="6" borderId="0" xfId="0" applyNumberFormat="1" applyFont="1" applyFill="1" applyBorder="1" applyAlignment="1">
      <alignment horizontal="right" vertical="center"/>
    </xf>
    <xf numFmtId="174" fontId="0" fillId="6" borderId="0" xfId="51" applyNumberFormat="1" applyFont="1" applyFill="1" applyBorder="1" applyAlignment="1">
      <alignment horizontal="right" vertical="center"/>
    </xf>
    <xf numFmtId="10" fontId="3" fillId="6" borderId="0" xfId="3" quotePrefix="1" applyNumberFormat="1" applyFont="1" applyFill="1" applyBorder="1" applyAlignment="1">
      <alignment horizontal="right" vertical="center"/>
    </xf>
    <xf numFmtId="10" fontId="0" fillId="6" borderId="0" xfId="3" quotePrefix="1" applyNumberFormat="1" applyFont="1" applyFill="1" applyBorder="1" applyAlignment="1">
      <alignment horizontal="right" vertical="center"/>
    </xf>
    <xf numFmtId="9" fontId="3" fillId="6" borderId="0" xfId="3" quotePrefix="1" applyFont="1" applyFill="1" applyBorder="1" applyAlignment="1">
      <alignment horizontal="right" vertical="center"/>
    </xf>
    <xf numFmtId="9" fontId="6" fillId="6" borderId="0" xfId="3" quotePrefix="1" applyFont="1" applyFill="1" applyBorder="1" applyAlignment="1">
      <alignment horizontal="right" vertical="center"/>
    </xf>
    <xf numFmtId="0" fontId="0" fillId="6" borderId="0" xfId="0" applyFont="1" applyFill="1" applyBorder="1" applyAlignment="1">
      <alignment vertical="center"/>
    </xf>
    <xf numFmtId="9" fontId="0" fillId="6" borderId="0" xfId="3" applyFont="1" applyFill="1" applyBorder="1" applyAlignment="1">
      <alignment vertical="center"/>
    </xf>
    <xf numFmtId="168" fontId="0" fillId="6" borderId="0" xfId="0" applyNumberFormat="1" applyFont="1" applyFill="1" applyBorder="1" applyAlignment="1">
      <alignment vertical="center"/>
    </xf>
    <xf numFmtId="9" fontId="0" fillId="6" borderId="0" xfId="0" applyNumberFormat="1" applyFont="1" applyFill="1" applyBorder="1" applyAlignment="1">
      <alignment vertical="center"/>
    </xf>
    <xf numFmtId="10" fontId="0" fillId="6" borderId="0" xfId="0" applyNumberFormat="1" applyFont="1" applyFill="1" applyBorder="1" applyAlignment="1">
      <alignment vertical="center"/>
    </xf>
    <xf numFmtId="8" fontId="0" fillId="0" borderId="0" xfId="0" applyNumberFormat="1"/>
    <xf numFmtId="166" fontId="23" fillId="0" borderId="11" xfId="0" applyNumberFormat="1" applyFont="1" applyFill="1" applyBorder="1" applyAlignment="1">
      <alignment horizontal="left" vertical="center"/>
    </xf>
    <xf numFmtId="0" fontId="0" fillId="0" borderId="12" xfId="0" applyFont="1" applyFill="1" applyBorder="1" applyAlignment="1">
      <alignment vertical="center"/>
    </xf>
    <xf numFmtId="166" fontId="0" fillId="0" borderId="12" xfId="0" applyNumberFormat="1" applyFont="1" applyFill="1" applyBorder="1" applyAlignment="1">
      <alignment horizontal="right" vertical="center"/>
    </xf>
    <xf numFmtId="0" fontId="0" fillId="0" borderId="16" xfId="0" applyFont="1" applyFill="1" applyBorder="1" applyAlignment="1">
      <alignment vertical="center"/>
    </xf>
    <xf numFmtId="0" fontId="0" fillId="0" borderId="13" xfId="0" applyFont="1" applyFill="1" applyBorder="1" applyAlignment="1">
      <alignment vertical="center"/>
    </xf>
    <xf numFmtId="166" fontId="4" fillId="0" borderId="17" xfId="0" applyNumberFormat="1" applyFont="1" applyFill="1" applyBorder="1" applyAlignment="1">
      <alignment horizontal="center" vertical="center"/>
    </xf>
    <xf numFmtId="0" fontId="24" fillId="0" borderId="13" xfId="0" applyFont="1" applyFill="1" applyBorder="1" applyAlignment="1">
      <alignment vertical="center"/>
    </xf>
    <xf numFmtId="3" fontId="0" fillId="7" borderId="0" xfId="0" applyNumberFormat="1" applyFill="1" applyBorder="1" applyAlignment="1">
      <alignment horizontal="right" vertical="center"/>
    </xf>
    <xf numFmtId="3" fontId="0" fillId="6" borderId="17" xfId="0" applyNumberFormat="1" applyFont="1" applyFill="1" applyBorder="1" applyAlignment="1">
      <alignment horizontal="right" vertical="center"/>
    </xf>
    <xf numFmtId="0" fontId="0" fillId="0" borderId="13" xfId="0" applyFont="1" applyFill="1" applyBorder="1" applyAlignment="1">
      <alignment horizontal="left" vertical="center" indent="1"/>
    </xf>
    <xf numFmtId="3" fontId="0" fillId="0" borderId="17" xfId="0" applyNumberFormat="1" applyFont="1" applyFill="1" applyBorder="1" applyAlignment="1">
      <alignment horizontal="right" vertical="center"/>
    </xf>
    <xf numFmtId="168" fontId="6" fillId="6" borderId="17" xfId="3" quotePrefix="1" applyNumberFormat="1" applyFont="1" applyFill="1" applyBorder="1" applyAlignment="1">
      <alignment horizontal="right" vertical="center"/>
    </xf>
    <xf numFmtId="168" fontId="3" fillId="6" borderId="17" xfId="3" quotePrefix="1" applyNumberFormat="1" applyFont="1" applyFill="1" applyBorder="1" applyAlignment="1">
      <alignment horizontal="right" vertical="center"/>
    </xf>
    <xf numFmtId="168" fontId="0" fillId="6" borderId="17" xfId="0" applyNumberFormat="1" applyFont="1" applyFill="1" applyBorder="1" applyAlignment="1">
      <alignment horizontal="right" vertical="center"/>
    </xf>
    <xf numFmtId="168" fontId="3" fillId="4" borderId="17" xfId="3" quotePrefix="1" applyNumberFormat="1" applyFont="1" applyFill="1" applyBorder="1" applyAlignment="1">
      <alignment horizontal="right" vertical="center"/>
    </xf>
    <xf numFmtId="0" fontId="3" fillId="6" borderId="17" xfId="3" quotePrefix="1" applyNumberFormat="1" applyFont="1" applyFill="1" applyBorder="1" applyAlignment="1">
      <alignment horizontal="right" vertical="center"/>
    </xf>
    <xf numFmtId="0" fontId="18" fillId="0" borderId="13" xfId="0" applyFont="1" applyFill="1" applyBorder="1" applyAlignment="1">
      <alignment horizontal="left" vertical="center" indent="1"/>
    </xf>
    <xf numFmtId="9" fontId="3" fillId="0" borderId="17" xfId="3" quotePrefix="1" applyFont="1" applyFill="1" applyBorder="1" applyAlignment="1">
      <alignment horizontal="right" vertical="center"/>
    </xf>
    <xf numFmtId="9" fontId="6" fillId="6" borderId="17" xfId="3" quotePrefix="1" applyFont="1" applyFill="1" applyBorder="1" applyAlignment="1">
      <alignment horizontal="right" vertical="center"/>
    </xf>
    <xf numFmtId="9" fontId="6" fillId="0" borderId="17" xfId="3" quotePrefix="1" applyFont="1" applyFill="1" applyBorder="1" applyAlignment="1">
      <alignment horizontal="right" vertical="center"/>
    </xf>
    <xf numFmtId="0" fontId="0" fillId="6" borderId="17" xfId="0" applyFont="1" applyFill="1" applyBorder="1" applyAlignment="1">
      <alignment vertical="center"/>
    </xf>
    <xf numFmtId="0" fontId="0" fillId="0" borderId="13" xfId="0" applyFont="1" applyFill="1" applyBorder="1" applyAlignment="1">
      <alignment horizontal="left" vertical="center" indent="2"/>
    </xf>
    <xf numFmtId="168" fontId="0" fillId="0" borderId="17" xfId="0" applyNumberFormat="1" applyFont="1" applyFill="1" applyBorder="1" applyAlignment="1">
      <alignment vertical="center"/>
    </xf>
    <xf numFmtId="0" fontId="5" fillId="0" borderId="13" xfId="0" applyFont="1" applyFill="1" applyBorder="1" applyAlignment="1">
      <alignment horizontal="left" vertical="center" indent="2"/>
    </xf>
    <xf numFmtId="9" fontId="6" fillId="3" borderId="17" xfId="3" quotePrefix="1" applyFont="1" applyFill="1" applyBorder="1" applyAlignment="1">
      <alignment horizontal="right" vertical="center"/>
    </xf>
    <xf numFmtId="166" fontId="0" fillId="0" borderId="17" xfId="0" applyNumberFormat="1" applyFont="1" applyFill="1" applyBorder="1" applyAlignment="1">
      <alignment horizontal="right" vertical="center"/>
    </xf>
    <xf numFmtId="177" fontId="4" fillId="0" borderId="13" xfId="51" applyNumberFormat="1" applyFont="1" applyFill="1" applyBorder="1" applyAlignment="1">
      <alignment horizontal="left" vertical="center"/>
    </xf>
    <xf numFmtId="177" fontId="0" fillId="0" borderId="13" xfId="51" applyNumberFormat="1" applyFont="1" applyFill="1" applyBorder="1" applyAlignment="1">
      <alignment horizontal="left" vertical="center" indent="1"/>
    </xf>
    <xf numFmtId="177" fontId="0" fillId="0" borderId="13" xfId="51" applyNumberFormat="1" applyFont="1" applyFill="1" applyBorder="1" applyAlignment="1">
      <alignment horizontal="left" vertical="center" indent="2"/>
    </xf>
    <xf numFmtId="0" fontId="4" fillId="0" borderId="13" xfId="0" applyFont="1" applyFill="1" applyBorder="1" applyAlignment="1">
      <alignment horizontal="left" vertical="center" indent="1"/>
    </xf>
    <xf numFmtId="0" fontId="4" fillId="0" borderId="17" xfId="0" applyFont="1" applyFill="1" applyBorder="1" applyAlignment="1">
      <alignment vertical="center"/>
    </xf>
    <xf numFmtId="0" fontId="5" fillId="0" borderId="13" xfId="0" applyFont="1" applyFill="1" applyBorder="1" applyAlignment="1">
      <alignment horizontal="left" vertical="center" indent="3"/>
    </xf>
    <xf numFmtId="9" fontId="0" fillId="6" borderId="17" xfId="3" applyFont="1" applyFill="1" applyBorder="1" applyAlignment="1">
      <alignment vertical="center"/>
    </xf>
    <xf numFmtId="0" fontId="0" fillId="0" borderId="17" xfId="0" applyFont="1" applyFill="1" applyBorder="1" applyAlignment="1">
      <alignment vertical="center"/>
    </xf>
    <xf numFmtId="0" fontId="0" fillId="0" borderId="14" xfId="0" applyFont="1" applyFill="1" applyBorder="1" applyAlignment="1">
      <alignment horizontal="left" vertical="center" indent="1"/>
    </xf>
    <xf numFmtId="166" fontId="0" fillId="0" borderId="15" xfId="0" applyNumberFormat="1" applyFont="1" applyFill="1" applyBorder="1" applyAlignment="1">
      <alignment horizontal="center" vertical="center"/>
    </xf>
    <xf numFmtId="166" fontId="0" fillId="0" borderId="15" xfId="0" applyNumberFormat="1" applyFont="1" applyFill="1" applyBorder="1" applyAlignment="1">
      <alignment horizontal="right" vertical="center"/>
    </xf>
    <xf numFmtId="166" fontId="0" fillId="0" borderId="15" xfId="0" applyNumberFormat="1" applyFont="1" applyFill="1" applyBorder="1" applyAlignment="1">
      <alignment horizontal="left" vertical="center"/>
    </xf>
    <xf numFmtId="0" fontId="0" fillId="0" borderId="15" xfId="0" applyFont="1" applyFill="1" applyBorder="1" applyAlignment="1">
      <alignment vertical="center"/>
    </xf>
    <xf numFmtId="0" fontId="0" fillId="0" borderId="18" xfId="0" applyFont="1" applyFill="1" applyBorder="1" applyAlignment="1">
      <alignment vertical="center"/>
    </xf>
    <xf numFmtId="0" fontId="4" fillId="0" borderId="14" xfId="0" applyFont="1" applyFill="1" applyBorder="1" applyAlignment="1">
      <alignment vertical="center"/>
    </xf>
    <xf numFmtId="0" fontId="4" fillId="0" borderId="15" xfId="0" applyFont="1" applyFill="1" applyBorder="1" applyAlignment="1">
      <alignment vertical="center"/>
    </xf>
    <xf numFmtId="0" fontId="4" fillId="0" borderId="0" xfId="0" applyFont="1" applyFill="1" applyBorder="1" applyAlignment="1">
      <alignment horizontal="center"/>
    </xf>
    <xf numFmtId="0" fontId="0" fillId="0" borderId="14" xfId="0" applyFont="1" applyFill="1" applyBorder="1" applyAlignment="1">
      <alignment vertical="center"/>
    </xf>
    <xf numFmtId="10" fontId="17" fillId="0" borderId="0" xfId="0" applyNumberFormat="1" applyFont="1" applyFill="1" applyBorder="1" applyAlignment="1">
      <alignment horizontal="left" vertical="center" indent="1"/>
    </xf>
    <xf numFmtId="9" fontId="0" fillId="0" borderId="0" xfId="3" applyFont="1" applyFill="1" applyBorder="1" applyAlignment="1">
      <alignment horizontal="right" vertical="center"/>
    </xf>
    <xf numFmtId="0" fontId="23" fillId="0" borderId="11" xfId="0" applyFont="1" applyFill="1" applyBorder="1" applyAlignment="1">
      <alignment horizontal="left" vertical="center" indent="1"/>
    </xf>
    <xf numFmtId="0" fontId="0" fillId="0" borderId="12" xfId="0" applyFont="1" applyFill="1" applyBorder="1" applyAlignment="1">
      <alignment horizontal="left" vertical="center" indent="1"/>
    </xf>
    <xf numFmtId="0" fontId="8" fillId="0" borderId="13" xfId="0" applyFont="1" applyFill="1" applyBorder="1" applyAlignment="1">
      <alignment horizontal="left" vertical="center" indent="1"/>
    </xf>
    <xf numFmtId="0" fontId="32" fillId="0" borderId="13" xfId="0" applyFont="1" applyFill="1" applyBorder="1" applyAlignment="1">
      <alignment horizontal="left" vertical="center" indent="1"/>
    </xf>
    <xf numFmtId="0" fontId="22" fillId="0" borderId="13" xfId="0" applyFont="1" applyFill="1" applyBorder="1" applyAlignment="1">
      <alignment vertical="center"/>
    </xf>
    <xf numFmtId="0" fontId="4" fillId="0" borderId="13" xfId="0" applyFont="1" applyFill="1" applyBorder="1" applyAlignment="1">
      <alignment horizontal="right" vertical="center"/>
    </xf>
    <xf numFmtId="0" fontId="0" fillId="0" borderId="13" xfId="0" applyFont="1" applyFill="1" applyBorder="1" applyAlignment="1">
      <alignment horizontal="left" vertical="center" indent="6"/>
    </xf>
    <xf numFmtId="9" fontId="3" fillId="0" borderId="0" xfId="3" applyFont="1" applyFill="1" applyBorder="1" applyAlignment="1">
      <alignment horizontal="right" vertical="center"/>
    </xf>
    <xf numFmtId="0" fontId="32" fillId="0" borderId="19" xfId="0" applyFont="1" applyFill="1" applyBorder="1" applyAlignment="1">
      <alignment horizontal="left" vertical="center" indent="1"/>
    </xf>
    <xf numFmtId="0" fontId="0" fillId="0" borderId="20" xfId="0" applyFont="1" applyFill="1" applyBorder="1" applyAlignment="1">
      <alignment horizontal="left" vertical="center" indent="1"/>
    </xf>
    <xf numFmtId="166" fontId="0" fillId="0" borderId="20" xfId="0" applyNumberFormat="1" applyFont="1" applyFill="1" applyBorder="1" applyAlignment="1">
      <alignment horizontal="right" vertical="center"/>
    </xf>
    <xf numFmtId="0" fontId="0" fillId="0" borderId="20" xfId="0" applyFont="1" applyFill="1" applyBorder="1" applyAlignment="1">
      <alignment vertical="center"/>
    </xf>
    <xf numFmtId="0" fontId="4" fillId="0" borderId="21" xfId="0" applyFont="1" applyFill="1" applyBorder="1" applyAlignment="1">
      <alignment horizontal="left" vertical="center" indent="1"/>
    </xf>
    <xf numFmtId="10" fontId="17" fillId="0" borderId="22" xfId="0" applyNumberFormat="1" applyFont="1" applyFill="1" applyBorder="1" applyAlignment="1">
      <alignment horizontal="left" vertical="center" indent="1"/>
    </xf>
    <xf numFmtId="9" fontId="0" fillId="0" borderId="22" xfId="3" applyFont="1" applyFill="1" applyBorder="1" applyAlignment="1">
      <alignment horizontal="right" vertical="center"/>
    </xf>
    <xf numFmtId="166" fontId="0" fillId="0" borderId="22" xfId="0" applyNumberFormat="1" applyFont="1" applyFill="1" applyBorder="1" applyAlignment="1">
      <alignment horizontal="right" vertical="center"/>
    </xf>
    <xf numFmtId="0" fontId="0" fillId="0" borderId="22" xfId="0" applyFont="1" applyFill="1" applyBorder="1" applyAlignment="1">
      <alignment vertical="center"/>
    </xf>
    <xf numFmtId="0" fontId="21" fillId="8" borderId="0" xfId="266" applyFont="1" applyFill="1"/>
    <xf numFmtId="0" fontId="21" fillId="9" borderId="0" xfId="266" applyFont="1" applyFill="1"/>
    <xf numFmtId="0" fontId="0" fillId="0" borderId="0" xfId="0" applyFill="1" applyAlignment="1">
      <alignment horizontal="center"/>
    </xf>
    <xf numFmtId="0" fontId="21" fillId="3" borderId="0" xfId="0" applyFont="1" applyFill="1" applyAlignment="1">
      <alignment horizontal="left"/>
    </xf>
    <xf numFmtId="168" fontId="4" fillId="3" borderId="0" xfId="0" applyNumberFormat="1" applyFont="1" applyFill="1" applyBorder="1" applyAlignment="1">
      <alignment horizontal="center"/>
    </xf>
    <xf numFmtId="0" fontId="0" fillId="3" borderId="0" xfId="0" applyFont="1" applyFill="1" applyBorder="1" applyAlignment="1">
      <alignment horizontal="left"/>
    </xf>
    <xf numFmtId="168" fontId="4" fillId="3" borderId="0" xfId="3" applyNumberFormat="1" applyFont="1" applyFill="1" applyBorder="1" applyAlignment="1">
      <alignment horizontal="center"/>
    </xf>
    <xf numFmtId="0" fontId="25" fillId="3" borderId="0" xfId="266" applyFill="1"/>
    <xf numFmtId="168" fontId="4" fillId="6" borderId="0" xfId="0" applyNumberFormat="1" applyFont="1" applyFill="1" applyBorder="1" applyAlignment="1">
      <alignment horizontal="left" vertical="center"/>
    </xf>
    <xf numFmtId="0" fontId="21" fillId="3" borderId="0" xfId="266" applyFont="1" applyFill="1"/>
    <xf numFmtId="0" fontId="0" fillId="0" borderId="1" xfId="0" applyFont="1" applyFill="1" applyBorder="1" applyAlignment="1">
      <alignment horizontal="center"/>
    </xf>
    <xf numFmtId="0" fontId="8" fillId="0" borderId="1" xfId="0" applyFont="1" applyFill="1" applyBorder="1" applyAlignment="1">
      <alignment horizontal="left"/>
    </xf>
    <xf numFmtId="164" fontId="0" fillId="0" borderId="0" xfId="51" applyFont="1" applyFill="1" applyBorder="1"/>
    <xf numFmtId="8" fontId="0" fillId="0" borderId="1" xfId="0" applyNumberFormat="1" applyFont="1" applyFill="1" applyBorder="1"/>
    <xf numFmtId="0" fontId="21" fillId="2" borderId="0" xfId="266" applyFont="1" applyFill="1"/>
    <xf numFmtId="0" fontId="5" fillId="0" borderId="1" xfId="0" applyFont="1" applyFill="1" applyBorder="1"/>
    <xf numFmtId="0" fontId="12" fillId="0" borderId="1" xfId="0" applyFont="1" applyFill="1" applyBorder="1" applyAlignment="1">
      <alignment horizontal="left"/>
    </xf>
    <xf numFmtId="0" fontId="5" fillId="0" borderId="1" xfId="0" applyFont="1" applyFill="1" applyBorder="1" applyAlignment="1">
      <alignment horizontal="center"/>
    </xf>
    <xf numFmtId="10" fontId="0" fillId="3" borderId="0" xfId="3" applyNumberFormat="1" applyFont="1" applyFill="1" applyBorder="1" applyAlignment="1">
      <alignment horizontal="right" vertical="center"/>
    </xf>
    <xf numFmtId="10" fontId="0" fillId="3" borderId="15" xfId="3" applyNumberFormat="1" applyFont="1" applyFill="1" applyBorder="1" applyAlignment="1">
      <alignment horizontal="right" vertical="center"/>
    </xf>
    <xf numFmtId="180" fontId="0" fillId="0" borderId="0" xfId="0" applyNumberFormat="1" applyFont="1" applyFill="1" applyBorder="1"/>
    <xf numFmtId="166" fontId="23" fillId="0" borderId="11" xfId="0" applyNumberFormat="1" applyFont="1" applyFill="1" applyBorder="1" applyAlignment="1">
      <alignment horizontal="left" vertical="center"/>
    </xf>
    <xf numFmtId="0" fontId="33" fillId="0" borderId="0" xfId="266" applyFont="1"/>
    <xf numFmtId="0" fontId="34" fillId="0" borderId="0" xfId="266" applyFont="1" applyAlignment="1">
      <alignment horizontal="center"/>
    </xf>
    <xf numFmtId="0" fontId="4" fillId="0" borderId="0" xfId="51" applyNumberFormat="1" applyFont="1" applyFill="1" applyBorder="1" applyAlignment="1">
      <alignment horizontal="center" vertical="center"/>
    </xf>
    <xf numFmtId="0" fontId="14" fillId="0" borderId="24" xfId="51" applyNumberFormat="1" applyFont="1" applyFill="1" applyBorder="1" applyAlignment="1">
      <alignment horizontal="center" vertical="center"/>
    </xf>
    <xf numFmtId="10" fontId="4" fillId="0" borderId="24" xfId="3" applyNumberFormat="1" applyFont="1" applyFill="1" applyBorder="1" applyAlignment="1">
      <alignment horizontal="center" vertical="center"/>
    </xf>
    <xf numFmtId="10" fontId="4" fillId="0" borderId="25" xfId="3" applyNumberFormat="1" applyFont="1" applyFill="1" applyBorder="1" applyAlignment="1">
      <alignment horizontal="center" vertical="center"/>
    </xf>
    <xf numFmtId="0" fontId="4" fillId="0" borderId="23" xfId="0" applyFont="1" applyFill="1" applyBorder="1" applyAlignment="1">
      <alignment horizontal="center" vertical="center"/>
    </xf>
    <xf numFmtId="0" fontId="4" fillId="0" borderId="25" xfId="51" applyNumberFormat="1" applyFont="1" applyFill="1" applyBorder="1" applyAlignment="1">
      <alignment horizontal="center" vertical="center"/>
    </xf>
    <xf numFmtId="10" fontId="4" fillId="4" borderId="24" xfId="3" applyNumberFormat="1" applyFont="1" applyFill="1" applyBorder="1" applyAlignment="1">
      <alignment horizontal="center" vertical="center"/>
    </xf>
    <xf numFmtId="0" fontId="25" fillId="0" borderId="0" xfId="266" applyAlignment="1">
      <alignment horizontal="center" wrapText="1"/>
    </xf>
    <xf numFmtId="0" fontId="30" fillId="0" borderId="0" xfId="266" applyFont="1" applyAlignment="1">
      <alignment horizontal="left" vertical="center"/>
    </xf>
    <xf numFmtId="0" fontId="0" fillId="0" borderId="26" xfId="0" applyFont="1" applyFill="1" applyBorder="1" applyAlignment="1">
      <alignment vertical="center"/>
    </xf>
    <xf numFmtId="0" fontId="4" fillId="0" borderId="19" xfId="0" applyFont="1" applyFill="1" applyBorder="1" applyAlignment="1">
      <alignment vertical="center"/>
    </xf>
    <xf numFmtId="0" fontId="4" fillId="0" borderId="20" xfId="0" applyFont="1" applyFill="1" applyBorder="1" applyAlignment="1">
      <alignment vertical="center"/>
    </xf>
    <xf numFmtId="9" fontId="14" fillId="0" borderId="0" xfId="3" applyFont="1" applyFill="1" applyBorder="1" applyAlignment="1">
      <alignment vertical="center"/>
    </xf>
    <xf numFmtId="0" fontId="36" fillId="0" borderId="13" xfId="0" applyFont="1" applyFill="1" applyBorder="1" applyAlignment="1">
      <alignment vertical="center"/>
    </xf>
    <xf numFmtId="0" fontId="37" fillId="0" borderId="13" xfId="0" applyFont="1" applyFill="1" applyBorder="1" applyAlignment="1">
      <alignment vertical="center"/>
    </xf>
    <xf numFmtId="166" fontId="38" fillId="4" borderId="0" xfId="0" applyNumberFormat="1" applyFont="1" applyFill="1" applyBorder="1" applyAlignment="1">
      <alignment horizontal="left" vertical="center"/>
    </xf>
    <xf numFmtId="0" fontId="17" fillId="4" borderId="0" xfId="0" applyFont="1" applyFill="1" applyBorder="1" applyAlignment="1">
      <alignment vertical="center"/>
    </xf>
    <xf numFmtId="0" fontId="14" fillId="4" borderId="0" xfId="0" applyFont="1" applyFill="1" applyBorder="1" applyAlignment="1">
      <alignment vertical="center"/>
    </xf>
    <xf numFmtId="0" fontId="14" fillId="4" borderId="0" xfId="0" applyFont="1" applyFill="1"/>
    <xf numFmtId="0" fontId="17" fillId="4" borderId="0" xfId="0" applyFont="1" applyFill="1"/>
    <xf numFmtId="168" fontId="17" fillId="4" borderId="0" xfId="3" applyNumberFormat="1" applyFont="1" applyFill="1"/>
    <xf numFmtId="9" fontId="17" fillId="4" borderId="0" xfId="3" applyFont="1" applyFill="1"/>
    <xf numFmtId="10" fontId="17" fillId="4" borderId="0" xfId="3" applyNumberFormat="1" applyFont="1" applyFill="1"/>
    <xf numFmtId="0" fontId="39" fillId="4" borderId="0" xfId="0" applyFont="1" applyFill="1" applyBorder="1" applyAlignment="1">
      <alignment vertical="center"/>
    </xf>
    <xf numFmtId="0" fontId="21" fillId="0" borderId="0" xfId="266" applyFont="1" applyFill="1"/>
    <xf numFmtId="0" fontId="21" fillId="5" borderId="0" xfId="266" applyFont="1" applyFill="1"/>
    <xf numFmtId="9" fontId="4" fillId="2" borderId="0" xfId="3" quotePrefix="1" applyFont="1" applyFill="1" applyBorder="1" applyAlignment="1">
      <alignment horizontal="left" vertical="center"/>
    </xf>
    <xf numFmtId="49" fontId="25" fillId="0" borderId="0" xfId="266" applyNumberFormat="1"/>
    <xf numFmtId="0" fontId="40" fillId="0" borderId="0" xfId="0" applyFont="1"/>
    <xf numFmtId="0" fontId="25" fillId="0" borderId="0" xfId="266" applyAlignment="1">
      <alignment horizontal="left" vertical="center" wrapText="1"/>
    </xf>
    <xf numFmtId="2" fontId="0" fillId="3" borderId="0" xfId="0" applyNumberFormat="1" applyFont="1" applyFill="1" applyBorder="1" applyAlignment="1">
      <alignment vertical="center"/>
    </xf>
    <xf numFmtId="168" fontId="14" fillId="4" borderId="0" xfId="3" applyNumberFormat="1" applyFont="1" applyFill="1" applyBorder="1" applyAlignment="1">
      <alignment vertical="center"/>
    </xf>
    <xf numFmtId="166" fontId="35" fillId="4" borderId="0" xfId="0" applyNumberFormat="1" applyFont="1" applyFill="1" applyBorder="1" applyAlignment="1">
      <alignment horizontal="left" vertical="center"/>
    </xf>
    <xf numFmtId="8" fontId="17" fillId="4" borderId="0" xfId="0" applyNumberFormat="1" applyFont="1" applyFill="1"/>
    <xf numFmtId="168" fontId="14" fillId="4" borderId="0" xfId="0" applyNumberFormat="1" applyFont="1" applyFill="1" applyBorder="1" applyAlignment="1">
      <alignment vertical="center"/>
    </xf>
    <xf numFmtId="168" fontId="17" fillId="4" borderId="0" xfId="3" applyNumberFormat="1" applyFont="1" applyFill="1" applyBorder="1" applyAlignment="1">
      <alignment vertical="center"/>
    </xf>
    <xf numFmtId="2" fontId="17" fillId="4" borderId="0" xfId="0" applyNumberFormat="1" applyFont="1" applyFill="1" applyBorder="1" applyAlignment="1">
      <alignment vertical="center"/>
    </xf>
    <xf numFmtId="49" fontId="25" fillId="0" borderId="0" xfId="266" applyNumberFormat="1" applyAlignment="1">
      <alignment horizontal="left" wrapText="1" indent="1"/>
    </xf>
    <xf numFmtId="49" fontId="0" fillId="0" borderId="0" xfId="0" applyNumberFormat="1"/>
    <xf numFmtId="0" fontId="25" fillId="0" borderId="0" xfId="0" applyFont="1"/>
    <xf numFmtId="0" fontId="42" fillId="0" borderId="0" xfId="266" applyFont="1" applyAlignment="1">
      <alignment wrapText="1"/>
    </xf>
    <xf numFmtId="49" fontId="40" fillId="0" borderId="0" xfId="0" applyNumberFormat="1" applyFont="1" applyAlignment="1">
      <alignment horizontal="left" vertical="top" wrapText="1" indent="1"/>
    </xf>
    <xf numFmtId="0" fontId="40" fillId="0" borderId="0" xfId="266" applyFont="1"/>
    <xf numFmtId="0" fontId="28" fillId="0" borderId="0" xfId="266" applyFont="1" applyAlignment="1">
      <alignment horizontal="left" indent="1"/>
    </xf>
    <xf numFmtId="0" fontId="21" fillId="2" borderId="0" xfId="266" applyFont="1" applyFill="1" applyAlignment="1">
      <alignment vertical="center"/>
    </xf>
    <xf numFmtId="8" fontId="4" fillId="3" borderId="0" xfId="0" applyNumberFormat="1" applyFont="1" applyFill="1" applyBorder="1"/>
    <xf numFmtId="0" fontId="44" fillId="0" borderId="0" xfId="0" applyFont="1" applyAlignment="1">
      <alignment vertical="center" wrapText="1"/>
    </xf>
    <xf numFmtId="0" fontId="0" fillId="0" borderId="13" xfId="0" applyFont="1" applyFill="1" applyBorder="1" applyAlignment="1">
      <alignment horizontal="left" vertical="center" wrapText="1" indent="1"/>
    </xf>
    <xf numFmtId="168" fontId="0" fillId="2" borderId="0" xfId="0" applyNumberFormat="1" applyFont="1" applyFill="1" applyBorder="1" applyAlignment="1">
      <alignment horizontal="right" vertical="center"/>
    </xf>
    <xf numFmtId="9" fontId="19" fillId="0" borderId="0" xfId="3" applyFont="1" applyFill="1" applyBorder="1" applyAlignment="1">
      <alignment horizontal="center" vertical="center"/>
    </xf>
    <xf numFmtId="0" fontId="0" fillId="0" borderId="0" xfId="0" applyFill="1" applyAlignment="1">
      <alignment horizontal="left" indent="1"/>
    </xf>
    <xf numFmtId="0" fontId="21" fillId="0" borderId="0" xfId="0" applyFont="1" applyFill="1" applyAlignment="1">
      <alignment horizontal="left"/>
    </xf>
    <xf numFmtId="168" fontId="4" fillId="0" borderId="0" xfId="3" applyNumberFormat="1" applyFont="1" applyFill="1" applyBorder="1" applyAlignment="1">
      <alignment horizontal="right" vertical="center"/>
    </xf>
    <xf numFmtId="8" fontId="17" fillId="0" borderId="0" xfId="0" applyNumberFormat="1" applyFont="1" applyFill="1" applyBorder="1" applyAlignment="1">
      <alignment horizontal="left" vertical="center" indent="1"/>
    </xf>
    <xf numFmtId="1" fontId="0" fillId="0" borderId="0" xfId="3" applyNumberFormat="1" applyFont="1" applyFill="1" applyBorder="1" applyAlignment="1">
      <alignment horizontal="right" vertical="center"/>
    </xf>
    <xf numFmtId="0" fontId="2" fillId="0" borderId="0" xfId="266" applyFont="1" applyFill="1" applyAlignment="1">
      <alignment horizontal="left" wrapText="1"/>
    </xf>
    <xf numFmtId="0" fontId="25" fillId="0" borderId="0" xfId="266" applyFill="1" applyAlignment="1">
      <alignment horizontal="left" wrapText="1"/>
    </xf>
    <xf numFmtId="49" fontId="42" fillId="0" borderId="0" xfId="266" applyNumberFormat="1" applyFont="1" applyAlignment="1">
      <alignment horizontal="left" vertical="top" wrapText="1" indent="1"/>
    </xf>
    <xf numFmtId="49" fontId="25" fillId="0" borderId="0" xfId="266" applyNumberFormat="1" applyAlignment="1">
      <alignment horizontal="left" vertical="top" wrapText="1" indent="1"/>
    </xf>
    <xf numFmtId="49" fontId="40" fillId="0" borderId="0" xfId="0" applyNumberFormat="1" applyFont="1" applyAlignment="1">
      <alignment horizontal="left" vertical="top" wrapText="1" indent="1"/>
    </xf>
    <xf numFmtId="49" fontId="2" fillId="0" borderId="0" xfId="266" applyNumberFormat="1" applyFont="1" applyAlignment="1">
      <alignment horizontal="left" wrapText="1" indent="1"/>
    </xf>
    <xf numFmtId="49" fontId="25" fillId="0" borderId="0" xfId="266" applyNumberFormat="1" applyAlignment="1">
      <alignment horizontal="left" wrapText="1" indent="1"/>
    </xf>
    <xf numFmtId="49" fontId="25" fillId="0" borderId="0" xfId="266" applyNumberFormat="1" applyAlignment="1">
      <alignment horizontal="left" wrapText="1"/>
    </xf>
    <xf numFmtId="0" fontId="25" fillId="0" borderId="0" xfId="266" applyAlignment="1">
      <alignment horizontal="left" vertical="center" wrapText="1"/>
    </xf>
    <xf numFmtId="0" fontId="2" fillId="0" borderId="0" xfId="266" applyFont="1" applyAlignment="1">
      <alignment horizontal="left" vertical="center" wrapText="1"/>
    </xf>
    <xf numFmtId="0" fontId="25" fillId="0" borderId="0" xfId="266" applyFont="1" applyAlignment="1">
      <alignment horizontal="left" vertical="center" wrapText="1"/>
    </xf>
    <xf numFmtId="0" fontId="2" fillId="0" borderId="0" xfId="266" applyFont="1" applyAlignment="1">
      <alignment horizontal="left" vertical="top" wrapText="1"/>
    </xf>
    <xf numFmtId="0" fontId="25" fillId="0" borderId="0" xfId="266" applyAlignment="1">
      <alignment horizontal="left" vertical="top" wrapText="1"/>
    </xf>
    <xf numFmtId="166" fontId="4" fillId="0" borderId="0" xfId="0" applyNumberFormat="1" applyFont="1" applyFill="1" applyBorder="1" applyAlignment="1">
      <alignment horizontal="center" vertical="center" wrapText="1"/>
    </xf>
    <xf numFmtId="166" fontId="23" fillId="0" borderId="11" xfId="0" applyNumberFormat="1" applyFont="1" applyFill="1" applyBorder="1" applyAlignment="1">
      <alignment horizontal="left" vertical="center"/>
    </xf>
    <xf numFmtId="166" fontId="23" fillId="0" borderId="12" xfId="0" applyNumberFormat="1" applyFont="1" applyFill="1" applyBorder="1" applyAlignment="1">
      <alignment horizontal="left" vertical="center"/>
    </xf>
    <xf numFmtId="166" fontId="23" fillId="0" borderId="13" xfId="0" applyNumberFormat="1" applyFont="1" applyFill="1" applyBorder="1" applyAlignment="1">
      <alignment horizontal="left" vertical="center"/>
    </xf>
    <xf numFmtId="166" fontId="23" fillId="0" borderId="0" xfId="0" applyNumberFormat="1" applyFont="1" applyFill="1" applyBorder="1" applyAlignment="1">
      <alignment horizontal="left" vertical="center"/>
    </xf>
    <xf numFmtId="0" fontId="4" fillId="0" borderId="23"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23" xfId="0" applyFont="1" applyFill="1" applyBorder="1" applyAlignment="1">
      <alignment horizontal="center" vertical="center"/>
    </xf>
    <xf numFmtId="0" fontId="4" fillId="0" borderId="25" xfId="0" applyFont="1" applyFill="1" applyBorder="1" applyAlignment="1">
      <alignment horizontal="center" vertical="center"/>
    </xf>
  </cellXfs>
  <cellStyles count="779">
    <cellStyle name="Comma" xfId="51" builtinId="3"/>
    <cellStyle name="Comma 2" xfId="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Normal" xfId="0" builtinId="0"/>
    <cellStyle name="Normal 2" xfId="2"/>
    <cellStyle name="Normal 3" xfId="266"/>
    <cellStyle name="Percent" xfId="3" builtinId="5"/>
    <cellStyle name="Percent 2" xfId="4"/>
  </cellStyles>
  <dxfs count="0"/>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GB" sz="1200" b="1" i="0" baseline="0">
                <a:effectLst/>
              </a:rPr>
              <a:t>Distribution of projected 2015 petroleum receipts</a:t>
            </a:r>
            <a:endParaRPr lang="en-GB" sz="1200" b="1">
              <a:effectLst/>
            </a:endParaRPr>
          </a:p>
        </c:rich>
      </c:tx>
      <c:overlay val="0"/>
      <c:spPr>
        <a:noFill/>
        <a:ln>
          <a:noFill/>
        </a:ln>
        <a:effectLst/>
      </c:spPr>
    </c:title>
    <c:autoTitleDeleted val="0"/>
    <c:plotArea>
      <c:layout/>
      <c:barChart>
        <c:barDir val="col"/>
        <c:grouping val="clustered"/>
        <c:varyColors val="0"/>
        <c:ser>
          <c:idx val="0"/>
          <c:order val="0"/>
          <c:tx>
            <c:v>Budget</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_x0004_GNPC</c:v>
              </c:pt>
              <c:pt idx="1">
                <c:v>_x001c_Annual Budget Funding Amount</c:v>
              </c:pt>
              <c:pt idx="2">
                <c:v>_x0013_Ghana Heritage Fund</c:v>
              </c:pt>
              <c:pt idx="3">
                <c:v>_x0018_Ghana Stabilization Fund</c:v>
              </c:pt>
              <c:pt idx="4">
                <c:v>_x001a_Contingency/Debt Repayment</c:v>
              </c:pt>
            </c:strLit>
          </c:cat>
          <c:val>
            <c:numLit>
              <c:formatCode>General</c:formatCode>
              <c:ptCount val="5"/>
              <c:pt idx="0">
                <c:v>205.20209270000001</c:v>
              </c:pt>
              <c:pt idx="1">
                <c:v>721.81861380999737</c:v>
              </c:pt>
              <c:pt idx="2">
                <c:v>92.805211</c:v>
              </c:pt>
              <c:pt idx="3">
                <c:v>216.54549399999999</c:v>
              </c:pt>
            </c:numLit>
          </c:val>
        </c:ser>
        <c:ser>
          <c:idx val="1"/>
          <c:order val="1"/>
          <c:tx>
            <c:v>Model, Brent @ User value</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_x0004_GNPC</c:v>
              </c:pt>
              <c:pt idx="1">
                <c:v>_x001c_Annual Budget Funding Amount</c:v>
              </c:pt>
              <c:pt idx="2">
                <c:v>_x0013_Ghana Heritage Fund</c:v>
              </c:pt>
              <c:pt idx="3">
                <c:v>_x0018_Ghana Stabilization Fund</c:v>
              </c:pt>
              <c:pt idx="4">
                <c:v>_x001a_Contingency/Debt Repayment</c:v>
              </c:pt>
            </c:strLit>
          </c:cat>
          <c:val>
            <c:numLit>
              <c:formatCode>General</c:formatCode>
              <c:ptCount val="5"/>
              <c:pt idx="0">
                <c:v>153.43974148922049</c:v>
              </c:pt>
              <c:pt idx="1">
                <c:v>721.81831286390002</c:v>
              </c:pt>
              <c:pt idx="2">
                <c:v>24.31980293055592</c:v>
              </c:pt>
              <c:pt idx="3">
                <c:v>56.746206837963811</c:v>
              </c:pt>
              <c:pt idx="4">
                <c:v>0</c:v>
              </c:pt>
            </c:numLit>
          </c:val>
        </c:ser>
        <c:dLbls>
          <c:dLblPos val="outEnd"/>
          <c:showLegendKey val="0"/>
          <c:showVal val="1"/>
          <c:showCatName val="0"/>
          <c:showSerName val="0"/>
          <c:showPercent val="0"/>
          <c:showBubbleSize val="0"/>
        </c:dLbls>
        <c:gapWidth val="219"/>
        <c:overlap val="-27"/>
        <c:axId val="59993088"/>
        <c:axId val="43361408"/>
      </c:barChart>
      <c:catAx>
        <c:axId val="59993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solidFill>
                  <a:schemeClr val="tx1">
                    <a:lumMod val="65000"/>
                    <a:lumOff val="35000"/>
                  </a:schemeClr>
                </a:solidFill>
                <a:latin typeface="+mn-lt"/>
                <a:ea typeface="+mn-ea"/>
                <a:cs typeface="+mn-cs"/>
              </a:defRPr>
            </a:pPr>
            <a:endParaRPr lang="en-US"/>
          </a:p>
        </c:txPr>
        <c:crossAx val="43361408"/>
        <c:crosses val="autoZero"/>
        <c:auto val="1"/>
        <c:lblAlgn val="ctr"/>
        <c:lblOffset val="100"/>
        <c:noMultiLvlLbl val="0"/>
      </c:catAx>
      <c:valAx>
        <c:axId val="433614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million</a:t>
                </a:r>
              </a:p>
            </c:rich>
          </c:tx>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59993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Investor Rate of Return</a:t>
            </a:r>
          </a:p>
        </c:rich>
      </c:tx>
      <c:overlay val="0"/>
    </c:title>
    <c:autoTitleDeleted val="0"/>
    <c:plotArea>
      <c:layout/>
      <c:barChart>
        <c:barDir val="bar"/>
        <c:grouping val="clustered"/>
        <c:varyColors val="0"/>
        <c:ser>
          <c:idx val="0"/>
          <c:order val="0"/>
          <c:invertIfNegative val="0"/>
          <c:dPt>
            <c:idx val="1"/>
            <c:invertIfNegative val="0"/>
            <c:bubble3D val="0"/>
          </c:dPt>
          <c:dPt>
            <c:idx val="3"/>
            <c:invertIfNegative val="0"/>
            <c:bubble3D val="0"/>
          </c:dPt>
          <c:dPt>
            <c:idx val="4"/>
            <c:invertIfNegative val="0"/>
            <c:bubble3D val="0"/>
          </c:dPt>
          <c:dPt>
            <c:idx val="7"/>
            <c:invertIfNegative val="0"/>
            <c:bubble3D val="0"/>
          </c:dPt>
          <c:dPt>
            <c:idx val="8"/>
            <c:invertIfNegative val="0"/>
            <c:bubble3D val="0"/>
          </c:dPt>
          <c:dPt>
            <c:idx val="10"/>
            <c:invertIfNegative val="0"/>
            <c:bubble3D val="0"/>
          </c:dPt>
          <c:dPt>
            <c:idx val="11"/>
            <c:invertIfNegative val="0"/>
            <c:bubble3D val="0"/>
          </c:dPt>
          <c:dPt>
            <c:idx val="12"/>
            <c:invertIfNegative val="0"/>
            <c:bubble3D val="0"/>
          </c:dPt>
          <c:dPt>
            <c:idx val="13"/>
            <c:invertIfNegative val="0"/>
            <c:bubble3D val="0"/>
          </c:dPt>
          <c:cat>
            <c:strRef>
              <c:f>'Assumptions &amp; Results'!$AL$36:$AL$49</c:f>
              <c:strCache>
                <c:ptCount val="14"/>
                <c:pt idx="0">
                  <c:v>Peru</c:v>
                </c:pt>
                <c:pt idx="1">
                  <c:v>Colombia</c:v>
                </c:pt>
                <c:pt idx="2">
                  <c:v>PNG</c:v>
                </c:pt>
                <c:pt idx="3">
                  <c:v>Tanzania</c:v>
                </c:pt>
                <c:pt idx="4">
                  <c:v>Average Peru</c:v>
                </c:pt>
                <c:pt idx="5">
                  <c:v>Mexico</c:v>
                </c:pt>
                <c:pt idx="6">
                  <c:v>Brazil</c:v>
                </c:pt>
                <c:pt idx="7">
                  <c:v>Total Average</c:v>
                </c:pt>
                <c:pt idx="8">
                  <c:v>Mine</c:v>
                </c:pt>
                <c:pt idx="9">
                  <c:v>Chile </c:v>
                </c:pt>
                <c:pt idx="10">
                  <c:v>South Africa</c:v>
                </c:pt>
                <c:pt idx="11">
                  <c:v>Average Ghana</c:v>
                </c:pt>
                <c:pt idx="12">
                  <c:v>Indonesia</c:v>
                </c:pt>
                <c:pt idx="13">
                  <c:v>Ghana</c:v>
                </c:pt>
              </c:strCache>
            </c:strRef>
          </c:cat>
          <c:val>
            <c:numRef>
              <c:f>'Assumptions &amp; Results'!$AM$36:$AM$49</c:f>
              <c:numCache>
                <c:formatCode>0.0%</c:formatCode>
                <c:ptCount val="14"/>
                <c:pt idx="0">
                  <c:v>0.18641424582555821</c:v>
                </c:pt>
                <c:pt idx="1">
                  <c:v>0.18507257682686351</c:v>
                </c:pt>
                <c:pt idx="2">
                  <c:v>0.18407795910405089</c:v>
                </c:pt>
                <c:pt idx="3">
                  <c:v>0.18334297287838619</c:v>
                </c:pt>
                <c:pt idx="4">
                  <c:v>0.18077283785277695</c:v>
                </c:pt>
                <c:pt idx="5">
                  <c:v>0.18043294386114828</c:v>
                </c:pt>
                <c:pt idx="6">
                  <c:v>0.17881596170733749</c:v>
                </c:pt>
                <c:pt idx="7">
                  <c:v>0.17664810380270649</c:v>
                </c:pt>
                <c:pt idx="8">
                  <c:v>0.17556219520267202</c:v>
                </c:pt>
                <c:pt idx="9">
                  <c:v>0.1731284610429773</c:v>
                </c:pt>
                <c:pt idx="10">
                  <c:v>0.17297095046313693</c:v>
                </c:pt>
                <c:pt idx="11">
                  <c:v>0.17252336975263599</c:v>
                </c:pt>
                <c:pt idx="12">
                  <c:v>0.16474438707417383</c:v>
                </c:pt>
                <c:pt idx="13">
                  <c:v>0.15748057924343217</c:v>
                </c:pt>
              </c:numCache>
            </c:numRef>
          </c:val>
        </c:ser>
        <c:dLbls>
          <c:showLegendKey val="0"/>
          <c:showVal val="0"/>
          <c:showCatName val="0"/>
          <c:showSerName val="0"/>
          <c:showPercent val="0"/>
          <c:showBubbleSize val="0"/>
        </c:dLbls>
        <c:gapWidth val="150"/>
        <c:axId val="49993728"/>
        <c:axId val="112562112"/>
      </c:barChart>
      <c:catAx>
        <c:axId val="49993728"/>
        <c:scaling>
          <c:orientation val="minMax"/>
        </c:scaling>
        <c:delete val="0"/>
        <c:axPos val="l"/>
        <c:numFmt formatCode="0.0%" sourceLinked="1"/>
        <c:majorTickMark val="out"/>
        <c:minorTickMark val="none"/>
        <c:tickLblPos val="nextTo"/>
        <c:crossAx val="112562112"/>
        <c:crosses val="autoZero"/>
        <c:auto val="1"/>
        <c:lblAlgn val="ctr"/>
        <c:lblOffset val="100"/>
        <c:noMultiLvlLbl val="0"/>
      </c:catAx>
      <c:valAx>
        <c:axId val="112562112"/>
        <c:scaling>
          <c:orientation val="minMax"/>
        </c:scaling>
        <c:delete val="0"/>
        <c:axPos val="b"/>
        <c:minorGridlines/>
        <c:numFmt formatCode="0.0%" sourceLinked="1"/>
        <c:majorTickMark val="out"/>
        <c:minorTickMark val="none"/>
        <c:tickLblPos val="nextTo"/>
        <c:crossAx val="49993728"/>
        <c:crosses val="autoZero"/>
        <c:crossBetween val="between"/>
      </c:valAx>
    </c:plotArea>
    <c:plotVisOnly val="1"/>
    <c:dispBlanksAs val="gap"/>
    <c:showDLblsOverMax val="0"/>
  </c:chart>
  <c:printSettings>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a:pPr>
            <a:r>
              <a:rPr lang="en-US"/>
              <a:t>Government Take (undiscounted)</a:t>
            </a:r>
          </a:p>
        </c:rich>
      </c:tx>
      <c:overlay val="0"/>
    </c:title>
    <c:autoTitleDeleted val="0"/>
    <c:plotArea>
      <c:layout>
        <c:manualLayout>
          <c:layoutTarget val="inner"/>
          <c:xMode val="edge"/>
          <c:yMode val="edge"/>
          <c:x val="0.15299496631057399"/>
          <c:y val="0.13607186828919099"/>
          <c:w val="0.74745188101487303"/>
          <c:h val="0.78536478838582702"/>
        </c:manualLayout>
      </c:layout>
      <c:barChart>
        <c:barDir val="bar"/>
        <c:grouping val="clustered"/>
        <c:varyColors val="0"/>
        <c:ser>
          <c:idx val="0"/>
          <c:order val="0"/>
          <c:tx>
            <c:strRef>
              <c:f>'Assumptions &amp; Results'!$AM$19</c:f>
              <c:strCache>
                <c:ptCount val="1"/>
              </c:strCache>
            </c:strRef>
          </c:tx>
          <c:invertIfNegative val="0"/>
          <c:dPt>
            <c:idx val="0"/>
            <c:invertIfNegative val="0"/>
            <c:bubble3D val="0"/>
          </c:dPt>
          <c:dPt>
            <c:idx val="1"/>
            <c:invertIfNegative val="0"/>
            <c:bubble3D val="0"/>
          </c:dPt>
          <c:dPt>
            <c:idx val="2"/>
            <c:invertIfNegative val="0"/>
            <c:bubble3D val="0"/>
          </c:dPt>
          <c:dPt>
            <c:idx val="3"/>
            <c:invertIfNegative val="0"/>
            <c:bubble3D val="0"/>
          </c:dPt>
          <c:dPt>
            <c:idx val="5"/>
            <c:invertIfNegative val="0"/>
            <c:bubble3D val="0"/>
          </c:dPt>
          <c:dPt>
            <c:idx val="6"/>
            <c:invertIfNegative val="0"/>
            <c:bubble3D val="0"/>
          </c:dPt>
          <c:dPt>
            <c:idx val="8"/>
            <c:invertIfNegative val="0"/>
            <c:bubble3D val="0"/>
          </c:dPt>
          <c:dPt>
            <c:idx val="9"/>
            <c:invertIfNegative val="0"/>
            <c:bubble3D val="0"/>
          </c:dPt>
          <c:dPt>
            <c:idx val="12"/>
            <c:invertIfNegative val="0"/>
            <c:bubble3D val="0"/>
          </c:dPt>
          <c:cat>
            <c:strRef>
              <c:f>'Assumptions &amp; Results'!$AL$20:$AL$33</c:f>
              <c:strCache>
                <c:ptCount val="14"/>
                <c:pt idx="0">
                  <c:v>Ghana</c:v>
                </c:pt>
                <c:pt idx="1">
                  <c:v>Indonesia</c:v>
                </c:pt>
                <c:pt idx="2">
                  <c:v>South Africa</c:v>
                </c:pt>
                <c:pt idx="3">
                  <c:v>Average Ghana</c:v>
                </c:pt>
                <c:pt idx="4">
                  <c:v>Chile </c:v>
                </c:pt>
                <c:pt idx="5">
                  <c:v>Total Average</c:v>
                </c:pt>
                <c:pt idx="6">
                  <c:v>Colombia</c:v>
                </c:pt>
                <c:pt idx="7">
                  <c:v>Mexico</c:v>
                </c:pt>
                <c:pt idx="8">
                  <c:v>Tanzania</c:v>
                </c:pt>
                <c:pt idx="9">
                  <c:v>Average Peru</c:v>
                </c:pt>
                <c:pt idx="10">
                  <c:v>PNG</c:v>
                </c:pt>
                <c:pt idx="11">
                  <c:v>Mine</c:v>
                </c:pt>
                <c:pt idx="12">
                  <c:v>Brazil</c:v>
                </c:pt>
                <c:pt idx="13">
                  <c:v>Peru</c:v>
                </c:pt>
              </c:strCache>
            </c:strRef>
          </c:cat>
          <c:val>
            <c:numRef>
              <c:f>'Assumptions &amp; Results'!$AM$20:$AM$33</c:f>
              <c:numCache>
                <c:formatCode>0.0%</c:formatCode>
                <c:ptCount val="14"/>
                <c:pt idx="0">
                  <c:v>0.50824109220538261</c:v>
                </c:pt>
                <c:pt idx="1">
                  <c:v>0.47350318887748366</c:v>
                </c:pt>
                <c:pt idx="2">
                  <c:v>0.44308673830592693</c:v>
                </c:pt>
                <c:pt idx="3">
                  <c:v>0.44054904896731151</c:v>
                </c:pt>
                <c:pt idx="4">
                  <c:v>0.42193259223409069</c:v>
                </c:pt>
                <c:pt idx="5">
                  <c:v>0.41499541443556609</c:v>
                </c:pt>
                <c:pt idx="6">
                  <c:v>0.400628054559306</c:v>
                </c:pt>
                <c:pt idx="7">
                  <c:v>0.39945737790517583</c:v>
                </c:pt>
                <c:pt idx="8">
                  <c:v>0.391988971164761</c:v>
                </c:pt>
                <c:pt idx="9">
                  <c:v>0.38944177990382067</c:v>
                </c:pt>
                <c:pt idx="10">
                  <c:v>0.38592525428300301</c:v>
                </c:pt>
                <c:pt idx="11">
                  <c:v>0.37165221637871826</c:v>
                </c:pt>
                <c:pt idx="12">
                  <c:v>0.36937296358275118</c:v>
                </c:pt>
                <c:pt idx="13">
                  <c:v>0.35581791123778006</c:v>
                </c:pt>
              </c:numCache>
            </c:numRef>
          </c:val>
        </c:ser>
        <c:dLbls>
          <c:showLegendKey val="0"/>
          <c:showVal val="0"/>
          <c:showCatName val="0"/>
          <c:showSerName val="0"/>
          <c:showPercent val="0"/>
          <c:showBubbleSize val="0"/>
        </c:dLbls>
        <c:gapWidth val="150"/>
        <c:axId val="49994240"/>
        <c:axId val="112563840"/>
      </c:barChart>
      <c:catAx>
        <c:axId val="49994240"/>
        <c:scaling>
          <c:orientation val="minMax"/>
        </c:scaling>
        <c:delete val="0"/>
        <c:axPos val="l"/>
        <c:numFmt formatCode="0.0%" sourceLinked="1"/>
        <c:majorTickMark val="out"/>
        <c:minorTickMark val="none"/>
        <c:tickLblPos val="nextTo"/>
        <c:crossAx val="112563840"/>
        <c:crosses val="autoZero"/>
        <c:auto val="1"/>
        <c:lblAlgn val="ctr"/>
        <c:lblOffset val="100"/>
        <c:noMultiLvlLbl val="0"/>
      </c:catAx>
      <c:valAx>
        <c:axId val="112563840"/>
        <c:scaling>
          <c:orientation val="minMax"/>
        </c:scaling>
        <c:delete val="0"/>
        <c:axPos val="b"/>
        <c:minorGridlines/>
        <c:numFmt formatCode="0.0%" sourceLinked="1"/>
        <c:majorTickMark val="out"/>
        <c:minorTickMark val="none"/>
        <c:tickLblPos val="nextTo"/>
        <c:crossAx val="49994240"/>
        <c:crosses val="autoZero"/>
        <c:crossBetween val="between"/>
      </c:valAx>
    </c:plotArea>
    <c:plotVisOnly val="1"/>
    <c:dispBlanksAs val="gap"/>
    <c:showDLblsOverMax val="0"/>
  </c:chart>
  <c:printSettings>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24"/>
    </mc:Choice>
    <mc:Fallback>
      <c:style val="24"/>
    </mc:Fallback>
  </mc:AlternateContent>
  <c:chart>
    <c:title>
      <c:tx>
        <c:rich>
          <a:bodyPr/>
          <a:lstStyle/>
          <a:p>
            <a:pPr>
              <a:defRPr/>
            </a:pPr>
            <a:r>
              <a:rPr lang="en-US"/>
              <a:t>Government Take (discounted)</a:t>
            </a:r>
          </a:p>
        </c:rich>
      </c:tx>
      <c:overlay val="0"/>
    </c:title>
    <c:autoTitleDeleted val="0"/>
    <c:plotArea>
      <c:layout/>
      <c:barChart>
        <c:barDir val="bar"/>
        <c:grouping val="clustered"/>
        <c:varyColors val="0"/>
        <c:ser>
          <c:idx val="0"/>
          <c:order val="0"/>
          <c:invertIfNegative val="0"/>
          <c:dPt>
            <c:idx val="0"/>
            <c:invertIfNegative val="0"/>
            <c:bubble3D val="0"/>
          </c:dPt>
          <c:dPt>
            <c:idx val="1"/>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10"/>
            <c:invertIfNegative val="0"/>
            <c:bubble3D val="0"/>
          </c:dPt>
          <c:dPt>
            <c:idx val="12"/>
            <c:invertIfNegative val="0"/>
            <c:bubble3D val="0"/>
          </c:dPt>
          <c:dPt>
            <c:idx val="13"/>
            <c:invertIfNegative val="0"/>
            <c:bubble3D val="0"/>
          </c:dPt>
          <c:cat>
            <c:strRef>
              <c:f>'Assumptions &amp; Results'!$AL$53:$AL$66</c:f>
              <c:strCache>
                <c:ptCount val="14"/>
                <c:pt idx="0">
                  <c:v>Ghana</c:v>
                </c:pt>
                <c:pt idx="1">
                  <c:v>Indonesia</c:v>
                </c:pt>
                <c:pt idx="2">
                  <c:v>Chile </c:v>
                </c:pt>
                <c:pt idx="3">
                  <c:v>South Africa</c:v>
                </c:pt>
                <c:pt idx="4">
                  <c:v>Average Ghana</c:v>
                </c:pt>
                <c:pt idx="5">
                  <c:v>Total Average</c:v>
                </c:pt>
                <c:pt idx="6">
                  <c:v>Mexico</c:v>
                </c:pt>
                <c:pt idx="7">
                  <c:v>Average Peru</c:v>
                </c:pt>
                <c:pt idx="8">
                  <c:v>Colombia</c:v>
                </c:pt>
                <c:pt idx="9">
                  <c:v>Brazil</c:v>
                </c:pt>
                <c:pt idx="10">
                  <c:v>Mine</c:v>
                </c:pt>
                <c:pt idx="11">
                  <c:v>Tanzania</c:v>
                </c:pt>
                <c:pt idx="12">
                  <c:v>PNG</c:v>
                </c:pt>
                <c:pt idx="13">
                  <c:v>Peru</c:v>
                </c:pt>
              </c:strCache>
            </c:strRef>
          </c:cat>
          <c:val>
            <c:numRef>
              <c:f>'Assumptions &amp; Results'!$AM$53:$AM$66</c:f>
              <c:numCache>
                <c:formatCode>0.0%</c:formatCode>
                <c:ptCount val="14"/>
                <c:pt idx="0">
                  <c:v>0.76601915900019624</c:v>
                </c:pt>
                <c:pt idx="1">
                  <c:v>0.72770221026444193</c:v>
                </c:pt>
                <c:pt idx="2">
                  <c:v>0.67862527023548636</c:v>
                </c:pt>
                <c:pt idx="3">
                  <c:v>0.66207779783421294</c:v>
                </c:pt>
                <c:pt idx="4">
                  <c:v>0.65972968834653023</c:v>
                </c:pt>
                <c:pt idx="5">
                  <c:v>0.63529583052107963</c:v>
                </c:pt>
                <c:pt idx="6">
                  <c:v>0.62709902028112574</c:v>
                </c:pt>
                <c:pt idx="7">
                  <c:v>0.61086197269562925</c:v>
                </c:pt>
                <c:pt idx="8">
                  <c:v>0.60163850091091542</c:v>
                </c:pt>
                <c:pt idx="9">
                  <c:v>0.58649653927091228</c:v>
                </c:pt>
                <c:pt idx="10">
                  <c:v>0.58550510033685266</c:v>
                </c:pt>
                <c:pt idx="11">
                  <c:v>0.57151393758872571</c:v>
                </c:pt>
                <c:pt idx="12">
                  <c:v>0.57133533704507411</c:v>
                </c:pt>
                <c:pt idx="13">
                  <c:v>0.56045053277970658</c:v>
                </c:pt>
              </c:numCache>
            </c:numRef>
          </c:val>
        </c:ser>
        <c:dLbls>
          <c:showLegendKey val="0"/>
          <c:showVal val="0"/>
          <c:showCatName val="0"/>
          <c:showSerName val="0"/>
          <c:showPercent val="0"/>
          <c:showBubbleSize val="0"/>
        </c:dLbls>
        <c:gapWidth val="150"/>
        <c:axId val="49995264"/>
        <c:axId val="112565568"/>
      </c:barChart>
      <c:catAx>
        <c:axId val="49995264"/>
        <c:scaling>
          <c:orientation val="minMax"/>
        </c:scaling>
        <c:delete val="0"/>
        <c:axPos val="l"/>
        <c:numFmt formatCode="0.0%" sourceLinked="1"/>
        <c:majorTickMark val="out"/>
        <c:minorTickMark val="none"/>
        <c:tickLblPos val="nextTo"/>
        <c:crossAx val="112565568"/>
        <c:crosses val="autoZero"/>
        <c:auto val="1"/>
        <c:lblAlgn val="ctr"/>
        <c:lblOffset val="100"/>
        <c:noMultiLvlLbl val="0"/>
      </c:catAx>
      <c:valAx>
        <c:axId val="112565568"/>
        <c:scaling>
          <c:orientation val="minMax"/>
        </c:scaling>
        <c:delete val="0"/>
        <c:axPos val="b"/>
        <c:minorGridlines/>
        <c:numFmt formatCode="0.0%" sourceLinked="1"/>
        <c:majorTickMark val="out"/>
        <c:minorTickMark val="none"/>
        <c:tickLblPos val="nextTo"/>
        <c:crossAx val="49995264"/>
        <c:crosses val="autoZero"/>
        <c:crossBetween val="between"/>
      </c:valAx>
    </c:plotArea>
    <c:plotVisOnly val="1"/>
    <c:dispBlanksAs val="gap"/>
    <c:showDLblsOverMax val="0"/>
  </c:chart>
  <c:printSettings>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Impact of prices on government take according to resource rent tax rate</a:t>
            </a:r>
          </a:p>
        </c:rich>
      </c:tx>
      <c:layout>
        <c:manualLayout>
          <c:xMode val="edge"/>
          <c:yMode val="edge"/>
          <c:x val="0.126007026588044"/>
          <c:y val="8.0645161290322596E-3"/>
        </c:manualLayout>
      </c:layout>
      <c:overlay val="1"/>
    </c:title>
    <c:autoTitleDeleted val="0"/>
    <c:plotArea>
      <c:layout>
        <c:manualLayout>
          <c:layoutTarget val="inner"/>
          <c:xMode val="edge"/>
          <c:yMode val="edge"/>
          <c:x val="0.15047192405106899"/>
          <c:y val="0.24122807017543901"/>
          <c:w val="0.55733333096551796"/>
          <c:h val="0.64229203708407401"/>
        </c:manualLayout>
      </c:layout>
      <c:lineChart>
        <c:grouping val="standard"/>
        <c:varyColors val="0"/>
        <c:ser>
          <c:idx val="1"/>
          <c:order val="0"/>
          <c:tx>
            <c:v>60% of Base Price</c:v>
          </c:tx>
          <c:marker>
            <c:symbol val="none"/>
          </c:marker>
          <c:cat>
            <c:numRef>
              <c:f>'Assumptions &amp; Results'!$B$210:$B$212</c:f>
              <c:numCache>
                <c:formatCode>0%</c:formatCode>
                <c:ptCount val="3"/>
                <c:pt idx="0">
                  <c:v>0</c:v>
                </c:pt>
                <c:pt idx="1">
                  <c:v>0.2</c:v>
                </c:pt>
                <c:pt idx="2">
                  <c:v>0.5</c:v>
                </c:pt>
              </c:numCache>
            </c:numRef>
          </c:cat>
          <c:val>
            <c:numRef>
              <c:f>'Assumptions &amp; Results'!$C$210:$C$212</c:f>
              <c:numCache>
                <c:formatCode>0%</c:formatCode>
                <c:ptCount val="3"/>
                <c:pt idx="0">
                  <c:v>-3.0875245084031406</c:v>
                </c:pt>
                <c:pt idx="1">
                  <c:v>-3.0875245084031406</c:v>
                </c:pt>
                <c:pt idx="2">
                  <c:v>-3.0875245084031406</c:v>
                </c:pt>
              </c:numCache>
            </c:numRef>
          </c:val>
          <c:smooth val="0"/>
        </c:ser>
        <c:ser>
          <c:idx val="2"/>
          <c:order val="1"/>
          <c:tx>
            <c:v>80% of Base Price</c:v>
          </c:tx>
          <c:marker>
            <c:symbol val="none"/>
          </c:marker>
          <c:cat>
            <c:numRef>
              <c:f>'Assumptions &amp; Results'!$B$210:$B$212</c:f>
              <c:numCache>
                <c:formatCode>0%</c:formatCode>
                <c:ptCount val="3"/>
                <c:pt idx="0">
                  <c:v>0</c:v>
                </c:pt>
                <c:pt idx="1">
                  <c:v>0.2</c:v>
                </c:pt>
                <c:pt idx="2">
                  <c:v>0.5</c:v>
                </c:pt>
              </c:numCache>
            </c:numRef>
          </c:cat>
          <c:val>
            <c:numRef>
              <c:f>'Assumptions &amp; Results'!$D$210:$D$212</c:f>
              <c:numCache>
                <c:formatCode>0%</c:formatCode>
                <c:ptCount val="3"/>
                <c:pt idx="0">
                  <c:v>0.5791161439344924</c:v>
                </c:pt>
                <c:pt idx="1">
                  <c:v>0.67900253520777976</c:v>
                </c:pt>
                <c:pt idx="2">
                  <c:v>0.82883212211771107</c:v>
                </c:pt>
              </c:numCache>
            </c:numRef>
          </c:val>
          <c:smooth val="0"/>
        </c:ser>
        <c:ser>
          <c:idx val="3"/>
          <c:order val="2"/>
          <c:tx>
            <c:v>Base Price</c:v>
          </c:tx>
          <c:marker>
            <c:symbol val="none"/>
          </c:marker>
          <c:cat>
            <c:numRef>
              <c:f>'Assumptions &amp; Results'!$B$210:$B$212</c:f>
              <c:numCache>
                <c:formatCode>0%</c:formatCode>
                <c:ptCount val="3"/>
                <c:pt idx="0">
                  <c:v>0</c:v>
                </c:pt>
                <c:pt idx="1">
                  <c:v>0.2</c:v>
                </c:pt>
                <c:pt idx="2">
                  <c:v>0.5</c:v>
                </c:pt>
              </c:numCache>
            </c:numRef>
          </c:cat>
          <c:val>
            <c:numRef>
              <c:f>'Assumptions &amp; Results'!$E$210:$E$212</c:f>
              <c:numCache>
                <c:formatCode>0%</c:formatCode>
                <c:ptCount val="3"/>
                <c:pt idx="0">
                  <c:v>0.50824109220538261</c:v>
                </c:pt>
                <c:pt idx="1">
                  <c:v>0.62302764700783264</c:v>
                </c:pt>
                <c:pt idx="2">
                  <c:v>0.79520747921150781</c:v>
                </c:pt>
              </c:numCache>
            </c:numRef>
          </c:val>
          <c:smooth val="0"/>
        </c:ser>
        <c:ser>
          <c:idx val="4"/>
          <c:order val="3"/>
          <c:tx>
            <c:v>120% of Base Price</c:v>
          </c:tx>
          <c:marker>
            <c:symbol val="none"/>
          </c:marker>
          <c:cat>
            <c:numRef>
              <c:f>'Assumptions &amp; Results'!$B$210:$B$212</c:f>
              <c:numCache>
                <c:formatCode>0%</c:formatCode>
                <c:ptCount val="3"/>
                <c:pt idx="0">
                  <c:v>0</c:v>
                </c:pt>
                <c:pt idx="1">
                  <c:v>0.2</c:v>
                </c:pt>
                <c:pt idx="2">
                  <c:v>0.5</c:v>
                </c:pt>
              </c:numCache>
            </c:numRef>
          </c:cat>
          <c:val>
            <c:numRef>
              <c:f>'Assumptions &amp; Results'!$F$210:$F$212</c:f>
              <c:numCache>
                <c:formatCode>0%</c:formatCode>
                <c:ptCount val="3"/>
                <c:pt idx="0">
                  <c:v>0.48847639508867369</c:v>
                </c:pt>
                <c:pt idx="1">
                  <c:v>0.60743101843708014</c:v>
                </c:pt>
                <c:pt idx="2">
                  <c:v>0.78586295345968971</c:v>
                </c:pt>
              </c:numCache>
            </c:numRef>
          </c:val>
          <c:smooth val="0"/>
        </c:ser>
        <c:dLbls>
          <c:showLegendKey val="0"/>
          <c:showVal val="0"/>
          <c:showCatName val="0"/>
          <c:showSerName val="0"/>
          <c:showPercent val="0"/>
          <c:showBubbleSize val="0"/>
        </c:dLbls>
        <c:marker val="1"/>
        <c:smooth val="0"/>
        <c:axId val="80441344"/>
        <c:axId val="112649344"/>
      </c:lineChart>
      <c:catAx>
        <c:axId val="80441344"/>
        <c:scaling>
          <c:orientation val="minMax"/>
        </c:scaling>
        <c:delete val="0"/>
        <c:axPos val="b"/>
        <c:title>
          <c:tx>
            <c:rich>
              <a:bodyPr/>
              <a:lstStyle/>
              <a:p>
                <a:pPr>
                  <a:defRPr/>
                </a:pPr>
                <a:r>
                  <a:rPr lang="en-US"/>
                  <a:t>Resource Rent</a:t>
                </a:r>
                <a:r>
                  <a:rPr lang="en-US" baseline="0"/>
                  <a:t> Tax rate </a:t>
                </a:r>
                <a:endParaRPr lang="en-US"/>
              </a:p>
            </c:rich>
          </c:tx>
          <c:overlay val="0"/>
        </c:title>
        <c:numFmt formatCode="0%" sourceLinked="1"/>
        <c:majorTickMark val="out"/>
        <c:minorTickMark val="none"/>
        <c:tickLblPos val="nextTo"/>
        <c:crossAx val="112649344"/>
        <c:crosses val="autoZero"/>
        <c:auto val="1"/>
        <c:lblAlgn val="ctr"/>
        <c:lblOffset val="100"/>
        <c:noMultiLvlLbl val="0"/>
      </c:catAx>
      <c:valAx>
        <c:axId val="112649344"/>
        <c:scaling>
          <c:orientation val="minMax"/>
        </c:scaling>
        <c:delete val="0"/>
        <c:axPos val="l"/>
        <c:majorGridlines/>
        <c:title>
          <c:tx>
            <c:rich>
              <a:bodyPr rot="-5400000" vert="horz"/>
              <a:lstStyle/>
              <a:p>
                <a:pPr>
                  <a:defRPr/>
                </a:pPr>
                <a:r>
                  <a:rPr lang="en-US"/>
                  <a:t>Government Take</a:t>
                </a:r>
              </a:p>
            </c:rich>
          </c:tx>
          <c:overlay val="0"/>
        </c:title>
        <c:numFmt formatCode="0%" sourceLinked="1"/>
        <c:majorTickMark val="out"/>
        <c:minorTickMark val="none"/>
        <c:tickLblPos val="nextTo"/>
        <c:crossAx val="80441344"/>
        <c:crosses val="autoZero"/>
        <c:crossBetween val="between"/>
      </c:valAx>
    </c:plotArea>
    <c:legend>
      <c:legendPos val="r"/>
      <c:overlay val="0"/>
    </c:legend>
    <c:plotVisOnly val="1"/>
    <c:dispBlanksAs val="gap"/>
    <c:showDLblsOverMax val="0"/>
  </c:chart>
  <c:txPr>
    <a:bodyPr/>
    <a:lstStyle/>
    <a:p>
      <a:pPr>
        <a:defRPr sz="1100"/>
      </a:pPr>
      <a:endParaRPr lang="en-US"/>
    </a:p>
  </c:txPr>
  <c:printSettings>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Impact of opex on government take according to resource rent tax rate</a:t>
            </a:r>
          </a:p>
        </c:rich>
      </c:tx>
      <c:layout>
        <c:manualLayout>
          <c:xMode val="edge"/>
          <c:yMode val="edge"/>
          <c:x val="0.126007026588044"/>
          <c:y val="8.0645161290322596E-3"/>
        </c:manualLayout>
      </c:layout>
      <c:overlay val="1"/>
    </c:title>
    <c:autoTitleDeleted val="0"/>
    <c:plotArea>
      <c:layout>
        <c:manualLayout>
          <c:layoutTarget val="inner"/>
          <c:xMode val="edge"/>
          <c:yMode val="edge"/>
          <c:x val="0.15047192405106899"/>
          <c:y val="0.24122807017543901"/>
          <c:w val="0.55733333096551796"/>
          <c:h val="0.64229203708407401"/>
        </c:manualLayout>
      </c:layout>
      <c:lineChart>
        <c:grouping val="standard"/>
        <c:varyColors val="0"/>
        <c:ser>
          <c:idx val="5"/>
          <c:order val="0"/>
          <c:tx>
            <c:v>150% of Base Opex</c:v>
          </c:tx>
          <c:marker>
            <c:symbol val="none"/>
          </c:marker>
          <c:cat>
            <c:numRef>
              <c:f>'Assumptions &amp; Results'!$B$220:$B$222</c:f>
              <c:numCache>
                <c:formatCode>0%</c:formatCode>
                <c:ptCount val="3"/>
                <c:pt idx="0">
                  <c:v>0</c:v>
                </c:pt>
                <c:pt idx="1">
                  <c:v>0.2</c:v>
                </c:pt>
                <c:pt idx="2">
                  <c:v>0.5</c:v>
                </c:pt>
              </c:numCache>
            </c:numRef>
          </c:cat>
          <c:val>
            <c:numRef>
              <c:f>'Assumptions &amp; Results'!$F$220:$F$222</c:f>
              <c:numCache>
                <c:formatCode>0.0%</c:formatCode>
                <c:ptCount val="3"/>
                <c:pt idx="0">
                  <c:v>0.75475301504070302</c:v>
                </c:pt>
                <c:pt idx="1">
                  <c:v>0.81845619126291747</c:v>
                </c:pt>
                <c:pt idx="2">
                  <c:v>0.91401095559623913</c:v>
                </c:pt>
              </c:numCache>
            </c:numRef>
          </c:val>
          <c:smooth val="0"/>
        </c:ser>
        <c:ser>
          <c:idx val="6"/>
          <c:order val="1"/>
          <c:tx>
            <c:v>Base Opex</c:v>
          </c:tx>
          <c:marker>
            <c:symbol val="none"/>
          </c:marker>
          <c:cat>
            <c:numRef>
              <c:f>'Assumptions &amp; Results'!$B$220:$B$222</c:f>
              <c:numCache>
                <c:formatCode>0%</c:formatCode>
                <c:ptCount val="3"/>
                <c:pt idx="0">
                  <c:v>0</c:v>
                </c:pt>
                <c:pt idx="1">
                  <c:v>0.2</c:v>
                </c:pt>
                <c:pt idx="2">
                  <c:v>0.5</c:v>
                </c:pt>
              </c:numCache>
            </c:numRef>
          </c:cat>
          <c:val>
            <c:numRef>
              <c:f>'Assumptions &amp; Results'!$E$220:$E$222</c:f>
              <c:numCache>
                <c:formatCode>0.0%</c:formatCode>
                <c:ptCount val="3"/>
                <c:pt idx="0">
                  <c:v>0.50824109220538261</c:v>
                </c:pt>
                <c:pt idx="1">
                  <c:v>0.62302764700783264</c:v>
                </c:pt>
                <c:pt idx="2">
                  <c:v>0.79520747921150781</c:v>
                </c:pt>
              </c:numCache>
            </c:numRef>
          </c:val>
          <c:smooth val="0"/>
        </c:ser>
        <c:ser>
          <c:idx val="7"/>
          <c:order val="2"/>
          <c:tx>
            <c:v>80% of Base Opex</c:v>
          </c:tx>
          <c:marker>
            <c:symbol val="none"/>
          </c:marker>
          <c:cat>
            <c:numRef>
              <c:f>'Assumptions &amp; Results'!$B$220:$B$222</c:f>
              <c:numCache>
                <c:formatCode>0%</c:formatCode>
                <c:ptCount val="3"/>
                <c:pt idx="0">
                  <c:v>0</c:v>
                </c:pt>
                <c:pt idx="1">
                  <c:v>0.2</c:v>
                </c:pt>
                <c:pt idx="2">
                  <c:v>0.5</c:v>
                </c:pt>
              </c:numCache>
            </c:numRef>
          </c:cat>
          <c:val>
            <c:numRef>
              <c:f>'Assumptions &amp; Results'!$D$220:$D$222</c:f>
              <c:numCache>
                <c:formatCode>0.0%</c:formatCode>
                <c:ptCount val="3"/>
                <c:pt idx="0">
                  <c:v>0.48852694068696928</c:v>
                </c:pt>
                <c:pt idx="1">
                  <c:v>0.60758998086334814</c:v>
                </c:pt>
                <c:pt idx="2">
                  <c:v>0.78618454112791636</c:v>
                </c:pt>
              </c:numCache>
            </c:numRef>
          </c:val>
          <c:smooth val="0"/>
        </c:ser>
        <c:ser>
          <c:idx val="8"/>
          <c:order val="3"/>
          <c:tx>
            <c:v>60% of Base Opex</c:v>
          </c:tx>
          <c:marker>
            <c:symbol val="none"/>
          </c:marker>
          <c:cat>
            <c:numRef>
              <c:f>'Assumptions &amp; Results'!$B$220:$B$222</c:f>
              <c:numCache>
                <c:formatCode>0%</c:formatCode>
                <c:ptCount val="3"/>
                <c:pt idx="0">
                  <c:v>0</c:v>
                </c:pt>
                <c:pt idx="1">
                  <c:v>0.2</c:v>
                </c:pt>
                <c:pt idx="2">
                  <c:v>0.5</c:v>
                </c:pt>
              </c:numCache>
            </c:numRef>
          </c:cat>
          <c:val>
            <c:numRef>
              <c:f>'Assumptions &amp; Results'!$C$220:$C$222</c:f>
              <c:numCache>
                <c:formatCode>0.0%</c:formatCode>
                <c:ptCount val="3"/>
                <c:pt idx="0">
                  <c:v>0.47777840557345475</c:v>
                </c:pt>
                <c:pt idx="1">
                  <c:v>0.59919389736984952</c:v>
                </c:pt>
                <c:pt idx="2">
                  <c:v>0.78131713506444134</c:v>
                </c:pt>
              </c:numCache>
            </c:numRef>
          </c:val>
          <c:smooth val="0"/>
        </c:ser>
        <c:dLbls>
          <c:showLegendKey val="0"/>
          <c:showVal val="0"/>
          <c:showCatName val="0"/>
          <c:showSerName val="0"/>
          <c:showPercent val="0"/>
          <c:showBubbleSize val="0"/>
        </c:dLbls>
        <c:marker val="1"/>
        <c:smooth val="0"/>
        <c:axId val="80442368"/>
        <c:axId val="112651648"/>
      </c:lineChart>
      <c:catAx>
        <c:axId val="80442368"/>
        <c:scaling>
          <c:orientation val="minMax"/>
        </c:scaling>
        <c:delete val="0"/>
        <c:axPos val="b"/>
        <c:title>
          <c:tx>
            <c:rich>
              <a:bodyPr/>
              <a:lstStyle/>
              <a:p>
                <a:pPr>
                  <a:defRPr/>
                </a:pPr>
                <a:r>
                  <a:rPr lang="en-US"/>
                  <a:t>Resource Rent</a:t>
                </a:r>
                <a:r>
                  <a:rPr lang="en-US" baseline="0"/>
                  <a:t> Tax rate </a:t>
                </a:r>
                <a:endParaRPr lang="en-US"/>
              </a:p>
            </c:rich>
          </c:tx>
          <c:overlay val="0"/>
        </c:title>
        <c:numFmt formatCode="0%" sourceLinked="1"/>
        <c:majorTickMark val="out"/>
        <c:minorTickMark val="none"/>
        <c:tickLblPos val="nextTo"/>
        <c:crossAx val="112651648"/>
        <c:crosses val="autoZero"/>
        <c:auto val="1"/>
        <c:lblAlgn val="ctr"/>
        <c:lblOffset val="100"/>
        <c:noMultiLvlLbl val="0"/>
      </c:catAx>
      <c:valAx>
        <c:axId val="112651648"/>
        <c:scaling>
          <c:orientation val="minMax"/>
        </c:scaling>
        <c:delete val="0"/>
        <c:axPos val="l"/>
        <c:majorGridlines/>
        <c:title>
          <c:tx>
            <c:rich>
              <a:bodyPr rot="-5400000" vert="horz"/>
              <a:lstStyle/>
              <a:p>
                <a:pPr>
                  <a:defRPr/>
                </a:pPr>
                <a:r>
                  <a:rPr lang="en-US"/>
                  <a:t>Government Take</a:t>
                </a:r>
              </a:p>
            </c:rich>
          </c:tx>
          <c:overlay val="0"/>
        </c:title>
        <c:numFmt formatCode="0.0%" sourceLinked="1"/>
        <c:majorTickMark val="out"/>
        <c:minorTickMark val="none"/>
        <c:tickLblPos val="nextTo"/>
        <c:crossAx val="80442368"/>
        <c:crosses val="autoZero"/>
        <c:crossBetween val="between"/>
      </c:valAx>
    </c:plotArea>
    <c:legend>
      <c:legendPos val="r"/>
      <c:overlay val="0"/>
    </c:legend>
    <c:plotVisOnly val="1"/>
    <c:dispBlanksAs val="gap"/>
    <c:showDLblsOverMax val="0"/>
  </c:chart>
  <c:txPr>
    <a:bodyPr/>
    <a:lstStyle/>
    <a:p>
      <a:pPr>
        <a:defRPr sz="1100"/>
      </a:pPr>
      <a:endParaRPr lang="en-US"/>
    </a:p>
  </c:txPr>
  <c:printSettings>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Project economics</a:t>
            </a:r>
          </a:p>
        </c:rich>
      </c:tx>
      <c:overlay val="0"/>
    </c:title>
    <c:autoTitleDeleted val="0"/>
    <c:plotArea>
      <c:layout/>
      <c:barChart>
        <c:barDir val="col"/>
        <c:grouping val="stacked"/>
        <c:varyColors val="0"/>
        <c:ser>
          <c:idx val="2"/>
          <c:order val="1"/>
          <c:tx>
            <c:v>Revenue</c:v>
          </c:tx>
          <c:invertIfNegative val="0"/>
          <c:cat>
            <c:numRef>
              <c:f>'Cash Flows'!$E$1:$BB$1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Flows'!$E$5:$BB$5</c:f>
              <c:numCache>
                <c:formatCode>0.00_ ;[Red]\-0.00\ </c:formatCode>
                <c:ptCount val="50"/>
                <c:pt idx="0">
                  <c:v>0</c:v>
                </c:pt>
                <c:pt idx="1">
                  <c:v>0</c:v>
                </c:pt>
                <c:pt idx="2">
                  <c:v>0</c:v>
                </c:pt>
                <c:pt idx="3">
                  <c:v>0</c:v>
                </c:pt>
                <c:pt idx="4">
                  <c:v>255.88696262400001</c:v>
                </c:pt>
                <c:pt idx="5">
                  <c:v>644.78318906879997</c:v>
                </c:pt>
                <c:pt idx="6">
                  <c:v>649.79571591532806</c:v>
                </c:pt>
                <c:pt idx="7">
                  <c:v>654.75083056008964</c:v>
                </c:pt>
                <c:pt idx="8">
                  <c:v>660.23006119477679</c:v>
                </c:pt>
                <c:pt idx="9">
                  <c:v>665.06901443831612</c:v>
                </c:pt>
                <c:pt idx="10">
                  <c:v>670.44693099711651</c:v>
                </c:pt>
                <c:pt idx="11">
                  <c:v>683.85586961705883</c:v>
                </c:pt>
                <c:pt idx="12">
                  <c:v>697.53298700940002</c:v>
                </c:pt>
                <c:pt idx="13">
                  <c:v>711.48364674958793</c:v>
                </c:pt>
                <c:pt idx="14">
                  <c:v>725.7133196845798</c:v>
                </c:pt>
                <c:pt idx="15">
                  <c:v>740.22758607827143</c:v>
                </c:pt>
                <c:pt idx="16">
                  <c:v>755.03213779983685</c:v>
                </c:pt>
                <c:pt idx="17">
                  <c:v>770.13278055583362</c:v>
                </c:pt>
                <c:pt idx="18">
                  <c:v>785.53543616695038</c:v>
                </c:pt>
                <c:pt idx="19">
                  <c:v>801.24614489028932</c:v>
                </c:pt>
                <c:pt idx="20">
                  <c:v>817.27106778809525</c:v>
                </c:pt>
                <c:pt idx="21">
                  <c:v>833.61648914385717</c:v>
                </c:pt>
                <c:pt idx="22">
                  <c:v>850.28881892673428</c:v>
                </c:pt>
                <c:pt idx="23">
                  <c:v>867.29459530526901</c:v>
                </c:pt>
                <c:pt idx="24">
                  <c:v>884.64048721137442</c:v>
                </c:pt>
                <c:pt idx="25">
                  <c:v>902.3332969556019</c:v>
                </c:pt>
                <c:pt idx="26">
                  <c:v>920.37996289471391</c:v>
                </c:pt>
                <c:pt idx="27">
                  <c:v>938.78756215260819</c:v>
                </c:pt>
                <c:pt idx="28">
                  <c:v>957.56331339566043</c:v>
                </c:pt>
                <c:pt idx="29">
                  <c:v>976.71457966357355</c:v>
                </c:pt>
                <c:pt idx="30">
                  <c:v>996.24887125684518</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ser>
        <c:ser>
          <c:idx val="3"/>
          <c:order val="2"/>
          <c:tx>
            <c:v>Opex</c:v>
          </c:tx>
          <c:invertIfNegative val="0"/>
          <c:cat>
            <c:numRef>
              <c:f>'Cash Flows'!$E$1:$BB$1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Flows'!$E$11:$BB$11</c:f>
              <c:numCache>
                <c:formatCode>0.00_ ;[Red]\-0.00\ </c:formatCode>
                <c:ptCount val="50"/>
                <c:pt idx="0">
                  <c:v>0</c:v>
                </c:pt>
                <c:pt idx="1">
                  <c:v>0</c:v>
                </c:pt>
                <c:pt idx="2">
                  <c:v>0</c:v>
                </c:pt>
                <c:pt idx="3">
                  <c:v>0</c:v>
                </c:pt>
                <c:pt idx="4">
                  <c:v>-129.8918592</c:v>
                </c:pt>
                <c:pt idx="5">
                  <c:v>-331.22424096000003</c:v>
                </c:pt>
                <c:pt idx="6">
                  <c:v>-337.84872577920004</c:v>
                </c:pt>
                <c:pt idx="7">
                  <c:v>-344.60570029478401</c:v>
                </c:pt>
                <c:pt idx="8">
                  <c:v>-351.49781430067975</c:v>
                </c:pt>
                <c:pt idx="9">
                  <c:v>-358.52777058669329</c:v>
                </c:pt>
                <c:pt idx="10">
                  <c:v>-365.69832599842721</c:v>
                </c:pt>
                <c:pt idx="11">
                  <c:v>-373.01229251839572</c:v>
                </c:pt>
                <c:pt idx="12">
                  <c:v>-380.47253836876365</c:v>
                </c:pt>
                <c:pt idx="13">
                  <c:v>-388.08198913613887</c:v>
                </c:pt>
                <c:pt idx="14">
                  <c:v>-395.84362891886173</c:v>
                </c:pt>
                <c:pt idx="15">
                  <c:v>-403.76050149723898</c:v>
                </c:pt>
                <c:pt idx="16">
                  <c:v>-411.83571152718372</c:v>
                </c:pt>
                <c:pt idx="17">
                  <c:v>-420.07242575772744</c:v>
                </c:pt>
                <c:pt idx="18">
                  <c:v>-428.47387427288203</c:v>
                </c:pt>
                <c:pt idx="19">
                  <c:v>-437.04335175833961</c:v>
                </c:pt>
                <c:pt idx="20">
                  <c:v>-445.78421879350645</c:v>
                </c:pt>
                <c:pt idx="21">
                  <c:v>-454.69990316937663</c:v>
                </c:pt>
                <c:pt idx="22">
                  <c:v>-463.7939012327642</c:v>
                </c:pt>
                <c:pt idx="23">
                  <c:v>-473.06977925741944</c:v>
                </c:pt>
                <c:pt idx="24">
                  <c:v>-482.53117484256785</c:v>
                </c:pt>
                <c:pt idx="25">
                  <c:v>-492.18179833941917</c:v>
                </c:pt>
                <c:pt idx="26">
                  <c:v>-502.02543430620756</c:v>
                </c:pt>
                <c:pt idx="27">
                  <c:v>-512.06594299233177</c:v>
                </c:pt>
                <c:pt idx="28">
                  <c:v>-522.30726185217839</c:v>
                </c:pt>
                <c:pt idx="29">
                  <c:v>-532.75340708922192</c:v>
                </c:pt>
                <c:pt idx="30">
                  <c:v>-543.40847523100649</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ser>
        <c:ser>
          <c:idx val="1"/>
          <c:order val="3"/>
          <c:tx>
            <c:v>Capex</c:v>
          </c:tx>
          <c:invertIfNegative val="0"/>
          <c:cat>
            <c:numRef>
              <c:f>'Cash Flows'!$E$1:$BB$1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'Assumptions &amp; Results'!$AH$68:$CE$68</c:f>
              <c:numCache>
                <c:formatCode>General</c:formatCode>
                <c:ptCount val="50"/>
                <c:pt idx="0">
                  <c:v>-250</c:v>
                </c:pt>
                <c:pt idx="1">
                  <c:v>-255</c:v>
                </c:pt>
                <c:pt idx="2">
                  <c:v>-260.10000000000002</c:v>
                </c:pt>
                <c:pt idx="3">
                  <c:v>-265.30199999999996</c:v>
                </c:pt>
                <c:pt idx="4">
                  <c:v>0</c:v>
                </c:pt>
                <c:pt idx="5">
                  <c:v>-11.040808032000001</c:v>
                </c:pt>
                <c:pt idx="6">
                  <c:v>-11.261624192640001</c:v>
                </c:pt>
                <c:pt idx="7">
                  <c:v>-11.486856676492801</c:v>
                </c:pt>
                <c:pt idx="8">
                  <c:v>-11.716593810022658</c:v>
                </c:pt>
                <c:pt idx="9">
                  <c:v>-11.95092568622311</c:v>
                </c:pt>
                <c:pt idx="10">
                  <c:v>-12.189944199947574</c:v>
                </c:pt>
                <c:pt idx="11">
                  <c:v>-12.433743083946524</c:v>
                </c:pt>
                <c:pt idx="12">
                  <c:v>-12.682417945625454</c:v>
                </c:pt>
                <c:pt idx="13">
                  <c:v>-12.936066304537963</c:v>
                </c:pt>
                <c:pt idx="14">
                  <c:v>-13.194787630628724</c:v>
                </c:pt>
                <c:pt idx="15">
                  <c:v>-13.458683383241299</c:v>
                </c:pt>
                <c:pt idx="16">
                  <c:v>-13.727857050906124</c:v>
                </c:pt>
                <c:pt idx="17">
                  <c:v>-14.002414191924249</c:v>
                </c:pt>
                <c:pt idx="18">
                  <c:v>-14.282462475762735</c:v>
                </c:pt>
                <c:pt idx="19">
                  <c:v>-14.568111725277987</c:v>
                </c:pt>
                <c:pt idx="20">
                  <c:v>-14.85947395978355</c:v>
                </c:pt>
                <c:pt idx="21">
                  <c:v>-15.156663438979221</c:v>
                </c:pt>
                <c:pt idx="22">
                  <c:v>-15.459796707758805</c:v>
                </c:pt>
                <c:pt idx="23">
                  <c:v>-15.768992641913982</c:v>
                </c:pt>
                <c:pt idx="24">
                  <c:v>-16.084372494752262</c:v>
                </c:pt>
                <c:pt idx="25">
                  <c:v>-16.406059944647307</c:v>
                </c:pt>
                <c:pt idx="26">
                  <c:v>-16.734181143540251</c:v>
                </c:pt>
                <c:pt idx="27">
                  <c:v>-17.068864766411057</c:v>
                </c:pt>
                <c:pt idx="28">
                  <c:v>-17.410242061739282</c:v>
                </c:pt>
                <c:pt idx="29">
                  <c:v>-17.758446902974065</c:v>
                </c:pt>
                <c:pt idx="30">
                  <c:v>-18.11361584103355</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ser>
        <c:dLbls>
          <c:showLegendKey val="0"/>
          <c:showVal val="0"/>
          <c:showCatName val="0"/>
          <c:showSerName val="0"/>
          <c:showPercent val="0"/>
          <c:showBubbleSize val="0"/>
        </c:dLbls>
        <c:gapWidth val="150"/>
        <c:overlap val="100"/>
        <c:axId val="80442880"/>
        <c:axId val="112653952"/>
      </c:barChart>
      <c:lineChart>
        <c:grouping val="standard"/>
        <c:varyColors val="0"/>
        <c:ser>
          <c:idx val="0"/>
          <c:order val="0"/>
          <c:tx>
            <c:v>Cash flows</c:v>
          </c:tx>
          <c:spPr>
            <a:ln>
              <a:solidFill>
                <a:schemeClr val="tx1"/>
              </a:solidFill>
            </a:ln>
          </c:spPr>
          <c:marker>
            <c:symbol val="none"/>
          </c:marker>
          <c:cat>
            <c:numRef>
              <c:f>'Cash Flows'!$E$1:$BB$1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Flows'!$E$4:$BB$4</c:f>
              <c:numCache>
                <c:formatCode>0.00_ ;[Red]\-0.00\ </c:formatCode>
                <c:ptCount val="50"/>
                <c:pt idx="0">
                  <c:v>-75</c:v>
                </c:pt>
                <c:pt idx="1">
                  <c:v>-111.727997</c:v>
                </c:pt>
                <c:pt idx="2">
                  <c:v>-149.19055400000002</c:v>
                </c:pt>
                <c:pt idx="3">
                  <c:v>-187.40236299999998</c:v>
                </c:pt>
                <c:pt idx="4">
                  <c:v>-32.507013632447979</c:v>
                </c:pt>
                <c:pt idx="5">
                  <c:v>106.9575142278721</c:v>
                </c:pt>
                <c:pt idx="6">
                  <c:v>105.14879457052977</c:v>
                </c:pt>
                <c:pt idx="7">
                  <c:v>103.17476338533051</c:v>
                </c:pt>
                <c:pt idx="8">
                  <c:v>101.50936839528131</c:v>
                </c:pt>
                <c:pt idx="9">
                  <c:v>60.582432462306457</c:v>
                </c:pt>
                <c:pt idx="10">
                  <c:v>84.024097173487661</c:v>
                </c:pt>
                <c:pt idx="11">
                  <c:v>116.31197920898944</c:v>
                </c:pt>
                <c:pt idx="12">
                  <c:v>150.34872080318522</c:v>
                </c:pt>
                <c:pt idx="13">
                  <c:v>153.3556952192489</c:v>
                </c:pt>
                <c:pt idx="14">
                  <c:v>156.42280912363384</c:v>
                </c:pt>
                <c:pt idx="15">
                  <c:v>159.5512653061065</c:v>
                </c:pt>
                <c:pt idx="16">
                  <c:v>162.74229061222874</c:v>
                </c:pt>
                <c:pt idx="17">
                  <c:v>165.9971364244733</c:v>
                </c:pt>
                <c:pt idx="18">
                  <c:v>169.31707915296278</c:v>
                </c:pt>
                <c:pt idx="19">
                  <c:v>172.70342073602203</c:v>
                </c:pt>
                <c:pt idx="20">
                  <c:v>176.15748915074255</c:v>
                </c:pt>
                <c:pt idx="21">
                  <c:v>179.68063893375734</c:v>
                </c:pt>
                <c:pt idx="22">
                  <c:v>183.27425171243246</c:v>
                </c:pt>
                <c:pt idx="23">
                  <c:v>186.93973674668121</c:v>
                </c:pt>
                <c:pt idx="24">
                  <c:v>190.67853148161473</c:v>
                </c:pt>
                <c:pt idx="25">
                  <c:v>194.49210211124722</c:v>
                </c:pt>
                <c:pt idx="26">
                  <c:v>198.38194415347201</c:v>
                </c:pt>
                <c:pt idx="27">
                  <c:v>202.34958303654147</c:v>
                </c:pt>
                <c:pt idx="28">
                  <c:v>206.39657469727231</c:v>
                </c:pt>
                <c:pt idx="29">
                  <c:v>210.5245061912178</c:v>
                </c:pt>
                <c:pt idx="30">
                  <c:v>214.73499631504214</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smooth val="0"/>
        </c:ser>
        <c:dLbls>
          <c:showLegendKey val="0"/>
          <c:showVal val="0"/>
          <c:showCatName val="0"/>
          <c:showSerName val="0"/>
          <c:showPercent val="0"/>
          <c:showBubbleSize val="0"/>
        </c:dLbls>
        <c:marker val="1"/>
        <c:smooth val="0"/>
        <c:axId val="80443904"/>
        <c:axId val="112654528"/>
      </c:lineChart>
      <c:catAx>
        <c:axId val="80442880"/>
        <c:scaling>
          <c:orientation val="minMax"/>
        </c:scaling>
        <c:delete val="0"/>
        <c:axPos val="b"/>
        <c:numFmt formatCode="General" sourceLinked="1"/>
        <c:majorTickMark val="out"/>
        <c:minorTickMark val="none"/>
        <c:tickLblPos val="nextTo"/>
        <c:txPr>
          <a:bodyPr rot="5400000" vert="horz"/>
          <a:lstStyle/>
          <a:p>
            <a:pPr>
              <a:defRPr b="1" baseline="0"/>
            </a:pPr>
            <a:endParaRPr lang="en-US"/>
          </a:p>
        </c:txPr>
        <c:crossAx val="112653952"/>
        <c:crosses val="autoZero"/>
        <c:auto val="1"/>
        <c:lblAlgn val="ctr"/>
        <c:lblOffset val="100"/>
        <c:noMultiLvlLbl val="0"/>
      </c:catAx>
      <c:valAx>
        <c:axId val="112653952"/>
        <c:scaling>
          <c:orientation val="minMax"/>
        </c:scaling>
        <c:delete val="0"/>
        <c:axPos val="l"/>
        <c:majorGridlines/>
        <c:title>
          <c:tx>
            <c:rich>
              <a:bodyPr rot="-5400000" vert="horz"/>
              <a:lstStyle/>
              <a:p>
                <a:pPr>
                  <a:defRPr/>
                </a:pPr>
                <a:r>
                  <a:rPr lang="en-US"/>
                  <a:t>Million USD</a:t>
                </a:r>
              </a:p>
            </c:rich>
          </c:tx>
          <c:overlay val="0"/>
        </c:title>
        <c:numFmt formatCode="0.00_ ;[Red]\-0.00\ " sourceLinked="1"/>
        <c:majorTickMark val="out"/>
        <c:minorTickMark val="none"/>
        <c:tickLblPos val="nextTo"/>
        <c:txPr>
          <a:bodyPr/>
          <a:lstStyle/>
          <a:p>
            <a:pPr>
              <a:defRPr b="1"/>
            </a:pPr>
            <a:endParaRPr lang="en-US"/>
          </a:p>
        </c:txPr>
        <c:crossAx val="80442880"/>
        <c:crosses val="autoZero"/>
        <c:crossBetween val="between"/>
      </c:valAx>
      <c:valAx>
        <c:axId val="112654528"/>
        <c:scaling>
          <c:orientation val="minMax"/>
        </c:scaling>
        <c:delete val="0"/>
        <c:axPos val="r"/>
        <c:title>
          <c:tx>
            <c:rich>
              <a:bodyPr rot="-5400000" vert="horz"/>
              <a:lstStyle/>
              <a:p>
                <a:pPr>
                  <a:defRPr/>
                </a:pPr>
                <a:r>
                  <a:rPr lang="en-US"/>
                  <a:t>Million USD</a:t>
                </a:r>
              </a:p>
            </c:rich>
          </c:tx>
          <c:overlay val="0"/>
        </c:title>
        <c:numFmt formatCode="0.00_ ;[Red]\-0.00\ " sourceLinked="1"/>
        <c:majorTickMark val="out"/>
        <c:minorTickMark val="none"/>
        <c:tickLblPos val="nextTo"/>
        <c:txPr>
          <a:bodyPr/>
          <a:lstStyle/>
          <a:p>
            <a:pPr>
              <a:defRPr b="1"/>
            </a:pPr>
            <a:endParaRPr lang="en-US"/>
          </a:p>
        </c:txPr>
        <c:crossAx val="80443904"/>
        <c:crosses val="max"/>
        <c:crossBetween val="between"/>
      </c:valAx>
      <c:catAx>
        <c:axId val="80443904"/>
        <c:scaling>
          <c:orientation val="minMax"/>
        </c:scaling>
        <c:delete val="1"/>
        <c:axPos val="b"/>
        <c:numFmt formatCode="General" sourceLinked="1"/>
        <c:majorTickMark val="out"/>
        <c:minorTickMark val="none"/>
        <c:tickLblPos val="nextTo"/>
        <c:crossAx val="112654528"/>
        <c:crosses val="autoZero"/>
        <c:auto val="1"/>
        <c:lblAlgn val="ctr"/>
        <c:lblOffset val="100"/>
        <c:noMultiLvlLbl val="0"/>
      </c:catAx>
    </c:plotArea>
    <c:legend>
      <c:legendPos val="b"/>
      <c:overlay val="0"/>
      <c:txPr>
        <a:bodyPr/>
        <a:lstStyle/>
        <a:p>
          <a:pPr>
            <a:defRPr b="1"/>
          </a:pPr>
          <a:endParaRPr lang="en-US"/>
        </a:p>
      </c:txPr>
    </c:legend>
    <c:plotVisOnly val="1"/>
    <c:dispBlanksAs val="gap"/>
    <c:showDLblsOverMax val="0"/>
  </c:chart>
  <c:printSettings>
    <c:headerFooter/>
    <c:pageMargins b="1" l="0.75" r="0.75" t="1" header="0.5" footer="0.5"/>
    <c:pageSetup orientation="portrait" horizontalDpi="-4" verticalDpi="-4"/>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800"/>
            </a:pPr>
            <a:r>
              <a:rPr lang="en-US" sz="1800"/>
              <a:t>Breakdown of total cumulative revenues</a:t>
            </a:r>
          </a:p>
        </c:rich>
      </c:tx>
      <c:overlay val="0"/>
    </c:title>
    <c:autoTitleDeleted val="0"/>
    <c:plotArea>
      <c:layout/>
      <c:pieChart>
        <c:varyColors val="1"/>
        <c:ser>
          <c:idx val="0"/>
          <c:order val="0"/>
          <c:dLbls>
            <c:dLbl>
              <c:idx val="0"/>
              <c:layout>
                <c:manualLayout>
                  <c:x val="-5.6917945574190797E-2"/>
                  <c:y val="0.114169429915529"/>
                </c:manualLayout>
              </c:layout>
              <c:showLegendKey val="0"/>
              <c:showVal val="0"/>
              <c:showCatName val="0"/>
              <c:showSerName val="0"/>
              <c:showPercent val="1"/>
              <c:showBubbleSize val="0"/>
              <c:extLst>
                <c:ext xmlns:c15="http://schemas.microsoft.com/office/drawing/2012/chart" uri="{CE6537A1-D6FC-4f65-9D91-7224C49458BB}"/>
              </c:extLst>
            </c:dLbl>
            <c:dLbl>
              <c:idx val="1"/>
              <c:layout>
                <c:manualLayout>
                  <c:x val="-0.11815454519862301"/>
                  <c:y val="-2.6157895721403899E-2"/>
                </c:manualLayout>
              </c:layout>
              <c:showLegendKey val="0"/>
              <c:showVal val="0"/>
              <c:showCatName val="0"/>
              <c:showSerName val="0"/>
              <c:showPercent val="1"/>
              <c:showBubbleSize val="0"/>
              <c:extLst>
                <c:ext xmlns:c15="http://schemas.microsoft.com/office/drawing/2012/chart" uri="{CE6537A1-D6FC-4f65-9D91-7224C49458BB}"/>
              </c:extLst>
            </c:dLbl>
            <c:dLbl>
              <c:idx val="5"/>
              <c:layout>
                <c:manualLayout>
                  <c:x val="-6.3131313131313205E-2"/>
                  <c:y val="4.1254125412541198E-3"/>
                </c:manualLayout>
              </c:layout>
              <c:showLegendKey val="0"/>
              <c:showVal val="0"/>
              <c:showCatName val="0"/>
              <c:showSerName val="0"/>
              <c:showPercent val="1"/>
              <c:showBubbleSize val="0"/>
              <c:extLst>
                <c:ext xmlns:c15="http://schemas.microsoft.com/office/drawing/2012/chart" uri="{CE6537A1-D6FC-4f65-9D91-7224C49458BB}"/>
              </c:extLst>
            </c:dLbl>
            <c:dLbl>
              <c:idx val="6"/>
              <c:layout>
                <c:manualLayout>
                  <c:x val="-1.9721725125268399E-2"/>
                  <c:y val="-2.2584522231750701E-2"/>
                </c:manualLayout>
              </c:layout>
              <c:showLegendKey val="0"/>
              <c:showVal val="0"/>
              <c:showCatName val="0"/>
              <c:showSerName val="0"/>
              <c:showPercent val="1"/>
              <c:showBubbleSize val="0"/>
              <c:extLst>
                <c:ext xmlns:c15="http://schemas.microsoft.com/office/drawing/2012/chart" uri="{CE6537A1-D6FC-4f65-9D91-7224C49458BB}"/>
              </c:extLst>
            </c:dLbl>
            <c:dLbl>
              <c:idx val="7"/>
              <c:layout>
                <c:manualLayout>
                  <c:x val="0.13573371510379401"/>
                  <c:y val="-1.36187339206362E-2"/>
                </c:manualLayout>
              </c:layout>
              <c:showLegendKey val="0"/>
              <c:showVal val="0"/>
              <c:showCatName val="0"/>
              <c:showSerName val="0"/>
              <c:showPercent val="1"/>
              <c:showBubbleSize val="0"/>
              <c:extLst>
                <c:ext xmlns:c15="http://schemas.microsoft.com/office/drawing/2012/chart" uri="{CE6537A1-D6FC-4f65-9D91-7224C49458BB}"/>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'Assumptions &amp; Results'!$AG$71:$AG$74</c:f>
              <c:strCache>
                <c:ptCount val="4"/>
                <c:pt idx="0">
                  <c:v>Corporate</c:v>
                </c:pt>
                <c:pt idx="1">
                  <c:v>Government</c:v>
                </c:pt>
                <c:pt idx="2">
                  <c:v>CAPEX &amp; OPEX</c:v>
                </c:pt>
                <c:pt idx="3">
                  <c:v>Lender</c:v>
                </c:pt>
              </c:strCache>
            </c:strRef>
          </c:cat>
          <c:val>
            <c:numRef>
              <c:f>'Assumptions &amp; Results'!$AH$71:$AH$74</c:f>
              <c:numCache>
                <c:formatCode>"$"#,##0.00_);[Red]\("$"#,##0.00\)</c:formatCode>
                <c:ptCount val="4"/>
                <c:pt idx="0">
                  <c:v>3555.9297936992321</c:v>
                </c:pt>
                <c:pt idx="1">
                  <c:v>4111.9549901952205</c:v>
                </c:pt>
                <c:pt idx="2">
                  <c:v>11963.386654274029</c:v>
                </c:pt>
                <c:pt idx="3">
                  <c:v>1161.567959</c:v>
                </c:pt>
              </c:numCache>
            </c:numRef>
          </c:val>
        </c:ser>
        <c:dLbls>
          <c:showLegendKey val="0"/>
          <c:showVal val="0"/>
          <c:showCatName val="0"/>
          <c:showSerName val="0"/>
          <c:showPercent val="1"/>
          <c:showBubbleSize val="0"/>
          <c:showLeaderLines val="1"/>
        </c:dLbls>
        <c:firstSliceAng val="0"/>
      </c:pieChart>
    </c:plotArea>
    <c:legend>
      <c:legendPos val="r"/>
      <c:overlay val="0"/>
      <c:txPr>
        <a:bodyPr/>
        <a:lstStyle/>
        <a:p>
          <a:pPr rtl="0">
            <a:defRPr/>
          </a:pPr>
          <a:endParaRPr lang="en-US"/>
        </a:p>
      </c:txPr>
    </c:legend>
    <c:plotVisOnly val="1"/>
    <c:dispBlanksAs val="gap"/>
    <c:showDLblsOverMax val="0"/>
  </c:chart>
  <c:txPr>
    <a:bodyPr/>
    <a:lstStyle/>
    <a:p>
      <a:pPr>
        <a:defRPr sz="1100" b="1"/>
      </a:pPr>
      <a:endParaRPr lang="en-US"/>
    </a:p>
  </c:txPr>
  <c:printSettings>
    <c:headerFooter/>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Production and nominal price assumptions</a:t>
            </a:r>
          </a:p>
        </c:rich>
      </c:tx>
      <c:overlay val="0"/>
    </c:title>
    <c:autoTitleDeleted val="0"/>
    <c:plotArea>
      <c:layout/>
      <c:lineChart>
        <c:grouping val="standard"/>
        <c:varyColors val="0"/>
        <c:ser>
          <c:idx val="0"/>
          <c:order val="0"/>
          <c:tx>
            <c:v>Production</c:v>
          </c:tx>
          <c:marker>
            <c:symbol val="none"/>
          </c:marker>
          <c:cat>
            <c:numRef>
              <c:f>Inputs!$D$1:$BA$1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Inputs!$D$5:$BA$5</c:f>
              <c:numCache>
                <c:formatCode>_-* #,##0_-;\-* #,##0_-;_-* "-"??_-;_-@_-</c:formatCode>
                <c:ptCount val="50"/>
                <c:pt idx="0">
                  <c:v>0</c:v>
                </c:pt>
                <c:pt idx="1">
                  <c:v>0</c:v>
                </c:pt>
                <c:pt idx="2">
                  <c:v>0</c:v>
                </c:pt>
                <c:pt idx="3">
                  <c:v>0</c:v>
                </c:pt>
                <c:pt idx="4">
                  <c:v>200000</c:v>
                </c:pt>
                <c:pt idx="5">
                  <c:v>500000</c:v>
                </c:pt>
                <c:pt idx="6">
                  <c:v>500000</c:v>
                </c:pt>
                <c:pt idx="7">
                  <c:v>500000</c:v>
                </c:pt>
                <c:pt idx="8">
                  <c:v>500000</c:v>
                </c:pt>
                <c:pt idx="9">
                  <c:v>500000</c:v>
                </c:pt>
                <c:pt idx="10">
                  <c:v>500000</c:v>
                </c:pt>
                <c:pt idx="11">
                  <c:v>500000</c:v>
                </c:pt>
                <c:pt idx="12">
                  <c:v>500000</c:v>
                </c:pt>
                <c:pt idx="13">
                  <c:v>500000</c:v>
                </c:pt>
                <c:pt idx="14">
                  <c:v>500000</c:v>
                </c:pt>
                <c:pt idx="15">
                  <c:v>500000</c:v>
                </c:pt>
                <c:pt idx="16">
                  <c:v>500000</c:v>
                </c:pt>
                <c:pt idx="17">
                  <c:v>500000</c:v>
                </c:pt>
                <c:pt idx="18">
                  <c:v>500000</c:v>
                </c:pt>
                <c:pt idx="19">
                  <c:v>500000</c:v>
                </c:pt>
                <c:pt idx="20">
                  <c:v>500000</c:v>
                </c:pt>
                <c:pt idx="21">
                  <c:v>500000</c:v>
                </c:pt>
                <c:pt idx="22">
                  <c:v>500000</c:v>
                </c:pt>
                <c:pt idx="23">
                  <c:v>500000</c:v>
                </c:pt>
                <c:pt idx="24">
                  <c:v>500000</c:v>
                </c:pt>
                <c:pt idx="25">
                  <c:v>500000</c:v>
                </c:pt>
                <c:pt idx="26">
                  <c:v>500000</c:v>
                </c:pt>
                <c:pt idx="27">
                  <c:v>500000</c:v>
                </c:pt>
                <c:pt idx="28">
                  <c:v>500000</c:v>
                </c:pt>
                <c:pt idx="29">
                  <c:v>500000</c:v>
                </c:pt>
                <c:pt idx="30">
                  <c:v>500000</c:v>
                </c:pt>
              </c:numCache>
            </c:numRef>
          </c:val>
          <c:smooth val="0"/>
        </c:ser>
        <c:dLbls>
          <c:showLegendKey val="0"/>
          <c:showVal val="0"/>
          <c:showCatName val="0"/>
          <c:showSerName val="0"/>
          <c:showPercent val="0"/>
          <c:showBubbleSize val="0"/>
        </c:dLbls>
        <c:marker val="1"/>
        <c:smooth val="0"/>
        <c:axId val="80444416"/>
        <c:axId val="114190016"/>
      </c:lineChart>
      <c:lineChart>
        <c:grouping val="standard"/>
        <c:varyColors val="0"/>
        <c:ser>
          <c:idx val="1"/>
          <c:order val="1"/>
          <c:tx>
            <c:v>Prices</c:v>
          </c:tx>
          <c:marker>
            <c:symbol val="none"/>
          </c:marker>
          <c:val>
            <c:numRef>
              <c:f>Inputs!$D$10:$BA$10</c:f>
              <c:numCache>
                <c:formatCode>_-* #,##0_-;\-* #,##0_-;_-* "-"??_-;_-@_-</c:formatCode>
                <c:ptCount val="50"/>
                <c:pt idx="0">
                  <c:v>1240</c:v>
                </c:pt>
                <c:pt idx="1">
                  <c:v>1249.5</c:v>
                </c:pt>
                <c:pt idx="2">
                  <c:v>1259.9243999999999</c:v>
                </c:pt>
                <c:pt idx="3">
                  <c:v>1269.2047679999998</c:v>
                </c:pt>
                <c:pt idx="4">
                  <c:v>1279.4348131199999</c:v>
                </c:pt>
                <c:pt idx="5">
                  <c:v>1289.5663781375999</c:v>
                </c:pt>
                <c:pt idx="6">
                  <c:v>1299.5914318306561</c:v>
                </c:pt>
                <c:pt idx="7">
                  <c:v>1309.5016611201793</c:v>
                </c:pt>
                <c:pt idx="8">
                  <c:v>1320.4601223895536</c:v>
                </c:pt>
                <c:pt idx="9">
                  <c:v>1330.1380288766322</c:v>
                </c:pt>
                <c:pt idx="10">
                  <c:v>1340.893861994233</c:v>
                </c:pt>
                <c:pt idx="11">
                  <c:v>1367.7117392341177</c:v>
                </c:pt>
                <c:pt idx="12">
                  <c:v>1395.0659740188</c:v>
                </c:pt>
                <c:pt idx="13">
                  <c:v>1422.9672934991759</c:v>
                </c:pt>
                <c:pt idx="14">
                  <c:v>1451.4266393691596</c:v>
                </c:pt>
                <c:pt idx="15">
                  <c:v>1480.4551721565429</c:v>
                </c:pt>
                <c:pt idx="16">
                  <c:v>1510.0642755996737</c:v>
                </c:pt>
                <c:pt idx="17">
                  <c:v>1540.2655611116672</c:v>
                </c:pt>
                <c:pt idx="18">
                  <c:v>1571.0708723339008</c:v>
                </c:pt>
                <c:pt idx="19">
                  <c:v>1602.4922897805786</c:v>
                </c:pt>
                <c:pt idx="20">
                  <c:v>1634.5421355761905</c:v>
                </c:pt>
                <c:pt idx="21">
                  <c:v>1667.2329782877143</c:v>
                </c:pt>
                <c:pt idx="22">
                  <c:v>1700.5776378534686</c:v>
                </c:pt>
                <c:pt idx="23">
                  <c:v>1734.589190610538</c:v>
                </c:pt>
                <c:pt idx="24">
                  <c:v>1769.2809744227488</c:v>
                </c:pt>
                <c:pt idx="25">
                  <c:v>1804.6665939112038</c:v>
                </c:pt>
                <c:pt idx="26">
                  <c:v>1840.7599257894278</c:v>
                </c:pt>
                <c:pt idx="27">
                  <c:v>1877.5751243052164</c:v>
                </c:pt>
                <c:pt idx="28">
                  <c:v>1915.1266267913209</c:v>
                </c:pt>
                <c:pt idx="29">
                  <c:v>1953.4291593271471</c:v>
                </c:pt>
                <c:pt idx="30">
                  <c:v>1992.4977425136904</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smooth val="0"/>
        </c:ser>
        <c:dLbls>
          <c:showLegendKey val="0"/>
          <c:showVal val="0"/>
          <c:showCatName val="0"/>
          <c:showSerName val="0"/>
          <c:showPercent val="0"/>
          <c:showBubbleSize val="0"/>
        </c:dLbls>
        <c:marker val="1"/>
        <c:smooth val="0"/>
        <c:axId val="110509568"/>
        <c:axId val="114190592"/>
      </c:lineChart>
      <c:catAx>
        <c:axId val="80444416"/>
        <c:scaling>
          <c:orientation val="minMax"/>
        </c:scaling>
        <c:delete val="0"/>
        <c:axPos val="b"/>
        <c:numFmt formatCode="General" sourceLinked="1"/>
        <c:majorTickMark val="out"/>
        <c:minorTickMark val="none"/>
        <c:tickLblPos val="nextTo"/>
        <c:crossAx val="114190016"/>
        <c:crosses val="autoZero"/>
        <c:auto val="1"/>
        <c:lblAlgn val="ctr"/>
        <c:lblOffset val="100"/>
        <c:noMultiLvlLbl val="0"/>
      </c:catAx>
      <c:valAx>
        <c:axId val="114190016"/>
        <c:scaling>
          <c:orientation val="minMax"/>
        </c:scaling>
        <c:delete val="0"/>
        <c:axPos val="l"/>
        <c:majorGridlines/>
        <c:title>
          <c:tx>
            <c:rich>
              <a:bodyPr rot="-5400000" vert="horz"/>
              <a:lstStyle/>
              <a:p>
                <a:pPr>
                  <a:defRPr/>
                </a:pPr>
                <a:r>
                  <a:rPr lang="en-US"/>
                  <a:t>Production  (000's oz)</a:t>
                </a:r>
              </a:p>
            </c:rich>
          </c:tx>
          <c:overlay val="0"/>
        </c:title>
        <c:numFmt formatCode="_-* #,##0_-;\-* #,##0_-;_-* &quot;-&quot;??_-;_-@_-" sourceLinked="1"/>
        <c:majorTickMark val="out"/>
        <c:minorTickMark val="none"/>
        <c:tickLblPos val="nextTo"/>
        <c:crossAx val="80444416"/>
        <c:crosses val="autoZero"/>
        <c:crossBetween val="between"/>
        <c:dispUnits>
          <c:builtInUnit val="thousands"/>
        </c:dispUnits>
      </c:valAx>
      <c:valAx>
        <c:axId val="114190592"/>
        <c:scaling>
          <c:orientation val="minMax"/>
        </c:scaling>
        <c:delete val="0"/>
        <c:axPos val="r"/>
        <c:title>
          <c:tx>
            <c:rich>
              <a:bodyPr rot="-5400000" vert="horz"/>
              <a:lstStyle/>
              <a:p>
                <a:pPr>
                  <a:defRPr/>
                </a:pPr>
                <a:r>
                  <a:rPr lang="en-US"/>
                  <a:t>Prices ($/oz)</a:t>
                </a:r>
              </a:p>
            </c:rich>
          </c:tx>
          <c:overlay val="0"/>
        </c:title>
        <c:numFmt formatCode="_-* #,##0_-;\-* #,##0_-;_-* &quot;-&quot;??_-;_-@_-" sourceLinked="1"/>
        <c:majorTickMark val="out"/>
        <c:minorTickMark val="none"/>
        <c:tickLblPos val="nextTo"/>
        <c:crossAx val="110509568"/>
        <c:crosses val="max"/>
        <c:crossBetween val="between"/>
      </c:valAx>
      <c:catAx>
        <c:axId val="110509568"/>
        <c:scaling>
          <c:orientation val="minMax"/>
        </c:scaling>
        <c:delete val="1"/>
        <c:axPos val="b"/>
        <c:majorTickMark val="out"/>
        <c:minorTickMark val="none"/>
        <c:tickLblPos val="nextTo"/>
        <c:crossAx val="114190592"/>
        <c:crosses val="autoZero"/>
        <c:auto val="1"/>
        <c:lblAlgn val="ctr"/>
        <c:lblOffset val="100"/>
        <c:noMultiLvlLbl val="0"/>
      </c:catAx>
    </c:plotArea>
    <c:legend>
      <c:legendPos val="b"/>
      <c:overlay val="0"/>
    </c:legend>
    <c:plotVisOnly val="1"/>
    <c:dispBlanksAs val="gap"/>
    <c:showDLblsOverMax val="0"/>
  </c:chart>
  <c:txPr>
    <a:bodyPr/>
    <a:lstStyle/>
    <a:p>
      <a:pPr>
        <a:defRPr b="1"/>
      </a:pPr>
      <a:endParaRPr lang="en-US"/>
    </a:p>
  </c:txPr>
  <c:printSettings>
    <c:headerFooter/>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Project</a:t>
            </a:r>
            <a:r>
              <a:rPr lang="en-US" baseline="0"/>
              <a:t> NPV at various discount rates</a:t>
            </a:r>
            <a:endParaRPr lang="en-US"/>
          </a:p>
        </c:rich>
      </c:tx>
      <c:overlay val="0"/>
    </c:title>
    <c:autoTitleDeleted val="0"/>
    <c:plotArea>
      <c:layout/>
      <c:lineChart>
        <c:grouping val="standard"/>
        <c:varyColors val="0"/>
        <c:ser>
          <c:idx val="1"/>
          <c:order val="0"/>
          <c:marker>
            <c:symbol val="none"/>
          </c:marker>
          <c:cat>
            <c:numRef>
              <c:f>'Assumptions &amp; Results'!$AH$76:$AT$76</c:f>
              <c:numCache>
                <c:formatCode>0.0%</c:formatCode>
                <c:ptCount val="13"/>
                <c:pt idx="0">
                  <c:v>0</c:v>
                </c:pt>
                <c:pt idx="1">
                  <c:v>2.5000000000000001E-2</c:v>
                </c:pt>
                <c:pt idx="2">
                  <c:v>0.05</c:v>
                </c:pt>
                <c:pt idx="3">
                  <c:v>7.4999999999999997E-2</c:v>
                </c:pt>
                <c:pt idx="4">
                  <c:v>0.1</c:v>
                </c:pt>
                <c:pt idx="5">
                  <c:v>0.125</c:v>
                </c:pt>
                <c:pt idx="6">
                  <c:v>0.15</c:v>
                </c:pt>
                <c:pt idx="7">
                  <c:v>0.17499999999999999</c:v>
                </c:pt>
                <c:pt idx="8">
                  <c:v>0.2</c:v>
                </c:pt>
                <c:pt idx="9">
                  <c:v>0.22500000000000001</c:v>
                </c:pt>
                <c:pt idx="10">
                  <c:v>0.25</c:v>
                </c:pt>
                <c:pt idx="11">
                  <c:v>0.27500000000000002</c:v>
                </c:pt>
                <c:pt idx="12">
                  <c:v>0.3</c:v>
                </c:pt>
              </c:numCache>
            </c:numRef>
          </c:cat>
          <c:val>
            <c:numRef>
              <c:f>'Assumptions &amp; Results'!$AH$77:$AT$77</c:f>
              <c:numCache>
                <c:formatCode>General</c:formatCode>
                <c:ptCount val="13"/>
                <c:pt idx="0">
                  <c:v>4643.4374755014414</c:v>
                </c:pt>
                <c:pt idx="1">
                  <c:v>2710.2250229357924</c:v>
                </c:pt>
                <c:pt idx="2">
                  <c:v>1589.1153613220984</c:v>
                </c:pt>
                <c:pt idx="3">
                  <c:v>913.33730310311705</c:v>
                </c:pt>
                <c:pt idx="4">
                  <c:v>491.23695251988482</c:v>
                </c:pt>
                <c:pt idx="5">
                  <c:v>219.13561584552338</c:v>
                </c:pt>
                <c:pt idx="6">
                  <c:v>38.970966268035916</c:v>
                </c:pt>
                <c:pt idx="7">
                  <c:v>-82.906240429748209</c:v>
                </c:pt>
                <c:pt idx="8">
                  <c:v>-166.66080821981592</c:v>
                </c:pt>
                <c:pt idx="9">
                  <c:v>-224.77264261499931</c:v>
                </c:pt>
                <c:pt idx="10">
                  <c:v>-265.20502487351865</c:v>
                </c:pt>
                <c:pt idx="11">
                  <c:v>-293.18593987628145</c:v>
                </c:pt>
                <c:pt idx="12">
                  <c:v>-312.23841192061622</c:v>
                </c:pt>
              </c:numCache>
            </c:numRef>
          </c:val>
          <c:smooth val="0"/>
        </c:ser>
        <c:dLbls>
          <c:showLegendKey val="0"/>
          <c:showVal val="0"/>
          <c:showCatName val="0"/>
          <c:showSerName val="0"/>
          <c:showPercent val="0"/>
          <c:showBubbleSize val="0"/>
        </c:dLbls>
        <c:marker val="1"/>
        <c:smooth val="0"/>
        <c:axId val="102055936"/>
        <c:axId val="114192320"/>
      </c:lineChart>
      <c:catAx>
        <c:axId val="102055936"/>
        <c:scaling>
          <c:orientation val="minMax"/>
        </c:scaling>
        <c:delete val="0"/>
        <c:axPos val="b"/>
        <c:numFmt formatCode="0.0%" sourceLinked="1"/>
        <c:majorTickMark val="out"/>
        <c:minorTickMark val="none"/>
        <c:tickLblPos val="nextTo"/>
        <c:crossAx val="114192320"/>
        <c:crosses val="autoZero"/>
        <c:auto val="1"/>
        <c:lblAlgn val="ctr"/>
        <c:lblOffset val="100"/>
        <c:noMultiLvlLbl val="0"/>
      </c:catAx>
      <c:valAx>
        <c:axId val="114192320"/>
        <c:scaling>
          <c:orientation val="minMax"/>
        </c:scaling>
        <c:delete val="0"/>
        <c:axPos val="l"/>
        <c:majorGridlines/>
        <c:title>
          <c:tx>
            <c:rich>
              <a:bodyPr rot="-5400000" vert="horz"/>
              <a:lstStyle/>
              <a:p>
                <a:pPr>
                  <a:defRPr/>
                </a:pPr>
                <a:r>
                  <a:rPr lang="en-US"/>
                  <a:t>NPV  ($m)</a:t>
                </a:r>
              </a:p>
            </c:rich>
          </c:tx>
          <c:overlay val="0"/>
        </c:title>
        <c:numFmt formatCode="General" sourceLinked="1"/>
        <c:majorTickMark val="out"/>
        <c:minorTickMark val="none"/>
        <c:tickLblPos val="nextTo"/>
        <c:crossAx val="102055936"/>
        <c:crosses val="autoZero"/>
        <c:crossBetween val="between"/>
      </c:valAx>
    </c:plotArea>
    <c:plotVisOnly val="1"/>
    <c:dispBlanksAs val="gap"/>
    <c:showDLblsOverMax val="0"/>
  </c:chart>
  <c:txPr>
    <a:bodyPr/>
    <a:lstStyle/>
    <a:p>
      <a:pPr>
        <a:defRPr b="1"/>
      </a:pPr>
      <a:endParaRPr lang="en-US"/>
    </a:p>
  </c:txPr>
  <c:printSettings>
    <c:headerFooter/>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Impact of management</a:t>
            </a:r>
            <a:r>
              <a:rPr lang="en-US" baseline="0"/>
              <a:t> fees on government revenues and dividends</a:t>
            </a:r>
            <a:endParaRPr lang="en-US"/>
          </a:p>
        </c:rich>
      </c:tx>
      <c:layout>
        <c:manualLayout>
          <c:xMode val="edge"/>
          <c:yMode val="edge"/>
          <c:x val="9.5858113713980994E-2"/>
          <c:y val="2.9075338814367201E-2"/>
        </c:manualLayout>
      </c:layout>
      <c:overlay val="0"/>
    </c:title>
    <c:autoTitleDeleted val="0"/>
    <c:plotArea>
      <c:layout/>
      <c:lineChart>
        <c:grouping val="standard"/>
        <c:varyColors val="0"/>
        <c:ser>
          <c:idx val="0"/>
          <c:order val="0"/>
          <c:tx>
            <c:strRef>
              <c:f>'Assumptions &amp; Results'!$A$235</c:f>
              <c:strCache>
                <c:ptCount val="1"/>
                <c:pt idx="0">
                  <c:v>Government Revenues (NPV)</c:v>
                </c:pt>
              </c:strCache>
            </c:strRef>
          </c:tx>
          <c:cat>
            <c:numRef>
              <c:f>'Assumptions &amp; Results'!$C$234:$G$234</c:f>
              <c:numCache>
                <c:formatCode>0.0%</c:formatCode>
                <c:ptCount val="5"/>
                <c:pt idx="0">
                  <c:v>2E-3</c:v>
                </c:pt>
                <c:pt idx="1">
                  <c:v>5.0000000000000001E-3</c:v>
                </c:pt>
                <c:pt idx="2">
                  <c:v>0.01</c:v>
                </c:pt>
                <c:pt idx="3">
                  <c:v>0.05</c:v>
                </c:pt>
                <c:pt idx="4">
                  <c:v>0.2</c:v>
                </c:pt>
              </c:numCache>
            </c:numRef>
          </c:cat>
          <c:val>
            <c:numRef>
              <c:f>'Assumptions &amp; Results'!$C$235:$G$235</c:f>
              <c:numCache>
                <c:formatCode>0</c:formatCode>
                <c:ptCount val="5"/>
                <c:pt idx="0">
                  <c:v>541.00321767202558</c:v>
                </c:pt>
                <c:pt idx="1">
                  <c:v>536.98559313002329</c:v>
                </c:pt>
                <c:pt idx="2">
                  <c:v>530.28955222668617</c:v>
                </c:pt>
                <c:pt idx="3">
                  <c:v>476.72122499999</c:v>
                </c:pt>
                <c:pt idx="4">
                  <c:v>313.65315018184907</c:v>
                </c:pt>
              </c:numCache>
            </c:numRef>
          </c:val>
          <c:smooth val="0"/>
        </c:ser>
        <c:ser>
          <c:idx val="2"/>
          <c:order val="2"/>
          <c:tx>
            <c:strRef>
              <c:f>'Assumptions &amp; Results'!$A$237</c:f>
              <c:strCache>
                <c:ptCount val="1"/>
                <c:pt idx="0">
                  <c:v>Government Dividends (NPV)</c:v>
                </c:pt>
              </c:strCache>
            </c:strRef>
          </c:tx>
          <c:cat>
            <c:numRef>
              <c:f>'Assumptions &amp; Results'!$C$234:$G$234</c:f>
              <c:numCache>
                <c:formatCode>0.0%</c:formatCode>
                <c:ptCount val="5"/>
                <c:pt idx="0">
                  <c:v>2E-3</c:v>
                </c:pt>
                <c:pt idx="1">
                  <c:v>5.0000000000000001E-3</c:v>
                </c:pt>
                <c:pt idx="2">
                  <c:v>0.01</c:v>
                </c:pt>
                <c:pt idx="3">
                  <c:v>0.05</c:v>
                </c:pt>
                <c:pt idx="4">
                  <c:v>0.2</c:v>
                </c:pt>
              </c:numCache>
            </c:numRef>
          </c:cat>
          <c:val>
            <c:numRef>
              <c:f>'Assumptions &amp; Results'!$C$237:$G$237</c:f>
              <c:numCache>
                <c:formatCode>0</c:formatCode>
                <c:ptCount val="5"/>
                <c:pt idx="0">
                  <c:v>66.455575169675171</c:v>
                </c:pt>
                <c:pt idx="1">
                  <c:v>65.81186720660682</c:v>
                </c:pt>
                <c:pt idx="2">
                  <c:v>64.739020601492996</c:v>
                </c:pt>
                <c:pt idx="3">
                  <c:v>56.156247760582175</c:v>
                </c:pt>
                <c:pt idx="4">
                  <c:v>21.216346644229819</c:v>
                </c:pt>
              </c:numCache>
            </c:numRef>
          </c:val>
          <c:smooth val="0"/>
        </c:ser>
        <c:ser>
          <c:idx val="3"/>
          <c:order val="3"/>
          <c:tx>
            <c:strRef>
              <c:f>'Assumptions &amp; Results'!$A$238</c:f>
              <c:strCache>
                <c:ptCount val="1"/>
                <c:pt idx="0">
                  <c:v>Government Dividends (Undiscounted)</c:v>
                </c:pt>
              </c:strCache>
            </c:strRef>
          </c:tx>
          <c:cat>
            <c:numRef>
              <c:f>'Assumptions &amp; Results'!$C$234:$G$234</c:f>
              <c:numCache>
                <c:formatCode>0.0%</c:formatCode>
                <c:ptCount val="5"/>
                <c:pt idx="0">
                  <c:v>2E-3</c:v>
                </c:pt>
                <c:pt idx="1">
                  <c:v>5.0000000000000001E-3</c:v>
                </c:pt>
                <c:pt idx="2">
                  <c:v>0.01</c:v>
                </c:pt>
                <c:pt idx="3">
                  <c:v>0.05</c:v>
                </c:pt>
                <c:pt idx="4">
                  <c:v>0.2</c:v>
                </c:pt>
              </c:numCache>
            </c:numRef>
          </c:cat>
          <c:val>
            <c:numRef>
              <c:f>'Assumptions &amp; Results'!$C$238:$G$238</c:f>
              <c:numCache>
                <c:formatCode>0</c:formatCode>
                <c:ptCount val="5"/>
                <c:pt idx="0">
                  <c:v>475.89788441338874</c:v>
                </c:pt>
                <c:pt idx="1">
                  <c:v>471.91536247885745</c:v>
                </c:pt>
                <c:pt idx="2">
                  <c:v>465.27782592130495</c:v>
                </c:pt>
                <c:pt idx="3">
                  <c:v>412.17753346088506</c:v>
                </c:pt>
                <c:pt idx="4">
                  <c:v>204.00141916336997</c:v>
                </c:pt>
              </c:numCache>
            </c:numRef>
          </c:val>
          <c:smooth val="0"/>
        </c:ser>
        <c:dLbls>
          <c:showLegendKey val="0"/>
          <c:showVal val="0"/>
          <c:showCatName val="0"/>
          <c:showSerName val="0"/>
          <c:showPercent val="0"/>
          <c:showBubbleSize val="0"/>
        </c:dLbls>
        <c:marker val="1"/>
        <c:smooth val="0"/>
        <c:axId val="102057472"/>
        <c:axId val="114194048"/>
      </c:lineChart>
      <c:lineChart>
        <c:grouping val="standard"/>
        <c:varyColors val="0"/>
        <c:ser>
          <c:idx val="1"/>
          <c:order val="1"/>
          <c:tx>
            <c:strRef>
              <c:f>'Assumptions &amp; Results'!$A$236</c:f>
              <c:strCache>
                <c:ptCount val="1"/>
                <c:pt idx="0">
                  <c:v>Government Revenues (Undiscounted)</c:v>
                </c:pt>
              </c:strCache>
            </c:strRef>
          </c:tx>
          <c:cat>
            <c:numRef>
              <c:f>'Assumptions &amp; Results'!$C$234:$G$234</c:f>
              <c:numCache>
                <c:formatCode>0.0%</c:formatCode>
                <c:ptCount val="5"/>
                <c:pt idx="0">
                  <c:v>2E-3</c:v>
                </c:pt>
                <c:pt idx="1">
                  <c:v>5.0000000000000001E-3</c:v>
                </c:pt>
                <c:pt idx="2">
                  <c:v>0.01</c:v>
                </c:pt>
                <c:pt idx="3">
                  <c:v>0.05</c:v>
                </c:pt>
                <c:pt idx="4">
                  <c:v>0.2</c:v>
                </c:pt>
              </c:numCache>
            </c:numRef>
          </c:cat>
          <c:val>
            <c:numRef>
              <c:f>'Assumptions &amp; Results'!$C$236:$G$236</c:f>
              <c:numCache>
                <c:formatCode>0</c:formatCode>
                <c:ptCount val="5"/>
                <c:pt idx="0">
                  <c:v>4111.9549901952205</c:v>
                </c:pt>
                <c:pt idx="1">
                  <c:v>4084.6810556233117</c:v>
                </c:pt>
                <c:pt idx="2">
                  <c:v>4039.224498003462</c:v>
                </c:pt>
                <c:pt idx="3">
                  <c:v>3675.5720370446666</c:v>
                </c:pt>
                <c:pt idx="4">
                  <c:v>2424.3639567536852</c:v>
                </c:pt>
              </c:numCache>
            </c:numRef>
          </c:val>
          <c:smooth val="0"/>
        </c:ser>
        <c:dLbls>
          <c:showLegendKey val="0"/>
          <c:showVal val="0"/>
          <c:showCatName val="0"/>
          <c:showSerName val="0"/>
          <c:showPercent val="0"/>
          <c:showBubbleSize val="0"/>
        </c:dLbls>
        <c:marker val="1"/>
        <c:smooth val="0"/>
        <c:axId val="102058496"/>
        <c:axId val="114194624"/>
      </c:lineChart>
      <c:catAx>
        <c:axId val="102057472"/>
        <c:scaling>
          <c:orientation val="minMax"/>
        </c:scaling>
        <c:delete val="0"/>
        <c:axPos val="b"/>
        <c:title>
          <c:tx>
            <c:rich>
              <a:bodyPr/>
              <a:lstStyle/>
              <a:p>
                <a:pPr>
                  <a:defRPr/>
                </a:pPr>
                <a:r>
                  <a:rPr lang="en-US"/>
                  <a:t>Management Fees =</a:t>
                </a:r>
                <a:r>
                  <a:rPr lang="en-US" baseline="0"/>
                  <a:t> </a:t>
                </a:r>
                <a:r>
                  <a:rPr lang="en-US"/>
                  <a:t>Percentage of Revenues</a:t>
                </a:r>
              </a:p>
            </c:rich>
          </c:tx>
          <c:overlay val="0"/>
        </c:title>
        <c:numFmt formatCode="0.0%" sourceLinked="1"/>
        <c:majorTickMark val="out"/>
        <c:minorTickMark val="none"/>
        <c:tickLblPos val="nextTo"/>
        <c:txPr>
          <a:bodyPr/>
          <a:lstStyle/>
          <a:p>
            <a:pPr>
              <a:defRPr b="1"/>
            </a:pPr>
            <a:endParaRPr lang="en-US"/>
          </a:p>
        </c:txPr>
        <c:crossAx val="114194048"/>
        <c:crosses val="autoZero"/>
        <c:auto val="1"/>
        <c:lblAlgn val="ctr"/>
        <c:lblOffset val="100"/>
        <c:noMultiLvlLbl val="0"/>
      </c:catAx>
      <c:valAx>
        <c:axId val="114194048"/>
        <c:scaling>
          <c:orientation val="minMax"/>
          <c:max val="550"/>
          <c:min val="0"/>
        </c:scaling>
        <c:delete val="0"/>
        <c:axPos val="l"/>
        <c:majorGridlines/>
        <c:title>
          <c:tx>
            <c:rich>
              <a:bodyPr rot="-5400000" vert="horz"/>
              <a:lstStyle/>
              <a:p>
                <a:pPr>
                  <a:defRPr/>
                </a:pPr>
                <a:r>
                  <a:rPr lang="en-US"/>
                  <a:t>Gov revenues</a:t>
                </a:r>
                <a:r>
                  <a:rPr lang="en-US" baseline="0"/>
                  <a:t> / Dividends</a:t>
                </a:r>
                <a:endParaRPr lang="en-US"/>
              </a:p>
            </c:rich>
          </c:tx>
          <c:overlay val="0"/>
        </c:title>
        <c:numFmt formatCode="0" sourceLinked="1"/>
        <c:majorTickMark val="out"/>
        <c:minorTickMark val="none"/>
        <c:tickLblPos val="nextTo"/>
        <c:txPr>
          <a:bodyPr/>
          <a:lstStyle/>
          <a:p>
            <a:pPr>
              <a:defRPr b="1"/>
            </a:pPr>
            <a:endParaRPr lang="en-US"/>
          </a:p>
        </c:txPr>
        <c:crossAx val="102057472"/>
        <c:crosses val="autoZero"/>
        <c:crossBetween val="between"/>
      </c:valAx>
      <c:valAx>
        <c:axId val="114194624"/>
        <c:scaling>
          <c:orientation val="minMax"/>
          <c:max val="4500"/>
          <c:min val="0"/>
        </c:scaling>
        <c:delete val="0"/>
        <c:axPos val="r"/>
        <c:numFmt formatCode="0" sourceLinked="1"/>
        <c:majorTickMark val="out"/>
        <c:minorTickMark val="none"/>
        <c:tickLblPos val="nextTo"/>
        <c:crossAx val="102058496"/>
        <c:crosses val="max"/>
        <c:crossBetween val="between"/>
      </c:valAx>
      <c:catAx>
        <c:axId val="102058496"/>
        <c:scaling>
          <c:orientation val="minMax"/>
        </c:scaling>
        <c:delete val="1"/>
        <c:axPos val="b"/>
        <c:numFmt formatCode="0.0%" sourceLinked="1"/>
        <c:majorTickMark val="out"/>
        <c:minorTickMark val="none"/>
        <c:tickLblPos val="nextTo"/>
        <c:crossAx val="114194624"/>
        <c:crosses val="autoZero"/>
        <c:auto val="1"/>
        <c:lblAlgn val="ctr"/>
        <c:lblOffset val="100"/>
        <c:noMultiLvlLbl val="0"/>
      </c:catAx>
    </c:plotArea>
    <c:legend>
      <c:legendPos val="r"/>
      <c:overlay val="0"/>
      <c:txPr>
        <a:bodyPr/>
        <a:lstStyle/>
        <a:p>
          <a:pPr>
            <a:defRPr b="1"/>
          </a:pPr>
          <a:endParaRPr lang="en-US"/>
        </a:p>
      </c:txPr>
    </c:legend>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Tax schedule </a:t>
            </a:r>
          </a:p>
        </c:rich>
      </c:tx>
      <c:overlay val="0"/>
    </c:title>
    <c:autoTitleDeleted val="0"/>
    <c:plotArea>
      <c:layout/>
      <c:areaChart>
        <c:grouping val="stacked"/>
        <c:varyColors val="0"/>
        <c:ser>
          <c:idx val="0"/>
          <c:order val="0"/>
          <c:tx>
            <c:strRef>
              <c:f>'Cash Flows'!$C$24</c:f>
              <c:strCache>
                <c:ptCount val="1"/>
                <c:pt idx="0">
                  <c:v>Bonus Payments</c:v>
                </c:pt>
              </c:strCache>
            </c:strRef>
          </c:tx>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Flows'!$E$24:$AS$24</c:f>
              <c:numCache>
                <c:formatCode>0.00_ ;[Red]\-0.00\ </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numCache>
            </c:numRef>
          </c:val>
        </c:ser>
        <c:ser>
          <c:idx val="1"/>
          <c:order val="1"/>
          <c:tx>
            <c:strRef>
              <c:f>'Cash Flows'!$C$25</c:f>
              <c:strCache>
                <c:ptCount val="1"/>
                <c:pt idx="0">
                  <c:v>Import Duties on Consumables</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Flows'!$E$25:$AS$25</c:f>
              <c:numCache>
                <c:formatCode>0.00_ ;[Red]\-0.00\ </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numCache>
            </c:numRef>
          </c:val>
        </c:ser>
        <c:ser>
          <c:idx val="2"/>
          <c:order val="2"/>
          <c:tx>
            <c:strRef>
              <c:f>'Cash Flows'!$C$26</c:f>
              <c:strCache>
                <c:ptCount val="1"/>
                <c:pt idx="0">
                  <c:v>Royalties</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Flows'!$E$26:$AS$26</c:f>
              <c:numCache>
                <c:formatCode>0.00_ ;[Red]\-0.00\ </c:formatCode>
                <c:ptCount val="41"/>
                <c:pt idx="0">
                  <c:v>0</c:v>
                </c:pt>
                <c:pt idx="1">
                  <c:v>0</c:v>
                </c:pt>
                <c:pt idx="2">
                  <c:v>0</c:v>
                </c:pt>
                <c:pt idx="3">
                  <c:v>0</c:v>
                </c:pt>
                <c:pt idx="4">
                  <c:v>12.794348131200001</c:v>
                </c:pt>
                <c:pt idx="5">
                  <c:v>32.239159453440003</c:v>
                </c:pt>
                <c:pt idx="6">
                  <c:v>32.489785795766402</c:v>
                </c:pt>
                <c:pt idx="7">
                  <c:v>32.737541528004485</c:v>
                </c:pt>
                <c:pt idx="8">
                  <c:v>33.011503059738843</c:v>
                </c:pt>
                <c:pt idx="9">
                  <c:v>33.253450721915804</c:v>
                </c:pt>
                <c:pt idx="10">
                  <c:v>33.522346549855826</c:v>
                </c:pt>
                <c:pt idx="11">
                  <c:v>34.192793480852941</c:v>
                </c:pt>
                <c:pt idx="12">
                  <c:v>34.876649350470004</c:v>
                </c:pt>
                <c:pt idx="13">
                  <c:v>35.5741823374794</c:v>
                </c:pt>
                <c:pt idx="14">
                  <c:v>36.285665984228991</c:v>
                </c:pt>
                <c:pt idx="15">
                  <c:v>37.011379303913571</c:v>
                </c:pt>
                <c:pt idx="16">
                  <c:v>37.751606889991841</c:v>
                </c:pt>
                <c:pt idx="17">
                  <c:v>38.506639027791685</c:v>
                </c:pt>
                <c:pt idx="18">
                  <c:v>39.276771808347519</c:v>
                </c:pt>
                <c:pt idx="19">
                  <c:v>40.062307244514471</c:v>
                </c:pt>
                <c:pt idx="20">
                  <c:v>40.863553389404764</c:v>
                </c:pt>
                <c:pt idx="21">
                  <c:v>41.680824457192863</c:v>
                </c:pt>
                <c:pt idx="22">
                  <c:v>42.51444094633672</c:v>
                </c:pt>
                <c:pt idx="23">
                  <c:v>43.364729765263455</c:v>
                </c:pt>
                <c:pt idx="24">
                  <c:v>44.232024360568722</c:v>
                </c:pt>
                <c:pt idx="25">
                  <c:v>45.1166648477801</c:v>
                </c:pt>
                <c:pt idx="26">
                  <c:v>46.018998144735697</c:v>
                </c:pt>
                <c:pt idx="27">
                  <c:v>46.939378107630411</c:v>
                </c:pt>
                <c:pt idx="28">
                  <c:v>47.878165669783023</c:v>
                </c:pt>
                <c:pt idx="29">
                  <c:v>48.835728983178683</c:v>
                </c:pt>
                <c:pt idx="30">
                  <c:v>49.812443562842262</c:v>
                </c:pt>
                <c:pt idx="31">
                  <c:v>0</c:v>
                </c:pt>
                <c:pt idx="32">
                  <c:v>0</c:v>
                </c:pt>
                <c:pt idx="33">
                  <c:v>0</c:v>
                </c:pt>
                <c:pt idx="34">
                  <c:v>0</c:v>
                </c:pt>
                <c:pt idx="35">
                  <c:v>0</c:v>
                </c:pt>
                <c:pt idx="36">
                  <c:v>0</c:v>
                </c:pt>
                <c:pt idx="37">
                  <c:v>0</c:v>
                </c:pt>
                <c:pt idx="38">
                  <c:v>0</c:v>
                </c:pt>
                <c:pt idx="39">
                  <c:v>0</c:v>
                </c:pt>
                <c:pt idx="40">
                  <c:v>0</c:v>
                </c:pt>
              </c:numCache>
            </c:numRef>
          </c:val>
        </c:ser>
        <c:ser>
          <c:idx val="3"/>
          <c:order val="3"/>
          <c:tx>
            <c:strRef>
              <c:f>'Cash Flows'!$C$27</c:f>
              <c:strCache>
                <c:ptCount val="1"/>
                <c:pt idx="0">
                  <c:v>Withholding Tax on Interest</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Flows'!$E$27:$AS$27</c:f>
              <c:numCache>
                <c:formatCode>0.00_ ;[Red]\-0.00\ </c:formatCode>
                <c:ptCount val="41"/>
                <c:pt idx="0">
                  <c:v>0</c:v>
                </c:pt>
                <c:pt idx="1">
                  <c:v>0.84</c:v>
                </c:pt>
                <c:pt idx="2">
                  <c:v>1.6285056</c:v>
                </c:pt>
                <c:pt idx="3">
                  <c:v>2.3562916400000002</c:v>
                </c:pt>
                <c:pt idx="4">
                  <c:v>3.0129648800000002</c:v>
                </c:pt>
                <c:pt idx="5">
                  <c:v>2.6775798800000001</c:v>
                </c:pt>
                <c:pt idx="6">
                  <c:v>2.3019486800000002</c:v>
                </c:pt>
                <c:pt idx="7">
                  <c:v>1.88124176</c:v>
                </c:pt>
                <c:pt idx="8">
                  <c:v>1.41005</c:v>
                </c:pt>
                <c:pt idx="9">
                  <c:v>0.88231523999999995</c:v>
                </c:pt>
                <c:pt idx="10">
                  <c:v>0.46034664000000003</c:v>
                </c:pt>
                <c:pt idx="11">
                  <c:v>0.16021812000000002</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numCache>
            </c:numRef>
          </c:val>
        </c:ser>
        <c:ser>
          <c:idx val="4"/>
          <c:order val="4"/>
          <c:tx>
            <c:strRef>
              <c:f>'Cash Flows'!$C$28</c:f>
              <c:strCache>
                <c:ptCount val="1"/>
                <c:pt idx="0">
                  <c:v>Corporate Income Tax</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Flows'!$E$28:$AS$28</c:f>
              <c:numCache>
                <c:formatCode>0.00_ ;[Red]\-0.00\ </c:formatCode>
                <c:ptCount val="41"/>
                <c:pt idx="0">
                  <c:v>0</c:v>
                </c:pt>
                <c:pt idx="1">
                  <c:v>0</c:v>
                </c:pt>
                <c:pt idx="2">
                  <c:v>0</c:v>
                </c:pt>
                <c:pt idx="3">
                  <c:v>0</c:v>
                </c:pt>
                <c:pt idx="4">
                  <c:v>0</c:v>
                </c:pt>
                <c:pt idx="5">
                  <c:v>0</c:v>
                </c:pt>
                <c:pt idx="6">
                  <c:v>0</c:v>
                </c:pt>
                <c:pt idx="7">
                  <c:v>0</c:v>
                </c:pt>
                <c:pt idx="8">
                  <c:v>0</c:v>
                </c:pt>
                <c:pt idx="9">
                  <c:v>79.920175323974888</c:v>
                </c:pt>
                <c:pt idx="10">
                  <c:v>86.409867917577245</c:v>
                </c:pt>
                <c:pt idx="11">
                  <c:v>90.844750487928778</c:v>
                </c:pt>
                <c:pt idx="12">
                  <c:v>94.091592218687367</c:v>
                </c:pt>
                <c:pt idx="13">
                  <c:v>95.973424063061103</c:v>
                </c:pt>
                <c:pt idx="14">
                  <c:v>97.892892544322308</c:v>
                </c:pt>
                <c:pt idx="15">
                  <c:v>99.850750395208792</c:v>
                </c:pt>
                <c:pt idx="16">
                  <c:v>101.84776540311296</c:v>
                </c:pt>
                <c:pt idx="17">
                  <c:v>103.88472071117522</c:v>
                </c:pt>
                <c:pt idx="18">
                  <c:v>105.96241512539873</c:v>
                </c:pt>
                <c:pt idx="19">
                  <c:v>108.08166342790672</c:v>
                </c:pt>
                <c:pt idx="20">
                  <c:v>110.24329669646487</c:v>
                </c:pt>
                <c:pt idx="21">
                  <c:v>112.44816263039417</c:v>
                </c:pt>
                <c:pt idx="22">
                  <c:v>114.69712588300202</c:v>
                </c:pt>
                <c:pt idx="23">
                  <c:v>116.99106840066209</c:v>
                </c:pt>
                <c:pt idx="24">
                  <c:v>119.33088976867532</c:v>
                </c:pt>
                <c:pt idx="25">
                  <c:v>121.71750756404886</c:v>
                </c:pt>
                <c:pt idx="26">
                  <c:v>124.15185771532983</c:v>
                </c:pt>
                <c:pt idx="27">
                  <c:v>126.63489486963637</c:v>
                </c:pt>
                <c:pt idx="28">
                  <c:v>129.16759276702916</c:v>
                </c:pt>
                <c:pt idx="29">
                  <c:v>131.7509446223697</c:v>
                </c:pt>
                <c:pt idx="30">
                  <c:v>134.38596351481709</c:v>
                </c:pt>
                <c:pt idx="31">
                  <c:v>0</c:v>
                </c:pt>
                <c:pt idx="32">
                  <c:v>0</c:v>
                </c:pt>
                <c:pt idx="33">
                  <c:v>0</c:v>
                </c:pt>
                <c:pt idx="34">
                  <c:v>0</c:v>
                </c:pt>
                <c:pt idx="35">
                  <c:v>0</c:v>
                </c:pt>
                <c:pt idx="36">
                  <c:v>0</c:v>
                </c:pt>
                <c:pt idx="37">
                  <c:v>0</c:v>
                </c:pt>
                <c:pt idx="38">
                  <c:v>0</c:v>
                </c:pt>
                <c:pt idx="39">
                  <c:v>0</c:v>
                </c:pt>
                <c:pt idx="40">
                  <c:v>0</c:v>
                </c:pt>
              </c:numCache>
            </c:numRef>
          </c:val>
        </c:ser>
        <c:ser>
          <c:idx val="5"/>
          <c:order val="5"/>
          <c:tx>
            <c:strRef>
              <c:f>'Cash Flows'!$C$29</c:f>
              <c:strCache>
                <c:ptCount val="1"/>
                <c:pt idx="0">
                  <c:v>Resource Rent Tax</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Flows'!$E$29:$AS$29</c:f>
              <c:numCache>
                <c:formatCode>0.00_ ;[Red]\-0.00\ </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numCache>
            </c:numRef>
          </c:val>
        </c:ser>
        <c:ser>
          <c:idx val="6"/>
          <c:order val="6"/>
          <c:tx>
            <c:strRef>
              <c:f>'Cash Flows'!$C$30</c:f>
              <c:strCache>
                <c:ptCount val="1"/>
                <c:pt idx="0">
                  <c:v>Cashflow from equity </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Flows'!$E$30:$AS$30</c:f>
              <c:numCache>
                <c:formatCode>0.00_ ;[Red]\-0.00\ </c:formatCode>
                <c:ptCount val="41"/>
                <c:pt idx="0">
                  <c:v>0</c:v>
                </c:pt>
                <c:pt idx="1">
                  <c:v>0</c:v>
                </c:pt>
                <c:pt idx="2">
                  <c:v>0</c:v>
                </c:pt>
                <c:pt idx="3">
                  <c:v>0</c:v>
                </c:pt>
                <c:pt idx="4">
                  <c:v>0</c:v>
                </c:pt>
                <c:pt idx="5">
                  <c:v>12.379341924522237</c:v>
                </c:pt>
                <c:pt idx="6">
                  <c:v>12.169999371589094</c:v>
                </c:pt>
                <c:pt idx="7">
                  <c:v>11.941523539968816</c:v>
                </c:pt>
                <c:pt idx="8">
                  <c:v>11.748769490194599</c:v>
                </c:pt>
                <c:pt idx="9">
                  <c:v>7.011855609063244</c:v>
                </c:pt>
                <c:pt idx="10">
                  <c:v>9.7250112469314445</c:v>
                </c:pt>
                <c:pt idx="11">
                  <c:v>13.462034630670075</c:v>
                </c:pt>
                <c:pt idx="12">
                  <c:v>17.401472315183476</c:v>
                </c:pt>
                <c:pt idx="13">
                  <c:v>17.749501761487142</c:v>
                </c:pt>
                <c:pt idx="14">
                  <c:v>18.104491796716889</c:v>
                </c:pt>
                <c:pt idx="15">
                  <c:v>18.466581632651224</c:v>
                </c:pt>
                <c:pt idx="16">
                  <c:v>18.835913265304253</c:v>
                </c:pt>
                <c:pt idx="17">
                  <c:v>19.212631530610341</c:v>
                </c:pt>
                <c:pt idx="18">
                  <c:v>19.596884161222548</c:v>
                </c:pt>
                <c:pt idx="19">
                  <c:v>19.988821844446989</c:v>
                </c:pt>
                <c:pt idx="20">
                  <c:v>20.388598281335945</c:v>
                </c:pt>
                <c:pt idx="21">
                  <c:v>20.796370246962667</c:v>
                </c:pt>
                <c:pt idx="22">
                  <c:v>21.212297651901906</c:v>
                </c:pt>
                <c:pt idx="23">
                  <c:v>21.636543604939948</c:v>
                </c:pt>
                <c:pt idx="24">
                  <c:v>22.06927447703875</c:v>
                </c:pt>
                <c:pt idx="25">
                  <c:v>22.510659966579528</c:v>
                </c:pt>
                <c:pt idx="26">
                  <c:v>22.960873165911121</c:v>
                </c:pt>
                <c:pt idx="27">
                  <c:v>23.420090629229339</c:v>
                </c:pt>
                <c:pt idx="28">
                  <c:v>23.888492441813927</c:v>
                </c:pt>
                <c:pt idx="29">
                  <c:v>24.366262290650205</c:v>
                </c:pt>
                <c:pt idx="30">
                  <c:v>24.853587536463209</c:v>
                </c:pt>
                <c:pt idx="31">
                  <c:v>0</c:v>
                </c:pt>
                <c:pt idx="32">
                  <c:v>0</c:v>
                </c:pt>
                <c:pt idx="33">
                  <c:v>0</c:v>
                </c:pt>
                <c:pt idx="34">
                  <c:v>0</c:v>
                </c:pt>
                <c:pt idx="35">
                  <c:v>0</c:v>
                </c:pt>
                <c:pt idx="36">
                  <c:v>0</c:v>
                </c:pt>
                <c:pt idx="37">
                  <c:v>0</c:v>
                </c:pt>
                <c:pt idx="38">
                  <c:v>0</c:v>
                </c:pt>
                <c:pt idx="39">
                  <c:v>0</c:v>
                </c:pt>
                <c:pt idx="40">
                  <c:v>0</c:v>
                </c:pt>
              </c:numCache>
            </c:numRef>
          </c:val>
        </c:ser>
        <c:ser>
          <c:idx val="7"/>
          <c:order val="7"/>
          <c:tx>
            <c:strRef>
              <c:f>'Cash Flows'!$C$31</c:f>
              <c:strCache>
                <c:ptCount val="1"/>
                <c:pt idx="0">
                  <c:v>Dividend Tax</c:v>
                </c:pt>
              </c:strCache>
            </c:strRef>
          </c:tx>
          <c:spPr>
            <a:ln w="25400">
              <a:noFill/>
            </a:ln>
          </c:spPr>
          <c:cat>
            <c:numRef>
              <c:f>Calculations!$E$1:$BB$1</c:f>
              <c:numCache>
                <c:formatCode>General</c:formatCode>
                <c:ptCount val="50"/>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pt idx="36">
                  <c:v>2051</c:v>
                </c:pt>
                <c:pt idx="37">
                  <c:v>2052</c:v>
                </c:pt>
                <c:pt idx="38">
                  <c:v>2053</c:v>
                </c:pt>
                <c:pt idx="39">
                  <c:v>2054</c:v>
                </c:pt>
                <c:pt idx="40">
                  <c:v>2055</c:v>
                </c:pt>
                <c:pt idx="41">
                  <c:v>2056</c:v>
                </c:pt>
                <c:pt idx="42">
                  <c:v>2057</c:v>
                </c:pt>
                <c:pt idx="43">
                  <c:v>2058</c:v>
                </c:pt>
                <c:pt idx="44">
                  <c:v>2059</c:v>
                </c:pt>
                <c:pt idx="45">
                  <c:v>2060</c:v>
                </c:pt>
                <c:pt idx="46">
                  <c:v>2061</c:v>
                </c:pt>
                <c:pt idx="47">
                  <c:v>2062</c:v>
                </c:pt>
                <c:pt idx="48">
                  <c:v>2063</c:v>
                </c:pt>
                <c:pt idx="49">
                  <c:v>2064</c:v>
                </c:pt>
              </c:numCache>
            </c:numRef>
          </c:cat>
          <c:val>
            <c:numRef>
              <c:f>'Cash Flows'!$E$31:$AS$31</c:f>
              <c:numCache>
                <c:formatCode>0.00_ ;[Red]\-0.00\ </c:formatCode>
                <c:ptCount val="41"/>
                <c:pt idx="0">
                  <c:v>0</c:v>
                </c:pt>
                <c:pt idx="1">
                  <c:v>0</c:v>
                </c:pt>
                <c:pt idx="2">
                  <c:v>0</c:v>
                </c:pt>
                <c:pt idx="3">
                  <c:v>0</c:v>
                </c:pt>
                <c:pt idx="4">
                  <c:v>0</c:v>
                </c:pt>
                <c:pt idx="5">
                  <c:v>4.4565630928280049</c:v>
                </c:pt>
                <c:pt idx="6">
                  <c:v>4.3811997737720736</c:v>
                </c:pt>
                <c:pt idx="7">
                  <c:v>4.2989484743887738</c:v>
                </c:pt>
                <c:pt idx="8">
                  <c:v>4.2295570164700553</c:v>
                </c:pt>
                <c:pt idx="9">
                  <c:v>2.5242680192627676</c:v>
                </c:pt>
                <c:pt idx="10">
                  <c:v>3.5010040488953194</c:v>
                </c:pt>
                <c:pt idx="11">
                  <c:v>4.8463324670412273</c:v>
                </c:pt>
                <c:pt idx="12">
                  <c:v>6.264530033466051</c:v>
                </c:pt>
                <c:pt idx="13">
                  <c:v>6.3898206341353703</c:v>
                </c:pt>
                <c:pt idx="14">
                  <c:v>6.5176170468180796</c:v>
                </c:pt>
                <c:pt idx="15">
                  <c:v>6.6479693877544399</c:v>
                </c:pt>
                <c:pt idx="16">
                  <c:v>6.7809287755095307</c:v>
                </c:pt>
                <c:pt idx="17">
                  <c:v>6.9165473510197231</c:v>
                </c:pt>
                <c:pt idx="18">
                  <c:v>7.0548782980401166</c:v>
                </c:pt>
                <c:pt idx="19">
                  <c:v>7.1959758640009159</c:v>
                </c:pt>
                <c:pt idx="20">
                  <c:v>7.3398953812809395</c:v>
                </c:pt>
                <c:pt idx="21">
                  <c:v>7.4866932889065581</c:v>
                </c:pt>
                <c:pt idx="22">
                  <c:v>7.6364271546846867</c:v>
                </c:pt>
                <c:pt idx="23">
                  <c:v>7.7891556977783809</c:v>
                </c:pt>
                <c:pt idx="24">
                  <c:v>7.944938811733949</c:v>
                </c:pt>
                <c:pt idx="25">
                  <c:v>8.1038375879686289</c:v>
                </c:pt>
                <c:pt idx="26">
                  <c:v>8.2659143397280026</c:v>
                </c:pt>
                <c:pt idx="27">
                  <c:v>8.4312326265225614</c:v>
                </c:pt>
                <c:pt idx="28">
                  <c:v>8.5998572790530137</c:v>
                </c:pt>
                <c:pt idx="29">
                  <c:v>8.7718544246340731</c:v>
                </c:pt>
                <c:pt idx="30">
                  <c:v>8.9472915131267552</c:v>
                </c:pt>
                <c:pt idx="31">
                  <c:v>0</c:v>
                </c:pt>
                <c:pt idx="32">
                  <c:v>0</c:v>
                </c:pt>
                <c:pt idx="33">
                  <c:v>0</c:v>
                </c:pt>
                <c:pt idx="34">
                  <c:v>0</c:v>
                </c:pt>
                <c:pt idx="35">
                  <c:v>0</c:v>
                </c:pt>
                <c:pt idx="36">
                  <c:v>0</c:v>
                </c:pt>
                <c:pt idx="37">
                  <c:v>0</c:v>
                </c:pt>
                <c:pt idx="38">
                  <c:v>0</c:v>
                </c:pt>
                <c:pt idx="39">
                  <c:v>0</c:v>
                </c:pt>
                <c:pt idx="40">
                  <c:v>0</c:v>
                </c:pt>
              </c:numCache>
            </c:numRef>
          </c:val>
        </c:ser>
        <c:dLbls>
          <c:showLegendKey val="0"/>
          <c:showVal val="0"/>
          <c:showCatName val="0"/>
          <c:showSerName val="0"/>
          <c:showPercent val="0"/>
          <c:showBubbleSize val="0"/>
        </c:dLbls>
        <c:axId val="101849600"/>
        <c:axId val="43364288"/>
      </c:areaChart>
      <c:catAx>
        <c:axId val="101849600"/>
        <c:scaling>
          <c:orientation val="minMax"/>
        </c:scaling>
        <c:delete val="0"/>
        <c:axPos val="b"/>
        <c:numFmt formatCode="General" sourceLinked="1"/>
        <c:majorTickMark val="out"/>
        <c:minorTickMark val="none"/>
        <c:tickLblPos val="nextTo"/>
        <c:txPr>
          <a:bodyPr rot="5400000" vert="horz"/>
          <a:lstStyle/>
          <a:p>
            <a:pPr>
              <a:defRPr b="1"/>
            </a:pPr>
            <a:endParaRPr lang="en-US"/>
          </a:p>
        </c:txPr>
        <c:crossAx val="43364288"/>
        <c:crosses val="autoZero"/>
        <c:auto val="1"/>
        <c:lblAlgn val="ctr"/>
        <c:lblOffset val="100"/>
        <c:tickLblSkip val="1"/>
        <c:noMultiLvlLbl val="0"/>
      </c:catAx>
      <c:valAx>
        <c:axId val="43364288"/>
        <c:scaling>
          <c:orientation val="minMax"/>
        </c:scaling>
        <c:delete val="0"/>
        <c:axPos val="l"/>
        <c:majorGridlines/>
        <c:title>
          <c:tx>
            <c:rich>
              <a:bodyPr rot="-5400000" vert="horz"/>
              <a:lstStyle/>
              <a:p>
                <a:pPr>
                  <a:defRPr/>
                </a:pPr>
                <a:r>
                  <a:rPr lang="en-US"/>
                  <a:t>US$</a:t>
                </a:r>
                <a:r>
                  <a:rPr lang="en-US" baseline="0"/>
                  <a:t> (million)</a:t>
                </a:r>
                <a:endParaRPr lang="en-US"/>
              </a:p>
            </c:rich>
          </c:tx>
          <c:overlay val="0"/>
        </c:title>
        <c:numFmt formatCode="0.00_ ;[Red]\-0.00\ " sourceLinked="1"/>
        <c:majorTickMark val="out"/>
        <c:minorTickMark val="none"/>
        <c:tickLblPos val="nextTo"/>
        <c:txPr>
          <a:bodyPr/>
          <a:lstStyle/>
          <a:p>
            <a:pPr>
              <a:defRPr b="1"/>
            </a:pPr>
            <a:endParaRPr lang="en-US"/>
          </a:p>
        </c:txPr>
        <c:crossAx val="101849600"/>
        <c:crosses val="autoZero"/>
        <c:crossBetween val="midCat"/>
      </c:valAx>
    </c:plotArea>
    <c:legend>
      <c:legendPos val="r"/>
      <c:overlay val="0"/>
      <c:txPr>
        <a:bodyPr/>
        <a:lstStyle/>
        <a:p>
          <a:pPr>
            <a:defRPr b="1"/>
          </a:pPr>
          <a:endParaRPr lang="en-US"/>
        </a:p>
      </c:txPr>
    </c:legend>
    <c:plotVisOnly val="1"/>
    <c:dispBlanksAs val="zero"/>
    <c:showDLblsOverMax val="0"/>
  </c:chart>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Impact of tax holidays on government take according to loss and carry forward data points</a:t>
            </a:r>
          </a:p>
        </c:rich>
      </c:tx>
      <c:layout>
        <c:manualLayout>
          <c:xMode val="edge"/>
          <c:yMode val="edge"/>
          <c:x val="0.12600701279527601"/>
          <c:y val="0"/>
        </c:manualLayout>
      </c:layout>
      <c:overlay val="1"/>
    </c:title>
    <c:autoTitleDeleted val="0"/>
    <c:plotArea>
      <c:layout>
        <c:manualLayout>
          <c:layoutTarget val="inner"/>
          <c:xMode val="edge"/>
          <c:yMode val="edge"/>
          <c:x val="0.15047192405106899"/>
          <c:y val="0.24122807017543901"/>
          <c:w val="0.49723048295111899"/>
          <c:h val="0.53342105263157902"/>
        </c:manualLayout>
      </c:layout>
      <c:lineChart>
        <c:grouping val="standard"/>
        <c:varyColors val="0"/>
        <c:ser>
          <c:idx val="1"/>
          <c:order val="0"/>
          <c:tx>
            <c:v>Tax holiday data point 1</c:v>
          </c:tx>
          <c:marker>
            <c:symbol val="none"/>
          </c:marker>
          <c:cat>
            <c:numRef>
              <c:f>'Assumptions &amp; Results'!$B$195:$B$197</c:f>
              <c:numCache>
                <c:formatCode>General</c:formatCode>
                <c:ptCount val="3"/>
                <c:pt idx="0">
                  <c:v>0</c:v>
                </c:pt>
                <c:pt idx="1">
                  <c:v>5</c:v>
                </c:pt>
                <c:pt idx="2">
                  <c:v>10</c:v>
                </c:pt>
              </c:numCache>
            </c:numRef>
          </c:cat>
          <c:val>
            <c:numRef>
              <c:f>'Assumptions &amp; Results'!$C$195:$C$197</c:f>
              <c:numCache>
                <c:formatCode>0.0%</c:formatCode>
                <c:ptCount val="3"/>
                <c:pt idx="0">
                  <c:v>0.52246833901975098</c:v>
                </c:pt>
                <c:pt idx="1">
                  <c:v>0.50824109220538261</c:v>
                </c:pt>
                <c:pt idx="2">
                  <c:v>0.50029055438272862</c:v>
                </c:pt>
              </c:numCache>
            </c:numRef>
          </c:val>
          <c:smooth val="0"/>
        </c:ser>
        <c:ser>
          <c:idx val="2"/>
          <c:order val="1"/>
          <c:tx>
            <c:v>Tax holiday data point 2</c:v>
          </c:tx>
          <c:marker>
            <c:symbol val="none"/>
          </c:marker>
          <c:cat>
            <c:numRef>
              <c:f>'Assumptions &amp; Results'!$B$195:$B$197</c:f>
              <c:numCache>
                <c:formatCode>General</c:formatCode>
                <c:ptCount val="3"/>
                <c:pt idx="0">
                  <c:v>0</c:v>
                </c:pt>
                <c:pt idx="1">
                  <c:v>5</c:v>
                </c:pt>
                <c:pt idx="2">
                  <c:v>10</c:v>
                </c:pt>
              </c:numCache>
            </c:numRef>
          </c:cat>
          <c:val>
            <c:numRef>
              <c:f>'Assumptions &amp; Results'!$D$195:$D$197</c:f>
              <c:numCache>
                <c:formatCode>0.0%</c:formatCode>
                <c:ptCount val="3"/>
                <c:pt idx="0">
                  <c:v>0.50870663037300745</c:v>
                </c:pt>
                <c:pt idx="1">
                  <c:v>0.50824109220538261</c:v>
                </c:pt>
                <c:pt idx="2">
                  <c:v>0.50029055438272862</c:v>
                </c:pt>
              </c:numCache>
            </c:numRef>
          </c:val>
          <c:smooth val="0"/>
        </c:ser>
        <c:ser>
          <c:idx val="3"/>
          <c:order val="2"/>
          <c:tx>
            <c:v>Tax holiday data point 3</c:v>
          </c:tx>
          <c:marker>
            <c:symbol val="none"/>
          </c:marker>
          <c:cat>
            <c:numRef>
              <c:f>'Assumptions &amp; Results'!$B$195:$B$197</c:f>
              <c:numCache>
                <c:formatCode>General</c:formatCode>
                <c:ptCount val="3"/>
                <c:pt idx="0">
                  <c:v>0</c:v>
                </c:pt>
                <c:pt idx="1">
                  <c:v>5</c:v>
                </c:pt>
                <c:pt idx="2">
                  <c:v>10</c:v>
                </c:pt>
              </c:numCache>
            </c:numRef>
          </c:cat>
          <c:val>
            <c:numRef>
              <c:f>'Assumptions &amp; Results'!$E$195:$E$197</c:f>
              <c:numCache>
                <c:formatCode>0.0%</c:formatCode>
                <c:ptCount val="3"/>
                <c:pt idx="0">
                  <c:v>0.48077710639161098</c:v>
                </c:pt>
                <c:pt idx="1">
                  <c:v>0.48077710639161098</c:v>
                </c:pt>
                <c:pt idx="2">
                  <c:v>0.48077710639161098</c:v>
                </c:pt>
              </c:numCache>
            </c:numRef>
          </c:val>
          <c:smooth val="0"/>
        </c:ser>
        <c:ser>
          <c:idx val="4"/>
          <c:order val="3"/>
          <c:tx>
            <c:v>Tax holiday data point 4</c:v>
          </c:tx>
          <c:marker>
            <c:symbol val="none"/>
          </c:marker>
          <c:cat>
            <c:numRef>
              <c:f>'Assumptions &amp; Results'!$B$195:$B$197</c:f>
              <c:numCache>
                <c:formatCode>General</c:formatCode>
                <c:ptCount val="3"/>
                <c:pt idx="0">
                  <c:v>0</c:v>
                </c:pt>
                <c:pt idx="1">
                  <c:v>5</c:v>
                </c:pt>
                <c:pt idx="2">
                  <c:v>10</c:v>
                </c:pt>
              </c:numCache>
            </c:numRef>
          </c:cat>
          <c:val>
            <c:numRef>
              <c:f>'Assumptions &amp; Results'!$F$195:$F$197</c:f>
              <c:numCache>
                <c:formatCode>0.0%</c:formatCode>
                <c:ptCount val="3"/>
                <c:pt idx="0">
                  <c:v>0.46047984928037544</c:v>
                </c:pt>
                <c:pt idx="1">
                  <c:v>0.46047984928037544</c:v>
                </c:pt>
                <c:pt idx="2">
                  <c:v>0.46047984928037544</c:v>
                </c:pt>
              </c:numCache>
            </c:numRef>
          </c:val>
          <c:smooth val="0"/>
        </c:ser>
        <c:dLbls>
          <c:showLegendKey val="0"/>
          <c:showVal val="0"/>
          <c:showCatName val="0"/>
          <c:showSerName val="0"/>
          <c:showPercent val="0"/>
          <c:showBubbleSize val="0"/>
        </c:dLbls>
        <c:marker val="1"/>
        <c:smooth val="0"/>
        <c:axId val="110505984"/>
        <c:axId val="43367168"/>
      </c:lineChart>
      <c:catAx>
        <c:axId val="110505984"/>
        <c:scaling>
          <c:orientation val="minMax"/>
        </c:scaling>
        <c:delete val="0"/>
        <c:axPos val="b"/>
        <c:title>
          <c:tx>
            <c:rich>
              <a:bodyPr/>
              <a:lstStyle/>
              <a:p>
                <a:pPr>
                  <a:defRPr/>
                </a:pPr>
                <a:r>
                  <a:rPr lang="en-US"/>
                  <a:t>Loss and Carry forward (years)</a:t>
                </a:r>
              </a:p>
            </c:rich>
          </c:tx>
          <c:overlay val="0"/>
        </c:title>
        <c:numFmt formatCode="General" sourceLinked="1"/>
        <c:majorTickMark val="out"/>
        <c:minorTickMark val="none"/>
        <c:tickLblPos val="nextTo"/>
        <c:crossAx val="43367168"/>
        <c:crosses val="autoZero"/>
        <c:auto val="1"/>
        <c:lblAlgn val="ctr"/>
        <c:lblOffset val="100"/>
        <c:noMultiLvlLbl val="0"/>
      </c:catAx>
      <c:valAx>
        <c:axId val="43367168"/>
        <c:scaling>
          <c:orientation val="minMax"/>
        </c:scaling>
        <c:delete val="0"/>
        <c:axPos val="l"/>
        <c:majorGridlines/>
        <c:title>
          <c:tx>
            <c:rich>
              <a:bodyPr rot="-5400000" vert="horz"/>
              <a:lstStyle/>
              <a:p>
                <a:pPr>
                  <a:defRPr/>
                </a:pPr>
                <a:r>
                  <a:rPr lang="en-US"/>
                  <a:t>Government Take</a:t>
                </a:r>
              </a:p>
            </c:rich>
          </c:tx>
          <c:overlay val="0"/>
        </c:title>
        <c:numFmt formatCode="0.0%" sourceLinked="1"/>
        <c:majorTickMark val="out"/>
        <c:minorTickMark val="none"/>
        <c:tickLblPos val="nextTo"/>
        <c:crossAx val="110505984"/>
        <c:crosses val="autoZero"/>
        <c:crossBetween val="between"/>
        <c:majorUnit val="0.03"/>
      </c:valAx>
    </c:plotArea>
    <c:legend>
      <c:legendPos val="r"/>
      <c:overlay val="0"/>
    </c:legend>
    <c:plotVisOnly val="1"/>
    <c:dispBlanksAs val="gap"/>
    <c:showDLblsOverMax val="0"/>
  </c:chart>
  <c:txPr>
    <a:bodyPr/>
    <a:lstStyle/>
    <a:p>
      <a:pPr>
        <a:defRPr sz="1100"/>
      </a:pPr>
      <a:endParaRPr lang="en-US"/>
    </a:p>
  </c:tx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800"/>
            </a:pPr>
            <a:r>
              <a:rPr lang="en-US" sz="1800"/>
              <a:t>Breakdown of total government revenues on a discounted basis</a:t>
            </a:r>
          </a:p>
        </c:rich>
      </c:tx>
      <c:overlay val="0"/>
    </c:title>
    <c:autoTitleDeleted val="0"/>
    <c:plotArea>
      <c:layout/>
      <c:pieChart>
        <c:varyColors val="1"/>
        <c:ser>
          <c:idx val="0"/>
          <c:order val="0"/>
          <c:dLbls>
            <c:dLbl>
              <c:idx val="0"/>
              <c:layout>
                <c:manualLayout>
                  <c:x val="6.0606060606060497E-2"/>
                  <c:y val="-3.3003300330033E-2"/>
                </c:manualLayout>
              </c:layout>
              <c:showLegendKey val="0"/>
              <c:showVal val="0"/>
              <c:showCatName val="0"/>
              <c:showSerName val="0"/>
              <c:showPercent val="1"/>
              <c:showBubbleSize val="0"/>
              <c:extLst>
                <c:ext xmlns:c15="http://schemas.microsoft.com/office/drawing/2012/chart" uri="{CE6537A1-D6FC-4f65-9D91-7224C49458BB}"/>
              </c:extLst>
            </c:dLbl>
            <c:dLbl>
              <c:idx val="1"/>
              <c:layout>
                <c:manualLayout>
                  <c:x val="-7.5757575757575699E-3"/>
                  <c:y val="-3.3003300330033E-2"/>
                </c:manualLayout>
              </c:layout>
              <c:showLegendKey val="0"/>
              <c:showVal val="0"/>
              <c:showCatName val="0"/>
              <c:showSerName val="0"/>
              <c:showPercent val="1"/>
              <c:showBubbleSize val="0"/>
              <c:extLst>
                <c:ext xmlns:c15="http://schemas.microsoft.com/office/drawing/2012/chart" uri="{CE6537A1-D6FC-4f65-9D91-7224C49458BB}"/>
              </c:extLst>
            </c:dLbl>
            <c:dLbl>
              <c:idx val="5"/>
              <c:layout>
                <c:manualLayout>
                  <c:x val="-6.3131313131313205E-2"/>
                  <c:y val="4.1254125412541198E-3"/>
                </c:manualLayout>
              </c:layout>
              <c:showLegendKey val="0"/>
              <c:showVal val="0"/>
              <c:showCatName val="0"/>
              <c:showSerName val="0"/>
              <c:showPercent val="1"/>
              <c:showBubbleSize val="0"/>
              <c:extLst>
                <c:ext xmlns:c15="http://schemas.microsoft.com/office/drawing/2012/chart" uri="{CE6537A1-D6FC-4f65-9D91-7224C49458BB}"/>
              </c:extLst>
            </c:dLbl>
            <c:dLbl>
              <c:idx val="6"/>
              <c:layout>
                <c:manualLayout>
                  <c:x val="-1.9721725125268399E-2"/>
                  <c:y val="-2.2584522231750701E-2"/>
                </c:manualLayout>
              </c:layout>
              <c:showLegendKey val="0"/>
              <c:showVal val="0"/>
              <c:showCatName val="0"/>
              <c:showSerName val="0"/>
              <c:showPercent val="1"/>
              <c:showBubbleSize val="0"/>
              <c:extLst>
                <c:ext xmlns:c15="http://schemas.microsoft.com/office/drawing/2012/chart" uri="{CE6537A1-D6FC-4f65-9D91-7224C49458BB}"/>
              </c:extLst>
            </c:dLbl>
            <c:dLbl>
              <c:idx val="7"/>
              <c:layout>
                <c:manualLayout>
                  <c:x val="0.13573371510379401"/>
                  <c:y val="-1.36187339206362E-2"/>
                </c:manualLayout>
              </c:layout>
              <c:showLegendKey val="0"/>
              <c:showVal val="0"/>
              <c:showCatName val="0"/>
              <c:showSerName val="0"/>
              <c:showPercent val="1"/>
              <c:showBubbleSize val="0"/>
              <c:extLst>
                <c:ext xmlns:c15="http://schemas.microsoft.com/office/drawing/2012/chart" uri="{CE6537A1-D6FC-4f65-9D91-7224C49458BB}"/>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'Cash Flows'!$C$24:$C$31</c:f>
              <c:strCache>
                <c:ptCount val="8"/>
                <c:pt idx="0">
                  <c:v>Bonus Payments</c:v>
                </c:pt>
                <c:pt idx="1">
                  <c:v>Import Duties on Consumables</c:v>
                </c:pt>
                <c:pt idx="2">
                  <c:v>Royalties</c:v>
                </c:pt>
                <c:pt idx="3">
                  <c:v>Withholding Tax on Interest</c:v>
                </c:pt>
                <c:pt idx="4">
                  <c:v>Corporate Income Tax</c:v>
                </c:pt>
                <c:pt idx="5">
                  <c:v>Resource Rent Tax</c:v>
                </c:pt>
                <c:pt idx="6">
                  <c:v>Cashflow from equity </c:v>
                </c:pt>
                <c:pt idx="7">
                  <c:v>Dividend Tax</c:v>
                </c:pt>
              </c:strCache>
            </c:strRef>
          </c:cat>
          <c:val>
            <c:numRef>
              <c:f>'Cash Flows'!$B$24:$B$31</c:f>
              <c:numCache>
                <c:formatCode>"$"#,##0.00_);[Red]\("$"#,##0.00\)</c:formatCode>
                <c:ptCount val="8"/>
                <c:pt idx="0">
                  <c:v>0</c:v>
                </c:pt>
                <c:pt idx="1">
                  <c:v>0</c:v>
                </c:pt>
                <c:pt idx="2">
                  <c:v>166.91421244626306</c:v>
                </c:pt>
                <c:pt idx="3">
                  <c:v>9.1595387892540394</c:v>
                </c:pt>
                <c:pt idx="4">
                  <c:v>274.54988420575017</c:v>
                </c:pt>
                <c:pt idx="5">
                  <c:v>0</c:v>
                </c:pt>
                <c:pt idx="6">
                  <c:v>66.455575169675171</c:v>
                </c:pt>
                <c:pt idx="7">
                  <c:v>23.924007061083053</c:v>
                </c:pt>
              </c:numCache>
            </c:numRef>
          </c:val>
        </c:ser>
        <c:dLbls>
          <c:showLegendKey val="0"/>
          <c:showVal val="0"/>
          <c:showCatName val="0"/>
          <c:showSerName val="0"/>
          <c:showPercent val="1"/>
          <c:showBubbleSize val="0"/>
          <c:showLeaderLines val="1"/>
        </c:dLbls>
        <c:firstSliceAng val="0"/>
      </c:pieChart>
    </c:plotArea>
    <c:legend>
      <c:legendPos val="r"/>
      <c:overlay val="0"/>
      <c:txPr>
        <a:bodyPr/>
        <a:lstStyle/>
        <a:p>
          <a:pPr rtl="0">
            <a:defRPr/>
          </a:pPr>
          <a:endParaRPr lang="en-US"/>
        </a:p>
      </c:txPr>
    </c:legend>
    <c:plotVisOnly val="1"/>
    <c:dispBlanksAs val="gap"/>
    <c:showDLblsOverMax val="0"/>
  </c:chart>
  <c:txPr>
    <a:bodyPr/>
    <a:lstStyle/>
    <a:p>
      <a:pPr>
        <a:defRPr sz="1100" b="1"/>
      </a:pPr>
      <a:endParaRPr lang="en-US"/>
    </a:p>
  </c:txPr>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800"/>
            </a:pPr>
            <a:r>
              <a:rPr lang="en-US" sz="1800"/>
              <a:t>Breakdown of total government revenues on an undiscounted basis </a:t>
            </a:r>
          </a:p>
        </c:rich>
      </c:tx>
      <c:overlay val="0"/>
    </c:title>
    <c:autoTitleDeleted val="0"/>
    <c:plotArea>
      <c:layout/>
      <c:pieChart>
        <c:varyColors val="1"/>
        <c:ser>
          <c:idx val="0"/>
          <c:order val="0"/>
          <c:dLbls>
            <c:dLbl>
              <c:idx val="0"/>
              <c:layout>
                <c:manualLayout>
                  <c:x val="4.0404040404040401E-2"/>
                  <c:y val="-2.8877887788778901E-2"/>
                </c:manualLayout>
              </c:layout>
              <c:showLegendKey val="0"/>
              <c:showVal val="0"/>
              <c:showCatName val="0"/>
              <c:showSerName val="0"/>
              <c:showPercent val="1"/>
              <c:showBubbleSize val="0"/>
              <c:extLst>
                <c:ext xmlns:c15="http://schemas.microsoft.com/office/drawing/2012/chart" uri="{CE6537A1-D6FC-4f65-9D91-7224C49458BB}"/>
              </c:extLst>
            </c:dLbl>
            <c:dLbl>
              <c:idx val="1"/>
              <c:layout>
                <c:manualLayout>
                  <c:x val="-1.01010101010101E-2"/>
                  <c:y val="-4.1254125412541198E-2"/>
                </c:manualLayout>
              </c:layout>
              <c:showLegendKey val="0"/>
              <c:showVal val="0"/>
              <c:showCatName val="0"/>
              <c:showSerName val="0"/>
              <c:showPercent val="1"/>
              <c:showBubbleSize val="0"/>
              <c:extLst>
                <c:ext xmlns:c15="http://schemas.microsoft.com/office/drawing/2012/chart" uri="{CE6537A1-D6FC-4f65-9D91-7224C49458BB}"/>
              </c:extLst>
            </c:dLbl>
            <c:dLbl>
              <c:idx val="5"/>
              <c:layout>
                <c:manualLayout>
                  <c:x val="-0.11868686868686899"/>
                  <c:y val="2.0627062706270599E-2"/>
                </c:manualLayout>
              </c:layout>
              <c:showLegendKey val="0"/>
              <c:showVal val="0"/>
              <c:showCatName val="0"/>
              <c:showSerName val="0"/>
              <c:showPercent val="1"/>
              <c:showBubbleSize val="0"/>
              <c:extLst>
                <c:ext xmlns:c15="http://schemas.microsoft.com/office/drawing/2012/chart" uri="{CE6537A1-D6FC-4f65-9D91-7224C49458BB}"/>
              </c:extLst>
            </c:dLbl>
            <c:dLbl>
              <c:idx val="6"/>
              <c:layout>
                <c:manualLayout>
                  <c:x val="-2.74046568042631E-2"/>
                  <c:y val="-1.4310308983654299E-2"/>
                </c:manualLayout>
              </c:layout>
              <c:showLegendKey val="0"/>
              <c:showVal val="0"/>
              <c:showCatName val="0"/>
              <c:showSerName val="0"/>
              <c:showPercent val="1"/>
              <c:showBubbleSize val="0"/>
              <c:extLst>
                <c:ext xmlns:c15="http://schemas.microsoft.com/office/drawing/2012/chart" uri="{CE6537A1-D6FC-4f65-9D91-7224C49458BB}"/>
              </c:extLst>
            </c:dLbl>
            <c:dLbl>
              <c:idx val="7"/>
              <c:layout>
                <c:manualLayout>
                  <c:x val="0.11297452875208799"/>
                  <c:y val="-9.4913723655830097E-3"/>
                </c:manualLayout>
              </c:layout>
              <c:showLegendKey val="0"/>
              <c:showVal val="0"/>
              <c:showCatName val="0"/>
              <c:showSerName val="0"/>
              <c:showPercent val="1"/>
              <c:showBubbleSize val="0"/>
              <c:extLst>
                <c:ext xmlns:c15="http://schemas.microsoft.com/office/drawing/2012/chart" uri="{CE6537A1-D6FC-4f65-9D91-7224C49458BB}"/>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'Cash Flows'!$C$24:$C$31</c:f>
              <c:strCache>
                <c:ptCount val="8"/>
                <c:pt idx="0">
                  <c:v>Bonus Payments</c:v>
                </c:pt>
                <c:pt idx="1">
                  <c:v>Import Duties on Consumables</c:v>
                </c:pt>
                <c:pt idx="2">
                  <c:v>Royalties</c:v>
                </c:pt>
                <c:pt idx="3">
                  <c:v>Withholding Tax on Interest</c:v>
                </c:pt>
                <c:pt idx="4">
                  <c:v>Corporate Income Tax</c:v>
                </c:pt>
                <c:pt idx="5">
                  <c:v>Resource Rent Tax</c:v>
                </c:pt>
                <c:pt idx="6">
                  <c:v>Cashflow from equity </c:v>
                </c:pt>
                <c:pt idx="7">
                  <c:v>Dividend Tax</c:v>
                </c:pt>
              </c:strCache>
            </c:strRef>
          </c:cat>
          <c:val>
            <c:numRef>
              <c:f>'Cash Flows'!$A$24:$A$31</c:f>
              <c:numCache>
                <c:formatCode>"$"#,##0.00_);[Red]\("$"#,##0.00\)</c:formatCode>
                <c:ptCount val="8"/>
                <c:pt idx="0">
                  <c:v>0</c:v>
                </c:pt>
                <c:pt idx="1">
                  <c:v>0</c:v>
                </c:pt>
                <c:pt idx="2">
                  <c:v>1040.8430829022284</c:v>
                </c:pt>
                <c:pt idx="3">
                  <c:v>17.61146244</c:v>
                </c:pt>
                <c:pt idx="4">
                  <c:v>2406.2793220507833</c:v>
                </c:pt>
                <c:pt idx="5">
                  <c:v>0</c:v>
                </c:pt>
                <c:pt idx="6">
                  <c:v>475.89788441338874</c:v>
                </c:pt>
                <c:pt idx="7">
                  <c:v>171.32323838881999</c:v>
                </c:pt>
              </c:numCache>
            </c:numRef>
          </c:val>
        </c:ser>
        <c:dLbls>
          <c:showLegendKey val="0"/>
          <c:showVal val="0"/>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gap"/>
    <c:showDLblsOverMax val="0"/>
  </c:chart>
  <c:txPr>
    <a:bodyPr/>
    <a:lstStyle/>
    <a:p>
      <a:pPr>
        <a:defRPr sz="1100" b="1"/>
      </a:pPr>
      <a:endParaRPr lang="en-US"/>
    </a:p>
  </c:txPr>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Impact of gold prices</a:t>
            </a:r>
          </a:p>
        </c:rich>
      </c:tx>
      <c:overlay val="0"/>
    </c:title>
    <c:autoTitleDeleted val="0"/>
    <c:plotArea>
      <c:layout/>
      <c:lineChart>
        <c:grouping val="standard"/>
        <c:varyColors val="0"/>
        <c:ser>
          <c:idx val="0"/>
          <c:order val="0"/>
          <c:tx>
            <c:strRef>
              <c:f>'Assumptions &amp; Results'!$A$166</c:f>
              <c:strCache>
                <c:ptCount val="1"/>
                <c:pt idx="0">
                  <c:v>Government Take (Undiscounted)</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Results'!$C$166:$G$166</c:f>
              <c:numCache>
                <c:formatCode>0%</c:formatCode>
                <c:ptCount val="5"/>
                <c:pt idx="0">
                  <c:v>-3.0875245084031406</c:v>
                </c:pt>
                <c:pt idx="1">
                  <c:v>0.5791161439344924</c:v>
                </c:pt>
                <c:pt idx="2">
                  <c:v>0.50824109220538261</c:v>
                </c:pt>
                <c:pt idx="3">
                  <c:v>0.48847639508867369</c:v>
                </c:pt>
                <c:pt idx="4">
                  <c:v>0.48107613383159153</c:v>
                </c:pt>
              </c:numCache>
            </c:numRef>
          </c:val>
          <c:smooth val="0"/>
        </c:ser>
        <c:ser>
          <c:idx val="1"/>
          <c:order val="1"/>
          <c:tx>
            <c:strRef>
              <c:f>'Assumptions &amp; Results'!$A$167</c:f>
              <c:strCache>
                <c:ptCount val="1"/>
                <c:pt idx="0">
                  <c:v>Government Take (Discounted)</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Results'!$C$167:$G$167</c:f>
              <c:numCache>
                <c:formatCode>0%</c:formatCode>
                <c:ptCount val="5"/>
                <c:pt idx="0">
                  <c:v>-0.17895496693740356</c:v>
                </c:pt>
                <c:pt idx="1">
                  <c:v>7.1864847521114799</c:v>
                </c:pt>
                <c:pt idx="2">
                  <c:v>0.76601915900019624</c:v>
                </c:pt>
                <c:pt idx="3">
                  <c:v>0.59211334027205076</c:v>
                </c:pt>
                <c:pt idx="4">
                  <c:v>0.53544252279614379</c:v>
                </c:pt>
              </c:numCache>
            </c:numRef>
          </c:val>
          <c:smooth val="0"/>
        </c:ser>
        <c:ser>
          <c:idx val="2"/>
          <c:order val="2"/>
          <c:tx>
            <c:strRef>
              <c:f>'Assumptions &amp; Results'!$A$168</c:f>
              <c:strCache>
                <c:ptCount val="1"/>
                <c:pt idx="0">
                  <c:v>Project IRR</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Results'!$C$168:$G$168</c:f>
              <c:numCache>
                <c:formatCode>0%</c:formatCode>
                <c:ptCount val="5"/>
                <c:pt idx="0">
                  <c:v>-0.12155207506722621</c:v>
                </c:pt>
                <c:pt idx="1">
                  <c:v>8.5936859694877077E-2</c:v>
                </c:pt>
                <c:pt idx="2">
                  <c:v>0.15700455736792307</c:v>
                </c:pt>
                <c:pt idx="3">
                  <c:v>0.21034222385964152</c:v>
                </c:pt>
                <c:pt idx="4">
                  <c:v>0.26947224406469705</c:v>
                </c:pt>
              </c:numCache>
            </c:numRef>
          </c:val>
          <c:smooth val="0"/>
        </c:ser>
        <c:ser>
          <c:idx val="3"/>
          <c:order val="3"/>
          <c:tx>
            <c:strRef>
              <c:f>'Assumptions &amp; Results'!$A$169</c:f>
              <c:strCache>
                <c:ptCount val="1"/>
                <c:pt idx="0">
                  <c:v>Investors IRR</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Results'!$C$169:$G$169</c:f>
              <c:numCache>
                <c:formatCode>0%</c:formatCode>
                <c:ptCount val="5"/>
                <c:pt idx="0">
                  <c:v>0</c:v>
                </c:pt>
                <c:pt idx="1">
                  <c:v>6.4458898063906034E-2</c:v>
                </c:pt>
                <c:pt idx="2">
                  <c:v>0.15748057924343217</c:v>
                </c:pt>
                <c:pt idx="3">
                  <c:v>0.23581457158055619</c:v>
                </c:pt>
                <c:pt idx="4">
                  <c:v>0.32640521245884146</c:v>
                </c:pt>
              </c:numCache>
            </c:numRef>
          </c:val>
          <c:smooth val="0"/>
        </c:ser>
        <c:dLbls>
          <c:showLegendKey val="0"/>
          <c:showVal val="0"/>
          <c:showCatName val="0"/>
          <c:showSerName val="0"/>
          <c:showPercent val="0"/>
          <c:showBubbleSize val="0"/>
        </c:dLbls>
        <c:marker val="1"/>
        <c:smooth val="0"/>
        <c:axId val="49991680"/>
        <c:axId val="110202240"/>
      </c:lineChart>
      <c:catAx>
        <c:axId val="49991680"/>
        <c:scaling>
          <c:orientation val="minMax"/>
        </c:scaling>
        <c:delete val="0"/>
        <c:axPos val="b"/>
        <c:title>
          <c:tx>
            <c:rich>
              <a:bodyPr/>
              <a:lstStyle/>
              <a:p>
                <a:pPr>
                  <a:defRPr/>
                </a:pPr>
                <a:r>
                  <a:rPr lang="en-US"/>
                  <a:t>Percentage of Base</a:t>
                </a:r>
                <a:r>
                  <a:rPr lang="en-US" baseline="0"/>
                  <a:t> Price</a:t>
                </a:r>
                <a:endParaRPr lang="en-US"/>
              </a:p>
            </c:rich>
          </c:tx>
          <c:overlay val="0"/>
        </c:title>
        <c:numFmt formatCode="0%" sourceLinked="1"/>
        <c:majorTickMark val="out"/>
        <c:minorTickMark val="none"/>
        <c:tickLblPos val="nextTo"/>
        <c:txPr>
          <a:bodyPr/>
          <a:lstStyle/>
          <a:p>
            <a:pPr>
              <a:defRPr b="1"/>
            </a:pPr>
            <a:endParaRPr lang="en-US"/>
          </a:p>
        </c:txPr>
        <c:crossAx val="110202240"/>
        <c:crosses val="autoZero"/>
        <c:auto val="1"/>
        <c:lblAlgn val="ctr"/>
        <c:lblOffset val="100"/>
        <c:noMultiLvlLbl val="0"/>
      </c:catAx>
      <c:valAx>
        <c:axId val="110202240"/>
        <c:scaling>
          <c:orientation val="minMax"/>
          <c:max val="1"/>
          <c:min val="0"/>
        </c:scaling>
        <c:delete val="0"/>
        <c:axPos val="l"/>
        <c:majorGridlines/>
        <c:title>
          <c:tx>
            <c:rich>
              <a:bodyPr rot="-5400000" vert="horz"/>
              <a:lstStyle/>
              <a:p>
                <a:pPr>
                  <a:defRPr/>
                </a:pPr>
                <a:r>
                  <a:rPr lang="en-US"/>
                  <a:t>IRR/</a:t>
                </a:r>
                <a:r>
                  <a:rPr lang="en-US" baseline="0"/>
                  <a:t> Govt Take</a:t>
                </a:r>
                <a:endParaRPr lang="en-US"/>
              </a:p>
            </c:rich>
          </c:tx>
          <c:overlay val="0"/>
        </c:title>
        <c:numFmt formatCode="0%" sourceLinked="1"/>
        <c:majorTickMark val="out"/>
        <c:minorTickMark val="none"/>
        <c:tickLblPos val="nextTo"/>
        <c:txPr>
          <a:bodyPr/>
          <a:lstStyle/>
          <a:p>
            <a:pPr>
              <a:defRPr b="1"/>
            </a:pPr>
            <a:endParaRPr lang="en-US"/>
          </a:p>
        </c:txPr>
        <c:crossAx val="49991680"/>
        <c:crosses val="autoZero"/>
        <c:crossBetween val="between"/>
      </c:valAx>
    </c:plotArea>
    <c:legend>
      <c:legendPos val="r"/>
      <c:overlay val="0"/>
      <c:txPr>
        <a:bodyPr/>
        <a:lstStyle/>
        <a:p>
          <a:pPr>
            <a:defRPr b="1"/>
          </a:pPr>
          <a:endParaRPr lang="en-US"/>
        </a:p>
      </c:txPr>
    </c:legend>
    <c:plotVisOnly val="1"/>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Impact of operating cost</a:t>
            </a:r>
          </a:p>
        </c:rich>
      </c:tx>
      <c:overlay val="0"/>
    </c:title>
    <c:autoTitleDeleted val="0"/>
    <c:plotArea>
      <c:layout/>
      <c:lineChart>
        <c:grouping val="standard"/>
        <c:varyColors val="0"/>
        <c:ser>
          <c:idx val="0"/>
          <c:order val="0"/>
          <c:tx>
            <c:strRef>
              <c:f>'Assumptions &amp; Results'!$A$173</c:f>
              <c:strCache>
                <c:ptCount val="1"/>
                <c:pt idx="0">
                  <c:v>Government Take (Undiscounted)</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Results'!$C$173:$G$173</c:f>
              <c:numCache>
                <c:formatCode>0%</c:formatCode>
                <c:ptCount val="5"/>
                <c:pt idx="0">
                  <c:v>0.47777840557345475</c:v>
                </c:pt>
                <c:pt idx="1">
                  <c:v>0.48852694068696928</c:v>
                </c:pt>
                <c:pt idx="2">
                  <c:v>0.50824109220538261</c:v>
                </c:pt>
                <c:pt idx="3">
                  <c:v>0.54323973830394268</c:v>
                </c:pt>
                <c:pt idx="4">
                  <c:v>0.75475301504070302</c:v>
                </c:pt>
              </c:numCache>
            </c:numRef>
          </c:val>
          <c:smooth val="0"/>
        </c:ser>
        <c:ser>
          <c:idx val="1"/>
          <c:order val="1"/>
          <c:tx>
            <c:strRef>
              <c:f>'Assumptions &amp; Results'!$A$174</c:f>
              <c:strCache>
                <c:ptCount val="1"/>
                <c:pt idx="0">
                  <c:v>Government Take (Discounted)</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Results'!$C$174:$G$174</c:f>
              <c:numCache>
                <c:formatCode>0%</c:formatCode>
                <c:ptCount val="5"/>
                <c:pt idx="0">
                  <c:v>0.57317285508818472</c:v>
                </c:pt>
                <c:pt idx="1">
                  <c:v>0.63246143124532939</c:v>
                </c:pt>
                <c:pt idx="2">
                  <c:v>0.76601915900019624</c:v>
                </c:pt>
                <c:pt idx="3">
                  <c:v>1.1785785483227667</c:v>
                </c:pt>
                <c:pt idx="4">
                  <c:v>-1.3355919601108708</c:v>
                </c:pt>
              </c:numCache>
            </c:numRef>
          </c:val>
          <c:smooth val="0"/>
        </c:ser>
        <c:ser>
          <c:idx val="2"/>
          <c:order val="2"/>
          <c:tx>
            <c:strRef>
              <c:f>'Assumptions &amp; Results'!$A$175</c:f>
              <c:strCache>
                <c:ptCount val="1"/>
                <c:pt idx="0">
                  <c:v>Project IRR</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Results'!$C$175:$G$175</c:f>
              <c:numCache>
                <c:formatCode>0%</c:formatCode>
                <c:ptCount val="5"/>
                <c:pt idx="0">
                  <c:v>0.2154908345113582</c:v>
                </c:pt>
                <c:pt idx="1">
                  <c:v>0.18845736682636072</c:v>
                </c:pt>
                <c:pt idx="2">
                  <c:v>0.15700455736792307</c:v>
                </c:pt>
                <c:pt idx="3">
                  <c:v>0.12057535980607725</c:v>
                </c:pt>
                <c:pt idx="4">
                  <c:v>4.2293685637578182E-2</c:v>
                </c:pt>
              </c:numCache>
            </c:numRef>
          </c:val>
          <c:smooth val="0"/>
        </c:ser>
        <c:ser>
          <c:idx val="3"/>
          <c:order val="3"/>
          <c:tx>
            <c:strRef>
              <c:f>'Assumptions &amp; Results'!$A$176</c:f>
              <c:strCache>
                <c:ptCount val="1"/>
                <c:pt idx="0">
                  <c:v>Investors IRR</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Results'!$C$176:$G$176</c:f>
              <c:numCache>
                <c:formatCode>0%</c:formatCode>
                <c:ptCount val="5"/>
                <c:pt idx="0">
                  <c:v>0.24338929517845576</c:v>
                </c:pt>
                <c:pt idx="1">
                  <c:v>0.20299771744665684</c:v>
                </c:pt>
                <c:pt idx="2">
                  <c:v>0.15748057924343217</c:v>
                </c:pt>
                <c:pt idx="3">
                  <c:v>0.10806212374881063</c:v>
                </c:pt>
                <c:pt idx="4">
                  <c:v>1.0847191435294778E-2</c:v>
                </c:pt>
              </c:numCache>
            </c:numRef>
          </c:val>
          <c:smooth val="0"/>
        </c:ser>
        <c:dLbls>
          <c:showLegendKey val="0"/>
          <c:showVal val="0"/>
          <c:showCatName val="0"/>
          <c:showSerName val="0"/>
          <c:showPercent val="0"/>
          <c:showBubbleSize val="0"/>
        </c:dLbls>
        <c:marker val="1"/>
        <c:smooth val="0"/>
        <c:axId val="49992704"/>
        <c:axId val="110204544"/>
      </c:lineChart>
      <c:catAx>
        <c:axId val="49992704"/>
        <c:scaling>
          <c:orientation val="minMax"/>
        </c:scaling>
        <c:delete val="0"/>
        <c:axPos val="b"/>
        <c:title>
          <c:tx>
            <c:rich>
              <a:bodyPr/>
              <a:lstStyle/>
              <a:p>
                <a:pPr>
                  <a:defRPr/>
                </a:pPr>
                <a:r>
                  <a:rPr lang="en-US"/>
                  <a:t>Percentage</a:t>
                </a:r>
                <a:r>
                  <a:rPr lang="en-US" baseline="0"/>
                  <a:t> of Base OPEX</a:t>
                </a:r>
                <a:endParaRPr lang="en-US"/>
              </a:p>
            </c:rich>
          </c:tx>
          <c:overlay val="0"/>
        </c:title>
        <c:numFmt formatCode="0%" sourceLinked="1"/>
        <c:majorTickMark val="out"/>
        <c:minorTickMark val="none"/>
        <c:tickLblPos val="nextTo"/>
        <c:txPr>
          <a:bodyPr/>
          <a:lstStyle/>
          <a:p>
            <a:pPr>
              <a:defRPr b="1"/>
            </a:pPr>
            <a:endParaRPr lang="en-US"/>
          </a:p>
        </c:txPr>
        <c:crossAx val="110204544"/>
        <c:crosses val="autoZero"/>
        <c:auto val="1"/>
        <c:lblAlgn val="ctr"/>
        <c:lblOffset val="100"/>
        <c:noMultiLvlLbl val="0"/>
      </c:catAx>
      <c:valAx>
        <c:axId val="110204544"/>
        <c:scaling>
          <c:orientation val="minMax"/>
          <c:max val="1"/>
          <c:min val="0"/>
        </c:scaling>
        <c:delete val="0"/>
        <c:axPos val="l"/>
        <c:majorGridlines/>
        <c:title>
          <c:tx>
            <c:rich>
              <a:bodyPr rot="-5400000" vert="horz"/>
              <a:lstStyle/>
              <a:p>
                <a:pPr>
                  <a:defRPr/>
                </a:pPr>
                <a:r>
                  <a:rPr lang="en-US"/>
                  <a:t>IRR/Govt</a:t>
                </a:r>
                <a:r>
                  <a:rPr lang="en-US" baseline="0"/>
                  <a:t> Take</a:t>
                </a:r>
                <a:endParaRPr lang="en-US"/>
              </a:p>
            </c:rich>
          </c:tx>
          <c:overlay val="0"/>
        </c:title>
        <c:numFmt formatCode="0%" sourceLinked="1"/>
        <c:majorTickMark val="out"/>
        <c:minorTickMark val="none"/>
        <c:tickLblPos val="nextTo"/>
        <c:txPr>
          <a:bodyPr/>
          <a:lstStyle/>
          <a:p>
            <a:pPr>
              <a:defRPr b="1"/>
            </a:pPr>
            <a:endParaRPr lang="en-US"/>
          </a:p>
        </c:txPr>
        <c:crossAx val="49992704"/>
        <c:crosses val="autoZero"/>
        <c:crossBetween val="between"/>
      </c:valAx>
    </c:plotArea>
    <c:legend>
      <c:legendPos val="r"/>
      <c:overlay val="0"/>
      <c:txPr>
        <a:bodyPr/>
        <a:lstStyle/>
        <a:p>
          <a:pPr>
            <a:defRPr b="1"/>
          </a:pPr>
          <a:endParaRPr lang="en-US"/>
        </a:p>
      </c:txPr>
    </c:legend>
    <c:plotVisOnly val="1"/>
    <c:dispBlanksAs val="gap"/>
    <c:showDLblsOverMax val="0"/>
  </c:chart>
  <c:printSettings>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Impact of capital</a:t>
            </a:r>
            <a:r>
              <a:rPr lang="en-US" baseline="0"/>
              <a:t> c</a:t>
            </a:r>
            <a:r>
              <a:rPr lang="en-US"/>
              <a:t>ost</a:t>
            </a:r>
          </a:p>
        </c:rich>
      </c:tx>
      <c:overlay val="0"/>
    </c:title>
    <c:autoTitleDeleted val="0"/>
    <c:plotArea>
      <c:layout/>
      <c:lineChart>
        <c:grouping val="standard"/>
        <c:varyColors val="0"/>
        <c:ser>
          <c:idx val="0"/>
          <c:order val="0"/>
          <c:tx>
            <c:strRef>
              <c:f>'Assumptions &amp; Results'!$A$180</c:f>
              <c:strCache>
                <c:ptCount val="1"/>
                <c:pt idx="0">
                  <c:v>Government Take (Undiscounted)</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Results'!$C$180:$G$180</c:f>
              <c:numCache>
                <c:formatCode>0%</c:formatCode>
                <c:ptCount val="5"/>
                <c:pt idx="0">
                  <c:v>0.50167429908418681</c:v>
                </c:pt>
                <c:pt idx="1">
                  <c:v>0.50286030090979117</c:v>
                </c:pt>
                <c:pt idx="2">
                  <c:v>0.50824109220538261</c:v>
                </c:pt>
                <c:pt idx="3">
                  <c:v>0.51032777720862144</c:v>
                </c:pt>
                <c:pt idx="4">
                  <c:v>0.5243497200088465</c:v>
                </c:pt>
              </c:numCache>
            </c:numRef>
          </c:val>
          <c:smooth val="0"/>
        </c:ser>
        <c:ser>
          <c:idx val="1"/>
          <c:order val="1"/>
          <c:tx>
            <c:strRef>
              <c:f>'Assumptions &amp; Results'!$A$181</c:f>
              <c:strCache>
                <c:ptCount val="1"/>
                <c:pt idx="0">
                  <c:v>Government Take (Discounted)</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Results'!$C$181:$G$181</c:f>
              <c:numCache>
                <c:formatCode>0%</c:formatCode>
                <c:ptCount val="5"/>
                <c:pt idx="0">
                  <c:v>0.58804235824787454</c:v>
                </c:pt>
                <c:pt idx="1">
                  <c:v>0.65241884367446767</c:v>
                </c:pt>
                <c:pt idx="2">
                  <c:v>0.76601915900019624</c:v>
                </c:pt>
                <c:pt idx="3">
                  <c:v>0.93007206233652584</c:v>
                </c:pt>
                <c:pt idx="4">
                  <c:v>1.564686593499639</c:v>
                </c:pt>
              </c:numCache>
            </c:numRef>
          </c:val>
          <c:smooth val="0"/>
        </c:ser>
        <c:ser>
          <c:idx val="2"/>
          <c:order val="2"/>
          <c:tx>
            <c:strRef>
              <c:f>'Assumptions &amp; Results'!$A$182</c:f>
              <c:strCache>
                <c:ptCount val="1"/>
                <c:pt idx="0">
                  <c:v>Project IRR</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Results'!$C$182:$G$182</c:f>
              <c:numCache>
                <c:formatCode>0%</c:formatCode>
                <c:ptCount val="5"/>
                <c:pt idx="0">
                  <c:v>0.22774803644101915</c:v>
                </c:pt>
                <c:pt idx="1">
                  <c:v>0.1867517910457519</c:v>
                </c:pt>
                <c:pt idx="2">
                  <c:v>0.15700455736792307</c:v>
                </c:pt>
                <c:pt idx="3">
                  <c:v>0.1363675282926744</c:v>
                </c:pt>
                <c:pt idx="4">
                  <c:v>0.11066694189610282</c:v>
                </c:pt>
              </c:numCache>
            </c:numRef>
          </c:val>
          <c:smooth val="0"/>
        </c:ser>
        <c:ser>
          <c:idx val="3"/>
          <c:order val="3"/>
          <c:tx>
            <c:strRef>
              <c:f>'Assumptions &amp; Results'!$A$183</c:f>
              <c:strCache>
                <c:ptCount val="1"/>
                <c:pt idx="0">
                  <c:v>Investors IRR</c:v>
                </c:pt>
              </c:strCache>
            </c:strRef>
          </c:tx>
          <c:cat>
            <c:numRef>
              <c:f>'Assumptions &amp; Results'!$C$165:$G$165</c:f>
              <c:numCache>
                <c:formatCode>0%</c:formatCode>
                <c:ptCount val="5"/>
                <c:pt idx="0">
                  <c:v>0.6</c:v>
                </c:pt>
                <c:pt idx="1">
                  <c:v>0.8</c:v>
                </c:pt>
                <c:pt idx="2">
                  <c:v>1</c:v>
                </c:pt>
                <c:pt idx="3">
                  <c:v>1.2</c:v>
                </c:pt>
                <c:pt idx="4">
                  <c:v>1.5</c:v>
                </c:pt>
              </c:numCache>
            </c:numRef>
          </c:cat>
          <c:val>
            <c:numRef>
              <c:f>'Assumptions &amp; Results'!$C$183:$G$183</c:f>
              <c:numCache>
                <c:formatCode>0%</c:formatCode>
                <c:ptCount val="5"/>
                <c:pt idx="0">
                  <c:v>0.26259086899615469</c:v>
                </c:pt>
                <c:pt idx="1">
                  <c:v>0.20068947379965651</c:v>
                </c:pt>
                <c:pt idx="2">
                  <c:v>0.15748057924343217</c:v>
                </c:pt>
                <c:pt idx="3">
                  <c:v>0.12902060650232383</c:v>
                </c:pt>
                <c:pt idx="4">
                  <c:v>9.5483493172266343E-2</c:v>
                </c:pt>
              </c:numCache>
            </c:numRef>
          </c:val>
          <c:smooth val="0"/>
        </c:ser>
        <c:dLbls>
          <c:showLegendKey val="0"/>
          <c:showVal val="0"/>
          <c:showCatName val="0"/>
          <c:showSerName val="0"/>
          <c:showPercent val="0"/>
          <c:showBubbleSize val="0"/>
        </c:dLbls>
        <c:marker val="1"/>
        <c:smooth val="0"/>
        <c:axId val="101848064"/>
        <c:axId val="112558080"/>
      </c:lineChart>
      <c:catAx>
        <c:axId val="101848064"/>
        <c:scaling>
          <c:orientation val="minMax"/>
        </c:scaling>
        <c:delete val="0"/>
        <c:axPos val="b"/>
        <c:title>
          <c:tx>
            <c:rich>
              <a:bodyPr/>
              <a:lstStyle/>
              <a:p>
                <a:pPr>
                  <a:defRPr/>
                </a:pPr>
                <a:r>
                  <a:rPr lang="en-US"/>
                  <a:t>Percentage of Base CAPEX</a:t>
                </a:r>
              </a:p>
            </c:rich>
          </c:tx>
          <c:overlay val="0"/>
        </c:title>
        <c:numFmt formatCode="0%" sourceLinked="1"/>
        <c:majorTickMark val="out"/>
        <c:minorTickMark val="none"/>
        <c:tickLblPos val="nextTo"/>
        <c:txPr>
          <a:bodyPr/>
          <a:lstStyle/>
          <a:p>
            <a:pPr>
              <a:defRPr b="1"/>
            </a:pPr>
            <a:endParaRPr lang="en-US"/>
          </a:p>
        </c:txPr>
        <c:crossAx val="112558080"/>
        <c:crosses val="autoZero"/>
        <c:auto val="1"/>
        <c:lblAlgn val="ctr"/>
        <c:lblOffset val="100"/>
        <c:noMultiLvlLbl val="0"/>
      </c:catAx>
      <c:valAx>
        <c:axId val="112558080"/>
        <c:scaling>
          <c:orientation val="minMax"/>
          <c:max val="1"/>
          <c:min val="0"/>
        </c:scaling>
        <c:delete val="0"/>
        <c:axPos val="l"/>
        <c:majorGridlines/>
        <c:title>
          <c:tx>
            <c:rich>
              <a:bodyPr rot="-5400000" vert="horz"/>
              <a:lstStyle/>
              <a:p>
                <a:pPr>
                  <a:defRPr/>
                </a:pPr>
                <a:r>
                  <a:rPr lang="en-US"/>
                  <a:t>IRR/ Govt Take</a:t>
                </a:r>
              </a:p>
            </c:rich>
          </c:tx>
          <c:overlay val="0"/>
        </c:title>
        <c:numFmt formatCode="0%" sourceLinked="1"/>
        <c:majorTickMark val="out"/>
        <c:minorTickMark val="none"/>
        <c:tickLblPos val="nextTo"/>
        <c:txPr>
          <a:bodyPr/>
          <a:lstStyle/>
          <a:p>
            <a:pPr>
              <a:defRPr b="1"/>
            </a:pPr>
            <a:endParaRPr lang="en-US"/>
          </a:p>
        </c:txPr>
        <c:crossAx val="101848064"/>
        <c:crosses val="autoZero"/>
        <c:crossBetween val="between"/>
      </c:valAx>
    </c:plotArea>
    <c:legend>
      <c:legendPos val="r"/>
      <c:overlay val="0"/>
      <c:txPr>
        <a:bodyPr/>
        <a:lstStyle/>
        <a:p>
          <a:pPr>
            <a:defRPr b="1"/>
          </a:pPr>
          <a:endParaRPr lang="en-US"/>
        </a:p>
      </c:txPr>
    </c:legend>
    <c:plotVisOnly val="1"/>
    <c:dispBlanksAs val="gap"/>
    <c:showDLblsOverMax val="0"/>
  </c:chart>
  <c:printSettings>
    <c:headerFooter/>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a:pPr>
            <a:r>
              <a:rPr lang="en-US"/>
              <a:t>Project Rate of Return</a:t>
            </a:r>
          </a:p>
        </c:rich>
      </c:tx>
      <c:overlay val="0"/>
    </c:title>
    <c:autoTitleDeleted val="0"/>
    <c:plotArea>
      <c:layout/>
      <c:barChart>
        <c:barDir val="bar"/>
        <c:grouping val="clustered"/>
        <c:varyColors val="0"/>
        <c:ser>
          <c:idx val="0"/>
          <c:order val="0"/>
          <c:tx>
            <c:strRef>
              <c:f>'Assumptions &amp; Results'!$AM$3</c:f>
              <c:strCache>
                <c:ptCount val="1"/>
              </c:strCache>
            </c:strRef>
          </c:tx>
          <c:invertIfNegative val="0"/>
          <c:dPt>
            <c:idx val="1"/>
            <c:invertIfNegative val="0"/>
            <c:bubble3D val="0"/>
          </c:dPt>
          <c:dPt>
            <c:idx val="4"/>
            <c:invertIfNegative val="0"/>
            <c:bubble3D val="0"/>
          </c:dPt>
          <c:dPt>
            <c:idx val="6"/>
            <c:invertIfNegative val="0"/>
            <c:bubble3D val="0"/>
          </c:dPt>
          <c:dPt>
            <c:idx val="8"/>
            <c:invertIfNegative val="0"/>
            <c:bubble3D val="0"/>
          </c:dPt>
          <c:dPt>
            <c:idx val="9"/>
            <c:invertIfNegative val="0"/>
            <c:bubble3D val="0"/>
          </c:dPt>
          <c:dPt>
            <c:idx val="11"/>
            <c:invertIfNegative val="0"/>
            <c:bubble3D val="0"/>
          </c:dPt>
          <c:dPt>
            <c:idx val="12"/>
            <c:invertIfNegative val="0"/>
            <c:bubble3D val="0"/>
          </c:dPt>
          <c:dPt>
            <c:idx val="13"/>
            <c:invertIfNegative val="0"/>
            <c:bubble3D val="0"/>
          </c:dPt>
          <c:cat>
            <c:strRef>
              <c:f>'Assumptions &amp; Results'!$AL$4:$AL$17</c:f>
              <c:strCache>
                <c:ptCount val="14"/>
                <c:pt idx="0">
                  <c:v>Chile </c:v>
                </c:pt>
                <c:pt idx="1">
                  <c:v>PNG</c:v>
                </c:pt>
                <c:pt idx="2">
                  <c:v>Peru</c:v>
                </c:pt>
                <c:pt idx="3">
                  <c:v>Tanzania</c:v>
                </c:pt>
                <c:pt idx="4">
                  <c:v>Average Peru</c:v>
                </c:pt>
                <c:pt idx="5">
                  <c:v>Mexico</c:v>
                </c:pt>
                <c:pt idx="6">
                  <c:v>Total Average</c:v>
                </c:pt>
                <c:pt idx="7">
                  <c:v>Colombia</c:v>
                </c:pt>
                <c:pt idx="8">
                  <c:v>Average Ghana</c:v>
                </c:pt>
                <c:pt idx="9">
                  <c:v>South Africa</c:v>
                </c:pt>
                <c:pt idx="10">
                  <c:v>Brazil</c:v>
                </c:pt>
                <c:pt idx="11">
                  <c:v>Indonesia</c:v>
                </c:pt>
                <c:pt idx="12">
                  <c:v>Mine</c:v>
                </c:pt>
                <c:pt idx="13">
                  <c:v>Ghana</c:v>
                </c:pt>
              </c:strCache>
            </c:strRef>
          </c:cat>
          <c:val>
            <c:numRef>
              <c:f>'Assumptions &amp; Results'!$AM$4:$AM$17</c:f>
              <c:numCache>
                <c:formatCode>0.0%</c:formatCode>
                <c:ptCount val="14"/>
                <c:pt idx="0">
                  <c:v>0.17220095867035834</c:v>
                </c:pt>
                <c:pt idx="1">
                  <c:v>0.17099323111126674</c:v>
                </c:pt>
                <c:pt idx="2">
                  <c:v>0.1683772772882326</c:v>
                </c:pt>
                <c:pt idx="3">
                  <c:v>0.16728948816189071</c:v>
                </c:pt>
                <c:pt idx="4">
                  <c:v>0.16614628274402263</c:v>
                </c:pt>
                <c:pt idx="5">
                  <c:v>0.16547051453146211</c:v>
                </c:pt>
                <c:pt idx="6">
                  <c:v>0.16472720792478177</c:v>
                </c:pt>
                <c:pt idx="7">
                  <c:v>0.1639703874390892</c:v>
                </c:pt>
                <c:pt idx="8">
                  <c:v>0.1633081331055409</c:v>
                </c:pt>
                <c:pt idx="9">
                  <c:v>0.16233837578789045</c:v>
                </c:pt>
                <c:pt idx="10">
                  <c:v>0.16071227579097092</c:v>
                </c:pt>
                <c:pt idx="11">
                  <c:v>0.15891501309873357</c:v>
                </c:pt>
                <c:pt idx="12">
                  <c:v>0.15859092663937036</c:v>
                </c:pt>
                <c:pt idx="13">
                  <c:v>0.15700455736792307</c:v>
                </c:pt>
              </c:numCache>
            </c:numRef>
          </c:val>
        </c:ser>
        <c:dLbls>
          <c:showLegendKey val="0"/>
          <c:showVal val="0"/>
          <c:showCatName val="0"/>
          <c:showSerName val="0"/>
          <c:showPercent val="0"/>
          <c:showBubbleSize val="0"/>
        </c:dLbls>
        <c:gapWidth val="150"/>
        <c:axId val="49993216"/>
        <c:axId val="112560384"/>
      </c:barChart>
      <c:catAx>
        <c:axId val="49993216"/>
        <c:scaling>
          <c:orientation val="minMax"/>
        </c:scaling>
        <c:delete val="0"/>
        <c:axPos val="l"/>
        <c:numFmt formatCode="0.0%" sourceLinked="1"/>
        <c:majorTickMark val="out"/>
        <c:minorTickMark val="none"/>
        <c:tickLblPos val="nextTo"/>
        <c:crossAx val="112560384"/>
        <c:crosses val="autoZero"/>
        <c:auto val="1"/>
        <c:lblAlgn val="ctr"/>
        <c:lblOffset val="100"/>
        <c:noMultiLvlLbl val="0"/>
      </c:catAx>
      <c:valAx>
        <c:axId val="112560384"/>
        <c:scaling>
          <c:orientation val="minMax"/>
        </c:scaling>
        <c:delete val="0"/>
        <c:axPos val="b"/>
        <c:minorGridlines/>
        <c:numFmt formatCode="0.0%" sourceLinked="1"/>
        <c:majorTickMark val="out"/>
        <c:minorTickMark val="none"/>
        <c:tickLblPos val="nextTo"/>
        <c:crossAx val="49993216"/>
        <c:crosses val="autoZero"/>
        <c:crossBetween val="between"/>
      </c:valAx>
    </c:plotArea>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g"/><Relationship Id="rId1" Type="http://schemas.openxmlformats.org/officeDocument/2006/relationships/chart" Target="../charts/chart1.xml"/><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18" Type="http://schemas.openxmlformats.org/officeDocument/2006/relationships/chart" Target="../charts/chart19.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0</xdr:rowOff>
    </xdr:from>
    <xdr:to>
      <xdr:col>7</xdr:col>
      <xdr:colOff>514350</xdr:colOff>
      <xdr:row>33</xdr:row>
      <xdr:rowOff>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706120</xdr:colOff>
      <xdr:row>0</xdr:row>
      <xdr:rowOff>91440</xdr:rowOff>
    </xdr:from>
    <xdr:to>
      <xdr:col>8</xdr:col>
      <xdr:colOff>594048</xdr:colOff>
      <xdr:row>8</xdr:row>
      <xdr:rowOff>212722</xdr:rowOff>
    </xdr:to>
    <xdr:pic>
      <xdr:nvPicPr>
        <xdr:cNvPr id="37" name="Picture 36" descr="VCC_logo_tree_icon.jpg"/>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6120" y="91440"/>
          <a:ext cx="6227768" cy="1838322"/>
        </a:xfrm>
        <a:prstGeom prst="rect">
          <a:avLst/>
        </a:prstGeom>
      </xdr:spPr>
    </xdr:pic>
    <xdr:clientData/>
  </xdr:twoCellAnchor>
  <xdr:twoCellAnchor editAs="oneCell">
    <xdr:from>
      <xdr:col>8</xdr:col>
      <xdr:colOff>11044</xdr:colOff>
      <xdr:row>66</xdr:row>
      <xdr:rowOff>165652</xdr:rowOff>
    </xdr:from>
    <xdr:to>
      <xdr:col>9</xdr:col>
      <xdr:colOff>235285</xdr:colOff>
      <xdr:row>68</xdr:row>
      <xdr:rowOff>78897</xdr:rowOff>
    </xdr:to>
    <xdr:pic>
      <xdr:nvPicPr>
        <xdr:cNvPr id="13" name="Picture 12" descr="https://licensebuttons.net/l/by/4.0/88x31.png"/>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283740" y="12954000"/>
          <a:ext cx="1008328" cy="266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20321</xdr:colOff>
      <xdr:row>5</xdr:row>
      <xdr:rowOff>30480</xdr:rowOff>
    </xdr:from>
    <xdr:to>
      <xdr:col>11</xdr:col>
      <xdr:colOff>497841</xdr:colOff>
      <xdr:row>7</xdr:row>
      <xdr:rowOff>123190</xdr:rowOff>
    </xdr:to>
    <xdr:pic>
      <xdr:nvPicPr>
        <xdr:cNvPr id="5" name="Picture 4"/>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945121" y="1016000"/>
          <a:ext cx="1270000" cy="641350"/>
        </a:xfrm>
        <a:prstGeom prst="rect">
          <a:avLst/>
        </a:prstGeom>
        <a:extLst>
          <a:ext uri="{FAA26D3D-D897-4be2-8F04-BA451C77F1D7}">
            <ma14:placeholderFlag xmlns:ma14="http://schemas.microsoft.com/office/mac/drawingml/2011/main" xmln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196417</xdr:colOff>
      <xdr:row>85</xdr:row>
      <xdr:rowOff>947</xdr:rowOff>
    </xdr:from>
    <xdr:to>
      <xdr:col>23</xdr:col>
      <xdr:colOff>391885</xdr:colOff>
      <xdr:row>112</xdr:row>
      <xdr:rowOff>39915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215899</xdr:colOff>
      <xdr:row>184</xdr:row>
      <xdr:rowOff>110435</xdr:rowOff>
    </xdr:from>
    <xdr:to>
      <xdr:col>13</xdr:col>
      <xdr:colOff>605692</xdr:colOff>
      <xdr:row>201</xdr:row>
      <xdr:rowOff>9769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764602</xdr:colOff>
      <xdr:row>113</xdr:row>
      <xdr:rowOff>17939</xdr:rowOff>
    </xdr:from>
    <xdr:to>
      <xdr:col>24</xdr:col>
      <xdr:colOff>907063</xdr:colOff>
      <xdr:row>156</xdr:row>
      <xdr:rowOff>74706</xdr:rowOff>
    </xdr:to>
    <xdr:graphicFrame macro="">
      <xdr:nvGraphicFramePr>
        <xdr:cNvPr id="8"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91060</xdr:colOff>
      <xdr:row>113</xdr:row>
      <xdr:rowOff>11895</xdr:rowOff>
    </xdr:from>
    <xdr:to>
      <xdr:col>30</xdr:col>
      <xdr:colOff>582705</xdr:colOff>
      <xdr:row>156</xdr:row>
      <xdr:rowOff>59765</xdr:rowOff>
    </xdr:to>
    <xdr:graphicFrame macro="">
      <xdr:nvGraphicFramePr>
        <xdr:cNvPr id="9"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215900</xdr:colOff>
      <xdr:row>163</xdr:row>
      <xdr:rowOff>88900</xdr:rowOff>
    </xdr:from>
    <xdr:to>
      <xdr:col>15</xdr:col>
      <xdr:colOff>431800</xdr:colOff>
      <xdr:row>183</xdr:row>
      <xdr:rowOff>20320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774700</xdr:colOff>
      <xdr:row>163</xdr:row>
      <xdr:rowOff>101600</xdr:rowOff>
    </xdr:from>
    <xdr:to>
      <xdr:col>21</xdr:col>
      <xdr:colOff>203200</xdr:colOff>
      <xdr:row>183</xdr:row>
      <xdr:rowOff>33020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495300</xdr:colOff>
      <xdr:row>163</xdr:row>
      <xdr:rowOff>76200</xdr:rowOff>
    </xdr:from>
    <xdr:to>
      <xdr:col>27</xdr:col>
      <xdr:colOff>673100</xdr:colOff>
      <xdr:row>183</xdr:row>
      <xdr:rowOff>7620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698500</xdr:colOff>
      <xdr:row>11</xdr:row>
      <xdr:rowOff>69850</xdr:rowOff>
    </xdr:from>
    <xdr:to>
      <xdr:col>30</xdr:col>
      <xdr:colOff>469900</xdr:colOff>
      <xdr:row>33</xdr:row>
      <xdr:rowOff>50800</xdr:rowOff>
    </xdr:to>
    <xdr:graphicFrame macro="">
      <xdr:nvGraphicFramePr>
        <xdr:cNvPr id="15"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15</xdr:col>
      <xdr:colOff>152400</xdr:colOff>
      <xdr:row>11</xdr:row>
      <xdr:rowOff>88900</xdr:rowOff>
    </xdr:from>
    <xdr:to>
      <xdr:col>22</xdr:col>
      <xdr:colOff>88900</xdr:colOff>
      <xdr:row>33</xdr:row>
      <xdr:rowOff>50800</xdr:rowOff>
    </xdr:to>
    <xdr:graphicFrame macro="">
      <xdr:nvGraphicFramePr>
        <xdr:cNvPr id="16"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15</xdr:col>
      <xdr:colOff>139700</xdr:colOff>
      <xdr:row>33</xdr:row>
      <xdr:rowOff>101600</xdr:rowOff>
    </xdr:from>
    <xdr:to>
      <xdr:col>22</xdr:col>
      <xdr:colOff>88900</xdr:colOff>
      <xdr:row>56</xdr:row>
      <xdr:rowOff>88900</xdr:rowOff>
    </xdr:to>
    <xdr:graphicFrame macro="">
      <xdr:nvGraphicFramePr>
        <xdr:cNvPr id="17"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22</xdr:col>
      <xdr:colOff>685800</xdr:colOff>
      <xdr:row>33</xdr:row>
      <xdr:rowOff>101600</xdr:rowOff>
    </xdr:from>
    <xdr:to>
      <xdr:col>30</xdr:col>
      <xdr:colOff>457200</xdr:colOff>
      <xdr:row>56</xdr:row>
      <xdr:rowOff>76200</xdr:rowOff>
    </xdr:to>
    <xdr:graphicFrame macro="">
      <xdr:nvGraphicFramePr>
        <xdr:cNvPr id="18"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215900</xdr:colOff>
      <xdr:row>206</xdr:row>
      <xdr:rowOff>0</xdr:rowOff>
    </xdr:from>
    <xdr:to>
      <xdr:col>14</xdr:col>
      <xdr:colOff>292100</xdr:colOff>
      <xdr:row>226</xdr:row>
      <xdr:rowOff>101600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15</xdr:col>
      <xdr:colOff>266700</xdr:colOff>
      <xdr:row>206</xdr:row>
      <xdr:rowOff>12700</xdr:rowOff>
    </xdr:from>
    <xdr:to>
      <xdr:col>20</xdr:col>
      <xdr:colOff>165100</xdr:colOff>
      <xdr:row>226</xdr:row>
      <xdr:rowOff>114300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15</xdr:col>
      <xdr:colOff>181429</xdr:colOff>
      <xdr:row>60</xdr:row>
      <xdr:rowOff>90713</xdr:rowOff>
    </xdr:from>
    <xdr:to>
      <xdr:col>23</xdr:col>
      <xdr:colOff>394789</xdr:colOff>
      <xdr:row>84</xdr:row>
      <xdr:rowOff>76925</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15</xdr:col>
      <xdr:colOff>209386</xdr:colOff>
      <xdr:row>113</xdr:row>
      <xdr:rowOff>22084</xdr:rowOff>
    </xdr:from>
    <xdr:to>
      <xdr:col>19</xdr:col>
      <xdr:colOff>530087</xdr:colOff>
      <xdr:row>156</xdr:row>
      <xdr:rowOff>89647</xdr:rowOff>
    </xdr:to>
    <xdr:graphicFrame macro="">
      <xdr:nvGraphicFramePr>
        <xdr:cNvPr id="3"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23</xdr:col>
      <xdr:colOff>439050</xdr:colOff>
      <xdr:row>85</xdr:row>
      <xdr:rowOff>16444</xdr:rowOff>
    </xdr:from>
    <xdr:to>
      <xdr:col>30</xdr:col>
      <xdr:colOff>604380</xdr:colOff>
      <xdr:row>112</xdr:row>
      <xdr:rowOff>44174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23</xdr:col>
      <xdr:colOff>485913</xdr:colOff>
      <xdr:row>60</xdr:row>
      <xdr:rowOff>102703</xdr:rowOff>
    </xdr:from>
    <xdr:to>
      <xdr:col>30</xdr:col>
      <xdr:colOff>508000</xdr:colOff>
      <xdr:row>84</xdr:row>
      <xdr:rowOff>77304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410308</xdr:colOff>
      <xdr:row>230</xdr:row>
      <xdr:rowOff>0</xdr:rowOff>
    </xdr:from>
    <xdr:to>
      <xdr:col>15</xdr:col>
      <xdr:colOff>626208</xdr:colOff>
      <xdr:row>249</xdr:row>
      <xdr:rowOff>87728</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249977111117893"/>
  </sheetPr>
  <dimension ref="A5:P72"/>
  <sheetViews>
    <sheetView showGridLines="0" tabSelected="1" zoomScale="125" zoomScaleNormal="125" zoomScalePageLayoutView="125" workbookViewId="0">
      <selection activeCell="F23" sqref="F23"/>
    </sheetView>
  </sheetViews>
  <sheetFormatPr defaultColWidth="73.7109375" defaultRowHeight="15" x14ac:dyDescent="0.25"/>
  <cols>
    <col min="1" max="15" width="10.28515625" style="167" customWidth="1"/>
    <col min="16" max="16" width="73.7109375" customWidth="1"/>
    <col min="17" max="17" width="12.85546875" style="167" customWidth="1"/>
    <col min="18" max="18" width="10.7109375" style="167" customWidth="1"/>
    <col min="19" max="19" width="19.42578125" style="167" customWidth="1"/>
    <col min="20" max="20" width="23.28515625" style="167" customWidth="1"/>
    <col min="21" max="16382" width="73.7109375" style="167"/>
    <col min="16383" max="16384" width="22.42578125" style="167" customWidth="1"/>
  </cols>
  <sheetData>
    <row r="5" spans="1:16" ht="21" x14ac:dyDescent="0.35">
      <c r="J5" s="363" t="s">
        <v>449</v>
      </c>
    </row>
    <row r="6" spans="1:16" ht="23.25" x14ac:dyDescent="0.35">
      <c r="H6" s="168"/>
    </row>
    <row r="7" spans="1:16" ht="21" x14ac:dyDescent="0.35">
      <c r="I7" s="172"/>
      <c r="J7" s="170"/>
    </row>
    <row r="9" spans="1:16" ht="75.95" customHeight="1" x14ac:dyDescent="0.25">
      <c r="A9" s="328" t="s">
        <v>401</v>
      </c>
      <c r="K9" s="169"/>
    </row>
    <row r="10" spans="1:16" s="171" customFormat="1" ht="23.25" x14ac:dyDescent="0.35">
      <c r="A10" s="171" t="s">
        <v>388</v>
      </c>
    </row>
    <row r="11" spans="1:16" ht="18.75" x14ac:dyDescent="0.3">
      <c r="A11" s="318" t="s">
        <v>448</v>
      </c>
    </row>
    <row r="12" spans="1:16" ht="81.95" customHeight="1" x14ac:dyDescent="0.25">
      <c r="A12" s="383" t="s">
        <v>463</v>
      </c>
      <c r="B12" s="383"/>
      <c r="C12" s="383"/>
      <c r="D12" s="383"/>
      <c r="E12" s="383"/>
      <c r="F12" s="383"/>
      <c r="G12" s="383"/>
      <c r="H12" s="383"/>
      <c r="I12" s="383"/>
      <c r="J12" s="383"/>
      <c r="K12" s="383"/>
      <c r="L12" s="383"/>
      <c r="M12" s="383"/>
      <c r="N12" s="383"/>
      <c r="O12" s="383"/>
      <c r="P12" s="359"/>
    </row>
    <row r="13" spans="1:16" ht="18.75" x14ac:dyDescent="0.3">
      <c r="A13" s="318" t="s">
        <v>409</v>
      </c>
      <c r="B13" s="327"/>
      <c r="C13" s="327"/>
      <c r="D13" s="327"/>
      <c r="E13" s="327"/>
      <c r="F13" s="327"/>
      <c r="G13" s="327"/>
      <c r="H13" s="327"/>
      <c r="I13" s="327"/>
      <c r="J13" s="327"/>
      <c r="K13" s="327"/>
      <c r="L13" s="327"/>
      <c r="M13" s="327"/>
      <c r="N13" s="327"/>
      <c r="O13" s="327"/>
    </row>
    <row r="14" spans="1:16" ht="119.1" customHeight="1" x14ac:dyDescent="0.25">
      <c r="A14" s="384" t="s">
        <v>473</v>
      </c>
      <c r="B14" s="385"/>
      <c r="C14" s="385"/>
      <c r="D14" s="385"/>
      <c r="E14" s="385"/>
      <c r="F14" s="385"/>
      <c r="G14" s="385"/>
      <c r="H14" s="385"/>
      <c r="I14" s="385"/>
      <c r="J14" s="385"/>
      <c r="K14" s="385"/>
      <c r="L14" s="385"/>
      <c r="M14" s="385"/>
      <c r="N14" s="385"/>
      <c r="O14" s="385"/>
    </row>
    <row r="15" spans="1:16" ht="27.95" customHeight="1" x14ac:dyDescent="0.3">
      <c r="A15" s="318" t="s">
        <v>419</v>
      </c>
    </row>
    <row r="16" spans="1:16" ht="48.95" customHeight="1" x14ac:dyDescent="0.25">
      <c r="A16" s="386" t="s">
        <v>462</v>
      </c>
      <c r="B16" s="387"/>
      <c r="C16" s="387"/>
      <c r="D16" s="387"/>
      <c r="E16" s="387"/>
      <c r="F16" s="387"/>
      <c r="G16" s="387"/>
      <c r="H16" s="387"/>
      <c r="I16" s="387"/>
      <c r="J16" s="387"/>
      <c r="K16" s="387"/>
      <c r="L16" s="387"/>
      <c r="M16" s="387"/>
      <c r="N16" s="387"/>
      <c r="O16" s="387"/>
    </row>
    <row r="17" spans="1:15" ht="26.1" customHeight="1" x14ac:dyDescent="0.25">
      <c r="A17" s="349"/>
      <c r="B17" s="349"/>
      <c r="C17" s="349"/>
      <c r="D17" s="349"/>
      <c r="E17" s="349"/>
      <c r="F17" s="349"/>
      <c r="G17" s="349"/>
      <c r="H17" s="349"/>
      <c r="I17" s="349"/>
      <c r="J17" s="349"/>
      <c r="K17" s="349"/>
      <c r="L17" s="349"/>
      <c r="M17" s="349"/>
      <c r="N17" s="349"/>
      <c r="O17" s="349"/>
    </row>
    <row r="18" spans="1:15" s="171" customFormat="1" ht="23.25" x14ac:dyDescent="0.35">
      <c r="A18" s="171" t="s">
        <v>376</v>
      </c>
    </row>
    <row r="19" spans="1:15" x14ac:dyDescent="0.25">
      <c r="A19" s="169" t="s">
        <v>377</v>
      </c>
    </row>
    <row r="20" spans="1:15" x14ac:dyDescent="0.25">
      <c r="A20" s="297" t="s">
        <v>390</v>
      </c>
      <c r="B20" s="297"/>
      <c r="C20" s="173" t="s">
        <v>452</v>
      </c>
      <c r="D20" s="173"/>
      <c r="E20" s="173"/>
      <c r="F20" s="173"/>
      <c r="G20" s="173"/>
      <c r="H20" s="173"/>
      <c r="I20" s="173"/>
      <c r="J20" s="173"/>
      <c r="K20" s="173"/>
      <c r="L20" s="173"/>
      <c r="M20" s="173"/>
    </row>
    <row r="21" spans="1:15" ht="59.1" customHeight="1" x14ac:dyDescent="0.25">
      <c r="A21" s="364" t="s">
        <v>391</v>
      </c>
      <c r="B21" s="310"/>
      <c r="C21" s="375" t="s">
        <v>496</v>
      </c>
      <c r="D21" s="376"/>
      <c r="E21" s="376"/>
      <c r="F21" s="376"/>
      <c r="G21" s="376"/>
      <c r="H21" s="376"/>
      <c r="I21" s="376"/>
      <c r="J21" s="376"/>
      <c r="K21" s="376"/>
      <c r="L21" s="376"/>
      <c r="M21" s="376"/>
      <c r="N21" s="376"/>
      <c r="O21" s="376"/>
    </row>
    <row r="22" spans="1:15" x14ac:dyDescent="0.25">
      <c r="A22" s="310" t="s">
        <v>378</v>
      </c>
      <c r="B22" s="310"/>
      <c r="C22" s="173" t="s">
        <v>384</v>
      </c>
      <c r="D22" s="173"/>
      <c r="E22" s="173"/>
      <c r="F22" s="173"/>
      <c r="G22" s="173"/>
      <c r="H22" s="173"/>
      <c r="I22" s="173"/>
      <c r="J22" s="173"/>
      <c r="K22" s="173"/>
      <c r="L22" s="173"/>
      <c r="M22" s="173"/>
    </row>
    <row r="23" spans="1:15" x14ac:dyDescent="0.25">
      <c r="A23" s="296" t="s">
        <v>379</v>
      </c>
      <c r="B23" s="296"/>
      <c r="C23" s="173" t="s">
        <v>383</v>
      </c>
      <c r="D23" s="173"/>
      <c r="E23" s="173"/>
      <c r="F23" s="173"/>
      <c r="G23" s="173"/>
      <c r="H23" s="173"/>
      <c r="I23" s="173"/>
      <c r="J23" s="173"/>
      <c r="K23" s="173"/>
      <c r="L23" s="173"/>
      <c r="M23" s="173"/>
    </row>
    <row r="24" spans="1:15" x14ac:dyDescent="0.25">
      <c r="A24" s="296" t="s">
        <v>380</v>
      </c>
      <c r="B24" s="296"/>
      <c r="C24" s="173" t="s">
        <v>385</v>
      </c>
      <c r="D24" s="173"/>
      <c r="E24" s="173"/>
      <c r="F24" s="173"/>
      <c r="G24" s="173"/>
      <c r="H24" s="173"/>
      <c r="I24" s="173"/>
      <c r="J24" s="173"/>
      <c r="K24" s="173"/>
      <c r="L24" s="173"/>
      <c r="M24" s="173"/>
    </row>
    <row r="25" spans="1:15" x14ac:dyDescent="0.25">
      <c r="A25" s="296" t="s">
        <v>381</v>
      </c>
      <c r="B25" s="296"/>
      <c r="C25" s="173" t="s">
        <v>386</v>
      </c>
      <c r="D25" s="173"/>
      <c r="E25" s="173"/>
      <c r="F25" s="173"/>
      <c r="G25" s="173"/>
      <c r="H25" s="173"/>
      <c r="I25" s="173"/>
      <c r="J25" s="173"/>
      <c r="K25" s="173"/>
      <c r="L25" s="173"/>
      <c r="M25" s="173"/>
    </row>
    <row r="26" spans="1:15" x14ac:dyDescent="0.25">
      <c r="A26" s="296" t="s">
        <v>382</v>
      </c>
      <c r="B26" s="296"/>
      <c r="C26" s="173" t="s">
        <v>387</v>
      </c>
      <c r="D26" s="173"/>
      <c r="E26" s="173"/>
      <c r="F26" s="173"/>
      <c r="G26" s="173"/>
      <c r="H26" s="173"/>
      <c r="I26" s="173"/>
      <c r="J26" s="173"/>
      <c r="K26" s="173"/>
      <c r="L26" s="173"/>
      <c r="M26" s="173"/>
    </row>
    <row r="27" spans="1:15" x14ac:dyDescent="0.25">
      <c r="A27" s="344"/>
      <c r="B27" s="344"/>
      <c r="C27" s="173"/>
      <c r="D27" s="173"/>
      <c r="E27" s="173"/>
      <c r="F27" s="173"/>
      <c r="G27" s="173"/>
      <c r="H27" s="173"/>
      <c r="I27" s="173"/>
      <c r="J27" s="173"/>
      <c r="K27" s="173"/>
      <c r="L27" s="173"/>
      <c r="M27" s="173"/>
    </row>
    <row r="28" spans="1:15" x14ac:dyDescent="0.25">
      <c r="A28" s="169" t="s">
        <v>389</v>
      </c>
    </row>
    <row r="29" spans="1:15" x14ac:dyDescent="0.25">
      <c r="A29" s="345" t="s">
        <v>400</v>
      </c>
      <c r="B29" s="345"/>
      <c r="C29" s="167" t="s">
        <v>454</v>
      </c>
    </row>
    <row r="30" spans="1:15" x14ac:dyDescent="0.25">
      <c r="A30" s="346" t="s">
        <v>392</v>
      </c>
      <c r="B30" s="97"/>
      <c r="C30" s="167" t="s">
        <v>439</v>
      </c>
    </row>
    <row r="31" spans="1:15" x14ac:dyDescent="0.25">
      <c r="A31" s="304" t="s">
        <v>393</v>
      </c>
      <c r="B31" s="221"/>
      <c r="C31" s="167" t="s">
        <v>440</v>
      </c>
    </row>
    <row r="32" spans="1:15" x14ac:dyDescent="0.25">
      <c r="A32" s="305" t="s">
        <v>394</v>
      </c>
      <c r="B32" s="303"/>
      <c r="C32" s="167" t="s">
        <v>451</v>
      </c>
    </row>
    <row r="33" spans="1:16" x14ac:dyDescent="0.25">
      <c r="A33" s="169" t="s">
        <v>395</v>
      </c>
      <c r="C33" s="167" t="s">
        <v>421</v>
      </c>
    </row>
    <row r="35" spans="1:16" s="171" customFormat="1" ht="23.25" x14ac:dyDescent="0.35">
      <c r="A35" s="171" t="s">
        <v>422</v>
      </c>
    </row>
    <row r="36" spans="1:16" ht="27" customHeight="1" x14ac:dyDescent="0.25">
      <c r="A36" s="382" t="s">
        <v>433</v>
      </c>
      <c r="B36" s="382"/>
      <c r="C36" s="382"/>
      <c r="D36" s="382"/>
      <c r="E36" s="382"/>
      <c r="F36" s="382"/>
      <c r="G36" s="382"/>
      <c r="H36" s="382"/>
      <c r="I36" s="382"/>
      <c r="J36" s="382"/>
      <c r="K36" s="382"/>
      <c r="L36" s="382"/>
      <c r="M36" s="382"/>
      <c r="N36" s="382"/>
      <c r="O36" s="382"/>
    </row>
    <row r="37" spans="1:16" ht="15.95" customHeight="1" x14ac:dyDescent="0.25">
      <c r="A37" s="381" t="s">
        <v>437</v>
      </c>
      <c r="B37" s="381"/>
      <c r="C37" s="381"/>
      <c r="D37" s="381"/>
      <c r="E37" s="381"/>
      <c r="F37" s="381"/>
      <c r="G37" s="381"/>
      <c r="H37" s="381"/>
      <c r="I37" s="381"/>
      <c r="J37" s="381"/>
      <c r="K37" s="381"/>
      <c r="L37" s="381"/>
      <c r="M37" s="381"/>
      <c r="N37" s="381"/>
      <c r="O37" s="381"/>
    </row>
    <row r="38" spans="1:16" ht="29.1" customHeight="1" x14ac:dyDescent="0.25">
      <c r="A38" s="380" t="s">
        <v>472</v>
      </c>
      <c r="B38" s="381"/>
      <c r="C38" s="381"/>
      <c r="D38" s="381"/>
      <c r="E38" s="381"/>
      <c r="F38" s="381"/>
      <c r="G38" s="381"/>
      <c r="H38" s="381"/>
      <c r="I38" s="381"/>
      <c r="J38" s="381"/>
      <c r="K38" s="381"/>
      <c r="L38" s="381"/>
      <c r="M38" s="381"/>
      <c r="N38" s="381"/>
      <c r="O38" s="381"/>
    </row>
    <row r="39" spans="1:16" ht="6.95" customHeight="1" x14ac:dyDescent="0.25">
      <c r="A39" s="357"/>
      <c r="B39" s="357"/>
      <c r="C39" s="357"/>
      <c r="D39" s="357"/>
      <c r="E39" s="357"/>
      <c r="F39" s="357"/>
      <c r="G39" s="357"/>
      <c r="H39" s="357"/>
      <c r="I39" s="357"/>
      <c r="J39" s="357"/>
      <c r="K39" s="357"/>
      <c r="L39" s="357"/>
      <c r="M39" s="357"/>
      <c r="N39" s="357"/>
      <c r="O39" s="357"/>
    </row>
    <row r="40" spans="1:16" ht="14.1" customHeight="1" x14ac:dyDescent="0.25">
      <c r="A40" s="382" t="s">
        <v>453</v>
      </c>
      <c r="B40" s="382"/>
      <c r="C40" s="382"/>
      <c r="D40" s="382"/>
      <c r="E40" s="382"/>
      <c r="F40" s="382"/>
      <c r="G40" s="382"/>
      <c r="H40" s="382"/>
      <c r="I40" s="382"/>
      <c r="J40" s="382"/>
      <c r="K40" s="382"/>
      <c r="L40" s="382"/>
      <c r="M40" s="382"/>
      <c r="N40" s="382"/>
      <c r="O40" s="382"/>
    </row>
    <row r="41" spans="1:16" s="347" customFormat="1" ht="14.1" customHeight="1" x14ac:dyDescent="0.25">
      <c r="A41" s="381" t="s">
        <v>438</v>
      </c>
      <c r="B41" s="381"/>
      <c r="C41" s="381"/>
      <c r="D41" s="381"/>
      <c r="E41" s="381"/>
      <c r="F41" s="381"/>
      <c r="G41" s="381"/>
      <c r="H41" s="381"/>
      <c r="I41" s="381"/>
      <c r="J41" s="381"/>
      <c r="K41" s="381"/>
      <c r="L41" s="381"/>
      <c r="M41" s="381"/>
      <c r="N41" s="381"/>
      <c r="O41" s="381"/>
      <c r="P41" s="358"/>
    </row>
    <row r="42" spans="1:16" s="347" customFormat="1" ht="14.1" customHeight="1" x14ac:dyDescent="0.25">
      <c r="A42" s="381" t="s">
        <v>455</v>
      </c>
      <c r="B42" s="381"/>
      <c r="C42" s="381"/>
      <c r="D42" s="381"/>
      <c r="E42" s="381"/>
      <c r="F42" s="381"/>
      <c r="G42" s="381"/>
      <c r="H42" s="381"/>
      <c r="I42" s="381"/>
      <c r="J42" s="381"/>
      <c r="K42" s="381"/>
      <c r="L42" s="381"/>
      <c r="M42" s="381"/>
      <c r="N42" s="381"/>
      <c r="O42" s="381"/>
      <c r="P42" s="358"/>
    </row>
    <row r="43" spans="1:16" s="347" customFormat="1" ht="14.1" customHeight="1" x14ac:dyDescent="0.25">
      <c r="A43" s="381" t="s">
        <v>434</v>
      </c>
      <c r="B43" s="381"/>
      <c r="C43" s="381"/>
      <c r="D43" s="381"/>
      <c r="E43" s="381"/>
      <c r="F43" s="381"/>
      <c r="G43" s="381"/>
      <c r="H43" s="381"/>
      <c r="I43" s="381"/>
      <c r="J43" s="381"/>
      <c r="K43" s="381"/>
      <c r="L43" s="381"/>
      <c r="M43" s="381"/>
      <c r="N43" s="381"/>
      <c r="O43" s="381"/>
      <c r="P43" s="358"/>
    </row>
    <row r="44" spans="1:16" s="347" customFormat="1" ht="14.1" customHeight="1" x14ac:dyDescent="0.25">
      <c r="A44" s="381" t="s">
        <v>435</v>
      </c>
      <c r="B44" s="381"/>
      <c r="C44" s="381"/>
      <c r="D44" s="381"/>
      <c r="E44" s="381"/>
      <c r="F44" s="381"/>
      <c r="G44" s="381"/>
      <c r="H44" s="381"/>
      <c r="I44" s="381"/>
      <c r="J44" s="381"/>
      <c r="K44" s="381"/>
      <c r="L44" s="381"/>
      <c r="M44" s="381"/>
      <c r="N44" s="381"/>
      <c r="O44" s="381"/>
      <c r="P44" s="358"/>
    </row>
    <row r="45" spans="1:16" s="347" customFormat="1" ht="14.1" customHeight="1" x14ac:dyDescent="0.25">
      <c r="A45" s="381" t="s">
        <v>436</v>
      </c>
      <c r="B45" s="381"/>
      <c r="C45" s="381"/>
      <c r="D45" s="381"/>
      <c r="E45" s="381"/>
      <c r="F45" s="381"/>
      <c r="G45" s="381"/>
      <c r="H45" s="381"/>
      <c r="I45" s="381"/>
      <c r="J45" s="381"/>
      <c r="K45" s="381"/>
      <c r="L45" s="381"/>
      <c r="M45" s="381"/>
      <c r="N45" s="381"/>
      <c r="O45" s="381"/>
      <c r="P45" s="358"/>
    </row>
    <row r="46" spans="1:16" s="347" customFormat="1" ht="14.1" customHeight="1" x14ac:dyDescent="0.25">
      <c r="A46" s="381" t="s">
        <v>444</v>
      </c>
      <c r="B46" s="381"/>
      <c r="C46" s="381"/>
      <c r="D46" s="381"/>
      <c r="E46" s="381"/>
      <c r="F46" s="381"/>
      <c r="G46" s="381"/>
      <c r="H46" s="381"/>
      <c r="I46" s="381"/>
      <c r="J46" s="381"/>
      <c r="K46" s="381"/>
      <c r="L46" s="381"/>
      <c r="M46" s="381"/>
      <c r="N46" s="381"/>
      <c r="O46" s="381"/>
      <c r="P46" s="358"/>
    </row>
    <row r="47" spans="1:16" s="347" customFormat="1" ht="30" customHeight="1" x14ac:dyDescent="0.25">
      <c r="A47" s="381" t="s">
        <v>445</v>
      </c>
      <c r="B47" s="381"/>
      <c r="C47" s="381"/>
      <c r="D47" s="381"/>
      <c r="E47" s="381"/>
      <c r="F47" s="381"/>
      <c r="G47" s="381"/>
      <c r="H47" s="381"/>
      <c r="I47" s="381"/>
      <c r="J47" s="381"/>
      <c r="K47" s="381"/>
      <c r="L47" s="381"/>
      <c r="M47" s="381"/>
      <c r="N47" s="381"/>
      <c r="O47" s="381"/>
      <c r="P47" s="358"/>
    </row>
    <row r="48" spans="1:16" s="347" customFormat="1" ht="8.1" customHeight="1" x14ac:dyDescent="0.25">
      <c r="A48" s="357"/>
      <c r="B48" s="357"/>
      <c r="C48" s="357"/>
      <c r="D48" s="357"/>
      <c r="E48" s="357"/>
      <c r="F48" s="357"/>
      <c r="G48" s="357"/>
      <c r="H48" s="357"/>
      <c r="I48" s="357"/>
      <c r="J48" s="357"/>
      <c r="K48" s="357"/>
      <c r="L48" s="357"/>
      <c r="M48" s="357"/>
      <c r="N48" s="357"/>
      <c r="O48" s="357"/>
      <c r="P48" s="358"/>
    </row>
    <row r="49" spans="1:16" x14ac:dyDescent="0.25">
      <c r="A49" s="347" t="s">
        <v>443</v>
      </c>
    </row>
    <row r="50" spans="1:16" ht="27" customHeight="1" x14ac:dyDescent="0.25">
      <c r="A50" s="381" t="s">
        <v>446</v>
      </c>
      <c r="B50" s="381"/>
      <c r="C50" s="381"/>
      <c r="D50" s="381"/>
      <c r="E50" s="381"/>
      <c r="F50" s="381"/>
      <c r="G50" s="381"/>
      <c r="H50" s="381"/>
      <c r="I50" s="381"/>
      <c r="J50" s="381"/>
      <c r="K50" s="381"/>
      <c r="L50" s="381"/>
      <c r="M50" s="381"/>
      <c r="N50" s="381"/>
      <c r="O50" s="381"/>
    </row>
    <row r="51" spans="1:16" ht="27.95" customHeight="1" x14ac:dyDescent="0.25">
      <c r="A51" s="381" t="s">
        <v>441</v>
      </c>
      <c r="B51" s="381"/>
      <c r="C51" s="381"/>
      <c r="D51" s="381"/>
      <c r="E51" s="381"/>
      <c r="F51" s="381"/>
      <c r="G51" s="381"/>
      <c r="H51" s="381"/>
      <c r="I51" s="381"/>
      <c r="J51" s="381"/>
      <c r="K51" s="381"/>
      <c r="L51" s="381"/>
      <c r="M51" s="381"/>
      <c r="N51" s="381"/>
      <c r="O51" s="381"/>
    </row>
    <row r="52" spans="1:16" ht="26.1" customHeight="1" x14ac:dyDescent="0.25">
      <c r="A52" s="381" t="s">
        <v>442</v>
      </c>
      <c r="B52" s="381"/>
      <c r="C52" s="381"/>
      <c r="D52" s="381"/>
      <c r="E52" s="381"/>
      <c r="F52" s="381"/>
      <c r="G52" s="381"/>
      <c r="H52" s="381"/>
      <c r="I52" s="381"/>
      <c r="J52" s="381"/>
      <c r="K52" s="381"/>
      <c r="L52" s="381"/>
      <c r="M52" s="381"/>
      <c r="N52" s="381"/>
      <c r="O52" s="381"/>
      <c r="P52" s="167"/>
    </row>
    <row r="53" spans="1:16" ht="42.95" customHeight="1" x14ac:dyDescent="0.25">
      <c r="A53" s="377" t="s">
        <v>447</v>
      </c>
      <c r="B53" s="377"/>
      <c r="C53" s="377"/>
      <c r="D53" s="377"/>
      <c r="E53" s="377"/>
      <c r="F53" s="377"/>
      <c r="G53" s="377"/>
      <c r="H53" s="377"/>
      <c r="I53" s="377"/>
      <c r="J53" s="377"/>
      <c r="K53" s="377"/>
      <c r="L53" s="377"/>
      <c r="M53" s="377"/>
      <c r="N53" s="377"/>
      <c r="O53" s="377"/>
      <c r="P53" s="167"/>
    </row>
    <row r="54" spans="1:16" ht="30.95" customHeight="1" x14ac:dyDescent="0.25">
      <c r="A54" s="377" t="s">
        <v>493</v>
      </c>
      <c r="B54" s="378"/>
      <c r="C54" s="378"/>
      <c r="D54" s="378"/>
      <c r="E54" s="378"/>
      <c r="F54" s="378"/>
      <c r="G54" s="378"/>
      <c r="H54" s="378"/>
      <c r="I54" s="378"/>
      <c r="J54" s="378"/>
      <c r="K54" s="378"/>
      <c r="L54" s="378"/>
      <c r="M54" s="378"/>
      <c r="N54" s="378"/>
      <c r="O54" s="378"/>
      <c r="P54" s="167"/>
    </row>
    <row r="55" spans="1:16" ht="38.1" customHeight="1" x14ac:dyDescent="0.25">
      <c r="A55" s="379" t="s">
        <v>494</v>
      </c>
      <c r="B55" s="379"/>
      <c r="C55" s="379"/>
      <c r="D55" s="379"/>
      <c r="E55" s="379"/>
      <c r="F55" s="379"/>
      <c r="G55" s="379"/>
      <c r="H55" s="379"/>
      <c r="I55" s="379"/>
      <c r="J55" s="379"/>
      <c r="K55" s="379"/>
      <c r="L55" s="379"/>
      <c r="M55" s="379"/>
      <c r="N55" s="379"/>
      <c r="O55" s="379"/>
      <c r="P55" s="167"/>
    </row>
    <row r="56" spans="1:16" ht="48" customHeight="1" x14ac:dyDescent="0.25">
      <c r="A56" s="379" t="s">
        <v>495</v>
      </c>
      <c r="B56" s="379"/>
      <c r="C56" s="379"/>
      <c r="D56" s="379"/>
      <c r="E56" s="379"/>
      <c r="F56" s="379"/>
      <c r="G56" s="379"/>
      <c r="H56" s="379"/>
      <c r="I56" s="379"/>
      <c r="J56" s="379"/>
      <c r="K56" s="379"/>
      <c r="L56" s="379"/>
      <c r="M56" s="379"/>
      <c r="N56" s="379"/>
      <c r="O56" s="379"/>
      <c r="P56" s="167"/>
    </row>
    <row r="57" spans="1:16" ht="6" customHeight="1" x14ac:dyDescent="0.25">
      <c r="A57" s="361"/>
      <c r="B57" s="361"/>
      <c r="C57" s="361"/>
      <c r="D57" s="361"/>
      <c r="E57" s="361"/>
      <c r="F57" s="361"/>
      <c r="G57" s="361"/>
      <c r="H57" s="361"/>
      <c r="I57" s="361"/>
      <c r="J57" s="361"/>
      <c r="K57" s="361"/>
      <c r="L57" s="361"/>
      <c r="M57" s="361"/>
      <c r="N57" s="361"/>
      <c r="O57" s="361"/>
      <c r="P57" s="167"/>
    </row>
    <row r="58" spans="1:16" x14ac:dyDescent="0.25">
      <c r="A58" s="347" t="s">
        <v>450</v>
      </c>
      <c r="H58" s="362"/>
      <c r="J58" s="360"/>
      <c r="K58" s="360"/>
      <c r="P58" s="167"/>
    </row>
    <row r="59" spans="1:16" x14ac:dyDescent="0.25">
      <c r="A59" s="347"/>
      <c r="J59" s="360"/>
      <c r="K59" s="360"/>
      <c r="P59" s="167"/>
    </row>
    <row r="60" spans="1:16" s="171" customFormat="1" ht="23.25" x14ac:dyDescent="0.35">
      <c r="A60" s="171" t="s">
        <v>253</v>
      </c>
    </row>
    <row r="61" spans="1:16" ht="29.1" customHeight="1" x14ac:dyDescent="0.25">
      <c r="A61" s="382" t="s">
        <v>423</v>
      </c>
      <c r="B61" s="382"/>
      <c r="C61" s="382"/>
      <c r="D61" s="382"/>
      <c r="E61" s="382"/>
      <c r="F61" s="382"/>
      <c r="G61" s="382"/>
      <c r="H61" s="382"/>
      <c r="I61" s="382"/>
      <c r="J61" s="382"/>
      <c r="K61" s="382"/>
      <c r="L61" s="382"/>
      <c r="M61" s="382"/>
      <c r="N61" s="382"/>
      <c r="O61" s="382"/>
      <c r="P61" s="167"/>
    </row>
    <row r="62" spans="1:16" ht="30" customHeight="1" x14ac:dyDescent="0.25">
      <c r="A62" s="382" t="s">
        <v>424</v>
      </c>
      <c r="B62" s="382"/>
      <c r="C62" s="382"/>
      <c r="D62" s="382"/>
      <c r="E62" s="382"/>
      <c r="F62" s="382"/>
      <c r="G62" s="382"/>
      <c r="H62" s="382"/>
      <c r="I62" s="382"/>
      <c r="J62" s="382"/>
      <c r="K62" s="382"/>
      <c r="L62" s="382"/>
      <c r="M62" s="382"/>
      <c r="N62" s="382"/>
      <c r="O62" s="382"/>
      <c r="P62" s="167"/>
    </row>
    <row r="64" spans="1:16" s="171" customFormat="1" ht="23.25" x14ac:dyDescent="0.35">
      <c r="A64" s="171" t="s">
        <v>405</v>
      </c>
    </row>
    <row r="65" spans="1:16" x14ac:dyDescent="0.25">
      <c r="I65" s="319" t="s">
        <v>403</v>
      </c>
      <c r="P65" s="167"/>
    </row>
    <row r="66" spans="1:16" x14ac:dyDescent="0.25">
      <c r="I66" s="319" t="s">
        <v>404</v>
      </c>
      <c r="P66" s="167"/>
    </row>
    <row r="71" spans="1:16" x14ac:dyDescent="0.25">
      <c r="A71" s="348"/>
      <c r="P71" s="167"/>
    </row>
    <row r="72" spans="1:16" x14ac:dyDescent="0.25">
      <c r="A72" s="348"/>
      <c r="P72" s="167"/>
    </row>
  </sheetData>
  <mergeCells count="24">
    <mergeCell ref="A56:O56"/>
    <mergeCell ref="A61:O61"/>
    <mergeCell ref="A62:O62"/>
    <mergeCell ref="A12:O12"/>
    <mergeCell ref="A14:O14"/>
    <mergeCell ref="A16:O16"/>
    <mergeCell ref="A36:O36"/>
    <mergeCell ref="A40:O40"/>
    <mergeCell ref="A37:O37"/>
    <mergeCell ref="A41:O41"/>
    <mergeCell ref="A42:O42"/>
    <mergeCell ref="A43:O43"/>
    <mergeCell ref="A44:O44"/>
    <mergeCell ref="A45:O45"/>
    <mergeCell ref="A46:O46"/>
    <mergeCell ref="A47:O47"/>
    <mergeCell ref="C21:O21"/>
    <mergeCell ref="A54:O54"/>
    <mergeCell ref="A55:O55"/>
    <mergeCell ref="A38:O38"/>
    <mergeCell ref="A50:O50"/>
    <mergeCell ref="A51:O51"/>
    <mergeCell ref="A52:O52"/>
    <mergeCell ref="A53:O53"/>
  </mergeCells>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sheetPr>
  <dimension ref="A1:CF289"/>
  <sheetViews>
    <sheetView showGridLines="0" zoomScale="130" zoomScaleNormal="130" zoomScalePageLayoutView="130" workbookViewId="0">
      <selection activeCell="C3" sqref="C3"/>
    </sheetView>
  </sheetViews>
  <sheetFormatPr defaultColWidth="25" defaultRowHeight="12.75" outlineLevelRow="2" x14ac:dyDescent="0.2"/>
  <cols>
    <col min="1" max="1" width="35.7109375" style="16" customWidth="1"/>
    <col min="2" max="2" width="9.28515625" style="16" customWidth="1"/>
    <col min="3" max="3" width="9.7109375" style="17" customWidth="1"/>
    <col min="4" max="8" width="10.28515625" style="17" customWidth="1"/>
    <col min="9" max="10" width="10.42578125" style="17" customWidth="1"/>
    <col min="11" max="11" width="10.85546875" style="16" customWidth="1"/>
    <col min="12" max="14" width="10.42578125" style="16" customWidth="1"/>
    <col min="15" max="15" width="4" style="16" customWidth="1"/>
    <col min="16" max="16" width="29.42578125" style="16" customWidth="1"/>
    <col min="17" max="17" width="7.140625" style="16" customWidth="1"/>
    <col min="18" max="32" width="13" style="16" customWidth="1"/>
    <col min="33" max="50" width="13" style="336" customWidth="1"/>
    <col min="51" max="84" width="13" style="16" customWidth="1"/>
    <col min="85" max="16384" width="25" style="16"/>
  </cols>
  <sheetData>
    <row r="1" spans="1:84" ht="21" thickBot="1" x14ac:dyDescent="0.25">
      <c r="A1" s="233" t="s">
        <v>40</v>
      </c>
      <c r="B1" s="234"/>
      <c r="C1" s="195"/>
      <c r="D1" s="235"/>
      <c r="E1" s="235"/>
      <c r="F1" s="235"/>
      <c r="G1" s="235"/>
      <c r="H1" s="235"/>
      <c r="I1" s="235"/>
      <c r="J1" s="235"/>
      <c r="K1" s="234"/>
      <c r="L1" s="234"/>
      <c r="M1" s="234"/>
      <c r="N1" s="236"/>
      <c r="O1" s="17"/>
      <c r="P1" s="317" t="s">
        <v>371</v>
      </c>
      <c r="Q1" s="234"/>
      <c r="R1" s="234"/>
      <c r="S1" s="234"/>
      <c r="T1" s="234"/>
      <c r="U1" s="234"/>
      <c r="V1" s="234"/>
      <c r="W1" s="234"/>
      <c r="X1" s="234"/>
      <c r="Y1" s="234"/>
      <c r="Z1" s="234"/>
      <c r="AA1" s="234"/>
      <c r="AB1" s="234"/>
      <c r="AC1" s="234"/>
      <c r="AD1" s="234"/>
      <c r="AE1" s="236"/>
      <c r="AG1" s="352" t="s">
        <v>414</v>
      </c>
    </row>
    <row r="2" spans="1:84" ht="12" customHeight="1" x14ac:dyDescent="0.2">
      <c r="A2" s="237"/>
      <c r="B2" s="388"/>
      <c r="C2" s="85">
        <f>IF(C3=D3,1,IF(C3=E3,2,IF(C3=F3,3,IF(C3=G3,4,IF(C3=H3,5,IF(C3=I3,6,IF(C3=J3,7,IF(C3=K3,8,IF(C3=L3,9,IF(C3=M3,10,IF(C3=N3,11)))))))))))</f>
        <v>5</v>
      </c>
      <c r="D2" s="14" t="s">
        <v>173</v>
      </c>
      <c r="E2" s="14" t="s">
        <v>174</v>
      </c>
      <c r="F2" s="14" t="s">
        <v>333</v>
      </c>
      <c r="G2" s="14" t="s">
        <v>334</v>
      </c>
      <c r="H2" s="14" t="s">
        <v>335</v>
      </c>
      <c r="I2" s="14" t="s">
        <v>185</v>
      </c>
      <c r="J2" s="14" t="s">
        <v>260</v>
      </c>
      <c r="K2" s="14" t="s">
        <v>261</v>
      </c>
      <c r="L2" s="14" t="s">
        <v>336</v>
      </c>
      <c r="M2" s="14" t="s">
        <v>337</v>
      </c>
      <c r="N2" s="238" t="s">
        <v>338</v>
      </c>
      <c r="P2" s="194" t="s">
        <v>354</v>
      </c>
      <c r="Q2" s="195"/>
      <c r="R2" s="205" t="s">
        <v>166</v>
      </c>
      <c r="S2" s="196" t="s">
        <v>262</v>
      </c>
      <c r="T2" s="205" t="s">
        <v>351</v>
      </c>
      <c r="U2" s="196" t="s">
        <v>264</v>
      </c>
      <c r="V2" s="205" t="s">
        <v>167</v>
      </c>
      <c r="W2" s="196" t="s">
        <v>186</v>
      </c>
      <c r="X2" s="205" t="s">
        <v>265</v>
      </c>
      <c r="Y2" s="196" t="s">
        <v>266</v>
      </c>
      <c r="Z2" s="205" t="s">
        <v>187</v>
      </c>
      <c r="AA2" s="196" t="s">
        <v>188</v>
      </c>
      <c r="AB2" s="324" t="s">
        <v>189</v>
      </c>
      <c r="AC2" s="393" t="s">
        <v>410</v>
      </c>
      <c r="AD2" s="393" t="s">
        <v>411</v>
      </c>
      <c r="AE2" s="395" t="s">
        <v>408</v>
      </c>
      <c r="AF2" s="85"/>
      <c r="AG2" s="335" t="s">
        <v>413</v>
      </c>
      <c r="AN2" s="337"/>
      <c r="AO2" s="337"/>
      <c r="AP2" s="337"/>
      <c r="AQ2" s="337"/>
      <c r="AR2" s="337"/>
      <c r="AS2" s="337"/>
      <c r="AT2" s="337"/>
      <c r="AU2" s="337"/>
      <c r="AV2" s="337"/>
      <c r="AW2" s="337"/>
      <c r="AX2" s="337"/>
      <c r="AY2" s="337"/>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c r="CC2" s="337"/>
      <c r="CD2" s="337"/>
      <c r="CE2" s="337"/>
      <c r="CF2" s="337"/>
    </row>
    <row r="3" spans="1:84" s="15" customFormat="1" ht="12" customHeight="1" thickBot="1" x14ac:dyDescent="0.25">
      <c r="A3" s="239" t="s">
        <v>32</v>
      </c>
      <c r="B3" s="388"/>
      <c r="C3" s="193" t="s">
        <v>167</v>
      </c>
      <c r="D3" s="14" t="s">
        <v>166</v>
      </c>
      <c r="E3" s="14" t="s">
        <v>262</v>
      </c>
      <c r="F3" s="14" t="s">
        <v>263</v>
      </c>
      <c r="G3" s="14" t="s">
        <v>264</v>
      </c>
      <c r="H3" s="14" t="s">
        <v>167</v>
      </c>
      <c r="I3" s="14" t="s">
        <v>186</v>
      </c>
      <c r="J3" s="14" t="s">
        <v>265</v>
      </c>
      <c r="K3" s="14" t="s">
        <v>266</v>
      </c>
      <c r="L3" s="14" t="s">
        <v>187</v>
      </c>
      <c r="M3" s="14" t="s">
        <v>188</v>
      </c>
      <c r="N3" s="238" t="s">
        <v>189</v>
      </c>
      <c r="P3" s="207" t="s">
        <v>353</v>
      </c>
      <c r="Q3" s="208"/>
      <c r="R3" s="209">
        <v>1</v>
      </c>
      <c r="S3" s="210">
        <v>2</v>
      </c>
      <c r="T3" s="209">
        <v>3</v>
      </c>
      <c r="U3" s="210">
        <v>4</v>
      </c>
      <c r="V3" s="209">
        <v>5</v>
      </c>
      <c r="W3" s="210">
        <v>6</v>
      </c>
      <c r="X3" s="209">
        <v>7</v>
      </c>
      <c r="Y3" s="210">
        <v>8</v>
      </c>
      <c r="Z3" s="209">
        <v>9</v>
      </c>
      <c r="AA3" s="210">
        <v>10</v>
      </c>
      <c r="AB3" s="325">
        <v>11</v>
      </c>
      <c r="AC3" s="394"/>
      <c r="AD3" s="394"/>
      <c r="AE3" s="396"/>
      <c r="AF3" s="320"/>
      <c r="AG3" s="338" t="s">
        <v>366</v>
      </c>
      <c r="AH3" s="339"/>
      <c r="AI3" s="339"/>
      <c r="AJ3" s="339"/>
      <c r="AK3" s="339"/>
      <c r="AL3" s="339"/>
      <c r="AM3" s="339"/>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c r="CC3" s="337"/>
      <c r="CD3" s="337"/>
      <c r="CE3" s="337"/>
      <c r="CF3" s="337"/>
    </row>
    <row r="4" spans="1:84" s="15" customFormat="1" ht="12" customHeight="1" x14ac:dyDescent="0.2">
      <c r="A4" s="197" t="s">
        <v>94</v>
      </c>
      <c r="B4" s="27" t="s">
        <v>75</v>
      </c>
      <c r="C4" s="16">
        <f>INDEX(D4:N4,$C$2)</f>
        <v>0</v>
      </c>
      <c r="D4" s="29"/>
      <c r="E4" s="218"/>
      <c r="F4" s="218"/>
      <c r="G4" s="218"/>
      <c r="H4" s="218"/>
      <c r="I4" s="218"/>
      <c r="J4" s="218"/>
      <c r="K4" s="218"/>
      <c r="L4" s="240"/>
      <c r="M4" s="218"/>
      <c r="N4" s="241"/>
      <c r="P4" s="197" t="s">
        <v>352</v>
      </c>
      <c r="Q4" s="89">
        <f ca="1">C152</f>
        <v>0.15700455736792307</v>
      </c>
      <c r="R4" s="93">
        <f t="dataTable" ref="R4:AB4" dt2D="0" dtr="1" r1="C2" ca="1"/>
        <v>0.15859092663937036</v>
      </c>
      <c r="S4" s="90">
        <v>0.16071227579097092</v>
      </c>
      <c r="T4" s="93">
        <v>0.17220095867035834</v>
      </c>
      <c r="U4" s="90">
        <v>0.1639703874390892</v>
      </c>
      <c r="V4" s="93">
        <v>0.15700455736792307</v>
      </c>
      <c r="W4" s="90">
        <v>0.15891501309873357</v>
      </c>
      <c r="X4" s="93">
        <v>0.16547051453146211</v>
      </c>
      <c r="Y4" s="90">
        <v>0.1683772772882326</v>
      </c>
      <c r="Z4" s="93">
        <v>0.17099323111126674</v>
      </c>
      <c r="AA4" s="90">
        <v>0.16728948816189071</v>
      </c>
      <c r="AB4" s="322">
        <v>0.16233837578789045</v>
      </c>
      <c r="AC4" s="322">
        <f>AVERAGE(V4,W4,Z4,AA4,AB4)</f>
        <v>0.1633081331055409</v>
      </c>
      <c r="AD4" s="322">
        <f>AVERAGE(S4,T4,U4,X4,Y4)</f>
        <v>0.16614628274402263</v>
      </c>
      <c r="AE4" s="322">
        <f>AVERAGE(S4:AB4)</f>
        <v>0.16472720792478177</v>
      </c>
      <c r="AF4" s="90"/>
      <c r="AG4" s="339" t="str">
        <f t="array" ref="AG4:AG14">TRANSPOSE('Assumptions &amp; Results'!R2:AB2)</f>
        <v>Mine</v>
      </c>
      <c r="AH4" s="340">
        <f t="array" ref="AH4:AH17">TRANSPOSE('Assumptions &amp; Results'!R4:AE4)</f>
        <v>0.15859092663937036</v>
      </c>
      <c r="AI4" s="339">
        <f t="shared" ref="AI4:AI17" si="0">RANK(AH4,$AH$4:$AH$17)</f>
        <v>13</v>
      </c>
      <c r="AJ4" s="339">
        <v>1</v>
      </c>
      <c r="AK4" s="339"/>
      <c r="AL4" s="340" t="str">
        <f t="shared" ref="AL4:AL17" si="1">INDEX($AG$4:$AH$17,MATCH(AJ4,$AI$4:$AI$17,0),1)</f>
        <v xml:space="preserve">Chile </v>
      </c>
      <c r="AM4" s="340">
        <f t="shared" ref="AM4:AM17" si="2">INDEX($AG$4:$AH$17,MATCH(AJ4,$AI$4:$AI$17,0),2)</f>
        <v>0.17220095867035834</v>
      </c>
      <c r="AN4" s="337"/>
      <c r="AO4" s="337"/>
      <c r="AP4" s="337"/>
      <c r="AQ4" s="337"/>
      <c r="AR4" s="337"/>
      <c r="AS4" s="337"/>
      <c r="AT4" s="337"/>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c r="CC4" s="337"/>
      <c r="CD4" s="337"/>
      <c r="CE4" s="337"/>
      <c r="CF4" s="337"/>
    </row>
    <row r="5" spans="1:84" s="15" customFormat="1" ht="12" customHeight="1" x14ac:dyDescent="0.2">
      <c r="A5" s="242"/>
      <c r="B5" s="27"/>
      <c r="C5" s="16"/>
      <c r="D5" s="19"/>
      <c r="E5" s="19"/>
      <c r="F5" s="19"/>
      <c r="G5" s="19"/>
      <c r="H5" s="19"/>
      <c r="I5" s="19"/>
      <c r="J5" s="19"/>
      <c r="K5" s="19"/>
      <c r="L5" s="19"/>
      <c r="M5" s="19"/>
      <c r="N5" s="243"/>
      <c r="P5" s="197"/>
      <c r="Q5" s="89"/>
      <c r="R5" s="204">
        <v>1</v>
      </c>
      <c r="S5" s="201">
        <v>2</v>
      </c>
      <c r="T5" s="204">
        <v>3</v>
      </c>
      <c r="U5" s="201">
        <v>4</v>
      </c>
      <c r="V5" s="204">
        <v>5</v>
      </c>
      <c r="W5" s="201">
        <v>6</v>
      </c>
      <c r="X5" s="204">
        <v>7</v>
      </c>
      <c r="Y5" s="201">
        <v>8</v>
      </c>
      <c r="Z5" s="204">
        <v>9</v>
      </c>
      <c r="AA5" s="201">
        <v>10</v>
      </c>
      <c r="AB5" s="321">
        <v>11</v>
      </c>
      <c r="AC5" s="321"/>
      <c r="AD5" s="321"/>
      <c r="AE5" s="321"/>
      <c r="AF5" s="320"/>
      <c r="AG5" s="339" t="str">
        <v>Brazil</v>
      </c>
      <c r="AH5" s="340">
        <v>0.16071227579097092</v>
      </c>
      <c r="AI5" s="339">
        <f t="shared" si="0"/>
        <v>11</v>
      </c>
      <c r="AJ5" s="339">
        <v>2</v>
      </c>
      <c r="AK5" s="339"/>
      <c r="AL5" s="340" t="str">
        <f t="shared" si="1"/>
        <v>PNG</v>
      </c>
      <c r="AM5" s="340">
        <f t="shared" si="2"/>
        <v>0.17099323111126674</v>
      </c>
      <c r="AN5" s="337"/>
      <c r="AO5" s="337"/>
      <c r="AP5" s="337"/>
      <c r="AQ5" s="337"/>
      <c r="AR5" s="337"/>
      <c r="AS5" s="337"/>
      <c r="AT5" s="337"/>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c r="CC5" s="337"/>
      <c r="CD5" s="337"/>
      <c r="CE5" s="337"/>
      <c r="CF5" s="337"/>
    </row>
    <row r="6" spans="1:84" s="15" customFormat="1" ht="12" customHeight="1" x14ac:dyDescent="0.2">
      <c r="A6" s="197" t="s">
        <v>339</v>
      </c>
      <c r="B6" s="27" t="s">
        <v>33</v>
      </c>
      <c r="C6" s="160">
        <f>INDEX(D6:N6,$C$2)</f>
        <v>0.05</v>
      </c>
      <c r="D6" s="30">
        <v>0.04</v>
      </c>
      <c r="E6" s="219">
        <v>0.01</v>
      </c>
      <c r="F6" s="219"/>
      <c r="G6" s="219">
        <v>0.04</v>
      </c>
      <c r="H6" s="219">
        <v>0.05</v>
      </c>
      <c r="I6" s="219">
        <v>3.7499999999999999E-2</v>
      </c>
      <c r="J6" s="219">
        <v>5.0000000000000001E-3</v>
      </c>
      <c r="K6" s="219"/>
      <c r="L6" s="219">
        <v>0.02</v>
      </c>
      <c r="M6" s="219">
        <v>0.04</v>
      </c>
      <c r="N6" s="244"/>
      <c r="P6" s="197" t="s">
        <v>412</v>
      </c>
      <c r="Q6" s="89">
        <f ca="1">C154</f>
        <v>0.15748057924343217</v>
      </c>
      <c r="R6" s="211">
        <f t="dataTable" ref="R6:AB6" dt2D="0" dtr="1" r1="C2" ca="1"/>
        <v>0.17556219520267202</v>
      </c>
      <c r="S6" s="212">
        <v>0.17881596170733749</v>
      </c>
      <c r="T6" s="211">
        <v>0.1731284610429773</v>
      </c>
      <c r="U6" s="212">
        <v>0.18507257682686351</v>
      </c>
      <c r="V6" s="211">
        <v>0.15748057924343217</v>
      </c>
      <c r="W6" s="212">
        <v>0.16474438707417383</v>
      </c>
      <c r="X6" s="211">
        <v>0.18043294386114828</v>
      </c>
      <c r="Y6" s="212">
        <v>0.18641424582555821</v>
      </c>
      <c r="Z6" s="211">
        <v>0.18407795910405089</v>
      </c>
      <c r="AA6" s="212">
        <v>0.18334297287838619</v>
      </c>
      <c r="AB6" s="326">
        <v>0.17297095046313693</v>
      </c>
      <c r="AC6" s="326">
        <f>AVERAGE(V6,W6,Z6,AA6,AB6)</f>
        <v>0.17252336975263599</v>
      </c>
      <c r="AD6" s="326">
        <f>AVERAGE(S6,T6,U6,X6,Y6)</f>
        <v>0.18077283785277695</v>
      </c>
      <c r="AE6" s="326">
        <f>AVERAGE(S6:AB6)</f>
        <v>0.17664810380270649</v>
      </c>
      <c r="AF6" s="212"/>
      <c r="AG6" s="339" t="str">
        <v xml:space="preserve">Chile </v>
      </c>
      <c r="AH6" s="340">
        <v>0.17220095867035834</v>
      </c>
      <c r="AI6" s="339">
        <f t="shared" si="0"/>
        <v>1</v>
      </c>
      <c r="AJ6" s="339">
        <v>3</v>
      </c>
      <c r="AK6" s="339"/>
      <c r="AL6" s="340" t="str">
        <f t="shared" si="1"/>
        <v>Peru</v>
      </c>
      <c r="AM6" s="340">
        <f t="shared" si="2"/>
        <v>0.1683772772882326</v>
      </c>
      <c r="AN6" s="337"/>
      <c r="AO6" s="337"/>
      <c r="AP6" s="337"/>
      <c r="AQ6" s="337"/>
      <c r="AR6" s="337"/>
      <c r="AS6" s="337"/>
      <c r="AT6" s="337"/>
      <c r="AU6" s="337"/>
      <c r="AV6" s="337"/>
      <c r="AW6" s="337"/>
      <c r="AX6" s="337"/>
      <c r="AY6" s="337"/>
      <c r="AZ6" s="337"/>
      <c r="BA6" s="337"/>
      <c r="BB6" s="337"/>
      <c r="BC6" s="337"/>
      <c r="BD6" s="337"/>
      <c r="BE6" s="337"/>
      <c r="BF6" s="337"/>
      <c r="BG6" s="337"/>
      <c r="BH6" s="337"/>
      <c r="BI6" s="337"/>
      <c r="BJ6" s="337"/>
      <c r="BK6" s="337"/>
      <c r="BL6" s="337"/>
      <c r="BM6" s="337"/>
      <c r="BN6" s="337"/>
      <c r="BO6" s="337"/>
      <c r="BP6" s="337"/>
      <c r="BQ6" s="337"/>
      <c r="BR6" s="337"/>
      <c r="BS6" s="337"/>
      <c r="BT6" s="337"/>
      <c r="BU6" s="337"/>
      <c r="BV6" s="337"/>
      <c r="BW6" s="337"/>
      <c r="BX6" s="337"/>
      <c r="BY6" s="337"/>
      <c r="BZ6" s="337"/>
      <c r="CA6" s="337"/>
      <c r="CB6" s="337"/>
      <c r="CC6" s="337"/>
      <c r="CD6" s="337"/>
      <c r="CE6" s="337"/>
      <c r="CF6" s="337"/>
    </row>
    <row r="7" spans="1:84" s="15" customFormat="1" ht="12" customHeight="1" x14ac:dyDescent="0.2">
      <c r="A7" s="197" t="s">
        <v>340</v>
      </c>
      <c r="B7" s="27" t="s">
        <v>33</v>
      </c>
      <c r="C7" s="160">
        <f>INDEX(D7:N7,$C$2)</f>
        <v>0</v>
      </c>
      <c r="D7" s="30"/>
      <c r="E7" s="219"/>
      <c r="F7" s="219"/>
      <c r="G7" s="219"/>
      <c r="H7" s="219"/>
      <c r="I7" s="219"/>
      <c r="J7" s="219">
        <v>7.4999999999999997E-2</v>
      </c>
      <c r="K7" s="219"/>
      <c r="L7" s="219"/>
      <c r="M7" s="219"/>
      <c r="N7" s="244"/>
      <c r="P7" s="198"/>
      <c r="Q7" s="202"/>
      <c r="R7" s="204">
        <v>1</v>
      </c>
      <c r="S7" s="201">
        <v>2</v>
      </c>
      <c r="T7" s="204">
        <v>3</v>
      </c>
      <c r="U7" s="201">
        <v>4</v>
      </c>
      <c r="V7" s="204">
        <v>5</v>
      </c>
      <c r="W7" s="201">
        <v>6</v>
      </c>
      <c r="X7" s="204">
        <v>7</v>
      </c>
      <c r="Y7" s="201">
        <v>8</v>
      </c>
      <c r="Z7" s="204">
        <v>9</v>
      </c>
      <c r="AA7" s="201">
        <v>10</v>
      </c>
      <c r="AB7" s="321">
        <v>11</v>
      </c>
      <c r="AC7" s="321"/>
      <c r="AD7" s="321"/>
      <c r="AE7" s="321"/>
      <c r="AF7" s="320"/>
      <c r="AG7" s="339" t="str">
        <v>Colombia</v>
      </c>
      <c r="AH7" s="340">
        <v>0.1639703874390892</v>
      </c>
      <c r="AI7" s="339">
        <f t="shared" si="0"/>
        <v>8</v>
      </c>
      <c r="AJ7" s="339">
        <v>4</v>
      </c>
      <c r="AK7" s="339"/>
      <c r="AL7" s="340" t="str">
        <f t="shared" si="1"/>
        <v>Tanzania</v>
      </c>
      <c r="AM7" s="340">
        <f t="shared" si="2"/>
        <v>0.16728948816189071</v>
      </c>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c r="BM7" s="337"/>
      <c r="BN7" s="337"/>
      <c r="BO7" s="337"/>
      <c r="BP7" s="337"/>
      <c r="BQ7" s="337"/>
      <c r="BR7" s="337"/>
      <c r="BS7" s="337"/>
      <c r="BT7" s="337"/>
      <c r="BU7" s="337"/>
      <c r="BV7" s="337"/>
      <c r="BW7" s="337"/>
      <c r="BX7" s="337"/>
      <c r="BY7" s="337"/>
      <c r="BZ7" s="337"/>
      <c r="CA7" s="337"/>
      <c r="CB7" s="337"/>
      <c r="CC7" s="337"/>
      <c r="CD7" s="337"/>
      <c r="CE7" s="337"/>
      <c r="CF7" s="337"/>
    </row>
    <row r="8" spans="1:84" s="15" customFormat="1" ht="12" customHeight="1" x14ac:dyDescent="0.2">
      <c r="A8" s="197" t="s">
        <v>341</v>
      </c>
      <c r="B8" s="27"/>
      <c r="C8" s="88"/>
      <c r="D8" s="97"/>
      <c r="E8" s="220"/>
      <c r="F8" s="220"/>
      <c r="G8" s="220"/>
      <c r="H8" s="220"/>
      <c r="I8" s="220"/>
      <c r="J8" s="220"/>
      <c r="K8" s="220"/>
      <c r="L8" s="220"/>
      <c r="M8" s="220"/>
      <c r="N8" s="245"/>
      <c r="P8" s="197" t="s">
        <v>175</v>
      </c>
      <c r="Q8" s="92">
        <f ca="1">C157</f>
        <v>0.50824109220538261</v>
      </c>
      <c r="R8" s="93">
        <f t="dataTable" ref="R8:AB8" dt2D="0" dtr="1" r1="C2" ca="1"/>
        <v>0.37165221637871826</v>
      </c>
      <c r="S8" s="90">
        <v>0.36937296358275118</v>
      </c>
      <c r="T8" s="93">
        <v>0.42193259223409069</v>
      </c>
      <c r="U8" s="90">
        <v>0.400628054559306</v>
      </c>
      <c r="V8" s="93">
        <v>0.50824109220538261</v>
      </c>
      <c r="W8" s="90">
        <v>0.47350318887748366</v>
      </c>
      <c r="X8" s="93">
        <v>0.39945737790517583</v>
      </c>
      <c r="Y8" s="90">
        <v>0.35581791123778006</v>
      </c>
      <c r="Z8" s="93">
        <v>0.38592525428300301</v>
      </c>
      <c r="AA8" s="90">
        <v>0.391988971164761</v>
      </c>
      <c r="AB8" s="322">
        <v>0.44308673830592693</v>
      </c>
      <c r="AC8" s="322">
        <f>AVERAGE(V8,W8,Z8,AA8,AB8)</f>
        <v>0.44054904896731151</v>
      </c>
      <c r="AD8" s="322">
        <f>AVERAGE(S8,T8,U8,X8,Y8)</f>
        <v>0.38944177990382067</v>
      </c>
      <c r="AE8" s="322">
        <f>AVERAGE(S8:AB8)</f>
        <v>0.41499541443556609</v>
      </c>
      <c r="AF8" s="90"/>
      <c r="AG8" s="339" t="str">
        <v>Ghana</v>
      </c>
      <c r="AH8" s="340">
        <v>0.15700455736792307</v>
      </c>
      <c r="AI8" s="339">
        <f t="shared" si="0"/>
        <v>14</v>
      </c>
      <c r="AJ8" s="339">
        <v>5</v>
      </c>
      <c r="AK8" s="339"/>
      <c r="AL8" s="340" t="str">
        <f t="shared" si="1"/>
        <v>Average Peru</v>
      </c>
      <c r="AM8" s="340">
        <f t="shared" si="2"/>
        <v>0.16614628274402263</v>
      </c>
      <c r="AN8" s="336"/>
      <c r="AO8" s="336"/>
      <c r="AP8" s="336"/>
      <c r="AQ8" s="336"/>
      <c r="AR8" s="336"/>
      <c r="AS8" s="336"/>
      <c r="AT8" s="336"/>
      <c r="AU8" s="336"/>
      <c r="AV8" s="336"/>
      <c r="AW8" s="336"/>
      <c r="AX8" s="336"/>
      <c r="AY8" s="336"/>
      <c r="AZ8" s="336"/>
      <c r="BA8" s="336"/>
      <c r="BB8" s="336"/>
      <c r="BC8" s="336"/>
      <c r="BD8" s="336"/>
      <c r="BE8" s="336"/>
      <c r="BF8" s="336"/>
      <c r="BG8" s="336"/>
      <c r="BH8" s="336"/>
      <c r="BI8" s="336"/>
      <c r="BJ8" s="336"/>
      <c r="BK8" s="336"/>
      <c r="BL8" s="336"/>
      <c r="BM8" s="336"/>
      <c r="BN8" s="336"/>
      <c r="BO8" s="336"/>
      <c r="BP8" s="336"/>
      <c r="BQ8" s="336"/>
      <c r="BR8" s="336"/>
      <c r="BS8" s="336"/>
      <c r="BT8" s="336"/>
      <c r="BU8" s="336"/>
      <c r="BV8" s="336"/>
      <c r="BW8" s="336"/>
      <c r="BX8" s="336"/>
      <c r="BY8" s="336"/>
      <c r="BZ8" s="336"/>
      <c r="CA8" s="336"/>
      <c r="CB8" s="336"/>
      <c r="CC8" s="336"/>
      <c r="CD8" s="336"/>
      <c r="CE8" s="336"/>
      <c r="CF8" s="336"/>
    </row>
    <row r="9" spans="1:84" s="15" customFormat="1" ht="12" customHeight="1" outlineLevel="2" x14ac:dyDescent="0.2">
      <c r="A9" s="242" t="s">
        <v>193</v>
      </c>
      <c r="B9" s="27" t="s">
        <v>206</v>
      </c>
      <c r="C9" s="188">
        <f t="shared" ref="C9:C39" si="3">INDEX(D9:N9,$C$2)</f>
        <v>0</v>
      </c>
      <c r="D9" s="29"/>
      <c r="E9" s="221"/>
      <c r="F9" s="222">
        <f>6000*12000/1000000</f>
        <v>72</v>
      </c>
      <c r="G9" s="221"/>
      <c r="H9" s="221"/>
      <c r="I9" s="221"/>
      <c r="J9" s="221"/>
      <c r="K9" s="221"/>
      <c r="L9" s="221"/>
      <c r="M9" s="221"/>
      <c r="N9" s="246"/>
      <c r="P9" s="197"/>
      <c r="Q9" s="91"/>
      <c r="R9" s="204">
        <v>1</v>
      </c>
      <c r="S9" s="201">
        <v>2</v>
      </c>
      <c r="T9" s="204">
        <v>3</v>
      </c>
      <c r="U9" s="201">
        <v>4</v>
      </c>
      <c r="V9" s="204">
        <v>5</v>
      </c>
      <c r="W9" s="201">
        <v>6</v>
      </c>
      <c r="X9" s="204">
        <v>7</v>
      </c>
      <c r="Y9" s="201">
        <v>8</v>
      </c>
      <c r="Z9" s="204">
        <v>9</v>
      </c>
      <c r="AA9" s="201">
        <v>10</v>
      </c>
      <c r="AB9" s="321">
        <v>11</v>
      </c>
      <c r="AC9" s="321"/>
      <c r="AD9" s="321"/>
      <c r="AE9" s="321"/>
      <c r="AF9" s="320"/>
      <c r="AG9" s="339" t="str">
        <v>Indonesia</v>
      </c>
      <c r="AH9" s="340">
        <v>0.15891501309873357</v>
      </c>
      <c r="AI9" s="339">
        <f t="shared" si="0"/>
        <v>12</v>
      </c>
      <c r="AJ9" s="339">
        <v>6</v>
      </c>
      <c r="AK9" s="339"/>
      <c r="AL9" s="340" t="str">
        <f t="shared" si="1"/>
        <v>Mexico</v>
      </c>
      <c r="AM9" s="340">
        <f t="shared" si="2"/>
        <v>0.16547051453146211</v>
      </c>
      <c r="AN9" s="336"/>
      <c r="AO9" s="336"/>
      <c r="AP9" s="336"/>
      <c r="AQ9" s="336"/>
      <c r="AR9" s="336"/>
      <c r="AS9" s="336"/>
      <c r="AT9" s="336"/>
      <c r="AU9" s="336"/>
      <c r="AV9" s="336"/>
      <c r="AW9" s="336"/>
      <c r="AX9" s="336"/>
      <c r="AY9" s="336"/>
      <c r="AZ9" s="336"/>
      <c r="BA9" s="336"/>
      <c r="BB9" s="336"/>
      <c r="BC9" s="336"/>
      <c r="BD9" s="336"/>
      <c r="BE9" s="336"/>
      <c r="BF9" s="336"/>
      <c r="BG9" s="336"/>
      <c r="BH9" s="336"/>
      <c r="BI9" s="336"/>
      <c r="BJ9" s="336"/>
      <c r="BK9" s="336"/>
      <c r="BL9" s="336"/>
      <c r="BM9" s="336"/>
      <c r="BN9" s="336"/>
      <c r="BO9" s="336"/>
      <c r="BP9" s="336"/>
      <c r="BQ9" s="336"/>
      <c r="BR9" s="336"/>
      <c r="BS9" s="336"/>
      <c r="BT9" s="336"/>
      <c r="BU9" s="336"/>
      <c r="BV9" s="336"/>
      <c r="BW9" s="336"/>
      <c r="BX9" s="336"/>
      <c r="BY9" s="336"/>
      <c r="BZ9" s="336"/>
      <c r="CA9" s="336"/>
      <c r="CB9" s="336"/>
      <c r="CC9" s="336"/>
      <c r="CD9" s="336"/>
      <c r="CE9" s="336"/>
      <c r="CF9" s="336"/>
    </row>
    <row r="10" spans="1:84" s="15" customFormat="1" ht="12" customHeight="1" outlineLevel="2" thickBot="1" x14ac:dyDescent="0.25">
      <c r="A10" s="242" t="s">
        <v>194</v>
      </c>
      <c r="B10" s="27" t="s">
        <v>206</v>
      </c>
      <c r="C10" s="188">
        <f t="shared" si="3"/>
        <v>0</v>
      </c>
      <c r="D10" s="29"/>
      <c r="E10" s="221"/>
      <c r="F10" s="222">
        <f>6000*15000/1000000</f>
        <v>90</v>
      </c>
      <c r="G10" s="221"/>
      <c r="H10" s="221"/>
      <c r="I10" s="221"/>
      <c r="J10" s="221"/>
      <c r="K10" s="221"/>
      <c r="L10" s="221"/>
      <c r="M10" s="221"/>
      <c r="N10" s="246"/>
      <c r="P10" s="199" t="s">
        <v>176</v>
      </c>
      <c r="Q10" s="203">
        <f ca="1">C158</f>
        <v>0.76601915900019624</v>
      </c>
      <c r="R10" s="206">
        <f t="dataTable" ref="R10:AB10" dt2D="0" dtr="1" r1="C2" ca="1"/>
        <v>0.58550510033685266</v>
      </c>
      <c r="S10" s="200">
        <v>0.58649653927091228</v>
      </c>
      <c r="T10" s="206">
        <v>0.67862527023548636</v>
      </c>
      <c r="U10" s="200">
        <v>0.60163850091091542</v>
      </c>
      <c r="V10" s="206">
        <v>0.76601915900019624</v>
      </c>
      <c r="W10" s="200">
        <v>0.72770221026444193</v>
      </c>
      <c r="X10" s="206">
        <v>0.62709902028112574</v>
      </c>
      <c r="Y10" s="200">
        <v>0.56045053277970658</v>
      </c>
      <c r="Z10" s="206">
        <v>0.57133533704507411</v>
      </c>
      <c r="AA10" s="200">
        <v>0.57151393758872571</v>
      </c>
      <c r="AB10" s="323">
        <v>0.66207779783421294</v>
      </c>
      <c r="AC10" s="323">
        <f>AVERAGE(V10,W10,Z10,AA10,AB10)</f>
        <v>0.65972968834653023</v>
      </c>
      <c r="AD10" s="323">
        <f>AVERAGE(S10,T10,U10,X10,Y10)</f>
        <v>0.61086197269562925</v>
      </c>
      <c r="AE10" s="323">
        <f>AVERAGE(S10:AB10)</f>
        <v>0.63529583052107963</v>
      </c>
      <c r="AF10" s="90"/>
      <c r="AG10" s="339" t="str">
        <v>Mexico</v>
      </c>
      <c r="AH10" s="340">
        <v>0.16547051453146211</v>
      </c>
      <c r="AI10" s="339">
        <f t="shared" si="0"/>
        <v>6</v>
      </c>
      <c r="AJ10" s="339">
        <v>7</v>
      </c>
      <c r="AK10" s="339"/>
      <c r="AL10" s="340" t="str">
        <f t="shared" si="1"/>
        <v>Total Average</v>
      </c>
      <c r="AM10" s="340">
        <f t="shared" si="2"/>
        <v>0.16472720792478177</v>
      </c>
      <c r="AN10" s="336"/>
      <c r="AO10" s="336"/>
      <c r="AP10" s="336"/>
      <c r="AQ10" s="336"/>
      <c r="AR10" s="336"/>
      <c r="AS10" s="336"/>
      <c r="AT10" s="336"/>
      <c r="AU10" s="336"/>
      <c r="AV10" s="336"/>
      <c r="AW10" s="336"/>
      <c r="AX10" s="336"/>
      <c r="AY10" s="336"/>
      <c r="AZ10" s="336"/>
      <c r="BA10" s="336"/>
      <c r="BB10" s="336"/>
      <c r="BC10" s="336"/>
      <c r="BD10" s="336"/>
      <c r="BE10" s="336"/>
      <c r="BF10" s="336"/>
      <c r="BG10" s="336"/>
      <c r="BH10" s="336"/>
      <c r="BI10" s="336"/>
      <c r="BJ10" s="336"/>
      <c r="BK10" s="336"/>
      <c r="BL10" s="336"/>
      <c r="BM10" s="336"/>
      <c r="BN10" s="336"/>
      <c r="BO10" s="336"/>
      <c r="BP10" s="336"/>
      <c r="BQ10" s="336"/>
      <c r="BR10" s="336"/>
      <c r="BS10" s="336"/>
      <c r="BT10" s="336"/>
      <c r="BU10" s="336"/>
      <c r="BV10" s="336"/>
      <c r="BW10" s="336"/>
      <c r="BX10" s="336"/>
      <c r="BY10" s="336"/>
      <c r="BZ10" s="336"/>
      <c r="CA10" s="336"/>
      <c r="CB10" s="336"/>
      <c r="CC10" s="336"/>
      <c r="CD10" s="336"/>
      <c r="CE10" s="336"/>
      <c r="CF10" s="336"/>
    </row>
    <row r="11" spans="1:84" s="15" customFormat="1" ht="12" customHeight="1" outlineLevel="2" x14ac:dyDescent="0.2">
      <c r="A11" s="242" t="s">
        <v>195</v>
      </c>
      <c r="B11" s="27" t="s">
        <v>206</v>
      </c>
      <c r="C11" s="188">
        <f t="shared" si="3"/>
        <v>0</v>
      </c>
      <c r="D11" s="29"/>
      <c r="E11" s="221"/>
      <c r="F11" s="222">
        <f>6000*20000/1000000</f>
        <v>120</v>
      </c>
      <c r="G11" s="221"/>
      <c r="H11" s="221"/>
      <c r="I11" s="221"/>
      <c r="J11" s="221"/>
      <c r="K11" s="221"/>
      <c r="L11" s="221"/>
      <c r="M11" s="221"/>
      <c r="N11" s="246"/>
      <c r="P11" s="197"/>
      <c r="Q11" s="85"/>
      <c r="AE11" s="263"/>
      <c r="AG11" s="339" t="str">
        <v>Peru</v>
      </c>
      <c r="AH11" s="340">
        <v>0.1683772772882326</v>
      </c>
      <c r="AI11" s="339">
        <f t="shared" si="0"/>
        <v>3</v>
      </c>
      <c r="AJ11" s="339">
        <v>8</v>
      </c>
      <c r="AK11" s="339"/>
      <c r="AL11" s="340" t="str">
        <f t="shared" si="1"/>
        <v>Colombia</v>
      </c>
      <c r="AM11" s="340">
        <f t="shared" si="2"/>
        <v>0.1639703874390892</v>
      </c>
      <c r="AN11" s="336"/>
      <c r="AO11" s="336"/>
      <c r="AP11" s="336"/>
      <c r="AQ11" s="336"/>
      <c r="AR11" s="336"/>
      <c r="AS11" s="336"/>
      <c r="AT11" s="336"/>
      <c r="AU11" s="336"/>
      <c r="AV11" s="336"/>
      <c r="AW11" s="336"/>
      <c r="AX11" s="336"/>
      <c r="AY11" s="336"/>
      <c r="AZ11" s="336"/>
      <c r="BA11" s="336"/>
      <c r="BB11" s="336"/>
      <c r="BC11" s="336"/>
      <c r="BD11" s="336"/>
      <c r="BE11" s="336"/>
      <c r="BF11" s="336"/>
      <c r="BG11" s="336"/>
      <c r="BH11" s="336"/>
      <c r="BI11" s="336"/>
      <c r="BJ11" s="336"/>
      <c r="BK11" s="336"/>
      <c r="BL11" s="336"/>
      <c r="BM11" s="336"/>
      <c r="BN11" s="336"/>
      <c r="BO11" s="336"/>
      <c r="BP11" s="336"/>
      <c r="BQ11" s="336"/>
      <c r="BR11" s="336"/>
      <c r="BS11" s="336"/>
      <c r="BT11" s="336"/>
      <c r="BU11" s="336"/>
      <c r="BV11" s="336"/>
      <c r="BW11" s="336"/>
      <c r="BX11" s="336"/>
      <c r="BY11" s="336"/>
      <c r="BZ11" s="336"/>
      <c r="CA11" s="336"/>
      <c r="CB11" s="336"/>
      <c r="CC11" s="336"/>
      <c r="CD11" s="336"/>
      <c r="CE11" s="336"/>
      <c r="CF11" s="336"/>
    </row>
    <row r="12" spans="1:84" s="15" customFormat="1" ht="12" customHeight="1" outlineLevel="2" x14ac:dyDescent="0.2">
      <c r="A12" s="242" t="s">
        <v>290</v>
      </c>
      <c r="B12" s="27" t="s">
        <v>206</v>
      </c>
      <c r="C12" s="188">
        <f t="shared" si="3"/>
        <v>0</v>
      </c>
      <c r="D12" s="29"/>
      <c r="E12" s="221"/>
      <c r="F12" s="222">
        <f>6000*25000/1000000</f>
        <v>150</v>
      </c>
      <c r="G12" s="221"/>
      <c r="H12" s="221"/>
      <c r="I12" s="221"/>
      <c r="J12" s="221"/>
      <c r="K12" s="221"/>
      <c r="L12" s="221"/>
      <c r="M12" s="221"/>
      <c r="N12" s="246"/>
      <c r="P12" s="198"/>
      <c r="R12" s="90"/>
      <c r="S12" s="90"/>
      <c r="T12" s="90"/>
      <c r="U12" s="90"/>
      <c r="V12" s="90"/>
      <c r="W12" s="90"/>
      <c r="X12" s="90"/>
      <c r="Y12" s="90"/>
      <c r="Z12" s="90"/>
      <c r="AA12" s="90"/>
      <c r="AB12" s="90"/>
      <c r="AE12" s="263"/>
      <c r="AG12" s="339" t="str">
        <v>PNG</v>
      </c>
      <c r="AH12" s="340">
        <v>0.17099323111126674</v>
      </c>
      <c r="AI12" s="339">
        <f t="shared" si="0"/>
        <v>2</v>
      </c>
      <c r="AJ12" s="339">
        <v>9</v>
      </c>
      <c r="AK12" s="339"/>
      <c r="AL12" s="340" t="str">
        <f t="shared" si="1"/>
        <v>Average Ghana</v>
      </c>
      <c r="AM12" s="340">
        <f t="shared" si="2"/>
        <v>0.1633081331055409</v>
      </c>
      <c r="AN12" s="336"/>
      <c r="AO12" s="336"/>
      <c r="AP12" s="336"/>
      <c r="AQ12" s="336"/>
      <c r="AR12" s="336"/>
      <c r="AS12" s="336"/>
      <c r="AT12" s="336"/>
      <c r="AU12" s="336"/>
      <c r="AV12" s="336"/>
      <c r="AW12" s="336"/>
      <c r="AX12" s="336"/>
      <c r="AY12" s="336"/>
      <c r="AZ12" s="336"/>
      <c r="BA12" s="336"/>
      <c r="BB12" s="336"/>
      <c r="BC12" s="336"/>
      <c r="BD12" s="336"/>
      <c r="BE12" s="336"/>
      <c r="BF12" s="336"/>
      <c r="BG12" s="336"/>
      <c r="BH12" s="336"/>
      <c r="BI12" s="336"/>
      <c r="BJ12" s="336"/>
      <c r="BK12" s="336"/>
      <c r="BL12" s="336"/>
      <c r="BM12" s="336"/>
      <c r="BN12" s="336"/>
      <c r="BO12" s="336"/>
      <c r="BP12" s="336"/>
      <c r="BQ12" s="336"/>
      <c r="BR12" s="336"/>
      <c r="BS12" s="336"/>
      <c r="BT12" s="336"/>
      <c r="BU12" s="336"/>
      <c r="BV12" s="336"/>
      <c r="BW12" s="336"/>
      <c r="BX12" s="336"/>
      <c r="BY12" s="336"/>
      <c r="BZ12" s="336"/>
      <c r="CA12" s="336"/>
      <c r="CB12" s="336"/>
      <c r="CC12" s="336"/>
      <c r="CD12" s="336"/>
      <c r="CE12" s="336"/>
      <c r="CF12" s="336"/>
    </row>
    <row r="13" spans="1:84" s="15" customFormat="1" ht="12" customHeight="1" outlineLevel="2" x14ac:dyDescent="0.2">
      <c r="A13" s="242" t="s">
        <v>291</v>
      </c>
      <c r="B13" s="27" t="s">
        <v>206</v>
      </c>
      <c r="C13" s="188">
        <f t="shared" si="3"/>
        <v>0</v>
      </c>
      <c r="D13" s="29"/>
      <c r="E13" s="221"/>
      <c r="F13" s="222">
        <f>6000*30000/1000000</f>
        <v>180</v>
      </c>
      <c r="G13" s="221"/>
      <c r="H13" s="221"/>
      <c r="I13" s="221"/>
      <c r="J13" s="221"/>
      <c r="K13" s="221"/>
      <c r="L13" s="221"/>
      <c r="M13" s="221"/>
      <c r="N13" s="246"/>
      <c r="P13" s="197"/>
      <c r="Q13" s="92"/>
      <c r="R13" s="90"/>
      <c r="S13" s="90"/>
      <c r="T13" s="90"/>
      <c r="U13" s="90"/>
      <c r="V13" s="90"/>
      <c r="W13" s="90"/>
      <c r="X13" s="16"/>
      <c r="Y13" s="16"/>
      <c r="Z13" s="16"/>
      <c r="AA13" s="16"/>
      <c r="AE13" s="263"/>
      <c r="AG13" s="339" t="str">
        <v>Tanzania</v>
      </c>
      <c r="AH13" s="340">
        <v>0.16728948816189071</v>
      </c>
      <c r="AI13" s="339">
        <f t="shared" si="0"/>
        <v>4</v>
      </c>
      <c r="AJ13" s="339">
        <v>10</v>
      </c>
      <c r="AK13" s="339"/>
      <c r="AL13" s="340" t="str">
        <f t="shared" si="1"/>
        <v>South Africa</v>
      </c>
      <c r="AM13" s="340">
        <f t="shared" si="2"/>
        <v>0.16233837578789045</v>
      </c>
      <c r="AN13" s="336"/>
      <c r="AO13" s="336"/>
      <c r="AP13" s="336"/>
      <c r="AQ13" s="336"/>
      <c r="AR13" s="336"/>
      <c r="AS13" s="336"/>
      <c r="AT13" s="336"/>
      <c r="AU13" s="336"/>
      <c r="AV13" s="336"/>
      <c r="AW13" s="336"/>
      <c r="AX13" s="336"/>
      <c r="AY13" s="336"/>
      <c r="AZ13" s="336"/>
      <c r="BA13" s="336"/>
      <c r="BB13" s="336"/>
      <c r="BC13" s="336"/>
      <c r="BD13" s="336"/>
      <c r="BE13" s="336"/>
      <c r="BF13" s="336"/>
      <c r="BG13" s="336"/>
      <c r="BH13" s="336"/>
      <c r="BI13" s="336"/>
      <c r="BJ13" s="336"/>
      <c r="BK13" s="336"/>
      <c r="BL13" s="336"/>
      <c r="BM13" s="336"/>
      <c r="BN13" s="336"/>
      <c r="BO13" s="336"/>
      <c r="BP13" s="336"/>
      <c r="BQ13" s="336"/>
      <c r="BR13" s="336"/>
      <c r="BS13" s="336"/>
      <c r="BT13" s="336"/>
      <c r="BU13" s="336"/>
      <c r="BV13" s="336"/>
      <c r="BW13" s="336"/>
      <c r="BX13" s="336"/>
      <c r="BY13" s="336"/>
      <c r="BZ13" s="336"/>
      <c r="CA13" s="336"/>
      <c r="CB13" s="336"/>
      <c r="CC13" s="336"/>
      <c r="CD13" s="336"/>
      <c r="CE13" s="336"/>
      <c r="CF13" s="336"/>
    </row>
    <row r="14" spans="1:84" s="15" customFormat="1" ht="12" customHeight="1" outlineLevel="2" x14ac:dyDescent="0.2">
      <c r="A14" s="242" t="s">
        <v>292</v>
      </c>
      <c r="B14" s="27" t="s">
        <v>206</v>
      </c>
      <c r="C14" s="188">
        <f t="shared" si="3"/>
        <v>0</v>
      </c>
      <c r="D14" s="29"/>
      <c r="E14" s="221"/>
      <c r="F14" s="222">
        <f>6000*35000/1000000</f>
        <v>210</v>
      </c>
      <c r="G14" s="221"/>
      <c r="H14" s="221"/>
      <c r="I14" s="221"/>
      <c r="J14" s="221"/>
      <c r="K14" s="221"/>
      <c r="L14" s="221"/>
      <c r="M14" s="221"/>
      <c r="N14" s="246"/>
      <c r="P14" s="197"/>
      <c r="Q14" s="92"/>
      <c r="R14" s="90"/>
      <c r="S14" s="90"/>
      <c r="T14" s="90"/>
      <c r="U14" s="90"/>
      <c r="V14" s="90"/>
      <c r="W14" s="90"/>
      <c r="X14" s="16"/>
      <c r="Y14" s="16"/>
      <c r="Z14" s="16"/>
      <c r="AA14" s="16"/>
      <c r="AE14" s="263"/>
      <c r="AG14" s="339" t="str">
        <v>South Africa</v>
      </c>
      <c r="AH14" s="340">
        <v>0.16233837578789045</v>
      </c>
      <c r="AI14" s="339">
        <f t="shared" si="0"/>
        <v>10</v>
      </c>
      <c r="AJ14" s="339">
        <v>11</v>
      </c>
      <c r="AK14" s="341"/>
      <c r="AL14" s="340" t="str">
        <f t="shared" si="1"/>
        <v>Brazil</v>
      </c>
      <c r="AM14" s="340">
        <f t="shared" si="2"/>
        <v>0.16071227579097092</v>
      </c>
      <c r="AN14" s="336"/>
      <c r="AO14" s="336"/>
      <c r="AP14" s="336"/>
      <c r="AQ14" s="336"/>
      <c r="AR14" s="336"/>
      <c r="AS14" s="336"/>
      <c r="AT14" s="336"/>
      <c r="AU14" s="336"/>
      <c r="AV14" s="336"/>
      <c r="AW14" s="336"/>
      <c r="AX14" s="336"/>
      <c r="AY14" s="336"/>
      <c r="AZ14" s="336"/>
      <c r="BA14" s="336"/>
      <c r="BB14" s="336"/>
      <c r="BC14" s="336"/>
      <c r="BD14" s="336"/>
      <c r="BE14" s="336"/>
      <c r="BF14" s="336"/>
      <c r="BG14" s="336"/>
      <c r="BH14" s="336"/>
      <c r="BI14" s="336"/>
      <c r="BJ14" s="336"/>
      <c r="BK14" s="336"/>
      <c r="BL14" s="336"/>
      <c r="BM14" s="336"/>
      <c r="BN14" s="336"/>
      <c r="BO14" s="336"/>
      <c r="BP14" s="336"/>
      <c r="BQ14" s="336"/>
      <c r="BR14" s="336"/>
      <c r="BS14" s="336"/>
      <c r="BT14" s="336"/>
      <c r="BU14" s="336"/>
      <c r="BV14" s="336"/>
      <c r="BW14" s="336"/>
      <c r="BX14" s="336"/>
      <c r="BY14" s="336"/>
      <c r="BZ14" s="336"/>
      <c r="CA14" s="336"/>
      <c r="CB14" s="336"/>
      <c r="CC14" s="336"/>
      <c r="CD14" s="336"/>
      <c r="CE14" s="336"/>
      <c r="CF14" s="336"/>
    </row>
    <row r="15" spans="1:84" s="15" customFormat="1" ht="12" customHeight="1" outlineLevel="2" x14ac:dyDescent="0.2">
      <c r="A15" s="242" t="s">
        <v>293</v>
      </c>
      <c r="B15" s="27" t="s">
        <v>206</v>
      </c>
      <c r="C15" s="188">
        <f t="shared" si="3"/>
        <v>0</v>
      </c>
      <c r="D15" s="29"/>
      <c r="E15" s="221"/>
      <c r="F15" s="222">
        <f>6000*40000/1000000</f>
        <v>240</v>
      </c>
      <c r="G15" s="221"/>
      <c r="H15" s="221"/>
      <c r="I15" s="221"/>
      <c r="J15" s="221"/>
      <c r="K15" s="221"/>
      <c r="L15" s="221"/>
      <c r="M15" s="221"/>
      <c r="N15" s="246"/>
      <c r="P15" s="197"/>
      <c r="Q15" s="92"/>
      <c r="R15" s="90"/>
      <c r="S15" s="90"/>
      <c r="T15" s="90"/>
      <c r="U15" s="90"/>
      <c r="V15" s="90"/>
      <c r="W15" s="90"/>
      <c r="X15" s="16"/>
      <c r="Y15" s="16"/>
      <c r="Z15" s="16"/>
      <c r="AA15" s="16"/>
      <c r="AE15" s="263"/>
      <c r="AG15" s="339" t="s">
        <v>406</v>
      </c>
      <c r="AH15" s="340">
        <v>0.1633081331055409</v>
      </c>
      <c r="AI15" s="339">
        <f t="shared" si="0"/>
        <v>9</v>
      </c>
      <c r="AJ15" s="339">
        <v>12</v>
      </c>
      <c r="AK15" s="337"/>
      <c r="AL15" s="340" t="str">
        <f t="shared" si="1"/>
        <v>Indonesia</v>
      </c>
      <c r="AM15" s="340">
        <f t="shared" si="2"/>
        <v>0.15891501309873357</v>
      </c>
      <c r="AN15" s="336"/>
      <c r="AO15" s="336"/>
      <c r="AP15" s="336"/>
      <c r="AQ15" s="336"/>
      <c r="AR15" s="336"/>
      <c r="AS15" s="336"/>
      <c r="AT15" s="336"/>
      <c r="AU15" s="336"/>
      <c r="AV15" s="336"/>
      <c r="AW15" s="336"/>
      <c r="AX15" s="336"/>
      <c r="AY15" s="336"/>
      <c r="AZ15" s="336"/>
      <c r="BA15" s="336"/>
      <c r="BB15" s="336"/>
      <c r="BC15" s="336"/>
      <c r="BD15" s="336"/>
      <c r="BE15" s="336"/>
      <c r="BF15" s="336"/>
      <c r="BG15" s="336"/>
      <c r="BH15" s="336"/>
      <c r="BI15" s="336"/>
      <c r="BJ15" s="336"/>
      <c r="BK15" s="336"/>
      <c r="BL15" s="336"/>
      <c r="BM15" s="336"/>
      <c r="BN15" s="336"/>
      <c r="BO15" s="336"/>
      <c r="BP15" s="336"/>
      <c r="BQ15" s="336"/>
      <c r="BR15" s="336"/>
      <c r="BS15" s="336"/>
      <c r="BT15" s="336"/>
      <c r="BU15" s="336"/>
      <c r="BV15" s="336"/>
      <c r="BW15" s="336"/>
      <c r="BX15" s="336"/>
      <c r="BY15" s="336"/>
      <c r="BZ15" s="336"/>
      <c r="CA15" s="336"/>
      <c r="CB15" s="336"/>
      <c r="CC15" s="336"/>
      <c r="CD15" s="336"/>
      <c r="CE15" s="336"/>
      <c r="CF15" s="336"/>
    </row>
    <row r="16" spans="1:84" s="15" customFormat="1" ht="12" customHeight="1" outlineLevel="2" x14ac:dyDescent="0.2">
      <c r="A16" s="242" t="s">
        <v>301</v>
      </c>
      <c r="B16" s="27" t="s">
        <v>206</v>
      </c>
      <c r="C16" s="188">
        <f t="shared" si="3"/>
        <v>0</v>
      </c>
      <c r="D16" s="29"/>
      <c r="E16" s="221"/>
      <c r="F16" s="222">
        <f>6000*50000/1000000</f>
        <v>300</v>
      </c>
      <c r="G16" s="221"/>
      <c r="H16" s="221"/>
      <c r="I16" s="221"/>
      <c r="J16" s="221"/>
      <c r="K16" s="221"/>
      <c r="L16" s="221"/>
      <c r="M16" s="221"/>
      <c r="N16" s="246"/>
      <c r="P16" s="197"/>
      <c r="Q16" s="92"/>
      <c r="R16" s="90"/>
      <c r="S16" s="90"/>
      <c r="T16" s="90"/>
      <c r="U16" s="90"/>
      <c r="V16" s="90"/>
      <c r="W16" s="90"/>
      <c r="X16" s="16"/>
      <c r="Y16" s="16"/>
      <c r="Z16" s="16"/>
      <c r="AA16" s="16"/>
      <c r="AE16" s="263"/>
      <c r="AG16" s="339" t="s">
        <v>407</v>
      </c>
      <c r="AH16" s="340">
        <v>0.16614628274402263</v>
      </c>
      <c r="AI16" s="339">
        <f t="shared" si="0"/>
        <v>5</v>
      </c>
      <c r="AJ16" s="339">
        <v>13</v>
      </c>
      <c r="AK16" s="337"/>
      <c r="AL16" s="340" t="str">
        <f t="shared" si="1"/>
        <v>Mine</v>
      </c>
      <c r="AM16" s="340">
        <f t="shared" si="2"/>
        <v>0.15859092663937036</v>
      </c>
      <c r="AN16" s="336"/>
      <c r="AO16" s="336"/>
      <c r="AP16" s="336"/>
      <c r="AQ16" s="336"/>
      <c r="AR16" s="336"/>
      <c r="AS16" s="336"/>
      <c r="AT16" s="336"/>
      <c r="AU16" s="336"/>
      <c r="AV16" s="336"/>
      <c r="AW16" s="336"/>
      <c r="AX16" s="336"/>
      <c r="AY16" s="336"/>
      <c r="AZ16" s="336"/>
      <c r="BA16" s="336"/>
      <c r="BB16" s="336"/>
      <c r="BC16" s="336"/>
      <c r="BD16" s="336"/>
      <c r="BE16" s="336"/>
      <c r="BF16" s="336"/>
      <c r="BG16" s="336"/>
      <c r="BH16" s="336"/>
      <c r="BI16" s="336"/>
      <c r="BJ16" s="336"/>
      <c r="BK16" s="336"/>
      <c r="BL16" s="336"/>
      <c r="BM16" s="336"/>
      <c r="BN16" s="336"/>
      <c r="BO16" s="336"/>
      <c r="BP16" s="336"/>
      <c r="BQ16" s="336"/>
      <c r="BR16" s="336"/>
      <c r="BS16" s="336"/>
      <c r="BT16" s="336"/>
      <c r="BU16" s="336"/>
      <c r="BV16" s="336"/>
      <c r="BW16" s="336"/>
      <c r="BX16" s="336"/>
      <c r="BY16" s="336"/>
      <c r="BZ16" s="336"/>
      <c r="CA16" s="336"/>
      <c r="CB16" s="336"/>
      <c r="CC16" s="336"/>
      <c r="CD16" s="336"/>
      <c r="CE16" s="336"/>
      <c r="CF16" s="336"/>
    </row>
    <row r="17" spans="1:84" s="15" customFormat="1" ht="12" customHeight="1" outlineLevel="2" x14ac:dyDescent="0.2">
      <c r="A17" s="242" t="s">
        <v>302</v>
      </c>
      <c r="B17" s="27" t="s">
        <v>206</v>
      </c>
      <c r="C17" s="188">
        <f t="shared" si="3"/>
        <v>0</v>
      </c>
      <c r="D17" s="29"/>
      <c r="E17" s="221"/>
      <c r="F17" s="220"/>
      <c r="G17" s="221"/>
      <c r="H17" s="221"/>
      <c r="I17" s="221"/>
      <c r="J17" s="221"/>
      <c r="K17" s="221"/>
      <c r="L17" s="221"/>
      <c r="M17" s="221"/>
      <c r="N17" s="246"/>
      <c r="P17" s="197"/>
      <c r="Q17" s="92"/>
      <c r="R17" s="90"/>
      <c r="S17" s="90"/>
      <c r="T17" s="90"/>
      <c r="U17" s="90"/>
      <c r="V17" s="90"/>
      <c r="W17" s="90"/>
      <c r="X17" s="16"/>
      <c r="Y17" s="16"/>
      <c r="Z17" s="16"/>
      <c r="AA17" s="16"/>
      <c r="AE17" s="263"/>
      <c r="AG17" s="339" t="s">
        <v>408</v>
      </c>
      <c r="AH17" s="340">
        <v>0.16472720792478177</v>
      </c>
      <c r="AI17" s="339">
        <f t="shared" si="0"/>
        <v>7</v>
      </c>
      <c r="AJ17" s="339">
        <v>14</v>
      </c>
      <c r="AK17" s="337"/>
      <c r="AL17" s="340" t="str">
        <f t="shared" si="1"/>
        <v>Ghana</v>
      </c>
      <c r="AM17" s="340">
        <f t="shared" si="2"/>
        <v>0.15700455736792307</v>
      </c>
      <c r="AN17" s="336"/>
      <c r="AO17" s="336"/>
      <c r="AP17" s="336"/>
      <c r="AQ17" s="336"/>
      <c r="AR17" s="336"/>
      <c r="AS17" s="336"/>
      <c r="AT17" s="336"/>
      <c r="AU17" s="336"/>
      <c r="AV17" s="336"/>
      <c r="AW17" s="336"/>
      <c r="AX17" s="336"/>
      <c r="AY17" s="336"/>
      <c r="AZ17" s="336"/>
      <c r="BA17" s="336"/>
      <c r="BB17" s="336"/>
      <c r="BC17" s="336"/>
      <c r="BD17" s="336"/>
      <c r="BE17" s="336"/>
      <c r="BF17" s="336"/>
      <c r="BG17" s="336"/>
      <c r="BH17" s="336"/>
      <c r="BI17" s="336"/>
      <c r="BJ17" s="336"/>
      <c r="BK17" s="336"/>
      <c r="BL17" s="336"/>
      <c r="BM17" s="336"/>
      <c r="BN17" s="336"/>
      <c r="BO17" s="336"/>
      <c r="BP17" s="336"/>
      <c r="BQ17" s="336"/>
      <c r="BR17" s="336"/>
      <c r="BS17" s="336"/>
      <c r="BT17" s="336"/>
      <c r="BU17" s="336"/>
      <c r="BV17" s="336"/>
      <c r="BW17" s="336"/>
      <c r="BX17" s="336"/>
      <c r="BY17" s="336"/>
      <c r="BZ17" s="336"/>
      <c r="CA17" s="336"/>
      <c r="CB17" s="336"/>
      <c r="CC17" s="336"/>
      <c r="CD17" s="336"/>
      <c r="CE17" s="336"/>
      <c r="CF17" s="336"/>
    </row>
    <row r="18" spans="1:84" s="15" customFormat="1" ht="12" customHeight="1" outlineLevel="2" x14ac:dyDescent="0.2">
      <c r="A18" s="242" t="s">
        <v>303</v>
      </c>
      <c r="B18" s="27" t="s">
        <v>206</v>
      </c>
      <c r="C18" s="188">
        <f t="shared" si="3"/>
        <v>0</v>
      </c>
      <c r="D18" s="29"/>
      <c r="E18" s="221"/>
      <c r="F18" s="220"/>
      <c r="G18" s="221"/>
      <c r="H18" s="221"/>
      <c r="I18" s="221"/>
      <c r="J18" s="221"/>
      <c r="K18" s="221"/>
      <c r="L18" s="221"/>
      <c r="M18" s="221"/>
      <c r="N18" s="246"/>
      <c r="P18" s="197"/>
      <c r="Q18" s="92"/>
      <c r="R18" s="90"/>
      <c r="S18" s="90"/>
      <c r="T18" s="90"/>
      <c r="U18" s="90"/>
      <c r="V18" s="90"/>
      <c r="W18" s="90"/>
      <c r="X18" s="16"/>
      <c r="Y18" s="16"/>
      <c r="Z18" s="16"/>
      <c r="AA18" s="16"/>
      <c r="AB18" s="16"/>
      <c r="AC18" s="16"/>
      <c r="AD18" s="16"/>
      <c r="AE18" s="266"/>
      <c r="AF18" s="16"/>
      <c r="AG18" s="337"/>
      <c r="AH18" s="337"/>
      <c r="AI18" s="337"/>
      <c r="AJ18" s="337"/>
      <c r="AK18" s="337"/>
      <c r="AL18" s="337"/>
      <c r="AM18" s="337"/>
      <c r="AN18" s="336"/>
      <c r="AO18" s="336"/>
      <c r="AP18" s="336"/>
      <c r="AQ18" s="336"/>
      <c r="AR18" s="336"/>
      <c r="AS18" s="336"/>
      <c r="AT18" s="336"/>
      <c r="AU18" s="336"/>
      <c r="AV18" s="336"/>
      <c r="AW18" s="336"/>
      <c r="AX18" s="336"/>
      <c r="AY18" s="336"/>
      <c r="AZ18" s="336"/>
      <c r="BA18" s="336"/>
      <c r="BB18" s="336"/>
      <c r="BC18" s="336"/>
      <c r="BD18" s="336"/>
      <c r="BE18" s="336"/>
      <c r="BF18" s="336"/>
      <c r="BG18" s="336"/>
      <c r="BH18" s="336"/>
      <c r="BI18" s="336"/>
      <c r="BJ18" s="336"/>
      <c r="BK18" s="336"/>
      <c r="BL18" s="336"/>
      <c r="BM18" s="336"/>
      <c r="BN18" s="336"/>
      <c r="BO18" s="336"/>
      <c r="BP18" s="336"/>
      <c r="BQ18" s="336"/>
      <c r="BR18" s="336"/>
      <c r="BS18" s="336"/>
      <c r="BT18" s="336"/>
      <c r="BU18" s="336"/>
      <c r="BV18" s="336"/>
      <c r="BW18" s="336"/>
      <c r="BX18" s="336"/>
      <c r="BY18" s="336"/>
      <c r="BZ18" s="336"/>
      <c r="CA18" s="336"/>
      <c r="CB18" s="336"/>
      <c r="CC18" s="336"/>
      <c r="CD18" s="336"/>
      <c r="CE18" s="336"/>
      <c r="CF18" s="336"/>
    </row>
    <row r="19" spans="1:84" s="15" customFormat="1" ht="12" customHeight="1" outlineLevel="2" x14ac:dyDescent="0.2">
      <c r="A19" s="242" t="s">
        <v>304</v>
      </c>
      <c r="B19" s="27" t="s">
        <v>206</v>
      </c>
      <c r="C19" s="188">
        <f t="shared" si="3"/>
        <v>0</v>
      </c>
      <c r="D19" s="29"/>
      <c r="E19" s="221"/>
      <c r="F19" s="220"/>
      <c r="G19" s="221"/>
      <c r="H19" s="221"/>
      <c r="I19" s="221"/>
      <c r="J19" s="221"/>
      <c r="K19" s="221"/>
      <c r="L19" s="221"/>
      <c r="M19" s="221"/>
      <c r="N19" s="246"/>
      <c r="P19" s="197"/>
      <c r="Q19" s="92"/>
      <c r="R19" s="90"/>
      <c r="S19" s="90"/>
      <c r="T19" s="90"/>
      <c r="U19" s="90"/>
      <c r="V19" s="90"/>
      <c r="W19" s="90"/>
      <c r="X19" s="16"/>
      <c r="Y19" s="16"/>
      <c r="Z19" s="16"/>
      <c r="AA19" s="16"/>
      <c r="AB19" s="16"/>
      <c r="AC19" s="16"/>
      <c r="AD19" s="16"/>
      <c r="AE19" s="266"/>
      <c r="AF19" s="16"/>
      <c r="AG19" s="338" t="s">
        <v>367</v>
      </c>
      <c r="AH19" s="339"/>
      <c r="AI19" s="339"/>
      <c r="AJ19" s="339"/>
      <c r="AK19" s="339"/>
      <c r="AL19" s="339"/>
      <c r="AM19" s="339"/>
      <c r="AN19" s="336"/>
      <c r="AO19" s="336"/>
      <c r="AP19" s="336"/>
      <c r="AQ19" s="336"/>
      <c r="AR19" s="336"/>
      <c r="AS19" s="336"/>
      <c r="AT19" s="336"/>
      <c r="AU19" s="336"/>
      <c r="AV19" s="336"/>
      <c r="AW19" s="336"/>
      <c r="AX19" s="336"/>
      <c r="AY19" s="336"/>
      <c r="AZ19" s="336"/>
      <c r="BA19" s="336"/>
      <c r="BB19" s="336"/>
      <c r="BC19" s="336"/>
      <c r="BD19" s="336"/>
      <c r="BE19" s="336"/>
      <c r="BF19" s="336"/>
      <c r="BG19" s="336"/>
      <c r="BH19" s="336"/>
      <c r="BI19" s="336"/>
      <c r="BJ19" s="336"/>
      <c r="BK19" s="336"/>
      <c r="BL19" s="336"/>
      <c r="BM19" s="336"/>
      <c r="BN19" s="336"/>
      <c r="BO19" s="336"/>
      <c r="BP19" s="336"/>
      <c r="BQ19" s="336"/>
      <c r="BR19" s="336"/>
      <c r="BS19" s="336"/>
      <c r="BT19" s="336"/>
      <c r="BU19" s="336"/>
      <c r="BV19" s="336"/>
      <c r="BW19" s="336"/>
      <c r="BX19" s="336"/>
      <c r="BY19" s="336"/>
      <c r="BZ19" s="336"/>
      <c r="CA19" s="336"/>
      <c r="CB19" s="336"/>
      <c r="CC19" s="336"/>
      <c r="CD19" s="336"/>
      <c r="CE19" s="336"/>
      <c r="CF19" s="336"/>
    </row>
    <row r="20" spans="1:84" s="15" customFormat="1" ht="12" customHeight="1" outlineLevel="2" x14ac:dyDescent="0.2">
      <c r="A20" s="242" t="s">
        <v>305</v>
      </c>
      <c r="B20" s="27" t="s">
        <v>206</v>
      </c>
      <c r="C20" s="188">
        <f t="shared" si="3"/>
        <v>0</v>
      </c>
      <c r="D20" s="29"/>
      <c r="E20" s="221"/>
      <c r="F20" s="220"/>
      <c r="G20" s="221"/>
      <c r="H20" s="221"/>
      <c r="I20" s="221"/>
      <c r="J20" s="221"/>
      <c r="K20" s="221"/>
      <c r="L20" s="221"/>
      <c r="M20" s="221"/>
      <c r="N20" s="246"/>
      <c r="P20" s="197"/>
      <c r="Q20" s="92"/>
      <c r="R20" s="90"/>
      <c r="S20" s="90"/>
      <c r="T20" s="90"/>
      <c r="U20" s="90"/>
      <c r="V20" s="90"/>
      <c r="W20" s="90"/>
      <c r="X20" s="16"/>
      <c r="Y20" s="16"/>
      <c r="Z20" s="16"/>
      <c r="AE20" s="263"/>
      <c r="AG20" s="339" t="s">
        <v>166</v>
      </c>
      <c r="AH20" s="341">
        <f t="array" ref="AH20:AH33">TRANSPOSE('Assumptions &amp; Results'!R8:AE8)</f>
        <v>0.37165221637871826</v>
      </c>
      <c r="AI20" s="339">
        <f t="shared" ref="AI20:AI33" si="4">RANK(AH20,$AH$20:$AH$33)</f>
        <v>12</v>
      </c>
      <c r="AJ20" s="339">
        <v>1</v>
      </c>
      <c r="AK20" s="339"/>
      <c r="AL20" s="340" t="str">
        <f t="shared" ref="AL20:AL33" si="5">INDEX($AG$20:$AH$33,MATCH(AJ20,$AI$20:$AI$33,0),1)</f>
        <v>Ghana</v>
      </c>
      <c r="AM20" s="340">
        <f t="shared" ref="AM20:AM33" si="6">INDEX($AG$20:$AH$33,MATCH(AJ20,$AI$20:$AI$33,0),2)</f>
        <v>0.50824109220538261</v>
      </c>
      <c r="AN20" s="337"/>
      <c r="AO20" s="336"/>
      <c r="AP20" s="336"/>
      <c r="AQ20" s="336"/>
      <c r="AR20" s="336"/>
      <c r="AS20" s="336"/>
      <c r="AT20" s="336"/>
      <c r="AU20" s="336"/>
      <c r="AV20" s="336"/>
      <c r="AW20" s="336"/>
      <c r="AX20" s="336"/>
      <c r="AY20" s="336"/>
      <c r="AZ20" s="336"/>
      <c r="BA20" s="336"/>
      <c r="BB20" s="336"/>
      <c r="BC20" s="336"/>
      <c r="BD20" s="336"/>
      <c r="BE20" s="336"/>
      <c r="BF20" s="336"/>
      <c r="BG20" s="336"/>
      <c r="BH20" s="336"/>
      <c r="BI20" s="336"/>
      <c r="BJ20" s="336"/>
      <c r="BK20" s="336"/>
      <c r="BL20" s="336"/>
      <c r="BM20" s="336"/>
      <c r="BN20" s="336"/>
      <c r="BO20" s="336"/>
      <c r="BP20" s="336"/>
      <c r="BQ20" s="336"/>
      <c r="BR20" s="336"/>
      <c r="BS20" s="336"/>
      <c r="BT20" s="336"/>
      <c r="BU20" s="336"/>
      <c r="BV20" s="336"/>
      <c r="BW20" s="336"/>
      <c r="BX20" s="336"/>
      <c r="BY20" s="336"/>
      <c r="BZ20" s="336"/>
      <c r="CA20" s="336"/>
      <c r="CB20" s="336"/>
      <c r="CC20" s="336"/>
      <c r="CD20" s="336"/>
      <c r="CE20" s="336"/>
      <c r="CF20" s="336"/>
    </row>
    <row r="21" spans="1:84" s="15" customFormat="1" ht="12" customHeight="1" outlineLevel="2" x14ac:dyDescent="0.2">
      <c r="A21" s="242" t="s">
        <v>306</v>
      </c>
      <c r="B21" s="27" t="s">
        <v>206</v>
      </c>
      <c r="C21" s="188">
        <f t="shared" si="3"/>
        <v>0</v>
      </c>
      <c r="D21" s="29"/>
      <c r="E21" s="221"/>
      <c r="F21" s="220"/>
      <c r="G21" s="221"/>
      <c r="H21" s="221"/>
      <c r="I21" s="221"/>
      <c r="J21" s="221"/>
      <c r="K21" s="221"/>
      <c r="L21" s="221"/>
      <c r="M21" s="221"/>
      <c r="N21" s="246"/>
      <c r="P21" s="197"/>
      <c r="Q21" s="92"/>
      <c r="R21" s="90"/>
      <c r="S21" s="90"/>
      <c r="T21" s="90"/>
      <c r="U21" s="90"/>
      <c r="V21" s="90"/>
      <c r="W21" s="90"/>
      <c r="X21" s="16"/>
      <c r="Y21" s="16"/>
      <c r="Z21" s="16"/>
      <c r="AA21" s="16"/>
      <c r="AB21" s="16"/>
      <c r="AC21" s="16"/>
      <c r="AD21" s="16"/>
      <c r="AE21" s="266"/>
      <c r="AF21" s="16"/>
      <c r="AG21" s="339" t="s">
        <v>262</v>
      </c>
      <c r="AH21" s="341">
        <v>0.36937296358275118</v>
      </c>
      <c r="AI21" s="339">
        <f t="shared" si="4"/>
        <v>13</v>
      </c>
      <c r="AJ21" s="339">
        <v>2</v>
      </c>
      <c r="AK21" s="339"/>
      <c r="AL21" s="340" t="str">
        <f t="shared" si="5"/>
        <v>Indonesia</v>
      </c>
      <c r="AM21" s="340">
        <f t="shared" si="6"/>
        <v>0.47350318887748366</v>
      </c>
      <c r="AN21" s="336"/>
      <c r="AO21" s="336"/>
      <c r="AP21" s="336"/>
      <c r="AQ21" s="336"/>
      <c r="AR21" s="336"/>
      <c r="AS21" s="336"/>
      <c r="AT21" s="336"/>
      <c r="AU21" s="336"/>
      <c r="AV21" s="336"/>
      <c r="AW21" s="336"/>
      <c r="AX21" s="336"/>
      <c r="AY21" s="336"/>
      <c r="AZ21" s="336"/>
      <c r="BA21" s="336"/>
      <c r="BB21" s="336"/>
      <c r="BC21" s="336"/>
      <c r="BD21" s="336"/>
      <c r="BE21" s="336"/>
      <c r="BF21" s="336"/>
      <c r="BG21" s="336"/>
      <c r="BH21" s="336"/>
      <c r="BI21" s="336"/>
      <c r="BJ21" s="336"/>
      <c r="BK21" s="336"/>
      <c r="BL21" s="336"/>
      <c r="BM21" s="336"/>
      <c r="BN21" s="336"/>
      <c r="BO21" s="336"/>
      <c r="BP21" s="336"/>
      <c r="BQ21" s="336"/>
      <c r="BR21" s="336"/>
      <c r="BS21" s="336"/>
      <c r="BT21" s="336"/>
      <c r="BU21" s="336"/>
      <c r="BV21" s="336"/>
      <c r="BW21" s="336"/>
      <c r="BX21" s="336"/>
      <c r="BY21" s="336"/>
      <c r="BZ21" s="336"/>
      <c r="CA21" s="336"/>
      <c r="CB21" s="336"/>
      <c r="CC21" s="336"/>
      <c r="CD21" s="336"/>
      <c r="CE21" s="336"/>
      <c r="CF21" s="336"/>
    </row>
    <row r="22" spans="1:84" s="15" customFormat="1" ht="12" customHeight="1" outlineLevel="2" x14ac:dyDescent="0.2">
      <c r="A22" s="242" t="s">
        <v>307</v>
      </c>
      <c r="B22" s="27" t="s">
        <v>206</v>
      </c>
      <c r="C22" s="188">
        <f t="shared" si="3"/>
        <v>0</v>
      </c>
      <c r="D22" s="29"/>
      <c r="E22" s="221"/>
      <c r="F22" s="220"/>
      <c r="G22" s="221"/>
      <c r="H22" s="221"/>
      <c r="I22" s="221"/>
      <c r="J22" s="221"/>
      <c r="K22" s="221"/>
      <c r="L22" s="221"/>
      <c r="M22" s="221"/>
      <c r="N22" s="246"/>
      <c r="P22" s="197"/>
      <c r="Q22" s="92"/>
      <c r="R22" s="90"/>
      <c r="S22" s="90"/>
      <c r="T22" s="90"/>
      <c r="U22" s="90"/>
      <c r="V22" s="90"/>
      <c r="W22" s="90"/>
      <c r="X22" s="16"/>
      <c r="Y22" s="16"/>
      <c r="Z22" s="16"/>
      <c r="AA22" s="16"/>
      <c r="AB22" s="16"/>
      <c r="AC22" s="16"/>
      <c r="AD22" s="16"/>
      <c r="AE22" s="266"/>
      <c r="AF22" s="16"/>
      <c r="AG22" s="339" t="s">
        <v>351</v>
      </c>
      <c r="AH22" s="341">
        <v>0.42193259223409069</v>
      </c>
      <c r="AI22" s="339">
        <f t="shared" si="4"/>
        <v>5</v>
      </c>
      <c r="AJ22" s="339">
        <v>3</v>
      </c>
      <c r="AK22" s="339"/>
      <c r="AL22" s="340" t="str">
        <f t="shared" si="5"/>
        <v>South Africa</v>
      </c>
      <c r="AM22" s="340">
        <f t="shared" si="6"/>
        <v>0.44308673830592693</v>
      </c>
      <c r="AN22" s="336"/>
      <c r="AO22" s="336"/>
      <c r="AP22" s="336"/>
      <c r="AQ22" s="336"/>
      <c r="AR22" s="336"/>
      <c r="AS22" s="336"/>
      <c r="AT22" s="336"/>
      <c r="AU22" s="336"/>
      <c r="AV22" s="336"/>
      <c r="AW22" s="336"/>
      <c r="AX22" s="336"/>
      <c r="AY22" s="336"/>
      <c r="AZ22" s="336"/>
      <c r="BA22" s="336"/>
      <c r="BB22" s="336"/>
      <c r="BC22" s="336"/>
      <c r="BD22" s="336"/>
      <c r="BE22" s="336"/>
      <c r="BF22" s="336"/>
      <c r="BG22" s="336"/>
      <c r="BH22" s="336"/>
      <c r="BI22" s="336"/>
      <c r="BJ22" s="336"/>
      <c r="BK22" s="336"/>
      <c r="BL22" s="336"/>
      <c r="BM22" s="336"/>
      <c r="BN22" s="336"/>
      <c r="BO22" s="336"/>
      <c r="BP22" s="336"/>
      <c r="BQ22" s="336"/>
      <c r="BR22" s="336"/>
      <c r="BS22" s="336"/>
      <c r="BT22" s="336"/>
      <c r="BU22" s="336"/>
      <c r="BV22" s="336"/>
      <c r="BW22" s="336"/>
      <c r="BX22" s="336"/>
      <c r="BY22" s="336"/>
      <c r="BZ22" s="336"/>
      <c r="CA22" s="336"/>
      <c r="CB22" s="336"/>
      <c r="CC22" s="336"/>
      <c r="CD22" s="336"/>
      <c r="CE22" s="336"/>
      <c r="CF22" s="336"/>
    </row>
    <row r="23" spans="1:84" s="15" customFormat="1" ht="12" customHeight="1" outlineLevel="2" x14ac:dyDescent="0.2">
      <c r="A23" s="242" t="s">
        <v>308</v>
      </c>
      <c r="B23" s="27" t="s">
        <v>206</v>
      </c>
      <c r="C23" s="188">
        <f t="shared" si="3"/>
        <v>0</v>
      </c>
      <c r="D23" s="29"/>
      <c r="E23" s="221"/>
      <c r="F23" s="220"/>
      <c r="G23" s="221"/>
      <c r="H23" s="221"/>
      <c r="I23" s="221"/>
      <c r="J23" s="221"/>
      <c r="K23" s="221"/>
      <c r="L23" s="221"/>
      <c r="M23" s="221"/>
      <c r="N23" s="246"/>
      <c r="P23" s="197"/>
      <c r="Q23" s="92"/>
      <c r="R23" s="90"/>
      <c r="S23" s="90"/>
      <c r="T23" s="90"/>
      <c r="U23" s="90"/>
      <c r="V23" s="90"/>
      <c r="W23" s="90"/>
      <c r="X23" s="16"/>
      <c r="Y23" s="16"/>
      <c r="Z23" s="16"/>
      <c r="AA23" s="16"/>
      <c r="AB23" s="16"/>
      <c r="AC23" s="16"/>
      <c r="AD23" s="16"/>
      <c r="AE23" s="266"/>
      <c r="AF23" s="16"/>
      <c r="AG23" s="339" t="s">
        <v>264</v>
      </c>
      <c r="AH23" s="341">
        <v>0.400628054559306</v>
      </c>
      <c r="AI23" s="339">
        <f t="shared" si="4"/>
        <v>7</v>
      </c>
      <c r="AJ23" s="339">
        <v>4</v>
      </c>
      <c r="AK23" s="339"/>
      <c r="AL23" s="340" t="str">
        <f t="shared" si="5"/>
        <v>Average Ghana</v>
      </c>
      <c r="AM23" s="340">
        <f t="shared" si="6"/>
        <v>0.44054904896731151</v>
      </c>
      <c r="AN23" s="336"/>
      <c r="AO23" s="336"/>
      <c r="AP23" s="336"/>
      <c r="AQ23" s="336"/>
      <c r="AR23" s="336"/>
      <c r="AS23" s="336"/>
      <c r="AT23" s="336"/>
      <c r="AU23" s="336"/>
      <c r="AV23" s="336"/>
      <c r="AW23" s="336"/>
      <c r="AX23" s="336"/>
      <c r="AY23" s="336"/>
      <c r="AZ23" s="336"/>
      <c r="BA23" s="336"/>
      <c r="BB23" s="336"/>
      <c r="BC23" s="336"/>
      <c r="BD23" s="336"/>
      <c r="BE23" s="336"/>
      <c r="BF23" s="336"/>
      <c r="BG23" s="336"/>
      <c r="BH23" s="336"/>
      <c r="BI23" s="336"/>
      <c r="BJ23" s="336"/>
      <c r="BK23" s="336"/>
      <c r="BL23" s="336"/>
      <c r="BM23" s="336"/>
      <c r="BN23" s="336"/>
      <c r="BO23" s="336"/>
      <c r="BP23" s="336"/>
      <c r="BQ23" s="336"/>
      <c r="BR23" s="336"/>
      <c r="BS23" s="336"/>
      <c r="BT23" s="336"/>
      <c r="BU23" s="336"/>
      <c r="BV23" s="336"/>
      <c r="BW23" s="336"/>
      <c r="BX23" s="336"/>
      <c r="BY23" s="336"/>
      <c r="BZ23" s="336"/>
      <c r="CA23" s="336"/>
      <c r="CB23" s="336"/>
      <c r="CC23" s="336"/>
      <c r="CD23" s="336"/>
      <c r="CE23" s="336"/>
      <c r="CF23" s="336"/>
    </row>
    <row r="24" spans="1:84" s="15" customFormat="1" ht="12" customHeight="1" outlineLevel="2" x14ac:dyDescent="0.2">
      <c r="A24" s="242" t="s">
        <v>196</v>
      </c>
      <c r="B24" s="27" t="s">
        <v>33</v>
      </c>
      <c r="C24" s="177">
        <f t="shared" si="3"/>
        <v>0</v>
      </c>
      <c r="D24" s="97"/>
      <c r="E24" s="220"/>
      <c r="F24" s="220">
        <v>0</v>
      </c>
      <c r="G24" s="220"/>
      <c r="H24" s="220"/>
      <c r="I24" s="220"/>
      <c r="J24" s="220"/>
      <c r="K24" s="223"/>
      <c r="L24" s="220"/>
      <c r="M24" s="220"/>
      <c r="N24" s="245"/>
      <c r="P24" s="197"/>
      <c r="Q24" s="92"/>
      <c r="R24" s="90"/>
      <c r="S24" s="90"/>
      <c r="T24" s="90"/>
      <c r="U24" s="90"/>
      <c r="V24" s="90"/>
      <c r="W24" s="90"/>
      <c r="X24" s="16"/>
      <c r="Y24" s="16"/>
      <c r="Z24" s="16"/>
      <c r="AA24" s="16"/>
      <c r="AB24" s="16"/>
      <c r="AC24" s="16"/>
      <c r="AD24" s="16"/>
      <c r="AE24" s="266"/>
      <c r="AF24" s="16"/>
      <c r="AG24" s="339" t="s">
        <v>167</v>
      </c>
      <c r="AH24" s="341">
        <v>0.50824109220538261</v>
      </c>
      <c r="AI24" s="339">
        <f t="shared" si="4"/>
        <v>1</v>
      </c>
      <c r="AJ24" s="339">
        <v>5</v>
      </c>
      <c r="AK24" s="339"/>
      <c r="AL24" s="340" t="str">
        <f t="shared" si="5"/>
        <v xml:space="preserve">Chile </v>
      </c>
      <c r="AM24" s="340">
        <f t="shared" si="6"/>
        <v>0.42193259223409069</v>
      </c>
      <c r="AN24" s="336"/>
      <c r="AO24" s="336"/>
      <c r="AP24" s="336"/>
      <c r="AQ24" s="336"/>
      <c r="AR24" s="336"/>
      <c r="AS24" s="336"/>
      <c r="AT24" s="336"/>
      <c r="AU24" s="336"/>
      <c r="AV24" s="336"/>
      <c r="AW24" s="336"/>
      <c r="AX24" s="336"/>
      <c r="AY24" s="336"/>
      <c r="AZ24" s="336"/>
      <c r="BA24" s="336"/>
      <c r="BB24" s="336"/>
      <c r="BC24" s="336"/>
      <c r="BD24" s="336"/>
      <c r="BE24" s="336"/>
      <c r="BF24" s="336"/>
      <c r="BG24" s="336"/>
      <c r="BH24" s="336"/>
      <c r="BI24" s="336"/>
      <c r="BJ24" s="336"/>
      <c r="BK24" s="336"/>
      <c r="BL24" s="336"/>
      <c r="BM24" s="336"/>
      <c r="BN24" s="336"/>
      <c r="BO24" s="336"/>
      <c r="BP24" s="336"/>
      <c r="BQ24" s="336"/>
      <c r="BR24" s="336"/>
      <c r="BS24" s="336"/>
      <c r="BT24" s="336"/>
      <c r="BU24" s="336"/>
      <c r="BV24" s="336"/>
      <c r="BW24" s="336"/>
      <c r="BX24" s="336"/>
      <c r="BY24" s="336"/>
      <c r="BZ24" s="336"/>
      <c r="CA24" s="336"/>
      <c r="CB24" s="336"/>
      <c r="CC24" s="336"/>
      <c r="CD24" s="336"/>
      <c r="CE24" s="336"/>
      <c r="CF24" s="336"/>
    </row>
    <row r="25" spans="1:84" s="15" customFormat="1" ht="12" customHeight="1" outlineLevel="2" x14ac:dyDescent="0.2">
      <c r="A25" s="242" t="s">
        <v>197</v>
      </c>
      <c r="B25" s="27" t="s">
        <v>33</v>
      </c>
      <c r="C25" s="177">
        <f t="shared" si="3"/>
        <v>0</v>
      </c>
      <c r="D25" s="97"/>
      <c r="E25" s="220"/>
      <c r="F25" s="220">
        <v>5.0000000000000001E-3</v>
      </c>
      <c r="G25" s="220"/>
      <c r="H25" s="220"/>
      <c r="I25" s="220"/>
      <c r="J25" s="220"/>
      <c r="K25" s="223"/>
      <c r="L25" s="220"/>
      <c r="M25" s="220"/>
      <c r="N25" s="245"/>
      <c r="P25" s="198"/>
      <c r="S25" s="16"/>
      <c r="T25" s="16"/>
      <c r="U25" s="16"/>
      <c r="V25" s="16"/>
      <c r="W25" s="16"/>
      <c r="X25" s="16"/>
      <c r="Y25" s="16"/>
      <c r="Z25" s="16"/>
      <c r="AA25" s="16"/>
      <c r="AB25" s="16"/>
      <c r="AC25" s="16"/>
      <c r="AD25" s="16"/>
      <c r="AE25" s="266"/>
      <c r="AF25" s="16"/>
      <c r="AG25" s="339" t="s">
        <v>186</v>
      </c>
      <c r="AH25" s="341">
        <v>0.47350318887748366</v>
      </c>
      <c r="AI25" s="339">
        <f t="shared" si="4"/>
        <v>2</v>
      </c>
      <c r="AJ25" s="339">
        <v>6</v>
      </c>
      <c r="AK25" s="339"/>
      <c r="AL25" s="340" t="str">
        <f t="shared" si="5"/>
        <v>Total Average</v>
      </c>
      <c r="AM25" s="340">
        <f t="shared" si="6"/>
        <v>0.41499541443556609</v>
      </c>
      <c r="AN25" s="336"/>
      <c r="AO25" s="336"/>
      <c r="AP25" s="336"/>
      <c r="AQ25" s="336"/>
      <c r="AR25" s="336"/>
      <c r="AS25" s="336"/>
      <c r="AT25" s="336"/>
      <c r="AU25" s="336"/>
      <c r="AV25" s="336"/>
      <c r="AW25" s="336"/>
      <c r="AX25" s="336"/>
      <c r="AY25" s="336"/>
      <c r="AZ25" s="336"/>
      <c r="BA25" s="336"/>
      <c r="BB25" s="336"/>
      <c r="BC25" s="336"/>
      <c r="BD25" s="336"/>
      <c r="BE25" s="336"/>
      <c r="BF25" s="336"/>
      <c r="BG25" s="336"/>
      <c r="BH25" s="336"/>
      <c r="BI25" s="336"/>
      <c r="BJ25" s="336"/>
      <c r="BK25" s="336"/>
      <c r="BL25" s="336"/>
      <c r="BM25" s="336"/>
      <c r="BN25" s="336"/>
      <c r="BO25" s="336"/>
      <c r="BP25" s="336"/>
      <c r="BQ25" s="336"/>
      <c r="BR25" s="336"/>
      <c r="BS25" s="336"/>
      <c r="BT25" s="336"/>
      <c r="BU25" s="336"/>
      <c r="BV25" s="336"/>
      <c r="BW25" s="336"/>
      <c r="BX25" s="336"/>
      <c r="BY25" s="336"/>
      <c r="BZ25" s="336"/>
      <c r="CA25" s="336"/>
      <c r="CB25" s="336"/>
      <c r="CC25" s="336"/>
      <c r="CD25" s="336"/>
      <c r="CE25" s="336"/>
      <c r="CF25" s="336"/>
    </row>
    <row r="26" spans="1:84" s="15" customFormat="1" ht="12" customHeight="1" outlineLevel="2" x14ac:dyDescent="0.2">
      <c r="A26" s="242" t="s">
        <v>198</v>
      </c>
      <c r="B26" s="27" t="s">
        <v>33</v>
      </c>
      <c r="C26" s="177">
        <f t="shared" si="3"/>
        <v>0</v>
      </c>
      <c r="D26" s="97"/>
      <c r="E26" s="220"/>
      <c r="F26" s="220">
        <v>0.01</v>
      </c>
      <c r="G26" s="220"/>
      <c r="H26" s="220"/>
      <c r="I26" s="220"/>
      <c r="J26" s="220"/>
      <c r="K26" s="223"/>
      <c r="L26" s="220"/>
      <c r="M26" s="220"/>
      <c r="N26" s="245"/>
      <c r="P26" s="198"/>
      <c r="S26" s="16"/>
      <c r="T26" s="16"/>
      <c r="U26" s="16"/>
      <c r="V26" s="16"/>
      <c r="W26" s="16"/>
      <c r="X26" s="16"/>
      <c r="Y26" s="16"/>
      <c r="Z26" s="16"/>
      <c r="AA26" s="16"/>
      <c r="AB26" s="16"/>
      <c r="AC26" s="16"/>
      <c r="AD26" s="16"/>
      <c r="AE26" s="266"/>
      <c r="AF26" s="16"/>
      <c r="AG26" s="339" t="s">
        <v>265</v>
      </c>
      <c r="AH26" s="341">
        <v>0.39945737790517583</v>
      </c>
      <c r="AI26" s="339">
        <f t="shared" si="4"/>
        <v>8</v>
      </c>
      <c r="AJ26" s="339">
        <v>7</v>
      </c>
      <c r="AK26" s="339"/>
      <c r="AL26" s="340" t="str">
        <f t="shared" si="5"/>
        <v>Colombia</v>
      </c>
      <c r="AM26" s="340">
        <f t="shared" si="6"/>
        <v>0.400628054559306</v>
      </c>
      <c r="AN26" s="336"/>
      <c r="AO26" s="336"/>
      <c r="AP26" s="336"/>
      <c r="AQ26" s="336"/>
      <c r="AR26" s="336"/>
      <c r="AS26" s="336"/>
      <c r="AT26" s="336"/>
      <c r="AU26" s="336"/>
      <c r="AV26" s="336"/>
      <c r="AW26" s="336"/>
      <c r="AX26" s="336"/>
      <c r="AY26" s="336"/>
      <c r="AZ26" s="336"/>
      <c r="BA26" s="336"/>
      <c r="BB26" s="336"/>
      <c r="BC26" s="336"/>
      <c r="BD26" s="336"/>
      <c r="BE26" s="336"/>
      <c r="BF26" s="336"/>
      <c r="BG26" s="336"/>
      <c r="BH26" s="336"/>
      <c r="BI26" s="336"/>
      <c r="BJ26" s="336"/>
      <c r="BK26" s="336"/>
      <c r="BL26" s="336"/>
      <c r="BM26" s="336"/>
      <c r="BN26" s="336"/>
      <c r="BO26" s="336"/>
      <c r="BP26" s="336"/>
      <c r="BQ26" s="336"/>
      <c r="BR26" s="336"/>
      <c r="BS26" s="336"/>
      <c r="BT26" s="336"/>
      <c r="BU26" s="336"/>
      <c r="BV26" s="336"/>
      <c r="BW26" s="336"/>
      <c r="BX26" s="336"/>
      <c r="BY26" s="336"/>
      <c r="BZ26" s="336"/>
      <c r="CA26" s="336"/>
      <c r="CB26" s="336"/>
      <c r="CC26" s="336"/>
      <c r="CD26" s="336"/>
      <c r="CE26" s="336"/>
      <c r="CF26" s="336"/>
    </row>
    <row r="27" spans="1:84" s="15" customFormat="1" ht="12" customHeight="1" outlineLevel="2" x14ac:dyDescent="0.2">
      <c r="A27" s="242" t="s">
        <v>199</v>
      </c>
      <c r="B27" s="27" t="s">
        <v>33</v>
      </c>
      <c r="C27" s="177">
        <f t="shared" si="3"/>
        <v>0</v>
      </c>
      <c r="D27" s="97"/>
      <c r="E27" s="220"/>
      <c r="F27" s="220">
        <v>1.4999999999999999E-2</v>
      </c>
      <c r="G27" s="220"/>
      <c r="H27" s="220"/>
      <c r="I27" s="220"/>
      <c r="J27" s="220"/>
      <c r="K27" s="223"/>
      <c r="L27" s="220"/>
      <c r="M27" s="220"/>
      <c r="N27" s="245"/>
      <c r="P27" s="198"/>
      <c r="S27" s="16"/>
      <c r="T27" s="16"/>
      <c r="U27" s="16"/>
      <c r="V27" s="16"/>
      <c r="W27" s="16"/>
      <c r="X27" s="16"/>
      <c r="Y27" s="16"/>
      <c r="Z27" s="16"/>
      <c r="AA27" s="16"/>
      <c r="AB27" s="16"/>
      <c r="AC27" s="16"/>
      <c r="AD27" s="16"/>
      <c r="AE27" s="266"/>
      <c r="AF27" s="16"/>
      <c r="AG27" s="339" t="s">
        <v>266</v>
      </c>
      <c r="AH27" s="341">
        <v>0.35581791123778006</v>
      </c>
      <c r="AI27" s="339">
        <f t="shared" si="4"/>
        <v>14</v>
      </c>
      <c r="AJ27" s="339">
        <v>8</v>
      </c>
      <c r="AK27" s="339"/>
      <c r="AL27" s="340" t="str">
        <f t="shared" si="5"/>
        <v>Mexico</v>
      </c>
      <c r="AM27" s="340">
        <f t="shared" si="6"/>
        <v>0.39945737790517583</v>
      </c>
      <c r="AN27" s="336"/>
      <c r="AO27" s="336"/>
      <c r="AP27" s="336"/>
      <c r="AQ27" s="336"/>
      <c r="AR27" s="336"/>
      <c r="AS27" s="336"/>
      <c r="AT27" s="336"/>
      <c r="AU27" s="336"/>
      <c r="AV27" s="336"/>
      <c r="AW27" s="336"/>
      <c r="AX27" s="336"/>
      <c r="AY27" s="336"/>
      <c r="AZ27" s="336"/>
      <c r="BA27" s="336"/>
      <c r="BB27" s="336"/>
      <c r="BC27" s="336"/>
      <c r="BD27" s="336"/>
      <c r="BE27" s="336"/>
      <c r="BF27" s="336"/>
      <c r="BG27" s="336"/>
      <c r="BH27" s="336"/>
      <c r="BI27" s="336"/>
      <c r="BJ27" s="336"/>
      <c r="BK27" s="336"/>
      <c r="BL27" s="336"/>
      <c r="BM27" s="336"/>
      <c r="BN27" s="336"/>
      <c r="BO27" s="336"/>
      <c r="BP27" s="336"/>
      <c r="BQ27" s="336"/>
      <c r="BR27" s="336"/>
      <c r="BS27" s="336"/>
      <c r="BT27" s="336"/>
      <c r="BU27" s="336"/>
      <c r="BV27" s="336"/>
      <c r="BW27" s="336"/>
      <c r="BX27" s="336"/>
      <c r="BY27" s="336"/>
      <c r="BZ27" s="336"/>
      <c r="CA27" s="336"/>
      <c r="CB27" s="336"/>
      <c r="CC27" s="336"/>
      <c r="CD27" s="336"/>
      <c r="CE27" s="336"/>
      <c r="CF27" s="336"/>
    </row>
    <row r="28" spans="1:84" s="15" customFormat="1" ht="12" customHeight="1" outlineLevel="2" x14ac:dyDescent="0.2">
      <c r="A28" s="242" t="s">
        <v>286</v>
      </c>
      <c r="B28" s="27" t="s">
        <v>33</v>
      </c>
      <c r="C28" s="177">
        <f t="shared" si="3"/>
        <v>0</v>
      </c>
      <c r="D28" s="97"/>
      <c r="E28" s="220"/>
      <c r="F28" s="220">
        <v>0.02</v>
      </c>
      <c r="G28" s="220"/>
      <c r="H28" s="220"/>
      <c r="I28" s="220"/>
      <c r="J28" s="220"/>
      <c r="K28" s="223"/>
      <c r="L28" s="220"/>
      <c r="M28" s="220"/>
      <c r="N28" s="245"/>
      <c r="P28" s="198"/>
      <c r="S28" s="16"/>
      <c r="T28" s="16"/>
      <c r="U28" s="16"/>
      <c r="V28" s="16"/>
      <c r="W28" s="16"/>
      <c r="X28" s="16"/>
      <c r="Y28" s="16"/>
      <c r="Z28" s="16"/>
      <c r="AA28" s="16"/>
      <c r="AB28" s="16"/>
      <c r="AC28" s="16"/>
      <c r="AD28" s="16"/>
      <c r="AE28" s="266"/>
      <c r="AF28" s="16"/>
      <c r="AG28" s="339" t="s">
        <v>187</v>
      </c>
      <c r="AH28" s="341">
        <v>0.38592525428300301</v>
      </c>
      <c r="AI28" s="339">
        <f t="shared" si="4"/>
        <v>11</v>
      </c>
      <c r="AJ28" s="339">
        <v>9</v>
      </c>
      <c r="AK28" s="339"/>
      <c r="AL28" s="340" t="str">
        <f t="shared" si="5"/>
        <v>Tanzania</v>
      </c>
      <c r="AM28" s="340">
        <f t="shared" si="6"/>
        <v>0.391988971164761</v>
      </c>
      <c r="AN28" s="336"/>
      <c r="AO28" s="336"/>
      <c r="AP28" s="336"/>
      <c r="AQ28" s="336"/>
      <c r="AR28" s="336"/>
      <c r="AS28" s="336"/>
      <c r="AT28" s="336"/>
      <c r="AU28" s="336"/>
      <c r="AV28" s="336"/>
      <c r="AW28" s="336"/>
      <c r="AX28" s="336"/>
      <c r="AY28" s="336"/>
      <c r="AZ28" s="336"/>
      <c r="BA28" s="336"/>
      <c r="BB28" s="336"/>
      <c r="BC28" s="336"/>
      <c r="BD28" s="336"/>
      <c r="BE28" s="336"/>
      <c r="BF28" s="336"/>
      <c r="BG28" s="336"/>
      <c r="BH28" s="336"/>
      <c r="BI28" s="336"/>
      <c r="BJ28" s="336"/>
      <c r="BK28" s="336"/>
      <c r="BL28" s="336"/>
      <c r="BM28" s="336"/>
      <c r="BN28" s="336"/>
      <c r="BO28" s="336"/>
      <c r="BP28" s="336"/>
      <c r="BQ28" s="336"/>
      <c r="BR28" s="336"/>
      <c r="BS28" s="336"/>
      <c r="BT28" s="336"/>
      <c r="BU28" s="336"/>
      <c r="BV28" s="336"/>
      <c r="BW28" s="336"/>
      <c r="BX28" s="336"/>
      <c r="BY28" s="336"/>
      <c r="BZ28" s="336"/>
      <c r="CA28" s="336"/>
      <c r="CB28" s="336"/>
      <c r="CC28" s="336"/>
      <c r="CD28" s="336"/>
      <c r="CE28" s="336"/>
      <c r="CF28" s="336"/>
    </row>
    <row r="29" spans="1:84" s="15" customFormat="1" ht="12" customHeight="1" outlineLevel="2" x14ac:dyDescent="0.2">
      <c r="A29" s="242" t="s">
        <v>287</v>
      </c>
      <c r="B29" s="27" t="s">
        <v>33</v>
      </c>
      <c r="C29" s="177">
        <f t="shared" si="3"/>
        <v>0</v>
      </c>
      <c r="D29" s="97"/>
      <c r="E29" s="220"/>
      <c r="F29" s="220">
        <v>2.5000000000000001E-2</v>
      </c>
      <c r="G29" s="220"/>
      <c r="H29" s="220"/>
      <c r="I29" s="220"/>
      <c r="J29" s="220"/>
      <c r="K29" s="223"/>
      <c r="L29" s="220"/>
      <c r="M29" s="220"/>
      <c r="N29" s="245"/>
      <c r="P29" s="198"/>
      <c r="S29" s="16"/>
      <c r="T29" s="16"/>
      <c r="U29" s="16"/>
      <c r="V29" s="16"/>
      <c r="W29" s="16"/>
      <c r="X29" s="16"/>
      <c r="Y29" s="16"/>
      <c r="Z29" s="16"/>
      <c r="AA29" s="16"/>
      <c r="AB29" s="16"/>
      <c r="AC29" s="16"/>
      <c r="AD29" s="16"/>
      <c r="AE29" s="266"/>
      <c r="AF29" s="16"/>
      <c r="AG29" s="339" t="s">
        <v>188</v>
      </c>
      <c r="AH29" s="341">
        <v>0.391988971164761</v>
      </c>
      <c r="AI29" s="339">
        <f t="shared" si="4"/>
        <v>9</v>
      </c>
      <c r="AJ29" s="339">
        <v>10</v>
      </c>
      <c r="AK29" s="339"/>
      <c r="AL29" s="340" t="str">
        <f t="shared" si="5"/>
        <v>Average Peru</v>
      </c>
      <c r="AM29" s="340">
        <f t="shared" si="6"/>
        <v>0.38944177990382067</v>
      </c>
      <c r="AN29" s="336"/>
      <c r="AO29" s="336"/>
      <c r="AP29" s="336"/>
      <c r="AQ29" s="336"/>
      <c r="AR29" s="336"/>
      <c r="AS29" s="336"/>
      <c r="AT29" s="336"/>
      <c r="AU29" s="336"/>
      <c r="AV29" s="336"/>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6"/>
      <c r="BS29" s="336"/>
      <c r="BT29" s="336"/>
      <c r="BU29" s="336"/>
      <c r="BV29" s="336"/>
      <c r="BW29" s="336"/>
      <c r="BX29" s="336"/>
      <c r="BY29" s="336"/>
      <c r="BZ29" s="336"/>
      <c r="CA29" s="336"/>
      <c r="CB29" s="336"/>
      <c r="CC29" s="336"/>
      <c r="CD29" s="336"/>
      <c r="CE29" s="336"/>
      <c r="CF29" s="336"/>
    </row>
    <row r="30" spans="1:84" s="15" customFormat="1" ht="12" customHeight="1" outlineLevel="2" x14ac:dyDescent="0.2">
      <c r="A30" s="242" t="s">
        <v>288</v>
      </c>
      <c r="B30" s="27" t="s">
        <v>33</v>
      </c>
      <c r="C30" s="177">
        <f t="shared" si="3"/>
        <v>0</v>
      </c>
      <c r="D30" s="97"/>
      <c r="E30" s="220"/>
      <c r="F30" s="220">
        <v>0.03</v>
      </c>
      <c r="G30" s="220"/>
      <c r="H30" s="220"/>
      <c r="I30" s="220"/>
      <c r="J30" s="220"/>
      <c r="K30" s="223"/>
      <c r="L30" s="220"/>
      <c r="M30" s="220"/>
      <c r="N30" s="245"/>
      <c r="P30" s="198"/>
      <c r="S30" s="16"/>
      <c r="T30" s="16"/>
      <c r="U30" s="16"/>
      <c r="V30" s="16"/>
      <c r="W30" s="16"/>
      <c r="X30" s="16"/>
      <c r="Y30" s="16"/>
      <c r="Z30" s="16"/>
      <c r="AA30" s="16"/>
      <c r="AB30" s="16"/>
      <c r="AC30" s="16"/>
      <c r="AD30" s="16"/>
      <c r="AE30" s="266"/>
      <c r="AF30" s="16"/>
      <c r="AG30" s="339" t="s">
        <v>189</v>
      </c>
      <c r="AH30" s="341">
        <v>0.44308673830592693</v>
      </c>
      <c r="AI30" s="339">
        <f t="shared" si="4"/>
        <v>3</v>
      </c>
      <c r="AJ30" s="339">
        <v>11</v>
      </c>
      <c r="AK30" s="339"/>
      <c r="AL30" s="340" t="str">
        <f t="shared" si="5"/>
        <v>PNG</v>
      </c>
      <c r="AM30" s="340">
        <f t="shared" si="6"/>
        <v>0.38592525428300301</v>
      </c>
      <c r="AN30" s="336"/>
      <c r="AO30" s="336"/>
      <c r="AP30" s="336"/>
      <c r="AQ30" s="336"/>
      <c r="AR30" s="336"/>
      <c r="AS30" s="336"/>
      <c r="AT30" s="336"/>
      <c r="AU30" s="336"/>
      <c r="AV30" s="336"/>
      <c r="AW30" s="336"/>
      <c r="AX30" s="336"/>
      <c r="AY30" s="336"/>
      <c r="AZ30" s="336"/>
      <c r="BA30" s="336"/>
      <c r="BB30" s="336"/>
      <c r="BC30" s="336"/>
      <c r="BD30" s="336"/>
      <c r="BE30" s="336"/>
      <c r="BF30" s="336"/>
      <c r="BG30" s="336"/>
      <c r="BH30" s="336"/>
      <c r="BI30" s="336"/>
      <c r="BJ30" s="336"/>
      <c r="BK30" s="336"/>
      <c r="BL30" s="336"/>
      <c r="BM30" s="336"/>
      <c r="BN30" s="336"/>
      <c r="BO30" s="336"/>
      <c r="BP30" s="336"/>
      <c r="BQ30" s="336"/>
      <c r="BR30" s="336"/>
      <c r="BS30" s="336"/>
      <c r="BT30" s="336"/>
      <c r="BU30" s="336"/>
      <c r="BV30" s="336"/>
      <c r="BW30" s="336"/>
      <c r="BX30" s="336"/>
      <c r="BY30" s="336"/>
      <c r="BZ30" s="336"/>
      <c r="CA30" s="336"/>
      <c r="CB30" s="336"/>
      <c r="CC30" s="336"/>
      <c r="CD30" s="336"/>
      <c r="CE30" s="336"/>
      <c r="CF30" s="336"/>
    </row>
    <row r="31" spans="1:84" s="15" customFormat="1" ht="12" customHeight="1" outlineLevel="2" x14ac:dyDescent="0.2">
      <c r="A31" s="242" t="s">
        <v>289</v>
      </c>
      <c r="B31" s="27" t="s">
        <v>33</v>
      </c>
      <c r="C31" s="177">
        <f t="shared" si="3"/>
        <v>0</v>
      </c>
      <c r="D31" s="97"/>
      <c r="E31" s="220"/>
      <c r="F31" s="220">
        <v>4.4999999999999998E-2</v>
      </c>
      <c r="G31" s="220"/>
      <c r="H31" s="220"/>
      <c r="I31" s="220"/>
      <c r="J31" s="220"/>
      <c r="K31" s="223"/>
      <c r="L31" s="220"/>
      <c r="M31" s="220"/>
      <c r="N31" s="245"/>
      <c r="P31" s="198"/>
      <c r="S31" s="16"/>
      <c r="T31" s="16"/>
      <c r="U31" s="16"/>
      <c r="V31" s="16"/>
      <c r="W31" s="16"/>
      <c r="X31" s="16"/>
      <c r="Y31" s="16"/>
      <c r="Z31" s="16"/>
      <c r="AA31" s="16"/>
      <c r="AB31" s="16"/>
      <c r="AC31" s="16"/>
      <c r="AD31" s="16"/>
      <c r="AE31" s="266"/>
      <c r="AF31" s="16"/>
      <c r="AG31" s="339" t="s">
        <v>406</v>
      </c>
      <c r="AH31" s="341">
        <v>0.44054904896731151</v>
      </c>
      <c r="AI31" s="339">
        <f t="shared" si="4"/>
        <v>4</v>
      </c>
      <c r="AJ31" s="339">
        <v>12</v>
      </c>
      <c r="AK31" s="337"/>
      <c r="AL31" s="340" t="str">
        <f t="shared" si="5"/>
        <v>Mine</v>
      </c>
      <c r="AM31" s="340">
        <f t="shared" si="6"/>
        <v>0.37165221637871826</v>
      </c>
      <c r="AN31" s="336"/>
      <c r="AO31" s="336"/>
      <c r="AP31" s="336"/>
      <c r="AQ31" s="336"/>
      <c r="AR31" s="336"/>
      <c r="AS31" s="336"/>
      <c r="AT31" s="336"/>
      <c r="AU31" s="336"/>
      <c r="AV31" s="336"/>
      <c r="AW31" s="336"/>
      <c r="AX31" s="336"/>
      <c r="AY31" s="336"/>
      <c r="AZ31" s="336"/>
      <c r="BA31" s="336"/>
      <c r="BB31" s="336"/>
      <c r="BC31" s="336"/>
      <c r="BD31" s="336"/>
      <c r="BE31" s="336"/>
      <c r="BF31" s="336"/>
      <c r="BG31" s="336"/>
      <c r="BH31" s="336"/>
      <c r="BI31" s="336"/>
      <c r="BJ31" s="336"/>
      <c r="BK31" s="336"/>
      <c r="BL31" s="336"/>
      <c r="BM31" s="336"/>
      <c r="BN31" s="336"/>
      <c r="BO31" s="336"/>
      <c r="BP31" s="336"/>
      <c r="BQ31" s="336"/>
      <c r="BR31" s="336"/>
      <c r="BS31" s="336"/>
      <c r="BT31" s="336"/>
      <c r="BU31" s="336"/>
      <c r="BV31" s="336"/>
      <c r="BW31" s="336"/>
      <c r="BX31" s="336"/>
      <c r="BY31" s="336"/>
      <c r="BZ31" s="336"/>
      <c r="CA31" s="336"/>
      <c r="CB31" s="336"/>
      <c r="CC31" s="336"/>
      <c r="CD31" s="336"/>
      <c r="CE31" s="336"/>
      <c r="CF31" s="336"/>
    </row>
    <row r="32" spans="1:84" s="15" customFormat="1" ht="12" customHeight="1" outlineLevel="2" x14ac:dyDescent="0.2">
      <c r="A32" s="242" t="s">
        <v>310</v>
      </c>
      <c r="B32" s="27" t="s">
        <v>33</v>
      </c>
      <c r="C32" s="177">
        <f t="shared" si="3"/>
        <v>0</v>
      </c>
      <c r="D32" s="97"/>
      <c r="E32" s="220"/>
      <c r="F32" s="220"/>
      <c r="G32" s="220"/>
      <c r="H32" s="220"/>
      <c r="I32" s="220"/>
      <c r="J32" s="220"/>
      <c r="K32" s="223"/>
      <c r="L32" s="220"/>
      <c r="M32" s="220"/>
      <c r="N32" s="245"/>
      <c r="P32" s="198"/>
      <c r="S32" s="16"/>
      <c r="T32" s="16"/>
      <c r="U32" s="16"/>
      <c r="V32" s="16"/>
      <c r="W32" s="16"/>
      <c r="X32" s="16"/>
      <c r="Y32" s="16"/>
      <c r="Z32" s="16"/>
      <c r="AA32" s="16"/>
      <c r="AB32" s="16"/>
      <c r="AC32" s="16"/>
      <c r="AD32" s="16"/>
      <c r="AE32" s="266"/>
      <c r="AF32" s="16"/>
      <c r="AG32" s="339" t="s">
        <v>407</v>
      </c>
      <c r="AH32" s="341">
        <v>0.38944177990382067</v>
      </c>
      <c r="AI32" s="339">
        <f t="shared" si="4"/>
        <v>10</v>
      </c>
      <c r="AJ32" s="339">
        <v>13</v>
      </c>
      <c r="AK32" s="337"/>
      <c r="AL32" s="340" t="str">
        <f t="shared" si="5"/>
        <v>Brazil</v>
      </c>
      <c r="AM32" s="340">
        <f t="shared" si="6"/>
        <v>0.36937296358275118</v>
      </c>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6"/>
      <c r="BK32" s="336"/>
      <c r="BL32" s="336"/>
      <c r="BM32" s="336"/>
      <c r="BN32" s="336"/>
      <c r="BO32" s="336"/>
      <c r="BP32" s="336"/>
      <c r="BQ32" s="336"/>
      <c r="BR32" s="336"/>
      <c r="BS32" s="336"/>
      <c r="BT32" s="336"/>
      <c r="BU32" s="336"/>
      <c r="BV32" s="336"/>
      <c r="BW32" s="336"/>
      <c r="BX32" s="336"/>
      <c r="BY32" s="336"/>
      <c r="BZ32" s="336"/>
      <c r="CA32" s="336"/>
      <c r="CB32" s="336"/>
      <c r="CC32" s="336"/>
      <c r="CD32" s="336"/>
      <c r="CE32" s="336"/>
      <c r="CF32" s="336"/>
    </row>
    <row r="33" spans="1:84" s="15" customFormat="1" ht="12" customHeight="1" outlineLevel="2" x14ac:dyDescent="0.2">
      <c r="A33" s="242" t="s">
        <v>311</v>
      </c>
      <c r="B33" s="27" t="s">
        <v>33</v>
      </c>
      <c r="C33" s="177">
        <f t="shared" si="3"/>
        <v>0</v>
      </c>
      <c r="D33" s="97"/>
      <c r="E33" s="220"/>
      <c r="F33" s="220"/>
      <c r="G33" s="220"/>
      <c r="H33" s="220"/>
      <c r="I33" s="220"/>
      <c r="J33" s="220"/>
      <c r="K33" s="223"/>
      <c r="L33" s="220"/>
      <c r="M33" s="220"/>
      <c r="N33" s="245"/>
      <c r="P33" s="198"/>
      <c r="S33" s="16"/>
      <c r="T33" s="16"/>
      <c r="U33" s="16"/>
      <c r="V33" s="16"/>
      <c r="W33" s="16"/>
      <c r="X33" s="16"/>
      <c r="Y33" s="16"/>
      <c r="Z33" s="16"/>
      <c r="AA33" s="16"/>
      <c r="AB33" s="16"/>
      <c r="AC33" s="16"/>
      <c r="AD33" s="16"/>
      <c r="AE33" s="266"/>
      <c r="AF33" s="16"/>
      <c r="AG33" s="339" t="s">
        <v>408</v>
      </c>
      <c r="AH33" s="341">
        <v>0.41499541443556609</v>
      </c>
      <c r="AI33" s="339">
        <f t="shared" si="4"/>
        <v>6</v>
      </c>
      <c r="AJ33" s="339">
        <v>14</v>
      </c>
      <c r="AK33" s="337"/>
      <c r="AL33" s="340" t="str">
        <f t="shared" si="5"/>
        <v>Peru</v>
      </c>
      <c r="AM33" s="340">
        <f t="shared" si="6"/>
        <v>0.35581791123778006</v>
      </c>
      <c r="AN33" s="336"/>
      <c r="AO33" s="336"/>
      <c r="AP33" s="336"/>
      <c r="AQ33" s="336"/>
      <c r="AR33" s="336"/>
      <c r="AS33" s="336"/>
      <c r="AT33" s="336"/>
      <c r="AU33" s="336"/>
      <c r="AV33" s="336"/>
      <c r="AW33" s="336"/>
      <c r="AX33" s="336"/>
      <c r="AY33" s="336"/>
      <c r="AZ33" s="336"/>
      <c r="BA33" s="336"/>
      <c r="BB33" s="336"/>
      <c r="BC33" s="336"/>
      <c r="BD33" s="336"/>
      <c r="BE33" s="336"/>
      <c r="BF33" s="336"/>
      <c r="BG33" s="336"/>
      <c r="BH33" s="336"/>
      <c r="BI33" s="336"/>
      <c r="BJ33" s="336"/>
      <c r="BK33" s="336"/>
      <c r="BL33" s="336"/>
      <c r="BM33" s="336"/>
      <c r="BN33" s="336"/>
      <c r="BO33" s="336"/>
      <c r="BP33" s="336"/>
      <c r="BQ33" s="336"/>
      <c r="BR33" s="336"/>
      <c r="BS33" s="336"/>
      <c r="BT33" s="336"/>
      <c r="BU33" s="336"/>
      <c r="BV33" s="336"/>
      <c r="BW33" s="336"/>
      <c r="BX33" s="336"/>
      <c r="BY33" s="336"/>
      <c r="BZ33" s="336"/>
      <c r="CA33" s="336"/>
      <c r="CB33" s="336"/>
      <c r="CC33" s="336"/>
      <c r="CD33" s="336"/>
      <c r="CE33" s="336"/>
      <c r="CF33" s="336"/>
    </row>
    <row r="34" spans="1:84" s="15" customFormat="1" ht="12" customHeight="1" outlineLevel="2" x14ac:dyDescent="0.2">
      <c r="A34" s="242" t="s">
        <v>312</v>
      </c>
      <c r="B34" s="27" t="s">
        <v>33</v>
      </c>
      <c r="C34" s="177">
        <f t="shared" si="3"/>
        <v>0</v>
      </c>
      <c r="D34" s="97"/>
      <c r="E34" s="220"/>
      <c r="F34" s="220"/>
      <c r="G34" s="220"/>
      <c r="H34" s="220"/>
      <c r="I34" s="220"/>
      <c r="J34" s="220"/>
      <c r="K34" s="223"/>
      <c r="L34" s="220"/>
      <c r="M34" s="220"/>
      <c r="N34" s="245"/>
      <c r="P34" s="198"/>
      <c r="S34" s="16"/>
      <c r="T34" s="16"/>
      <c r="U34" s="16"/>
      <c r="V34" s="16"/>
      <c r="W34" s="16"/>
      <c r="X34" s="16"/>
      <c r="Y34" s="16"/>
      <c r="Z34" s="16"/>
      <c r="AA34" s="16"/>
      <c r="AB34" s="16"/>
      <c r="AC34" s="16"/>
      <c r="AD34" s="16"/>
      <c r="AE34" s="266"/>
      <c r="AF34" s="16"/>
      <c r="AG34" s="337"/>
      <c r="AH34" s="337"/>
      <c r="AI34" s="337"/>
      <c r="AJ34" s="337"/>
      <c r="AK34" s="337"/>
      <c r="AL34" s="337"/>
      <c r="AM34" s="340"/>
      <c r="AN34" s="336"/>
      <c r="AO34" s="336"/>
      <c r="AP34" s="336"/>
      <c r="AQ34" s="336"/>
      <c r="AR34" s="336"/>
      <c r="AS34" s="336"/>
      <c r="AT34" s="336"/>
      <c r="AU34" s="336"/>
      <c r="AV34" s="336"/>
      <c r="AW34" s="336"/>
      <c r="AX34" s="336"/>
      <c r="AY34" s="336"/>
      <c r="AZ34" s="336"/>
      <c r="BA34" s="336"/>
      <c r="BB34" s="336"/>
      <c r="BC34" s="336"/>
      <c r="BD34" s="336"/>
      <c r="BE34" s="336"/>
      <c r="BF34" s="336"/>
      <c r="BG34" s="336"/>
      <c r="BH34" s="336"/>
      <c r="BI34" s="336"/>
      <c r="BJ34" s="336"/>
      <c r="BK34" s="336"/>
      <c r="BL34" s="336"/>
      <c r="BM34" s="336"/>
      <c r="BN34" s="336"/>
      <c r="BO34" s="336"/>
      <c r="BP34" s="336"/>
      <c r="BQ34" s="336"/>
      <c r="BR34" s="336"/>
      <c r="BS34" s="336"/>
      <c r="BT34" s="336"/>
      <c r="BU34" s="336"/>
      <c r="BV34" s="336"/>
      <c r="BW34" s="336"/>
      <c r="BX34" s="336"/>
      <c r="BY34" s="336"/>
      <c r="BZ34" s="336"/>
      <c r="CA34" s="336"/>
      <c r="CB34" s="336"/>
      <c r="CC34" s="336"/>
      <c r="CD34" s="336"/>
      <c r="CE34" s="336"/>
      <c r="CF34" s="336"/>
    </row>
    <row r="35" spans="1:84" s="15" customFormat="1" ht="12" customHeight="1" outlineLevel="2" x14ac:dyDescent="0.2">
      <c r="A35" s="242" t="s">
        <v>313</v>
      </c>
      <c r="B35" s="27" t="s">
        <v>33</v>
      </c>
      <c r="C35" s="177">
        <f t="shared" si="3"/>
        <v>0</v>
      </c>
      <c r="D35" s="97"/>
      <c r="E35" s="220"/>
      <c r="F35" s="220"/>
      <c r="G35" s="220"/>
      <c r="H35" s="220"/>
      <c r="I35" s="220"/>
      <c r="J35" s="220"/>
      <c r="K35" s="223"/>
      <c r="L35" s="220"/>
      <c r="M35" s="220"/>
      <c r="N35" s="245"/>
      <c r="P35" s="198"/>
      <c r="S35" s="16"/>
      <c r="T35" s="16"/>
      <c r="U35" s="16"/>
      <c r="V35" s="16"/>
      <c r="W35" s="16"/>
      <c r="X35" s="16"/>
      <c r="Y35" s="16"/>
      <c r="Z35" s="16"/>
      <c r="AA35" s="16"/>
      <c r="AB35" s="16"/>
      <c r="AC35" s="16"/>
      <c r="AD35" s="16"/>
      <c r="AE35" s="266"/>
      <c r="AF35" s="16"/>
      <c r="AG35" s="338" t="s">
        <v>368</v>
      </c>
      <c r="AH35" s="339"/>
      <c r="AI35" s="339"/>
      <c r="AJ35" s="339"/>
      <c r="AK35" s="339"/>
      <c r="AL35" s="339"/>
      <c r="AM35" s="339"/>
      <c r="AN35" s="336"/>
      <c r="AO35" s="336"/>
      <c r="AP35" s="336"/>
      <c r="AQ35" s="336"/>
      <c r="AR35" s="336"/>
      <c r="AS35" s="336"/>
      <c r="AT35" s="336"/>
      <c r="AU35" s="336"/>
      <c r="AV35" s="336"/>
      <c r="AW35" s="336"/>
      <c r="AX35" s="336"/>
      <c r="AY35" s="336"/>
      <c r="AZ35" s="336"/>
      <c r="BA35" s="336"/>
      <c r="BB35" s="336"/>
      <c r="BC35" s="336"/>
      <c r="BD35" s="336"/>
      <c r="BE35" s="336"/>
      <c r="BF35" s="336"/>
      <c r="BG35" s="336"/>
      <c r="BH35" s="336"/>
      <c r="BI35" s="336"/>
      <c r="BJ35" s="336"/>
      <c r="BK35" s="336"/>
      <c r="BL35" s="336"/>
      <c r="BM35" s="336"/>
      <c r="BN35" s="336"/>
      <c r="BO35" s="336"/>
      <c r="BP35" s="336"/>
      <c r="BQ35" s="336"/>
      <c r="BR35" s="336"/>
      <c r="BS35" s="336"/>
      <c r="BT35" s="336"/>
      <c r="BU35" s="336"/>
      <c r="BV35" s="336"/>
      <c r="BW35" s="336"/>
      <c r="BX35" s="336"/>
      <c r="BY35" s="336"/>
      <c r="BZ35" s="336"/>
      <c r="CA35" s="336"/>
      <c r="CB35" s="336"/>
      <c r="CC35" s="336"/>
      <c r="CD35" s="336"/>
      <c r="CE35" s="336"/>
      <c r="CF35" s="336"/>
    </row>
    <row r="36" spans="1:84" s="15" customFormat="1" ht="12" customHeight="1" outlineLevel="2" x14ac:dyDescent="0.2">
      <c r="A36" s="242" t="s">
        <v>314</v>
      </c>
      <c r="B36" s="27" t="s">
        <v>33</v>
      </c>
      <c r="C36" s="177">
        <f t="shared" si="3"/>
        <v>0</v>
      </c>
      <c r="D36" s="97"/>
      <c r="E36" s="220"/>
      <c r="F36" s="220"/>
      <c r="G36" s="220"/>
      <c r="H36" s="220"/>
      <c r="I36" s="220"/>
      <c r="J36" s="220"/>
      <c r="K36" s="223"/>
      <c r="L36" s="220"/>
      <c r="M36" s="220"/>
      <c r="N36" s="245"/>
      <c r="P36" s="198"/>
      <c r="S36" s="16"/>
      <c r="T36" s="16"/>
      <c r="U36" s="16"/>
      <c r="V36" s="16"/>
      <c r="W36" s="16"/>
      <c r="X36" s="16"/>
      <c r="Y36" s="16"/>
      <c r="Z36" s="16"/>
      <c r="AA36" s="16"/>
      <c r="AB36" s="16"/>
      <c r="AC36" s="16"/>
      <c r="AD36" s="16"/>
      <c r="AE36" s="266"/>
      <c r="AF36" s="16"/>
      <c r="AG36" s="339" t="s">
        <v>166</v>
      </c>
      <c r="AH36" s="341">
        <f t="array" ref="AH36:AH49">TRANSPOSE('Assumptions &amp; Results'!R6:AE6)</f>
        <v>0.17556219520267202</v>
      </c>
      <c r="AI36" s="339">
        <f t="shared" ref="AI36:AI49" si="7">RANK(AH36,$AH$36:$AH$49)</f>
        <v>9</v>
      </c>
      <c r="AJ36" s="339">
        <v>1</v>
      </c>
      <c r="AK36" s="339"/>
      <c r="AL36" s="340" t="str">
        <f t="shared" ref="AL36:AL49" si="8">INDEX($AG$36:$AH$49,MATCH(AJ36,$AI$36:$AI$49,0),1)</f>
        <v>Peru</v>
      </c>
      <c r="AM36" s="340">
        <f t="shared" ref="AM36:AM49" si="9">INDEX($AG$36:$AH$49,MATCH(AJ36,$AI$36:$AI$49,0),2)</f>
        <v>0.18641424582555821</v>
      </c>
      <c r="AN36" s="336"/>
      <c r="AO36" s="336"/>
      <c r="AP36" s="336"/>
      <c r="AQ36" s="336"/>
      <c r="AR36" s="336"/>
      <c r="AS36" s="336"/>
      <c r="AT36" s="336"/>
      <c r="AU36" s="336"/>
      <c r="AV36" s="336"/>
      <c r="AW36" s="336"/>
      <c r="AX36" s="336"/>
      <c r="AY36" s="336"/>
      <c r="AZ36" s="336"/>
      <c r="BA36" s="336"/>
      <c r="BB36" s="336"/>
      <c r="BC36" s="336"/>
      <c r="BD36" s="336"/>
      <c r="BE36" s="336"/>
      <c r="BF36" s="336"/>
      <c r="BG36" s="336"/>
      <c r="BH36" s="336"/>
      <c r="BI36" s="336"/>
      <c r="BJ36" s="336"/>
      <c r="BK36" s="336"/>
      <c r="BL36" s="336"/>
      <c r="BM36" s="336"/>
      <c r="BN36" s="336"/>
      <c r="BO36" s="336"/>
      <c r="BP36" s="336"/>
      <c r="BQ36" s="336"/>
      <c r="BR36" s="336"/>
      <c r="BS36" s="336"/>
      <c r="BT36" s="336"/>
      <c r="BU36" s="336"/>
      <c r="BV36" s="336"/>
      <c r="BW36" s="336"/>
      <c r="BX36" s="336"/>
      <c r="BY36" s="336"/>
      <c r="BZ36" s="336"/>
      <c r="CA36" s="336"/>
      <c r="CB36" s="336"/>
      <c r="CC36" s="336"/>
      <c r="CD36" s="336"/>
      <c r="CE36" s="336"/>
      <c r="CF36" s="336"/>
    </row>
    <row r="37" spans="1:84" s="15" customFormat="1" ht="12" customHeight="1" outlineLevel="2" x14ac:dyDescent="0.2">
      <c r="A37" s="242" t="s">
        <v>315</v>
      </c>
      <c r="B37" s="27" t="s">
        <v>33</v>
      </c>
      <c r="C37" s="177">
        <f t="shared" si="3"/>
        <v>0</v>
      </c>
      <c r="D37" s="97"/>
      <c r="E37" s="220"/>
      <c r="F37" s="220"/>
      <c r="G37" s="220"/>
      <c r="H37" s="220"/>
      <c r="I37" s="220"/>
      <c r="J37" s="220"/>
      <c r="K37" s="223"/>
      <c r="L37" s="220"/>
      <c r="M37" s="220"/>
      <c r="N37" s="245"/>
      <c r="P37" s="198"/>
      <c r="S37" s="16"/>
      <c r="T37" s="16"/>
      <c r="U37" s="16"/>
      <c r="V37" s="16"/>
      <c r="W37" s="16"/>
      <c r="X37" s="16"/>
      <c r="Y37" s="16"/>
      <c r="Z37" s="16"/>
      <c r="AA37" s="16"/>
      <c r="AB37" s="16"/>
      <c r="AC37" s="16"/>
      <c r="AD37" s="16"/>
      <c r="AE37" s="266"/>
      <c r="AF37" s="16"/>
      <c r="AG37" s="339" t="s">
        <v>262</v>
      </c>
      <c r="AH37" s="341">
        <v>0.17881596170733749</v>
      </c>
      <c r="AI37" s="339">
        <f t="shared" si="7"/>
        <v>7</v>
      </c>
      <c r="AJ37" s="339">
        <v>2</v>
      </c>
      <c r="AK37" s="339"/>
      <c r="AL37" s="340" t="str">
        <f t="shared" si="8"/>
        <v>Colombia</v>
      </c>
      <c r="AM37" s="340">
        <f t="shared" si="9"/>
        <v>0.18507257682686351</v>
      </c>
      <c r="AN37" s="336"/>
      <c r="AO37" s="336"/>
      <c r="AP37" s="336"/>
      <c r="AQ37" s="336"/>
      <c r="AR37" s="336"/>
      <c r="AS37" s="336"/>
      <c r="AT37" s="336"/>
      <c r="AU37" s="336"/>
      <c r="AV37" s="336"/>
      <c r="AW37" s="336"/>
      <c r="AX37" s="336"/>
      <c r="AY37" s="336"/>
      <c r="AZ37" s="336"/>
      <c r="BA37" s="336"/>
      <c r="BB37" s="336"/>
      <c r="BC37" s="336"/>
      <c r="BD37" s="336"/>
      <c r="BE37" s="336"/>
      <c r="BF37" s="336"/>
      <c r="BG37" s="336"/>
      <c r="BH37" s="336"/>
      <c r="BI37" s="336"/>
      <c r="BJ37" s="336"/>
      <c r="BK37" s="336"/>
      <c r="BL37" s="336"/>
      <c r="BM37" s="336"/>
      <c r="BN37" s="336"/>
      <c r="BO37" s="336"/>
      <c r="BP37" s="336"/>
      <c r="BQ37" s="336"/>
      <c r="BR37" s="336"/>
      <c r="BS37" s="336"/>
      <c r="BT37" s="336"/>
      <c r="BU37" s="336"/>
      <c r="BV37" s="336"/>
      <c r="BW37" s="336"/>
      <c r="BX37" s="336"/>
      <c r="BY37" s="336"/>
      <c r="BZ37" s="336"/>
      <c r="CA37" s="336"/>
      <c r="CB37" s="336"/>
      <c r="CC37" s="336"/>
      <c r="CD37" s="336"/>
      <c r="CE37" s="336"/>
      <c r="CF37" s="336"/>
    </row>
    <row r="38" spans="1:84" s="15" customFormat="1" ht="12" customHeight="1" outlineLevel="2" x14ac:dyDescent="0.2">
      <c r="A38" s="242" t="s">
        <v>316</v>
      </c>
      <c r="B38" s="27" t="s">
        <v>33</v>
      </c>
      <c r="C38" s="177">
        <f t="shared" si="3"/>
        <v>0</v>
      </c>
      <c r="D38" s="97"/>
      <c r="E38" s="220"/>
      <c r="F38" s="220"/>
      <c r="G38" s="220"/>
      <c r="H38" s="220"/>
      <c r="I38" s="220"/>
      <c r="J38" s="220"/>
      <c r="K38" s="223"/>
      <c r="L38" s="220"/>
      <c r="M38" s="220"/>
      <c r="N38" s="245"/>
      <c r="P38" s="198"/>
      <c r="S38" s="16"/>
      <c r="T38" s="16"/>
      <c r="U38" s="16"/>
      <c r="V38" s="16"/>
      <c r="W38" s="16"/>
      <c r="X38" s="16"/>
      <c r="Y38" s="16"/>
      <c r="Z38" s="16"/>
      <c r="AA38" s="16"/>
      <c r="AB38" s="16"/>
      <c r="AC38" s="16"/>
      <c r="AD38" s="16"/>
      <c r="AE38" s="266"/>
      <c r="AF38" s="16"/>
      <c r="AG38" s="339" t="s">
        <v>351</v>
      </c>
      <c r="AH38" s="341">
        <v>0.1731284610429773</v>
      </c>
      <c r="AI38" s="339">
        <f t="shared" si="7"/>
        <v>10</v>
      </c>
      <c r="AJ38" s="339">
        <v>3</v>
      </c>
      <c r="AK38" s="339"/>
      <c r="AL38" s="340" t="str">
        <f t="shared" si="8"/>
        <v>PNG</v>
      </c>
      <c r="AM38" s="340">
        <f t="shared" si="9"/>
        <v>0.18407795910405089</v>
      </c>
      <c r="AN38" s="336"/>
      <c r="AO38" s="336"/>
      <c r="AP38" s="336"/>
      <c r="AQ38" s="336"/>
      <c r="AR38" s="336"/>
      <c r="AS38" s="336"/>
      <c r="AT38" s="336"/>
      <c r="AU38" s="336"/>
      <c r="AV38" s="336"/>
      <c r="AW38" s="336"/>
      <c r="AX38" s="336"/>
      <c r="AY38" s="336"/>
      <c r="AZ38" s="336"/>
      <c r="BA38" s="336"/>
      <c r="BB38" s="336"/>
      <c r="BC38" s="336"/>
      <c r="BD38" s="336"/>
      <c r="BE38" s="336"/>
      <c r="BF38" s="336"/>
      <c r="BG38" s="336"/>
      <c r="BH38" s="336"/>
      <c r="BI38" s="336"/>
      <c r="BJ38" s="336"/>
      <c r="BK38" s="336"/>
      <c r="BL38" s="336"/>
      <c r="BM38" s="336"/>
      <c r="BN38" s="336"/>
      <c r="BO38" s="336"/>
      <c r="BP38" s="336"/>
      <c r="BQ38" s="336"/>
      <c r="BR38" s="336"/>
      <c r="BS38" s="336"/>
      <c r="BT38" s="336"/>
      <c r="BU38" s="336"/>
      <c r="BV38" s="336"/>
      <c r="BW38" s="336"/>
      <c r="BX38" s="336"/>
      <c r="BY38" s="336"/>
      <c r="BZ38" s="336"/>
      <c r="CA38" s="336"/>
      <c r="CB38" s="336"/>
      <c r="CC38" s="336"/>
      <c r="CD38" s="336"/>
      <c r="CE38" s="336"/>
      <c r="CF38" s="336"/>
    </row>
    <row r="39" spans="1:84" s="15" customFormat="1" ht="12" customHeight="1" outlineLevel="2" x14ac:dyDescent="0.2">
      <c r="A39" s="242" t="s">
        <v>317</v>
      </c>
      <c r="B39" s="27" t="s">
        <v>33</v>
      </c>
      <c r="C39" s="177">
        <f t="shared" si="3"/>
        <v>0</v>
      </c>
      <c r="D39" s="97"/>
      <c r="E39" s="220"/>
      <c r="F39" s="220"/>
      <c r="G39" s="220"/>
      <c r="H39" s="220"/>
      <c r="I39" s="220"/>
      <c r="J39" s="220"/>
      <c r="K39" s="223"/>
      <c r="L39" s="220"/>
      <c r="M39" s="220"/>
      <c r="N39" s="245"/>
      <c r="P39" s="198"/>
      <c r="S39" s="16"/>
      <c r="T39" s="16"/>
      <c r="U39" s="16"/>
      <c r="V39" s="16"/>
      <c r="W39" s="16"/>
      <c r="X39" s="16"/>
      <c r="Y39" s="16"/>
      <c r="Z39" s="16"/>
      <c r="AA39" s="16"/>
      <c r="AB39" s="16"/>
      <c r="AC39" s="16"/>
      <c r="AD39" s="16"/>
      <c r="AE39" s="266"/>
      <c r="AF39" s="16"/>
      <c r="AG39" s="339" t="s">
        <v>264</v>
      </c>
      <c r="AH39" s="341">
        <v>0.18507257682686351</v>
      </c>
      <c r="AI39" s="339">
        <f t="shared" si="7"/>
        <v>2</v>
      </c>
      <c r="AJ39" s="339">
        <v>4</v>
      </c>
      <c r="AK39" s="339"/>
      <c r="AL39" s="340" t="str">
        <f t="shared" si="8"/>
        <v>Tanzania</v>
      </c>
      <c r="AM39" s="340">
        <f t="shared" si="9"/>
        <v>0.18334297287838619</v>
      </c>
      <c r="AN39" s="336"/>
      <c r="AO39" s="336"/>
      <c r="AP39" s="336"/>
      <c r="AQ39" s="336"/>
      <c r="AR39" s="336"/>
      <c r="AS39" s="336"/>
      <c r="AT39" s="336"/>
      <c r="AU39" s="336"/>
      <c r="AV39" s="336"/>
      <c r="AW39" s="336"/>
      <c r="AX39" s="336"/>
      <c r="AY39" s="336"/>
      <c r="AZ39" s="336"/>
      <c r="BA39" s="336"/>
      <c r="BB39" s="336"/>
      <c r="BC39" s="336"/>
      <c r="BD39" s="336"/>
      <c r="BE39" s="336"/>
      <c r="BF39" s="336"/>
      <c r="BG39" s="336"/>
      <c r="BH39" s="336"/>
      <c r="BI39" s="336"/>
      <c r="BJ39" s="336"/>
      <c r="BK39" s="336"/>
      <c r="BL39" s="336"/>
      <c r="BM39" s="336"/>
      <c r="BN39" s="336"/>
      <c r="BO39" s="336"/>
      <c r="BP39" s="336"/>
      <c r="BQ39" s="336"/>
      <c r="BR39" s="336"/>
      <c r="BS39" s="336"/>
      <c r="BT39" s="336"/>
      <c r="BU39" s="336"/>
      <c r="BV39" s="336"/>
      <c r="BW39" s="336"/>
      <c r="BX39" s="336"/>
      <c r="BY39" s="336"/>
      <c r="BZ39" s="336"/>
      <c r="CA39" s="336"/>
      <c r="CB39" s="336"/>
      <c r="CC39" s="336"/>
      <c r="CD39" s="336"/>
      <c r="CE39" s="336"/>
      <c r="CF39" s="336"/>
    </row>
    <row r="40" spans="1:84" s="15" customFormat="1" ht="12" customHeight="1" x14ac:dyDescent="0.2">
      <c r="A40" s="197" t="s">
        <v>342</v>
      </c>
      <c r="B40" s="27"/>
      <c r="C40" s="177"/>
      <c r="D40" s="97"/>
      <c r="E40" s="220"/>
      <c r="F40" s="220"/>
      <c r="G40" s="220"/>
      <c r="H40" s="220"/>
      <c r="I40" s="220"/>
      <c r="J40" s="220"/>
      <c r="K40" s="223"/>
      <c r="L40" s="220"/>
      <c r="M40" s="220"/>
      <c r="N40" s="245"/>
      <c r="P40" s="198"/>
      <c r="S40" s="16"/>
      <c r="T40" s="16"/>
      <c r="U40" s="16"/>
      <c r="V40" s="16"/>
      <c r="W40" s="16"/>
      <c r="X40" s="16"/>
      <c r="Y40" s="16"/>
      <c r="Z40" s="16"/>
      <c r="AA40" s="16"/>
      <c r="AB40" s="16"/>
      <c r="AC40" s="16"/>
      <c r="AD40" s="16"/>
      <c r="AE40" s="266"/>
      <c r="AF40" s="16"/>
      <c r="AG40" s="339" t="s">
        <v>167</v>
      </c>
      <c r="AH40" s="341">
        <v>0.15748057924343217</v>
      </c>
      <c r="AI40" s="339">
        <f t="shared" si="7"/>
        <v>14</v>
      </c>
      <c r="AJ40" s="339">
        <v>5</v>
      </c>
      <c r="AK40" s="339"/>
      <c r="AL40" s="340" t="str">
        <f t="shared" si="8"/>
        <v>Average Peru</v>
      </c>
      <c r="AM40" s="340">
        <f t="shared" si="9"/>
        <v>0.18077283785277695</v>
      </c>
      <c r="AN40" s="336"/>
      <c r="AO40" s="336"/>
      <c r="AP40" s="336"/>
      <c r="AQ40" s="336"/>
      <c r="AR40" s="336"/>
      <c r="AS40" s="336"/>
      <c r="AT40" s="336"/>
      <c r="AU40" s="336"/>
      <c r="AV40" s="336"/>
      <c r="AW40" s="336"/>
      <c r="AX40" s="336"/>
      <c r="AY40" s="336"/>
      <c r="AZ40" s="336"/>
      <c r="BA40" s="336"/>
      <c r="BB40" s="336"/>
      <c r="BC40" s="336"/>
      <c r="BD40" s="336"/>
      <c r="BE40" s="336"/>
      <c r="BF40" s="336"/>
      <c r="BG40" s="336"/>
      <c r="BH40" s="336"/>
      <c r="BI40" s="336"/>
      <c r="BJ40" s="336"/>
      <c r="BK40" s="336"/>
      <c r="BL40" s="336"/>
      <c r="BM40" s="336"/>
      <c r="BN40" s="336"/>
      <c r="BO40" s="336"/>
      <c r="BP40" s="336"/>
      <c r="BQ40" s="336"/>
      <c r="BR40" s="336"/>
      <c r="BS40" s="336"/>
      <c r="BT40" s="336"/>
      <c r="BU40" s="336"/>
      <c r="BV40" s="336"/>
      <c r="BW40" s="336"/>
      <c r="BX40" s="336"/>
      <c r="BY40" s="336"/>
      <c r="BZ40" s="336"/>
      <c r="CA40" s="336"/>
      <c r="CB40" s="336"/>
      <c r="CC40" s="336"/>
      <c r="CD40" s="336"/>
      <c r="CE40" s="336"/>
      <c r="CF40" s="336"/>
    </row>
    <row r="41" spans="1:84" s="15" customFormat="1" ht="12" customHeight="1" outlineLevel="1" x14ac:dyDescent="0.2">
      <c r="A41" s="242" t="s">
        <v>193</v>
      </c>
      <c r="B41" s="27" t="s">
        <v>33</v>
      </c>
      <c r="C41" s="177">
        <f t="shared" ref="C41:C73" si="10">INDEX(D41:N41,$C$2)</f>
        <v>0</v>
      </c>
      <c r="D41" s="97"/>
      <c r="E41" s="220"/>
      <c r="F41" s="220">
        <v>0.35</v>
      </c>
      <c r="G41" s="220"/>
      <c r="H41" s="220"/>
      <c r="I41" s="220"/>
      <c r="J41" s="220"/>
      <c r="K41" s="221">
        <v>0.1</v>
      </c>
      <c r="L41" s="220"/>
      <c r="M41" s="220"/>
      <c r="N41" s="245"/>
      <c r="P41" s="198"/>
      <c r="S41" s="16"/>
      <c r="T41" s="16"/>
      <c r="U41" s="16"/>
      <c r="V41" s="16"/>
      <c r="W41" s="16"/>
      <c r="X41" s="16"/>
      <c r="Y41" s="16"/>
      <c r="Z41" s="16"/>
      <c r="AA41" s="16"/>
      <c r="AB41" s="16"/>
      <c r="AC41" s="16"/>
      <c r="AD41" s="16"/>
      <c r="AE41" s="266"/>
      <c r="AF41" s="16"/>
      <c r="AG41" s="339" t="s">
        <v>186</v>
      </c>
      <c r="AH41" s="341">
        <v>0.16474438707417383</v>
      </c>
      <c r="AI41" s="339">
        <f t="shared" si="7"/>
        <v>13</v>
      </c>
      <c r="AJ41" s="339">
        <v>6</v>
      </c>
      <c r="AK41" s="339"/>
      <c r="AL41" s="340" t="str">
        <f t="shared" si="8"/>
        <v>Mexico</v>
      </c>
      <c r="AM41" s="340">
        <f t="shared" si="9"/>
        <v>0.18043294386114828</v>
      </c>
      <c r="AN41" s="336"/>
      <c r="AO41" s="336"/>
      <c r="AP41" s="336"/>
      <c r="AQ41" s="336"/>
      <c r="AR41" s="336"/>
      <c r="AS41" s="336"/>
      <c r="AT41" s="336"/>
      <c r="AU41" s="336"/>
      <c r="AV41" s="336"/>
      <c r="AW41" s="336"/>
      <c r="AX41" s="336"/>
      <c r="AY41" s="336"/>
      <c r="AZ41" s="336"/>
      <c r="BA41" s="336"/>
      <c r="BB41" s="336"/>
      <c r="BC41" s="336"/>
      <c r="BD41" s="336"/>
      <c r="BE41" s="336"/>
      <c r="BF41" s="336"/>
      <c r="BG41" s="336"/>
      <c r="BH41" s="336"/>
      <c r="BI41" s="336"/>
      <c r="BJ41" s="336"/>
      <c r="BK41" s="336"/>
      <c r="BL41" s="336"/>
      <c r="BM41" s="336"/>
      <c r="BN41" s="336"/>
      <c r="BO41" s="336"/>
      <c r="BP41" s="336"/>
      <c r="BQ41" s="336"/>
      <c r="BR41" s="336"/>
      <c r="BS41" s="336"/>
      <c r="BT41" s="336"/>
      <c r="BU41" s="336"/>
      <c r="BV41" s="336"/>
      <c r="BW41" s="336"/>
      <c r="BX41" s="336"/>
      <c r="BY41" s="336"/>
      <c r="BZ41" s="336"/>
      <c r="CA41" s="336"/>
      <c r="CB41" s="336"/>
      <c r="CC41" s="336"/>
      <c r="CD41" s="336"/>
      <c r="CE41" s="336"/>
      <c r="CF41" s="336"/>
    </row>
    <row r="42" spans="1:84" s="15" customFormat="1" ht="12" customHeight="1" outlineLevel="1" x14ac:dyDescent="0.2">
      <c r="A42" s="242" t="s">
        <v>194</v>
      </c>
      <c r="B42" s="27" t="s">
        <v>33</v>
      </c>
      <c r="C42" s="177">
        <f t="shared" si="10"/>
        <v>0</v>
      </c>
      <c r="D42" s="97"/>
      <c r="E42" s="220"/>
      <c r="F42" s="220">
        <v>0.4</v>
      </c>
      <c r="G42" s="220"/>
      <c r="H42" s="220"/>
      <c r="I42" s="220"/>
      <c r="J42" s="220"/>
      <c r="K42" s="221">
        <v>0.15</v>
      </c>
      <c r="L42" s="220"/>
      <c r="M42" s="220"/>
      <c r="N42" s="245"/>
      <c r="P42" s="198"/>
      <c r="S42" s="16"/>
      <c r="T42" s="16"/>
      <c r="U42" s="16"/>
      <c r="V42" s="16"/>
      <c r="W42" s="16"/>
      <c r="X42" s="16"/>
      <c r="Y42" s="16"/>
      <c r="Z42" s="16"/>
      <c r="AA42" s="16"/>
      <c r="AB42" s="16"/>
      <c r="AC42" s="16"/>
      <c r="AD42" s="16"/>
      <c r="AE42" s="266"/>
      <c r="AF42" s="16"/>
      <c r="AG42" s="339" t="s">
        <v>265</v>
      </c>
      <c r="AH42" s="341">
        <v>0.18043294386114828</v>
      </c>
      <c r="AI42" s="339">
        <f t="shared" si="7"/>
        <v>6</v>
      </c>
      <c r="AJ42" s="339">
        <v>7</v>
      </c>
      <c r="AK42" s="339"/>
      <c r="AL42" s="340" t="str">
        <f t="shared" si="8"/>
        <v>Brazil</v>
      </c>
      <c r="AM42" s="340">
        <f t="shared" si="9"/>
        <v>0.17881596170733749</v>
      </c>
      <c r="AN42" s="336"/>
      <c r="AO42" s="336"/>
      <c r="AP42" s="336"/>
      <c r="AQ42" s="336"/>
      <c r="AR42" s="336"/>
      <c r="AS42" s="336"/>
      <c r="AT42" s="336"/>
      <c r="AU42" s="336"/>
      <c r="AV42" s="336"/>
      <c r="AW42" s="336"/>
      <c r="AX42" s="336"/>
      <c r="AY42" s="336"/>
      <c r="AZ42" s="336"/>
      <c r="BA42" s="336"/>
      <c r="BB42" s="336"/>
      <c r="BC42" s="336"/>
      <c r="BD42" s="336"/>
      <c r="BE42" s="336"/>
      <c r="BF42" s="336"/>
      <c r="BG42" s="336"/>
      <c r="BH42" s="336"/>
      <c r="BI42" s="336"/>
      <c r="BJ42" s="336"/>
      <c r="BK42" s="336"/>
      <c r="BL42" s="336"/>
      <c r="BM42" s="336"/>
      <c r="BN42" s="336"/>
      <c r="BO42" s="336"/>
      <c r="BP42" s="336"/>
      <c r="BQ42" s="336"/>
      <c r="BR42" s="336"/>
      <c r="BS42" s="336"/>
      <c r="BT42" s="336"/>
      <c r="BU42" s="336"/>
      <c r="BV42" s="336"/>
      <c r="BW42" s="336"/>
      <c r="BX42" s="336"/>
      <c r="BY42" s="336"/>
      <c r="BZ42" s="336"/>
      <c r="CA42" s="336"/>
      <c r="CB42" s="336"/>
      <c r="CC42" s="336"/>
      <c r="CD42" s="336"/>
      <c r="CE42" s="336"/>
      <c r="CF42" s="336"/>
    </row>
    <row r="43" spans="1:84" s="15" customFormat="1" ht="12" customHeight="1" outlineLevel="1" x14ac:dyDescent="0.2">
      <c r="A43" s="242" t="s">
        <v>195</v>
      </c>
      <c r="B43" s="27" t="s">
        <v>33</v>
      </c>
      <c r="C43" s="177">
        <f t="shared" si="10"/>
        <v>0</v>
      </c>
      <c r="D43" s="97"/>
      <c r="E43" s="220"/>
      <c r="F43" s="220">
        <v>0.45</v>
      </c>
      <c r="G43" s="220"/>
      <c r="H43" s="220"/>
      <c r="I43" s="220"/>
      <c r="J43" s="220"/>
      <c r="K43" s="221">
        <v>0.2</v>
      </c>
      <c r="L43" s="220"/>
      <c r="M43" s="220"/>
      <c r="N43" s="245"/>
      <c r="P43" s="198"/>
      <c r="S43" s="16"/>
      <c r="T43" s="16"/>
      <c r="U43" s="16"/>
      <c r="V43" s="16"/>
      <c r="W43" s="16"/>
      <c r="X43" s="16"/>
      <c r="Y43" s="16"/>
      <c r="Z43" s="16"/>
      <c r="AA43" s="16"/>
      <c r="AB43" s="16"/>
      <c r="AC43" s="16"/>
      <c r="AD43" s="16"/>
      <c r="AE43" s="266"/>
      <c r="AF43" s="16"/>
      <c r="AG43" s="339" t="s">
        <v>266</v>
      </c>
      <c r="AH43" s="341">
        <v>0.18641424582555821</v>
      </c>
      <c r="AI43" s="339">
        <f t="shared" si="7"/>
        <v>1</v>
      </c>
      <c r="AJ43" s="339">
        <v>8</v>
      </c>
      <c r="AK43" s="339"/>
      <c r="AL43" s="340" t="str">
        <f t="shared" si="8"/>
        <v>Total Average</v>
      </c>
      <c r="AM43" s="340">
        <f t="shared" si="9"/>
        <v>0.17664810380270649</v>
      </c>
      <c r="AN43" s="336"/>
      <c r="AO43" s="336"/>
      <c r="AP43" s="336"/>
      <c r="AQ43" s="336"/>
      <c r="AR43" s="336"/>
      <c r="AS43" s="336"/>
      <c r="AT43" s="336"/>
      <c r="AU43" s="336"/>
      <c r="AV43" s="336"/>
      <c r="AW43" s="336"/>
      <c r="AX43" s="336"/>
      <c r="AY43" s="336"/>
      <c r="AZ43" s="336"/>
      <c r="BA43" s="336"/>
      <c r="BB43" s="336"/>
      <c r="BC43" s="336"/>
      <c r="BD43" s="336"/>
      <c r="BE43" s="336"/>
      <c r="BF43" s="336"/>
      <c r="BG43" s="336"/>
      <c r="BH43" s="336"/>
      <c r="BI43" s="336"/>
      <c r="BJ43" s="336"/>
      <c r="BK43" s="336"/>
      <c r="BL43" s="336"/>
      <c r="BM43" s="336"/>
      <c r="BN43" s="336"/>
      <c r="BO43" s="336"/>
      <c r="BP43" s="336"/>
      <c r="BQ43" s="336"/>
      <c r="BR43" s="336"/>
      <c r="BS43" s="336"/>
      <c r="BT43" s="336"/>
      <c r="BU43" s="336"/>
      <c r="BV43" s="336"/>
      <c r="BW43" s="336"/>
      <c r="BX43" s="336"/>
      <c r="BY43" s="336"/>
      <c r="BZ43" s="336"/>
      <c r="CA43" s="336"/>
      <c r="CB43" s="336"/>
      <c r="CC43" s="336"/>
      <c r="CD43" s="336"/>
      <c r="CE43" s="336"/>
      <c r="CF43" s="336"/>
    </row>
    <row r="44" spans="1:84" s="15" customFormat="1" ht="12" customHeight="1" outlineLevel="1" x14ac:dyDescent="0.2">
      <c r="A44" s="242" t="s">
        <v>290</v>
      </c>
      <c r="B44" s="27" t="s">
        <v>33</v>
      </c>
      <c r="C44" s="177">
        <f t="shared" si="10"/>
        <v>0</v>
      </c>
      <c r="D44" s="97"/>
      <c r="E44" s="220"/>
      <c r="F44" s="220">
        <v>0.5</v>
      </c>
      <c r="G44" s="220"/>
      <c r="H44" s="220"/>
      <c r="I44" s="220"/>
      <c r="J44" s="220"/>
      <c r="K44" s="221">
        <v>0.25</v>
      </c>
      <c r="L44" s="220"/>
      <c r="M44" s="220"/>
      <c r="N44" s="245"/>
      <c r="P44" s="198"/>
      <c r="S44" s="16"/>
      <c r="T44" s="16"/>
      <c r="U44" s="16"/>
      <c r="V44" s="16"/>
      <c r="W44" s="16"/>
      <c r="X44" s="16"/>
      <c r="Y44" s="16"/>
      <c r="Z44" s="16"/>
      <c r="AA44" s="16"/>
      <c r="AB44" s="16"/>
      <c r="AC44" s="16"/>
      <c r="AD44" s="16"/>
      <c r="AE44" s="266"/>
      <c r="AF44" s="16"/>
      <c r="AG44" s="339" t="s">
        <v>187</v>
      </c>
      <c r="AH44" s="341">
        <v>0.18407795910405089</v>
      </c>
      <c r="AI44" s="339">
        <f t="shared" si="7"/>
        <v>3</v>
      </c>
      <c r="AJ44" s="339">
        <v>9</v>
      </c>
      <c r="AK44" s="339"/>
      <c r="AL44" s="340" t="str">
        <f t="shared" si="8"/>
        <v>Mine</v>
      </c>
      <c r="AM44" s="340">
        <f t="shared" si="9"/>
        <v>0.17556219520267202</v>
      </c>
      <c r="AN44" s="336"/>
      <c r="AO44" s="336"/>
      <c r="AP44" s="336"/>
      <c r="AQ44" s="336"/>
      <c r="AR44" s="336"/>
      <c r="AS44" s="336"/>
      <c r="AT44" s="336"/>
      <c r="AU44" s="336"/>
      <c r="AV44" s="336"/>
      <c r="AW44" s="336"/>
      <c r="AX44" s="336"/>
      <c r="AY44" s="336"/>
      <c r="AZ44" s="336"/>
      <c r="BA44" s="336"/>
      <c r="BB44" s="336"/>
      <c r="BC44" s="336"/>
      <c r="BD44" s="336"/>
      <c r="BE44" s="336"/>
      <c r="BF44" s="336"/>
      <c r="BG44" s="336"/>
      <c r="BH44" s="336"/>
      <c r="BI44" s="336"/>
      <c r="BJ44" s="336"/>
      <c r="BK44" s="336"/>
      <c r="BL44" s="336"/>
      <c r="BM44" s="336"/>
      <c r="BN44" s="336"/>
      <c r="BO44" s="336"/>
      <c r="BP44" s="336"/>
      <c r="BQ44" s="336"/>
      <c r="BR44" s="336"/>
      <c r="BS44" s="336"/>
      <c r="BT44" s="336"/>
      <c r="BU44" s="336"/>
      <c r="BV44" s="336"/>
      <c r="BW44" s="336"/>
      <c r="BX44" s="336"/>
      <c r="BY44" s="336"/>
      <c r="BZ44" s="336"/>
      <c r="CA44" s="336"/>
      <c r="CB44" s="336"/>
      <c r="CC44" s="336"/>
      <c r="CD44" s="336"/>
      <c r="CE44" s="336"/>
      <c r="CF44" s="336"/>
    </row>
    <row r="45" spans="1:84" s="15" customFormat="1" ht="12" customHeight="1" outlineLevel="1" x14ac:dyDescent="0.2">
      <c r="A45" s="242" t="s">
        <v>291</v>
      </c>
      <c r="B45" s="27" t="s">
        <v>33</v>
      </c>
      <c r="C45" s="177">
        <f t="shared" si="10"/>
        <v>0</v>
      </c>
      <c r="D45" s="97"/>
      <c r="E45" s="220"/>
      <c r="F45" s="220">
        <v>0.55000000000000004</v>
      </c>
      <c r="G45" s="220"/>
      <c r="H45" s="220"/>
      <c r="I45" s="220"/>
      <c r="J45" s="220"/>
      <c r="K45" s="221">
        <v>0.3</v>
      </c>
      <c r="L45" s="220"/>
      <c r="M45" s="220"/>
      <c r="N45" s="245"/>
      <c r="P45" s="198"/>
      <c r="S45" s="16"/>
      <c r="T45" s="16"/>
      <c r="U45" s="16"/>
      <c r="V45" s="16"/>
      <c r="W45" s="16"/>
      <c r="X45" s="16"/>
      <c r="Y45" s="16"/>
      <c r="Z45" s="16"/>
      <c r="AA45" s="16"/>
      <c r="AB45" s="16"/>
      <c r="AC45" s="16"/>
      <c r="AD45" s="16"/>
      <c r="AE45" s="266"/>
      <c r="AF45" s="16"/>
      <c r="AG45" s="339" t="s">
        <v>188</v>
      </c>
      <c r="AH45" s="341">
        <v>0.18334297287838619</v>
      </c>
      <c r="AI45" s="339">
        <f t="shared" si="7"/>
        <v>4</v>
      </c>
      <c r="AJ45" s="339">
        <v>10</v>
      </c>
      <c r="AK45" s="339"/>
      <c r="AL45" s="340" t="str">
        <f t="shared" si="8"/>
        <v xml:space="preserve">Chile </v>
      </c>
      <c r="AM45" s="340">
        <f t="shared" si="9"/>
        <v>0.1731284610429773</v>
      </c>
      <c r="AN45" s="336"/>
      <c r="AO45" s="336"/>
      <c r="AP45" s="336"/>
      <c r="AQ45" s="336"/>
      <c r="AR45" s="336"/>
      <c r="AS45" s="336"/>
      <c r="AT45" s="336"/>
      <c r="AU45" s="336"/>
      <c r="AV45" s="336"/>
      <c r="AW45" s="336"/>
      <c r="AX45" s="336"/>
      <c r="AY45" s="336"/>
      <c r="AZ45" s="336"/>
      <c r="BA45" s="336"/>
      <c r="BB45" s="336"/>
      <c r="BC45" s="336"/>
      <c r="BD45" s="336"/>
      <c r="BE45" s="336"/>
      <c r="BF45" s="336"/>
      <c r="BG45" s="336"/>
      <c r="BH45" s="336"/>
      <c r="BI45" s="336"/>
      <c r="BJ45" s="336"/>
      <c r="BK45" s="336"/>
      <c r="BL45" s="336"/>
      <c r="BM45" s="336"/>
      <c r="BN45" s="336"/>
      <c r="BO45" s="336"/>
      <c r="BP45" s="336"/>
      <c r="BQ45" s="336"/>
      <c r="BR45" s="336"/>
      <c r="BS45" s="336"/>
      <c r="BT45" s="336"/>
      <c r="BU45" s="336"/>
      <c r="BV45" s="336"/>
      <c r="BW45" s="336"/>
      <c r="BX45" s="336"/>
      <c r="BY45" s="336"/>
      <c r="BZ45" s="336"/>
      <c r="CA45" s="336"/>
      <c r="CB45" s="336"/>
      <c r="CC45" s="336"/>
      <c r="CD45" s="336"/>
      <c r="CE45" s="336"/>
      <c r="CF45" s="336"/>
    </row>
    <row r="46" spans="1:84" s="15" customFormat="1" ht="12" customHeight="1" outlineLevel="1" x14ac:dyDescent="0.2">
      <c r="A46" s="242" t="s">
        <v>292</v>
      </c>
      <c r="B46" s="27" t="s">
        <v>33</v>
      </c>
      <c r="C46" s="177">
        <f t="shared" si="10"/>
        <v>0</v>
      </c>
      <c r="D46" s="97"/>
      <c r="E46" s="220"/>
      <c r="F46" s="220">
        <v>0.6</v>
      </c>
      <c r="G46" s="220"/>
      <c r="H46" s="220"/>
      <c r="I46" s="220"/>
      <c r="J46" s="220"/>
      <c r="K46" s="221">
        <v>0.35</v>
      </c>
      <c r="L46" s="220"/>
      <c r="M46" s="220"/>
      <c r="N46" s="245"/>
      <c r="P46" s="198"/>
      <c r="S46" s="16"/>
      <c r="T46" s="16"/>
      <c r="U46" s="16"/>
      <c r="V46" s="16"/>
      <c r="W46" s="16"/>
      <c r="X46" s="16"/>
      <c r="Y46" s="16"/>
      <c r="Z46" s="16"/>
      <c r="AA46" s="16"/>
      <c r="AB46" s="16"/>
      <c r="AC46" s="16"/>
      <c r="AD46" s="16"/>
      <c r="AE46" s="266"/>
      <c r="AF46" s="16"/>
      <c r="AG46" s="339" t="s">
        <v>189</v>
      </c>
      <c r="AH46" s="341">
        <v>0.17297095046313693</v>
      </c>
      <c r="AI46" s="339">
        <f t="shared" si="7"/>
        <v>11</v>
      </c>
      <c r="AJ46" s="339">
        <v>11</v>
      </c>
      <c r="AK46" s="339"/>
      <c r="AL46" s="340" t="str">
        <f t="shared" si="8"/>
        <v>South Africa</v>
      </c>
      <c r="AM46" s="340">
        <f t="shared" si="9"/>
        <v>0.17297095046313693</v>
      </c>
      <c r="AN46" s="336"/>
      <c r="AO46" s="336"/>
      <c r="AP46" s="336"/>
      <c r="AQ46" s="336"/>
      <c r="AR46" s="336"/>
      <c r="AS46" s="336"/>
      <c r="AT46" s="336"/>
      <c r="AU46" s="336"/>
      <c r="AV46" s="336"/>
      <c r="AW46" s="336"/>
      <c r="AX46" s="336"/>
      <c r="AY46" s="336"/>
      <c r="AZ46" s="336"/>
      <c r="BA46" s="336"/>
      <c r="BB46" s="336"/>
      <c r="BC46" s="336"/>
      <c r="BD46" s="336"/>
      <c r="BE46" s="336"/>
      <c r="BF46" s="336"/>
      <c r="BG46" s="336"/>
      <c r="BH46" s="336"/>
      <c r="BI46" s="336"/>
      <c r="BJ46" s="336"/>
      <c r="BK46" s="336"/>
      <c r="BL46" s="336"/>
      <c r="BM46" s="336"/>
      <c r="BN46" s="336"/>
      <c r="BO46" s="336"/>
      <c r="BP46" s="336"/>
      <c r="BQ46" s="336"/>
      <c r="BR46" s="336"/>
      <c r="BS46" s="336"/>
      <c r="BT46" s="336"/>
      <c r="BU46" s="336"/>
      <c r="BV46" s="336"/>
      <c r="BW46" s="336"/>
      <c r="BX46" s="336"/>
      <c r="BY46" s="336"/>
      <c r="BZ46" s="336"/>
      <c r="CA46" s="336"/>
      <c r="CB46" s="336"/>
      <c r="CC46" s="336"/>
      <c r="CD46" s="336"/>
      <c r="CE46" s="336"/>
      <c r="CF46" s="336"/>
    </row>
    <row r="47" spans="1:84" s="15" customFormat="1" ht="12" customHeight="1" outlineLevel="1" x14ac:dyDescent="0.2">
      <c r="A47" s="242" t="s">
        <v>293</v>
      </c>
      <c r="B47" s="27" t="s">
        <v>33</v>
      </c>
      <c r="C47" s="177">
        <f t="shared" si="10"/>
        <v>0</v>
      </c>
      <c r="D47" s="97"/>
      <c r="E47" s="220"/>
      <c r="F47" s="220">
        <v>0.65</v>
      </c>
      <c r="G47" s="220"/>
      <c r="H47" s="220"/>
      <c r="I47" s="220"/>
      <c r="J47" s="220"/>
      <c r="K47" s="221">
        <v>0.4</v>
      </c>
      <c r="L47" s="220"/>
      <c r="M47" s="220"/>
      <c r="N47" s="245"/>
      <c r="P47" s="198"/>
      <c r="S47" s="16"/>
      <c r="T47" s="16"/>
      <c r="U47" s="16"/>
      <c r="V47" s="16"/>
      <c r="W47" s="16"/>
      <c r="X47" s="16"/>
      <c r="Y47" s="16"/>
      <c r="Z47" s="16"/>
      <c r="AA47" s="16"/>
      <c r="AB47" s="16"/>
      <c r="AC47" s="16"/>
      <c r="AD47" s="16"/>
      <c r="AE47" s="266"/>
      <c r="AF47" s="16"/>
      <c r="AG47" s="339" t="s">
        <v>406</v>
      </c>
      <c r="AH47" s="341">
        <v>0.17252336975263599</v>
      </c>
      <c r="AI47" s="339">
        <f t="shared" si="7"/>
        <v>12</v>
      </c>
      <c r="AJ47" s="339">
        <v>12</v>
      </c>
      <c r="AK47" s="337"/>
      <c r="AL47" s="340" t="str">
        <f t="shared" si="8"/>
        <v>Average Ghana</v>
      </c>
      <c r="AM47" s="340">
        <f t="shared" si="9"/>
        <v>0.17252336975263599</v>
      </c>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36"/>
      <c r="BV47" s="336"/>
      <c r="BW47" s="336"/>
      <c r="BX47" s="336"/>
      <c r="BY47" s="336"/>
      <c r="BZ47" s="336"/>
      <c r="CA47" s="336"/>
      <c r="CB47" s="336"/>
      <c r="CC47" s="336"/>
      <c r="CD47" s="336"/>
      <c r="CE47" s="336"/>
      <c r="CF47" s="336"/>
    </row>
    <row r="48" spans="1:84" s="15" customFormat="1" ht="12" customHeight="1" outlineLevel="1" x14ac:dyDescent="0.2">
      <c r="A48" s="242" t="s">
        <v>301</v>
      </c>
      <c r="B48" s="27" t="s">
        <v>33</v>
      </c>
      <c r="C48" s="177">
        <f t="shared" si="10"/>
        <v>0</v>
      </c>
      <c r="D48" s="97"/>
      <c r="E48" s="220"/>
      <c r="F48" s="220">
        <v>0.7</v>
      </c>
      <c r="G48" s="220"/>
      <c r="H48" s="220"/>
      <c r="I48" s="220"/>
      <c r="J48" s="220"/>
      <c r="K48" s="221">
        <v>0.45</v>
      </c>
      <c r="L48" s="220"/>
      <c r="M48" s="220"/>
      <c r="N48" s="245"/>
      <c r="P48" s="198"/>
      <c r="S48" s="16"/>
      <c r="T48" s="16"/>
      <c r="U48" s="16"/>
      <c r="V48" s="16"/>
      <c r="W48" s="16"/>
      <c r="X48" s="16"/>
      <c r="Y48" s="16"/>
      <c r="Z48" s="16"/>
      <c r="AA48" s="16"/>
      <c r="AB48" s="16"/>
      <c r="AC48" s="16"/>
      <c r="AD48" s="16"/>
      <c r="AE48" s="266"/>
      <c r="AF48" s="16"/>
      <c r="AG48" s="339" t="s">
        <v>407</v>
      </c>
      <c r="AH48" s="341">
        <v>0.18077283785277695</v>
      </c>
      <c r="AI48" s="339">
        <f t="shared" si="7"/>
        <v>5</v>
      </c>
      <c r="AJ48" s="339">
        <v>13</v>
      </c>
      <c r="AK48" s="337"/>
      <c r="AL48" s="340" t="str">
        <f t="shared" si="8"/>
        <v>Indonesia</v>
      </c>
      <c r="AM48" s="340">
        <f t="shared" si="9"/>
        <v>0.16474438707417383</v>
      </c>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row>
    <row r="49" spans="1:84" s="15" customFormat="1" ht="12" customHeight="1" outlineLevel="1" x14ac:dyDescent="0.2">
      <c r="A49" s="242" t="s">
        <v>302</v>
      </c>
      <c r="B49" s="27" t="s">
        <v>33</v>
      </c>
      <c r="C49" s="177">
        <f t="shared" si="10"/>
        <v>0</v>
      </c>
      <c r="D49" s="97"/>
      <c r="E49" s="220"/>
      <c r="F49" s="220">
        <v>0.75</v>
      </c>
      <c r="G49" s="220"/>
      <c r="H49" s="220"/>
      <c r="I49" s="220"/>
      <c r="J49" s="220"/>
      <c r="K49" s="221">
        <v>0.5</v>
      </c>
      <c r="L49" s="220"/>
      <c r="M49" s="220"/>
      <c r="N49" s="245"/>
      <c r="P49" s="198"/>
      <c r="S49" s="16"/>
      <c r="T49" s="16"/>
      <c r="U49" s="16"/>
      <c r="V49" s="16"/>
      <c r="W49" s="16"/>
      <c r="X49" s="16"/>
      <c r="Y49" s="16"/>
      <c r="Z49" s="16"/>
      <c r="AA49" s="16"/>
      <c r="AB49" s="16"/>
      <c r="AC49" s="16"/>
      <c r="AD49" s="16"/>
      <c r="AE49" s="266"/>
      <c r="AF49" s="16"/>
      <c r="AG49" s="339" t="s">
        <v>408</v>
      </c>
      <c r="AH49" s="341">
        <v>0.17664810380270649</v>
      </c>
      <c r="AI49" s="339">
        <f t="shared" si="7"/>
        <v>8</v>
      </c>
      <c r="AJ49" s="339">
        <v>14</v>
      </c>
      <c r="AK49" s="337"/>
      <c r="AL49" s="340" t="str">
        <f t="shared" si="8"/>
        <v>Ghana</v>
      </c>
      <c r="AM49" s="340">
        <f t="shared" si="9"/>
        <v>0.15748057924343217</v>
      </c>
      <c r="AN49" s="336"/>
      <c r="AO49" s="336"/>
      <c r="AP49" s="336"/>
      <c r="AQ49" s="336"/>
      <c r="AR49" s="336"/>
      <c r="AS49" s="336"/>
      <c r="AT49" s="336"/>
      <c r="AU49" s="336"/>
      <c r="AV49" s="336"/>
      <c r="AW49" s="336"/>
      <c r="AX49" s="336"/>
      <c r="AY49" s="336"/>
      <c r="AZ49" s="336"/>
      <c r="BA49" s="336"/>
      <c r="BB49" s="336"/>
      <c r="BC49" s="336"/>
      <c r="BD49" s="336"/>
      <c r="BE49" s="336"/>
      <c r="BF49" s="336"/>
      <c r="BG49" s="336"/>
      <c r="BH49" s="336"/>
      <c r="BI49" s="336"/>
      <c r="BJ49" s="336"/>
      <c r="BK49" s="336"/>
      <c r="BL49" s="336"/>
      <c r="BM49" s="336"/>
      <c r="BN49" s="336"/>
      <c r="BO49" s="336"/>
      <c r="BP49" s="336"/>
      <c r="BQ49" s="336"/>
      <c r="BR49" s="336"/>
      <c r="BS49" s="336"/>
      <c r="BT49" s="336"/>
      <c r="BU49" s="336"/>
      <c r="BV49" s="336"/>
      <c r="BW49" s="336"/>
      <c r="BX49" s="336"/>
      <c r="BY49" s="336"/>
      <c r="BZ49" s="336"/>
      <c r="CA49" s="336"/>
      <c r="CB49" s="336"/>
      <c r="CC49" s="336"/>
      <c r="CD49" s="336"/>
      <c r="CE49" s="336"/>
      <c r="CF49" s="336"/>
    </row>
    <row r="50" spans="1:84" s="15" customFormat="1" ht="12" customHeight="1" outlineLevel="1" x14ac:dyDescent="0.2">
      <c r="A50" s="242" t="s">
        <v>303</v>
      </c>
      <c r="B50" s="27" t="s">
        <v>33</v>
      </c>
      <c r="C50" s="177">
        <f t="shared" si="10"/>
        <v>0</v>
      </c>
      <c r="D50" s="97"/>
      <c r="E50" s="220"/>
      <c r="F50" s="220">
        <v>0.8</v>
      </c>
      <c r="G50" s="220"/>
      <c r="H50" s="220"/>
      <c r="I50" s="220"/>
      <c r="J50" s="220"/>
      <c r="K50" s="221">
        <v>0.55000000000000004</v>
      </c>
      <c r="L50" s="220"/>
      <c r="M50" s="220"/>
      <c r="N50" s="245"/>
      <c r="P50" s="198"/>
      <c r="S50" s="16"/>
      <c r="T50" s="16"/>
      <c r="U50" s="16"/>
      <c r="V50" s="16"/>
      <c r="W50" s="16"/>
      <c r="X50" s="16"/>
      <c r="Y50" s="16"/>
      <c r="Z50" s="16"/>
      <c r="AA50" s="16"/>
      <c r="AB50" s="16"/>
      <c r="AC50" s="16"/>
      <c r="AD50" s="16"/>
      <c r="AE50" s="266"/>
      <c r="AF50" s="16"/>
      <c r="AG50" s="337"/>
      <c r="AH50" s="337"/>
      <c r="AI50" s="337"/>
      <c r="AJ50" s="337"/>
      <c r="AK50" s="337"/>
      <c r="AL50" s="337"/>
      <c r="AM50" s="337"/>
      <c r="AN50" s="336"/>
      <c r="AO50" s="336"/>
      <c r="AP50" s="336"/>
      <c r="AQ50" s="336"/>
      <c r="AR50" s="336"/>
      <c r="AS50" s="336"/>
      <c r="AT50" s="336"/>
      <c r="AU50" s="336"/>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36"/>
      <c r="BV50" s="336"/>
      <c r="BW50" s="336"/>
      <c r="BX50" s="336"/>
      <c r="BY50" s="336"/>
      <c r="BZ50" s="336"/>
      <c r="CA50" s="336"/>
      <c r="CB50" s="336"/>
      <c r="CC50" s="336"/>
      <c r="CD50" s="336"/>
      <c r="CE50" s="336"/>
      <c r="CF50" s="336"/>
    </row>
    <row r="51" spans="1:84" s="15" customFormat="1" ht="12" customHeight="1" outlineLevel="1" x14ac:dyDescent="0.2">
      <c r="A51" s="242" t="s">
        <v>304</v>
      </c>
      <c r="B51" s="27" t="s">
        <v>33</v>
      </c>
      <c r="C51" s="177">
        <f t="shared" si="10"/>
        <v>0</v>
      </c>
      <c r="D51" s="97"/>
      <c r="E51" s="220"/>
      <c r="F51" s="220">
        <v>0.85</v>
      </c>
      <c r="G51" s="220"/>
      <c r="H51" s="220"/>
      <c r="I51" s="220"/>
      <c r="J51" s="220"/>
      <c r="K51" s="221">
        <v>0.6</v>
      </c>
      <c r="L51" s="220"/>
      <c r="M51" s="220"/>
      <c r="N51" s="245"/>
      <c r="P51" s="198"/>
      <c r="S51" s="16"/>
      <c r="T51" s="16"/>
      <c r="U51" s="16"/>
      <c r="V51" s="16"/>
      <c r="W51" s="16"/>
      <c r="X51" s="16"/>
      <c r="Y51" s="16"/>
      <c r="Z51" s="16"/>
      <c r="AA51" s="16"/>
      <c r="AB51" s="16"/>
      <c r="AC51" s="16"/>
      <c r="AD51" s="16"/>
      <c r="AE51" s="266"/>
      <c r="AF51" s="16"/>
      <c r="AG51" s="338" t="s">
        <v>369</v>
      </c>
      <c r="AH51" s="339"/>
      <c r="AI51" s="339"/>
      <c r="AJ51" s="339"/>
      <c r="AK51" s="339"/>
      <c r="AL51" s="339"/>
      <c r="AM51" s="339"/>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36"/>
      <c r="CA51" s="336"/>
      <c r="CB51" s="336"/>
      <c r="CC51" s="336"/>
      <c r="CD51" s="336"/>
      <c r="CE51" s="336"/>
      <c r="CF51" s="336"/>
    </row>
    <row r="52" spans="1:84" s="15" customFormat="1" ht="12" customHeight="1" outlineLevel="1" x14ac:dyDescent="0.2">
      <c r="A52" s="242" t="s">
        <v>305</v>
      </c>
      <c r="B52" s="27" t="s">
        <v>33</v>
      </c>
      <c r="C52" s="177">
        <f t="shared" si="10"/>
        <v>0</v>
      </c>
      <c r="D52" s="97"/>
      <c r="E52" s="220"/>
      <c r="F52" s="220"/>
      <c r="G52" s="220"/>
      <c r="H52" s="220"/>
      <c r="I52" s="220"/>
      <c r="J52" s="220"/>
      <c r="K52" s="221">
        <v>0.65</v>
      </c>
      <c r="L52" s="220"/>
      <c r="M52" s="220"/>
      <c r="N52" s="245"/>
      <c r="P52" s="198"/>
      <c r="S52" s="16"/>
      <c r="T52" s="16"/>
      <c r="U52" s="16"/>
      <c r="V52" s="16"/>
      <c r="W52" s="16"/>
      <c r="X52" s="16"/>
      <c r="Y52" s="16"/>
      <c r="Z52" s="16"/>
      <c r="AA52" s="16"/>
      <c r="AB52" s="16"/>
      <c r="AC52" s="16"/>
      <c r="AD52" s="16"/>
      <c r="AE52" s="266"/>
      <c r="AF52" s="16"/>
      <c r="AG52" s="339"/>
      <c r="AH52" s="339"/>
      <c r="AI52" s="339"/>
      <c r="AJ52" s="339"/>
      <c r="AK52" s="339"/>
      <c r="AL52" s="339"/>
      <c r="AM52" s="339"/>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6"/>
      <c r="BJ52" s="336"/>
      <c r="BK52" s="336"/>
      <c r="BL52" s="336"/>
      <c r="BM52" s="336"/>
      <c r="BN52" s="336"/>
      <c r="BO52" s="336"/>
      <c r="BP52" s="336"/>
      <c r="BQ52" s="336"/>
      <c r="BR52" s="336"/>
      <c r="BS52" s="336"/>
      <c r="BT52" s="336"/>
      <c r="BU52" s="336"/>
      <c r="BV52" s="336"/>
      <c r="BW52" s="336"/>
      <c r="BX52" s="336"/>
      <c r="BY52" s="336"/>
      <c r="BZ52" s="336"/>
      <c r="CA52" s="336"/>
      <c r="CB52" s="336"/>
      <c r="CC52" s="336"/>
      <c r="CD52" s="336"/>
      <c r="CE52" s="336"/>
      <c r="CF52" s="336"/>
    </row>
    <row r="53" spans="1:84" s="15" customFormat="1" ht="12" customHeight="1" outlineLevel="1" x14ac:dyDescent="0.2">
      <c r="A53" s="242" t="s">
        <v>306</v>
      </c>
      <c r="B53" s="27" t="s">
        <v>33</v>
      </c>
      <c r="C53" s="177">
        <f t="shared" si="10"/>
        <v>0</v>
      </c>
      <c r="D53" s="97"/>
      <c r="E53" s="220"/>
      <c r="F53" s="220"/>
      <c r="G53" s="220"/>
      <c r="H53" s="220"/>
      <c r="I53" s="220"/>
      <c r="J53" s="220"/>
      <c r="K53" s="221">
        <v>0.7</v>
      </c>
      <c r="L53" s="220"/>
      <c r="M53" s="220"/>
      <c r="N53" s="245"/>
      <c r="P53" s="198"/>
      <c r="S53" s="16"/>
      <c r="T53" s="16"/>
      <c r="U53" s="16"/>
      <c r="V53" s="16"/>
      <c r="W53" s="16"/>
      <c r="X53" s="16"/>
      <c r="Y53" s="16"/>
      <c r="Z53" s="16"/>
      <c r="AA53" s="16"/>
      <c r="AB53" s="16"/>
      <c r="AC53" s="16"/>
      <c r="AD53" s="16"/>
      <c r="AE53" s="266"/>
      <c r="AF53" s="16"/>
      <c r="AG53" s="339" t="s">
        <v>166</v>
      </c>
      <c r="AH53" s="342">
        <f t="array" ref="AH53:AH66">TRANSPOSE('Assumptions &amp; Results'!R10:AE10)</f>
        <v>0.58550510033685266</v>
      </c>
      <c r="AI53" s="339">
        <f t="shared" ref="AI53:AI66" si="11">RANK(AH53,$AH$53:$AH$66)</f>
        <v>11</v>
      </c>
      <c r="AJ53" s="339">
        <v>1</v>
      </c>
      <c r="AK53" s="339"/>
      <c r="AL53" s="340" t="str">
        <f t="shared" ref="AL53:AL66" si="12">INDEX($AG$53:$AH$66,MATCH(AJ53,$AI$53:$AI$66,0),1)</f>
        <v>Ghana</v>
      </c>
      <c r="AM53" s="340">
        <f t="shared" ref="AM53:AM66" si="13">INDEX($AG$53:$AH$66,MATCH(AJ53,$AI$53:$AI$66,0),2)</f>
        <v>0.76601915900019624</v>
      </c>
      <c r="AN53" s="336"/>
      <c r="AO53" s="336"/>
      <c r="AP53" s="336"/>
      <c r="AQ53" s="336"/>
      <c r="AR53" s="336"/>
      <c r="AS53" s="336"/>
      <c r="AT53" s="336"/>
      <c r="AU53" s="336"/>
      <c r="AV53" s="336"/>
      <c r="AW53" s="336"/>
      <c r="AX53" s="336"/>
      <c r="AY53" s="336"/>
      <c r="AZ53" s="336"/>
      <c r="BA53" s="336"/>
      <c r="BB53" s="336"/>
      <c r="BC53" s="336"/>
      <c r="BD53" s="336"/>
      <c r="BE53" s="336"/>
      <c r="BF53" s="336"/>
      <c r="BG53" s="336"/>
      <c r="BH53" s="336"/>
      <c r="BI53" s="336"/>
      <c r="BJ53" s="336"/>
      <c r="BK53" s="336"/>
      <c r="BL53" s="336"/>
      <c r="BM53" s="336"/>
      <c r="BN53" s="336"/>
      <c r="BO53" s="336"/>
      <c r="BP53" s="336"/>
      <c r="BQ53" s="336"/>
      <c r="BR53" s="336"/>
      <c r="BS53" s="336"/>
      <c r="BT53" s="336"/>
      <c r="BU53" s="336"/>
      <c r="BV53" s="336"/>
      <c r="BW53" s="336"/>
      <c r="BX53" s="336"/>
      <c r="BY53" s="336"/>
      <c r="BZ53" s="336"/>
      <c r="CA53" s="336"/>
      <c r="CB53" s="336"/>
      <c r="CC53" s="336"/>
      <c r="CD53" s="336"/>
      <c r="CE53" s="336"/>
      <c r="CF53" s="336"/>
    </row>
    <row r="54" spans="1:84" s="15" customFormat="1" ht="12" customHeight="1" outlineLevel="1" x14ac:dyDescent="0.2">
      <c r="A54" s="242" t="s">
        <v>307</v>
      </c>
      <c r="B54" s="27" t="s">
        <v>33</v>
      </c>
      <c r="C54" s="177">
        <f t="shared" si="10"/>
        <v>0</v>
      </c>
      <c r="D54" s="97"/>
      <c r="E54" s="220"/>
      <c r="F54" s="220"/>
      <c r="G54" s="220"/>
      <c r="H54" s="220"/>
      <c r="I54" s="220"/>
      <c r="J54" s="220"/>
      <c r="K54" s="221">
        <v>0.75</v>
      </c>
      <c r="L54" s="220"/>
      <c r="M54" s="220"/>
      <c r="N54" s="245"/>
      <c r="P54" s="198"/>
      <c r="S54" s="16"/>
      <c r="T54" s="16"/>
      <c r="U54" s="16"/>
      <c r="V54" s="16"/>
      <c r="W54" s="16"/>
      <c r="X54" s="16"/>
      <c r="Y54" s="16"/>
      <c r="Z54" s="16"/>
      <c r="AA54" s="16"/>
      <c r="AB54" s="16"/>
      <c r="AC54" s="16"/>
      <c r="AD54" s="16"/>
      <c r="AE54" s="266"/>
      <c r="AF54" s="16"/>
      <c r="AG54" s="339" t="s">
        <v>262</v>
      </c>
      <c r="AH54" s="342">
        <v>0.58649653927091228</v>
      </c>
      <c r="AI54" s="339">
        <f t="shared" si="11"/>
        <v>10</v>
      </c>
      <c r="AJ54" s="339">
        <v>2</v>
      </c>
      <c r="AK54" s="339"/>
      <c r="AL54" s="340" t="str">
        <f t="shared" si="12"/>
        <v>Indonesia</v>
      </c>
      <c r="AM54" s="340">
        <f t="shared" si="13"/>
        <v>0.72770221026444193</v>
      </c>
      <c r="AN54" s="336"/>
      <c r="AO54" s="336"/>
      <c r="AP54" s="336"/>
      <c r="AQ54" s="336"/>
      <c r="AR54" s="336"/>
      <c r="AS54" s="336"/>
      <c r="AT54" s="336"/>
      <c r="AU54" s="336"/>
      <c r="AV54" s="336"/>
      <c r="AW54" s="336"/>
      <c r="AX54" s="336"/>
      <c r="AY54" s="336"/>
      <c r="AZ54" s="336"/>
      <c r="BA54" s="336"/>
      <c r="BB54" s="336"/>
      <c r="BC54" s="336"/>
      <c r="BD54" s="336"/>
      <c r="BE54" s="336"/>
      <c r="BF54" s="336"/>
      <c r="BG54" s="336"/>
      <c r="BH54" s="336"/>
      <c r="BI54" s="336"/>
      <c r="BJ54" s="336"/>
      <c r="BK54" s="336"/>
      <c r="BL54" s="336"/>
      <c r="BM54" s="336"/>
      <c r="BN54" s="336"/>
      <c r="BO54" s="336"/>
      <c r="BP54" s="336"/>
      <c r="BQ54" s="336"/>
      <c r="BR54" s="336"/>
      <c r="BS54" s="336"/>
      <c r="BT54" s="336"/>
      <c r="BU54" s="336"/>
      <c r="BV54" s="336"/>
      <c r="BW54" s="336"/>
      <c r="BX54" s="336"/>
      <c r="BY54" s="336"/>
      <c r="BZ54" s="336"/>
      <c r="CA54" s="336"/>
      <c r="CB54" s="336"/>
      <c r="CC54" s="336"/>
      <c r="CD54" s="336"/>
      <c r="CE54" s="336"/>
      <c r="CF54" s="336"/>
    </row>
    <row r="55" spans="1:84" s="15" customFormat="1" ht="12" customHeight="1" outlineLevel="1" x14ac:dyDescent="0.2">
      <c r="A55" s="242" t="s">
        <v>308</v>
      </c>
      <c r="B55" s="27" t="s">
        <v>33</v>
      </c>
      <c r="C55" s="177">
        <f t="shared" si="10"/>
        <v>0</v>
      </c>
      <c r="D55" s="97"/>
      <c r="E55" s="220"/>
      <c r="F55" s="220"/>
      <c r="G55" s="220"/>
      <c r="H55" s="220"/>
      <c r="I55" s="220"/>
      <c r="J55" s="220"/>
      <c r="K55" s="221">
        <v>0.8</v>
      </c>
      <c r="L55" s="220"/>
      <c r="M55" s="220"/>
      <c r="N55" s="245"/>
      <c r="P55" s="198"/>
      <c r="S55" s="16"/>
      <c r="T55" s="16"/>
      <c r="U55" s="16"/>
      <c r="V55" s="16"/>
      <c r="W55" s="16"/>
      <c r="X55" s="16"/>
      <c r="Y55" s="16"/>
      <c r="Z55" s="16"/>
      <c r="AA55" s="16"/>
      <c r="AB55" s="16"/>
      <c r="AC55" s="16"/>
      <c r="AD55" s="16"/>
      <c r="AE55" s="266"/>
      <c r="AF55" s="16"/>
      <c r="AG55" s="339" t="s">
        <v>351</v>
      </c>
      <c r="AH55" s="342">
        <v>0.67862527023548636</v>
      </c>
      <c r="AI55" s="339">
        <f t="shared" si="11"/>
        <v>3</v>
      </c>
      <c r="AJ55" s="339">
        <v>3</v>
      </c>
      <c r="AK55" s="339"/>
      <c r="AL55" s="340" t="str">
        <f t="shared" si="12"/>
        <v xml:space="preserve">Chile </v>
      </c>
      <c r="AM55" s="340">
        <f t="shared" si="13"/>
        <v>0.67862527023548636</v>
      </c>
      <c r="AN55" s="336"/>
      <c r="AO55" s="336"/>
      <c r="AP55" s="336"/>
      <c r="AQ55" s="336"/>
      <c r="AR55" s="336"/>
      <c r="AS55" s="336"/>
      <c r="AT55" s="336"/>
      <c r="AU55" s="336"/>
      <c r="AV55" s="336"/>
      <c r="AW55" s="336"/>
      <c r="AX55" s="336"/>
      <c r="AY55" s="336"/>
      <c r="AZ55" s="336"/>
      <c r="BA55" s="336"/>
      <c r="BB55" s="336"/>
      <c r="BC55" s="336"/>
      <c r="BD55" s="336"/>
      <c r="BE55" s="336"/>
      <c r="BF55" s="336"/>
      <c r="BG55" s="336"/>
      <c r="BH55" s="336"/>
      <c r="BI55" s="336"/>
      <c r="BJ55" s="336"/>
      <c r="BK55" s="336"/>
      <c r="BL55" s="336"/>
      <c r="BM55" s="336"/>
      <c r="BN55" s="336"/>
      <c r="BO55" s="336"/>
      <c r="BP55" s="336"/>
      <c r="BQ55" s="336"/>
      <c r="BR55" s="336"/>
      <c r="BS55" s="336"/>
      <c r="BT55" s="336"/>
      <c r="BU55" s="336"/>
      <c r="BV55" s="336"/>
      <c r="BW55" s="336"/>
      <c r="BX55" s="336"/>
      <c r="BY55" s="336"/>
      <c r="BZ55" s="336"/>
      <c r="CA55" s="336"/>
      <c r="CB55" s="336"/>
      <c r="CC55" s="336"/>
      <c r="CD55" s="336"/>
      <c r="CE55" s="336"/>
      <c r="CF55" s="336"/>
    </row>
    <row r="56" spans="1:84" s="15" customFormat="1" ht="12" customHeight="1" outlineLevel="1" x14ac:dyDescent="0.2">
      <c r="A56" s="242" t="s">
        <v>309</v>
      </c>
      <c r="B56" s="27" t="s">
        <v>33</v>
      </c>
      <c r="C56" s="177">
        <f t="shared" si="10"/>
        <v>0</v>
      </c>
      <c r="D56" s="97"/>
      <c r="E56" s="220"/>
      <c r="F56" s="220"/>
      <c r="G56" s="220"/>
      <c r="H56" s="220"/>
      <c r="I56" s="220"/>
      <c r="J56" s="220"/>
      <c r="K56" s="221">
        <v>0.85</v>
      </c>
      <c r="L56" s="220"/>
      <c r="M56" s="220"/>
      <c r="N56" s="245"/>
      <c r="P56" s="198"/>
      <c r="S56" s="16"/>
      <c r="T56" s="16"/>
      <c r="U56" s="16"/>
      <c r="V56" s="16"/>
      <c r="W56" s="16"/>
      <c r="X56" s="16"/>
      <c r="Y56" s="16"/>
      <c r="Z56" s="16"/>
      <c r="AA56" s="16"/>
      <c r="AB56" s="16"/>
      <c r="AC56" s="16"/>
      <c r="AD56" s="16"/>
      <c r="AE56" s="266"/>
      <c r="AF56" s="16"/>
      <c r="AG56" s="339" t="s">
        <v>264</v>
      </c>
      <c r="AH56" s="342">
        <v>0.60163850091091542</v>
      </c>
      <c r="AI56" s="339">
        <f t="shared" si="11"/>
        <v>9</v>
      </c>
      <c r="AJ56" s="339">
        <v>4</v>
      </c>
      <c r="AK56" s="339"/>
      <c r="AL56" s="340" t="str">
        <f t="shared" si="12"/>
        <v>South Africa</v>
      </c>
      <c r="AM56" s="340">
        <f t="shared" si="13"/>
        <v>0.66207779783421294</v>
      </c>
      <c r="AN56" s="336"/>
      <c r="AO56" s="336"/>
      <c r="AP56" s="336"/>
      <c r="AQ56" s="336"/>
      <c r="AR56" s="336"/>
      <c r="AS56" s="336"/>
      <c r="AT56" s="336"/>
      <c r="AU56" s="336"/>
      <c r="AV56" s="336"/>
      <c r="AW56" s="336"/>
      <c r="AX56" s="336"/>
      <c r="AY56" s="336"/>
      <c r="AZ56" s="336"/>
      <c r="BA56" s="336"/>
      <c r="BB56" s="336"/>
      <c r="BC56" s="336"/>
      <c r="BD56" s="336"/>
      <c r="BE56" s="336"/>
      <c r="BF56" s="336"/>
      <c r="BG56" s="336"/>
      <c r="BH56" s="336"/>
      <c r="BI56" s="336"/>
      <c r="BJ56" s="336"/>
      <c r="BK56" s="336"/>
      <c r="BL56" s="336"/>
      <c r="BM56" s="336"/>
      <c r="BN56" s="336"/>
      <c r="BO56" s="336"/>
      <c r="BP56" s="336"/>
      <c r="BQ56" s="336"/>
      <c r="BR56" s="336"/>
      <c r="BS56" s="336"/>
      <c r="BT56" s="336"/>
      <c r="BU56" s="336"/>
      <c r="BV56" s="336"/>
      <c r="BW56" s="336"/>
      <c r="BX56" s="336"/>
      <c r="BY56" s="336"/>
      <c r="BZ56" s="336"/>
      <c r="CA56" s="336"/>
      <c r="CB56" s="336"/>
      <c r="CC56" s="336"/>
      <c r="CD56" s="336"/>
      <c r="CE56" s="336"/>
      <c r="CF56" s="336"/>
    </row>
    <row r="57" spans="1:84" s="15" customFormat="1" ht="12" customHeight="1" outlineLevel="1" thickBot="1" x14ac:dyDescent="0.25">
      <c r="A57" s="242" t="s">
        <v>196</v>
      </c>
      <c r="B57" s="27" t="s">
        <v>33</v>
      </c>
      <c r="C57" s="177">
        <f t="shared" si="10"/>
        <v>0</v>
      </c>
      <c r="D57" s="97"/>
      <c r="E57" s="220"/>
      <c r="F57" s="220">
        <v>0.05</v>
      </c>
      <c r="G57" s="220"/>
      <c r="H57" s="220"/>
      <c r="I57" s="220"/>
      <c r="J57" s="220"/>
      <c r="K57" s="224">
        <f>1%+2%</f>
        <v>0.03</v>
      </c>
      <c r="L57" s="220"/>
      <c r="M57" s="220"/>
      <c r="N57" s="245"/>
      <c r="P57" s="273"/>
      <c r="Q57" s="274"/>
      <c r="R57" s="274"/>
      <c r="S57" s="271"/>
      <c r="T57" s="271"/>
      <c r="U57" s="271"/>
      <c r="V57" s="271"/>
      <c r="W57" s="271"/>
      <c r="X57" s="271"/>
      <c r="Y57" s="271"/>
      <c r="Z57" s="271"/>
      <c r="AA57" s="271"/>
      <c r="AB57" s="271"/>
      <c r="AC57" s="271"/>
      <c r="AD57" s="271"/>
      <c r="AE57" s="272"/>
      <c r="AF57" s="16"/>
      <c r="AG57" s="339" t="s">
        <v>167</v>
      </c>
      <c r="AH57" s="342">
        <v>0.76601915900019624</v>
      </c>
      <c r="AI57" s="339">
        <f t="shared" si="11"/>
        <v>1</v>
      </c>
      <c r="AJ57" s="339">
        <v>5</v>
      </c>
      <c r="AK57" s="339"/>
      <c r="AL57" s="340" t="str">
        <f t="shared" si="12"/>
        <v>Average Ghana</v>
      </c>
      <c r="AM57" s="340">
        <f t="shared" si="13"/>
        <v>0.65972968834653023</v>
      </c>
      <c r="AN57" s="336"/>
      <c r="AO57" s="336"/>
      <c r="AP57" s="336"/>
      <c r="AQ57" s="336"/>
      <c r="AR57" s="336"/>
      <c r="AS57" s="336"/>
      <c r="AT57" s="336"/>
      <c r="AU57" s="336"/>
      <c r="AV57" s="336"/>
      <c r="AW57" s="336"/>
      <c r="AX57" s="336"/>
      <c r="AY57" s="336"/>
      <c r="AZ57" s="336"/>
      <c r="BA57" s="336"/>
      <c r="BB57" s="336"/>
      <c r="BC57" s="336"/>
      <c r="BD57" s="336"/>
      <c r="BE57" s="336"/>
      <c r="BF57" s="336"/>
      <c r="BG57" s="336"/>
      <c r="BH57" s="336"/>
      <c r="BI57" s="336"/>
      <c r="BJ57" s="336"/>
      <c r="BK57" s="336"/>
      <c r="BL57" s="336"/>
      <c r="BM57" s="336"/>
      <c r="BN57" s="336"/>
      <c r="BO57" s="336"/>
      <c r="BP57" s="336"/>
      <c r="BQ57" s="336"/>
      <c r="BR57" s="336"/>
      <c r="BS57" s="336"/>
      <c r="BT57" s="336"/>
      <c r="BU57" s="336"/>
      <c r="BV57" s="336"/>
      <c r="BW57" s="336"/>
      <c r="BX57" s="336"/>
      <c r="BY57" s="336"/>
      <c r="BZ57" s="336"/>
      <c r="CA57" s="336"/>
      <c r="CB57" s="336"/>
      <c r="CC57" s="336"/>
      <c r="CD57" s="336"/>
      <c r="CE57" s="336"/>
      <c r="CF57" s="336"/>
    </row>
    <row r="58" spans="1:84" s="15" customFormat="1" ht="12" customHeight="1" outlineLevel="1" thickBot="1" x14ac:dyDescent="0.25">
      <c r="A58" s="242" t="s">
        <v>197</v>
      </c>
      <c r="B58" s="27" t="s">
        <v>33</v>
      </c>
      <c r="C58" s="177">
        <f t="shared" si="10"/>
        <v>0</v>
      </c>
      <c r="D58" s="97"/>
      <c r="E58" s="220"/>
      <c r="F58" s="220">
        <v>0.08</v>
      </c>
      <c r="G58" s="220"/>
      <c r="H58" s="220"/>
      <c r="I58" s="220"/>
      <c r="J58" s="220"/>
      <c r="K58" s="223">
        <f>1.75%+2.4%</f>
        <v>4.1500000000000002E-2</v>
      </c>
      <c r="L58" s="220"/>
      <c r="M58" s="220"/>
      <c r="N58" s="245"/>
      <c r="S58" s="16"/>
      <c r="T58" s="16"/>
      <c r="U58" s="16"/>
      <c r="V58" s="16"/>
      <c r="W58" s="16"/>
      <c r="X58" s="16"/>
      <c r="Y58" s="16"/>
      <c r="Z58" s="16"/>
      <c r="AA58" s="16"/>
      <c r="AB58" s="16"/>
      <c r="AC58" s="16"/>
      <c r="AD58" s="16"/>
      <c r="AE58" s="16"/>
      <c r="AF58" s="16"/>
      <c r="AG58" s="339" t="s">
        <v>186</v>
      </c>
      <c r="AH58" s="342">
        <v>0.72770221026444193</v>
      </c>
      <c r="AI58" s="339">
        <f t="shared" si="11"/>
        <v>2</v>
      </c>
      <c r="AJ58" s="339">
        <v>6</v>
      </c>
      <c r="AK58" s="339"/>
      <c r="AL58" s="340" t="str">
        <f t="shared" si="12"/>
        <v>Total Average</v>
      </c>
      <c r="AM58" s="340">
        <f t="shared" si="13"/>
        <v>0.63529583052107963</v>
      </c>
      <c r="AN58" s="336"/>
      <c r="AO58" s="336"/>
      <c r="AP58" s="336"/>
      <c r="AQ58" s="336"/>
      <c r="AR58" s="336"/>
      <c r="AS58" s="336"/>
      <c r="AT58" s="336"/>
      <c r="AU58" s="336"/>
      <c r="AV58" s="336"/>
      <c r="AW58" s="336"/>
      <c r="AX58" s="336"/>
      <c r="AY58" s="336"/>
      <c r="AZ58" s="336"/>
      <c r="BA58" s="336"/>
      <c r="BB58" s="336"/>
      <c r="BC58" s="336"/>
      <c r="BD58" s="336"/>
      <c r="BE58" s="336"/>
      <c r="BF58" s="336"/>
      <c r="BG58" s="336"/>
      <c r="BH58" s="336"/>
      <c r="BI58" s="336"/>
      <c r="BJ58" s="336"/>
      <c r="BK58" s="336"/>
      <c r="BL58" s="336"/>
      <c r="BM58" s="336"/>
      <c r="BN58" s="336"/>
      <c r="BO58" s="336"/>
      <c r="BP58" s="336"/>
      <c r="BQ58" s="336"/>
      <c r="BR58" s="336"/>
      <c r="BS58" s="336"/>
      <c r="BT58" s="336"/>
      <c r="BU58" s="336"/>
      <c r="BV58" s="336"/>
      <c r="BW58" s="336"/>
      <c r="BX58" s="336"/>
      <c r="BY58" s="336"/>
      <c r="BZ58" s="336"/>
      <c r="CA58" s="336"/>
      <c r="CB58" s="336"/>
      <c r="CC58" s="336"/>
      <c r="CD58" s="336"/>
      <c r="CE58" s="336"/>
      <c r="CF58" s="336"/>
    </row>
    <row r="59" spans="1:84" s="15" customFormat="1" ht="12" customHeight="1" outlineLevel="1" x14ac:dyDescent="0.2">
      <c r="A59" s="242" t="s">
        <v>198</v>
      </c>
      <c r="B59" s="27" t="s">
        <v>33</v>
      </c>
      <c r="C59" s="177">
        <f t="shared" si="10"/>
        <v>0</v>
      </c>
      <c r="D59" s="97"/>
      <c r="E59" s="220"/>
      <c r="F59" s="220">
        <v>0.105</v>
      </c>
      <c r="G59" s="220"/>
      <c r="H59" s="220"/>
      <c r="I59" s="220"/>
      <c r="J59" s="220"/>
      <c r="K59" s="223">
        <f>2.5%+2.8%</f>
        <v>5.2999999999999999E-2</v>
      </c>
      <c r="L59" s="220"/>
      <c r="M59" s="220"/>
      <c r="N59" s="245"/>
      <c r="P59" s="389" t="s">
        <v>396</v>
      </c>
      <c r="Q59" s="390"/>
      <c r="R59" s="390"/>
      <c r="S59" s="390"/>
      <c r="T59" s="234"/>
      <c r="U59" s="234"/>
      <c r="V59" s="234"/>
      <c r="W59" s="234"/>
      <c r="X59" s="234"/>
      <c r="Y59" s="234"/>
      <c r="Z59" s="234"/>
      <c r="AA59" s="234"/>
      <c r="AB59" s="234"/>
      <c r="AC59" s="234"/>
      <c r="AD59" s="234"/>
      <c r="AE59" s="236"/>
      <c r="AF59" s="16"/>
      <c r="AG59" s="339" t="s">
        <v>265</v>
      </c>
      <c r="AH59" s="342">
        <v>0.62709902028112574</v>
      </c>
      <c r="AI59" s="339">
        <f t="shared" si="11"/>
        <v>7</v>
      </c>
      <c r="AJ59" s="339">
        <v>7</v>
      </c>
      <c r="AK59" s="339"/>
      <c r="AL59" s="340" t="str">
        <f t="shared" si="12"/>
        <v>Mexico</v>
      </c>
      <c r="AM59" s="340">
        <f t="shared" si="13"/>
        <v>0.62709902028112574</v>
      </c>
      <c r="AN59" s="336"/>
      <c r="AO59" s="336"/>
      <c r="AP59" s="336"/>
      <c r="AQ59" s="336"/>
      <c r="AR59" s="336"/>
      <c r="AS59" s="336"/>
      <c r="AT59" s="336"/>
      <c r="AU59" s="336"/>
      <c r="AV59" s="336"/>
      <c r="AW59" s="336"/>
      <c r="AX59" s="336"/>
      <c r="AY59" s="336"/>
      <c r="AZ59" s="336"/>
      <c r="BA59" s="336"/>
      <c r="BB59" s="336"/>
      <c r="BC59" s="336"/>
      <c r="BD59" s="336"/>
      <c r="BE59" s="336"/>
      <c r="BF59" s="336"/>
      <c r="BG59" s="336"/>
      <c r="BH59" s="336"/>
      <c r="BI59" s="336"/>
      <c r="BJ59" s="336"/>
      <c r="BK59" s="336"/>
      <c r="BL59" s="336"/>
      <c r="BM59" s="336"/>
      <c r="BN59" s="336"/>
      <c r="BO59" s="336"/>
      <c r="BP59" s="336"/>
      <c r="BQ59" s="336"/>
      <c r="BR59" s="336"/>
      <c r="BS59" s="336"/>
      <c r="BT59" s="336"/>
      <c r="BU59" s="336"/>
      <c r="BV59" s="336"/>
      <c r="BW59" s="336"/>
      <c r="BX59" s="336"/>
      <c r="BY59" s="336"/>
      <c r="BZ59" s="336"/>
      <c r="CA59" s="336"/>
      <c r="CB59" s="336"/>
      <c r="CC59" s="336"/>
      <c r="CD59" s="336"/>
      <c r="CE59" s="336"/>
      <c r="CF59" s="336"/>
    </row>
    <row r="60" spans="1:84" s="15" customFormat="1" ht="12" customHeight="1" outlineLevel="1" x14ac:dyDescent="0.2">
      <c r="A60" s="242" t="s">
        <v>199</v>
      </c>
      <c r="B60" s="27" t="s">
        <v>33</v>
      </c>
      <c r="C60" s="177">
        <f t="shared" si="10"/>
        <v>0</v>
      </c>
      <c r="D60" s="97"/>
      <c r="E60" s="220"/>
      <c r="F60" s="220">
        <v>0.13</v>
      </c>
      <c r="G60" s="220"/>
      <c r="H60" s="220"/>
      <c r="I60" s="220"/>
      <c r="J60" s="220"/>
      <c r="K60" s="223">
        <f>3.25%+3.2%</f>
        <v>6.4500000000000002E-2</v>
      </c>
      <c r="L60" s="220"/>
      <c r="M60" s="220"/>
      <c r="N60" s="245"/>
      <c r="P60" s="391"/>
      <c r="Q60" s="392"/>
      <c r="R60" s="392"/>
      <c r="S60" s="392"/>
      <c r="T60" s="16"/>
      <c r="U60" s="16"/>
      <c r="V60" s="16"/>
      <c r="W60" s="16"/>
      <c r="X60" s="16"/>
      <c r="Y60" s="16"/>
      <c r="Z60" s="16"/>
      <c r="AA60" s="16"/>
      <c r="AB60" s="16"/>
      <c r="AC60" s="16"/>
      <c r="AD60" s="16"/>
      <c r="AE60" s="266"/>
      <c r="AF60" s="16"/>
      <c r="AG60" s="339" t="s">
        <v>266</v>
      </c>
      <c r="AH60" s="342">
        <v>0.56045053277970658</v>
      </c>
      <c r="AI60" s="339">
        <f t="shared" si="11"/>
        <v>14</v>
      </c>
      <c r="AJ60" s="339">
        <v>8</v>
      </c>
      <c r="AK60" s="339"/>
      <c r="AL60" s="340" t="str">
        <f t="shared" si="12"/>
        <v>Average Peru</v>
      </c>
      <c r="AM60" s="340">
        <f t="shared" si="13"/>
        <v>0.61086197269562925</v>
      </c>
      <c r="AN60" s="336"/>
      <c r="AO60" s="336"/>
      <c r="AP60" s="336"/>
      <c r="AQ60" s="336"/>
      <c r="AR60" s="336"/>
      <c r="AS60" s="336"/>
      <c r="AT60" s="336"/>
      <c r="AU60" s="336"/>
      <c r="AV60" s="336"/>
      <c r="AW60" s="336"/>
      <c r="AX60" s="336"/>
      <c r="AY60" s="336"/>
      <c r="AZ60" s="336"/>
      <c r="BA60" s="336"/>
      <c r="BB60" s="336"/>
      <c r="BC60" s="336"/>
      <c r="BD60" s="336"/>
      <c r="BE60" s="336"/>
      <c r="BF60" s="336"/>
      <c r="BG60" s="336"/>
      <c r="BH60" s="336"/>
      <c r="BI60" s="336"/>
      <c r="BJ60" s="336"/>
      <c r="BK60" s="336"/>
      <c r="BL60" s="336"/>
      <c r="BM60" s="336"/>
      <c r="BN60" s="336"/>
      <c r="BO60" s="336"/>
      <c r="BP60" s="336"/>
      <c r="BQ60" s="336"/>
      <c r="BR60" s="336"/>
      <c r="BS60" s="336"/>
      <c r="BT60" s="336"/>
      <c r="BU60" s="336"/>
      <c r="BV60" s="336"/>
      <c r="BW60" s="336"/>
      <c r="BX60" s="336"/>
      <c r="BY60" s="336"/>
      <c r="BZ60" s="336"/>
      <c r="CA60" s="336"/>
      <c r="CB60" s="336"/>
      <c r="CC60" s="336"/>
      <c r="CD60" s="336"/>
      <c r="CE60" s="336"/>
      <c r="CF60" s="336"/>
    </row>
    <row r="61" spans="1:84" s="15" customFormat="1" ht="12" customHeight="1" outlineLevel="1" x14ac:dyDescent="0.2">
      <c r="A61" s="242" t="s">
        <v>286</v>
      </c>
      <c r="B61" s="27" t="s">
        <v>33</v>
      </c>
      <c r="C61" s="177">
        <f t="shared" si="10"/>
        <v>0</v>
      </c>
      <c r="D61" s="97"/>
      <c r="E61" s="220"/>
      <c r="F61" s="220">
        <v>0.155</v>
      </c>
      <c r="G61" s="220"/>
      <c r="H61" s="220"/>
      <c r="I61" s="220"/>
      <c r="J61" s="220"/>
      <c r="K61" s="223">
        <f>4%+3.6%</f>
        <v>7.6000000000000012E-2</v>
      </c>
      <c r="L61" s="220"/>
      <c r="M61" s="220"/>
      <c r="N61" s="245"/>
      <c r="P61" s="198"/>
      <c r="S61" s="16"/>
      <c r="T61" s="16"/>
      <c r="U61" s="16"/>
      <c r="V61" s="16"/>
      <c r="W61" s="16"/>
      <c r="X61" s="16"/>
      <c r="Y61" s="16"/>
      <c r="Z61" s="16"/>
      <c r="AA61" s="16"/>
      <c r="AB61" s="16"/>
      <c r="AC61" s="16"/>
      <c r="AD61" s="16"/>
      <c r="AE61" s="266"/>
      <c r="AF61" s="16"/>
      <c r="AG61" s="339" t="s">
        <v>187</v>
      </c>
      <c r="AH61" s="342">
        <v>0.57133533704507411</v>
      </c>
      <c r="AI61" s="339">
        <f t="shared" si="11"/>
        <v>13</v>
      </c>
      <c r="AJ61" s="339">
        <v>9</v>
      </c>
      <c r="AK61" s="339"/>
      <c r="AL61" s="340" t="str">
        <f t="shared" si="12"/>
        <v>Colombia</v>
      </c>
      <c r="AM61" s="340">
        <f t="shared" si="13"/>
        <v>0.60163850091091542</v>
      </c>
      <c r="AN61" s="336"/>
      <c r="AO61" s="336"/>
      <c r="AP61" s="336"/>
      <c r="AQ61" s="336"/>
      <c r="AR61" s="336"/>
      <c r="AS61" s="336"/>
      <c r="AT61" s="336"/>
      <c r="AU61" s="336"/>
      <c r="AV61" s="336"/>
      <c r="AW61" s="336"/>
      <c r="AX61" s="336"/>
      <c r="AY61" s="336"/>
      <c r="AZ61" s="336"/>
      <c r="BA61" s="336"/>
      <c r="BB61" s="336"/>
      <c r="BC61" s="336"/>
      <c r="BD61" s="336"/>
      <c r="BE61" s="336"/>
      <c r="BF61" s="336"/>
      <c r="BG61" s="336"/>
      <c r="BH61" s="336"/>
      <c r="BI61" s="336"/>
      <c r="BJ61" s="336"/>
      <c r="BK61" s="336"/>
      <c r="BL61" s="336"/>
      <c r="BM61" s="336"/>
      <c r="BN61" s="336"/>
      <c r="BO61" s="336"/>
      <c r="BP61" s="336"/>
      <c r="BQ61" s="336"/>
      <c r="BR61" s="336"/>
      <c r="BS61" s="336"/>
      <c r="BT61" s="336"/>
      <c r="BU61" s="336"/>
      <c r="BV61" s="336"/>
      <c r="BW61" s="336"/>
      <c r="BX61" s="336"/>
      <c r="BY61" s="336"/>
      <c r="BZ61" s="336"/>
      <c r="CA61" s="336"/>
      <c r="CB61" s="336"/>
      <c r="CC61" s="336"/>
      <c r="CD61" s="336"/>
      <c r="CE61" s="336"/>
      <c r="CF61" s="336"/>
    </row>
    <row r="62" spans="1:84" s="15" customFormat="1" ht="12" customHeight="1" outlineLevel="1" x14ac:dyDescent="0.2">
      <c r="A62" s="242" t="s">
        <v>287</v>
      </c>
      <c r="B62" s="27" t="s">
        <v>33</v>
      </c>
      <c r="C62" s="177">
        <f t="shared" si="10"/>
        <v>0</v>
      </c>
      <c r="D62" s="97"/>
      <c r="E62" s="220"/>
      <c r="F62" s="220">
        <v>0.18</v>
      </c>
      <c r="G62" s="220"/>
      <c r="H62" s="220"/>
      <c r="I62" s="220"/>
      <c r="J62" s="220"/>
      <c r="K62" s="223">
        <f>4.75%+4%</f>
        <v>8.7499999999999994E-2</v>
      </c>
      <c r="L62" s="220"/>
      <c r="M62" s="220"/>
      <c r="N62" s="245"/>
      <c r="P62" s="198"/>
      <c r="S62" s="16"/>
      <c r="T62" s="16"/>
      <c r="U62" s="16"/>
      <c r="V62" s="16"/>
      <c r="W62" s="16"/>
      <c r="X62" s="16"/>
      <c r="Y62" s="16"/>
      <c r="Z62" s="16"/>
      <c r="AA62" s="16"/>
      <c r="AB62" s="16"/>
      <c r="AC62" s="16"/>
      <c r="AD62" s="16"/>
      <c r="AE62" s="266"/>
      <c r="AF62" s="16"/>
      <c r="AG62" s="339" t="s">
        <v>188</v>
      </c>
      <c r="AH62" s="342">
        <v>0.57151393758872571</v>
      </c>
      <c r="AI62" s="339">
        <f t="shared" si="11"/>
        <v>12</v>
      </c>
      <c r="AJ62" s="339">
        <v>10</v>
      </c>
      <c r="AK62" s="339"/>
      <c r="AL62" s="340" t="str">
        <f t="shared" si="12"/>
        <v>Brazil</v>
      </c>
      <c r="AM62" s="340">
        <f t="shared" si="13"/>
        <v>0.58649653927091228</v>
      </c>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row>
    <row r="63" spans="1:84" s="15" customFormat="1" ht="12" customHeight="1" outlineLevel="1" x14ac:dyDescent="0.2">
      <c r="A63" s="242" t="s">
        <v>288</v>
      </c>
      <c r="B63" s="27" t="s">
        <v>33</v>
      </c>
      <c r="C63" s="177">
        <f t="shared" si="10"/>
        <v>0</v>
      </c>
      <c r="D63" s="97"/>
      <c r="E63" s="220"/>
      <c r="F63" s="220">
        <v>0.21</v>
      </c>
      <c r="G63" s="220"/>
      <c r="H63" s="220"/>
      <c r="I63" s="220"/>
      <c r="J63" s="220"/>
      <c r="K63" s="223">
        <f>5.5%+4.4%</f>
        <v>9.9000000000000005E-2</v>
      </c>
      <c r="L63" s="220"/>
      <c r="M63" s="220"/>
      <c r="N63" s="245"/>
      <c r="P63" s="198"/>
      <c r="S63" s="16"/>
      <c r="T63" s="16"/>
      <c r="U63" s="16"/>
      <c r="V63" s="16"/>
      <c r="W63" s="16"/>
      <c r="X63" s="16"/>
      <c r="Y63" s="16"/>
      <c r="Z63" s="16"/>
      <c r="AA63" s="16"/>
      <c r="AB63" s="16"/>
      <c r="AC63" s="16"/>
      <c r="AD63" s="16"/>
      <c r="AE63" s="266"/>
      <c r="AF63" s="16"/>
      <c r="AG63" s="339" t="s">
        <v>189</v>
      </c>
      <c r="AH63" s="342">
        <v>0.66207779783421294</v>
      </c>
      <c r="AI63" s="339">
        <f t="shared" si="11"/>
        <v>4</v>
      </c>
      <c r="AJ63" s="339">
        <v>11</v>
      </c>
      <c r="AK63" s="339"/>
      <c r="AL63" s="340" t="str">
        <f t="shared" si="12"/>
        <v>Mine</v>
      </c>
      <c r="AM63" s="340">
        <f t="shared" si="13"/>
        <v>0.58550510033685266</v>
      </c>
      <c r="AN63" s="336"/>
      <c r="AO63" s="336"/>
      <c r="AP63" s="336"/>
      <c r="AQ63" s="336"/>
      <c r="AR63" s="336"/>
      <c r="AS63" s="336"/>
      <c r="AT63" s="336"/>
      <c r="AU63" s="336"/>
      <c r="AV63" s="336"/>
      <c r="AW63" s="336"/>
      <c r="AX63" s="336"/>
      <c r="AY63" s="336"/>
      <c r="AZ63" s="336"/>
      <c r="BA63" s="336"/>
      <c r="BB63" s="336"/>
      <c r="BC63" s="336"/>
      <c r="BD63" s="336"/>
      <c r="BE63" s="336"/>
      <c r="BF63" s="336"/>
      <c r="BG63" s="336"/>
      <c r="BH63" s="336"/>
      <c r="BI63" s="336"/>
      <c r="BJ63" s="336"/>
      <c r="BK63" s="336"/>
      <c r="BL63" s="336"/>
      <c r="BM63" s="336"/>
      <c r="BN63" s="336"/>
      <c r="BO63" s="336"/>
      <c r="BP63" s="336"/>
      <c r="BQ63" s="336"/>
      <c r="BR63" s="336"/>
      <c r="BS63" s="336"/>
      <c r="BT63" s="336"/>
      <c r="BU63" s="336"/>
      <c r="BV63" s="336"/>
      <c r="BW63" s="336"/>
      <c r="BX63" s="336"/>
      <c r="BY63" s="336"/>
      <c r="BZ63" s="336"/>
      <c r="CA63" s="336"/>
      <c r="CB63" s="336"/>
      <c r="CC63" s="336"/>
      <c r="CD63" s="336"/>
      <c r="CE63" s="336"/>
      <c r="CF63" s="336"/>
    </row>
    <row r="64" spans="1:84" s="15" customFormat="1" ht="12" customHeight="1" outlineLevel="1" x14ac:dyDescent="0.2">
      <c r="A64" s="242" t="s">
        <v>289</v>
      </c>
      <c r="B64" s="27" t="s">
        <v>33</v>
      </c>
      <c r="C64" s="177">
        <f t="shared" si="10"/>
        <v>0</v>
      </c>
      <c r="D64" s="97"/>
      <c r="E64" s="220"/>
      <c r="F64" s="220">
        <v>0.24</v>
      </c>
      <c r="G64" s="220"/>
      <c r="H64" s="220"/>
      <c r="I64" s="220"/>
      <c r="J64" s="220"/>
      <c r="K64" s="223">
        <f>6.25%+4.8%</f>
        <v>0.1105</v>
      </c>
      <c r="L64" s="220"/>
      <c r="M64" s="220"/>
      <c r="N64" s="245"/>
      <c r="P64" s="198"/>
      <c r="S64" s="16"/>
      <c r="T64" s="16"/>
      <c r="U64" s="16"/>
      <c r="V64" s="16"/>
      <c r="W64" s="16"/>
      <c r="X64" s="16"/>
      <c r="Y64" s="16"/>
      <c r="Z64" s="16"/>
      <c r="AA64" s="16"/>
      <c r="AB64" s="16"/>
      <c r="AC64" s="16"/>
      <c r="AD64" s="16"/>
      <c r="AE64" s="266"/>
      <c r="AF64" s="16"/>
      <c r="AG64" s="339" t="s">
        <v>406</v>
      </c>
      <c r="AH64" s="342">
        <v>0.65972968834653023</v>
      </c>
      <c r="AI64" s="339">
        <f t="shared" si="11"/>
        <v>5</v>
      </c>
      <c r="AJ64" s="339">
        <v>12</v>
      </c>
      <c r="AK64" s="337"/>
      <c r="AL64" s="340" t="str">
        <f t="shared" si="12"/>
        <v>Tanzania</v>
      </c>
      <c r="AM64" s="340">
        <f t="shared" si="13"/>
        <v>0.57151393758872571</v>
      </c>
      <c r="AN64" s="336"/>
      <c r="AO64" s="336"/>
      <c r="AP64" s="336"/>
      <c r="AQ64" s="336"/>
      <c r="AR64" s="336"/>
      <c r="AS64" s="336"/>
      <c r="AT64" s="336"/>
      <c r="AU64" s="336"/>
      <c r="AV64" s="336"/>
      <c r="AW64" s="336"/>
      <c r="AX64" s="336"/>
      <c r="AY64" s="336"/>
      <c r="AZ64" s="336"/>
      <c r="BA64" s="336"/>
      <c r="BB64" s="336"/>
      <c r="BC64" s="336"/>
      <c r="BD64" s="336"/>
      <c r="BE64" s="336"/>
      <c r="BF64" s="336"/>
      <c r="BG64" s="336"/>
      <c r="BH64" s="336"/>
      <c r="BI64" s="336"/>
      <c r="BJ64" s="336"/>
      <c r="BK64" s="336"/>
      <c r="BL64" s="336"/>
      <c r="BM64" s="336"/>
      <c r="BN64" s="336"/>
      <c r="BO64" s="336"/>
      <c r="BP64" s="336"/>
      <c r="BQ64" s="336"/>
      <c r="BR64" s="336"/>
      <c r="BS64" s="336"/>
      <c r="BT64" s="336"/>
      <c r="BU64" s="336"/>
      <c r="BV64" s="336"/>
      <c r="BW64" s="336"/>
      <c r="BX64" s="336"/>
      <c r="BY64" s="336"/>
      <c r="BZ64" s="336"/>
      <c r="CA64" s="336"/>
      <c r="CB64" s="336"/>
      <c r="CC64" s="336"/>
      <c r="CD64" s="336"/>
      <c r="CE64" s="336"/>
      <c r="CF64" s="336"/>
    </row>
    <row r="65" spans="1:84" s="15" customFormat="1" ht="12" customHeight="1" outlineLevel="1" x14ac:dyDescent="0.2">
      <c r="A65" s="242" t="s">
        <v>310</v>
      </c>
      <c r="B65" s="27" t="s">
        <v>33</v>
      </c>
      <c r="C65" s="177">
        <f t="shared" si="10"/>
        <v>0</v>
      </c>
      <c r="D65" s="97"/>
      <c r="E65" s="220"/>
      <c r="F65" s="220">
        <v>0.27500000000000002</v>
      </c>
      <c r="G65" s="220"/>
      <c r="H65" s="220"/>
      <c r="I65" s="220"/>
      <c r="J65" s="220"/>
      <c r="K65" s="223">
        <f>7%+5.2%</f>
        <v>0.12200000000000001</v>
      </c>
      <c r="L65" s="220"/>
      <c r="M65" s="220"/>
      <c r="N65" s="245"/>
      <c r="P65" s="198"/>
      <c r="S65" s="16"/>
      <c r="T65" s="16"/>
      <c r="U65" s="16"/>
      <c r="V65" s="16"/>
      <c r="W65" s="16"/>
      <c r="X65" s="16"/>
      <c r="Y65" s="16"/>
      <c r="Z65" s="16"/>
      <c r="AA65" s="16"/>
      <c r="AB65" s="16"/>
      <c r="AC65" s="16"/>
      <c r="AD65" s="16"/>
      <c r="AE65" s="266"/>
      <c r="AF65" s="16"/>
      <c r="AG65" s="339" t="s">
        <v>407</v>
      </c>
      <c r="AH65" s="342">
        <v>0.61086197269562925</v>
      </c>
      <c r="AI65" s="339">
        <f t="shared" si="11"/>
        <v>8</v>
      </c>
      <c r="AJ65" s="339">
        <v>13</v>
      </c>
      <c r="AK65" s="337"/>
      <c r="AL65" s="340" t="str">
        <f t="shared" si="12"/>
        <v>PNG</v>
      </c>
      <c r="AM65" s="340">
        <f t="shared" si="13"/>
        <v>0.57133533704507411</v>
      </c>
      <c r="AN65" s="336"/>
      <c r="AO65" s="336"/>
      <c r="AP65" s="336"/>
      <c r="AQ65" s="336"/>
      <c r="AR65" s="336"/>
      <c r="AS65" s="336"/>
      <c r="AT65" s="336"/>
      <c r="AU65" s="336"/>
      <c r="AV65" s="336"/>
      <c r="AW65" s="336"/>
      <c r="AX65" s="336"/>
      <c r="AY65" s="336"/>
      <c r="AZ65" s="336"/>
      <c r="BA65" s="336"/>
      <c r="BB65" s="336"/>
      <c r="BC65" s="336"/>
      <c r="BD65" s="336"/>
      <c r="BE65" s="336"/>
      <c r="BF65" s="336"/>
      <c r="BG65" s="336"/>
      <c r="BH65" s="336"/>
      <c r="BI65" s="336"/>
      <c r="BJ65" s="336"/>
      <c r="BK65" s="336"/>
      <c r="BL65" s="336"/>
      <c r="BM65" s="336"/>
      <c r="BN65" s="336"/>
      <c r="BO65" s="336"/>
      <c r="BP65" s="336"/>
      <c r="BQ65" s="336"/>
      <c r="BR65" s="336"/>
      <c r="BS65" s="336"/>
      <c r="BT65" s="336"/>
      <c r="BU65" s="336"/>
      <c r="BV65" s="336"/>
      <c r="BW65" s="336"/>
      <c r="BX65" s="336"/>
      <c r="BY65" s="336"/>
      <c r="BZ65" s="336"/>
      <c r="CA65" s="336"/>
      <c r="CB65" s="336"/>
      <c r="CC65" s="336"/>
      <c r="CD65" s="336"/>
      <c r="CE65" s="336"/>
      <c r="CF65" s="336"/>
    </row>
    <row r="66" spans="1:84" s="15" customFormat="1" ht="12" customHeight="1" outlineLevel="1" x14ac:dyDescent="0.2">
      <c r="A66" s="242" t="s">
        <v>311</v>
      </c>
      <c r="B66" s="27" t="s">
        <v>33</v>
      </c>
      <c r="C66" s="177">
        <f t="shared" si="10"/>
        <v>0</v>
      </c>
      <c r="D66" s="97"/>
      <c r="E66" s="220"/>
      <c r="F66" s="220">
        <v>0.31</v>
      </c>
      <c r="G66" s="220"/>
      <c r="H66" s="220"/>
      <c r="I66" s="220"/>
      <c r="J66" s="220"/>
      <c r="K66" s="223">
        <f>7.75%+5.6%</f>
        <v>0.13350000000000001</v>
      </c>
      <c r="L66" s="220"/>
      <c r="M66" s="220"/>
      <c r="N66" s="245"/>
      <c r="P66" s="198"/>
      <c r="S66" s="16"/>
      <c r="T66" s="16"/>
      <c r="U66" s="16"/>
      <c r="V66" s="16"/>
      <c r="W66" s="16"/>
      <c r="X66" s="16"/>
      <c r="Y66" s="16"/>
      <c r="Z66" s="16"/>
      <c r="AA66" s="16"/>
      <c r="AB66" s="16"/>
      <c r="AC66" s="16"/>
      <c r="AD66" s="16"/>
      <c r="AE66" s="266"/>
      <c r="AF66" s="16"/>
      <c r="AG66" s="339" t="s">
        <v>408</v>
      </c>
      <c r="AH66" s="342">
        <v>0.63529583052107963</v>
      </c>
      <c r="AI66" s="339">
        <f t="shared" si="11"/>
        <v>6</v>
      </c>
      <c r="AJ66" s="339">
        <v>14</v>
      </c>
      <c r="AK66" s="337"/>
      <c r="AL66" s="340" t="str">
        <f t="shared" si="12"/>
        <v>Peru</v>
      </c>
      <c r="AM66" s="340">
        <f t="shared" si="13"/>
        <v>0.56045053277970658</v>
      </c>
      <c r="AN66" s="336"/>
      <c r="AO66" s="336"/>
      <c r="AP66" s="336"/>
      <c r="AQ66" s="336"/>
      <c r="AR66" s="336"/>
      <c r="AS66" s="336"/>
      <c r="AT66" s="336"/>
      <c r="AU66" s="336"/>
      <c r="AV66" s="336"/>
      <c r="AW66" s="336"/>
      <c r="AX66" s="336"/>
      <c r="AY66" s="336"/>
      <c r="AZ66" s="336"/>
      <c r="BA66" s="336"/>
      <c r="BB66" s="336"/>
      <c r="BC66" s="336"/>
      <c r="BD66" s="336"/>
      <c r="BE66" s="336"/>
      <c r="BF66" s="336"/>
      <c r="BG66" s="336"/>
      <c r="BH66" s="336"/>
      <c r="BI66" s="336"/>
      <c r="BJ66" s="336"/>
      <c r="BK66" s="336"/>
      <c r="BL66" s="336"/>
      <c r="BM66" s="336"/>
      <c r="BN66" s="336"/>
      <c r="BO66" s="336"/>
      <c r="BP66" s="336"/>
      <c r="BQ66" s="336"/>
      <c r="BR66" s="336"/>
      <c r="BS66" s="336"/>
      <c r="BT66" s="336"/>
      <c r="BU66" s="336"/>
      <c r="BV66" s="336"/>
      <c r="BW66" s="336"/>
      <c r="BX66" s="336"/>
      <c r="BY66" s="336"/>
      <c r="BZ66" s="336"/>
      <c r="CA66" s="336"/>
      <c r="CB66" s="336"/>
      <c r="CC66" s="336"/>
      <c r="CD66" s="336"/>
      <c r="CE66" s="336"/>
      <c r="CF66" s="336"/>
    </row>
    <row r="67" spans="1:84" s="15" customFormat="1" ht="12" customHeight="1" outlineLevel="1" x14ac:dyDescent="0.2">
      <c r="A67" s="242" t="s">
        <v>312</v>
      </c>
      <c r="B67" s="27" t="s">
        <v>33</v>
      </c>
      <c r="C67" s="177">
        <f t="shared" si="10"/>
        <v>0</v>
      </c>
      <c r="D67" s="97"/>
      <c r="E67" s="220"/>
      <c r="F67" s="220">
        <v>0.34499999999999997</v>
      </c>
      <c r="G67" s="220"/>
      <c r="H67" s="220"/>
      <c r="I67" s="220"/>
      <c r="J67" s="220"/>
      <c r="K67" s="223">
        <f>8.5%+6%</f>
        <v>0.14500000000000002</v>
      </c>
      <c r="L67" s="220"/>
      <c r="M67" s="220"/>
      <c r="N67" s="245"/>
      <c r="P67" s="198"/>
      <c r="S67" s="16"/>
      <c r="T67" s="16"/>
      <c r="U67" s="16"/>
      <c r="V67" s="16"/>
      <c r="W67" s="16"/>
      <c r="X67" s="16"/>
      <c r="Y67" s="16"/>
      <c r="Z67" s="16"/>
      <c r="AA67" s="16"/>
      <c r="AB67" s="16"/>
      <c r="AC67" s="16"/>
      <c r="AD67" s="16"/>
      <c r="AE67" s="266"/>
      <c r="AF67" s="16"/>
      <c r="AG67" s="343" t="s">
        <v>415</v>
      </c>
      <c r="AH67" s="337"/>
      <c r="AI67" s="337"/>
      <c r="AJ67" s="337"/>
      <c r="AK67" s="337"/>
      <c r="AL67" s="337"/>
      <c r="AM67" s="337"/>
      <c r="AN67" s="336"/>
      <c r="AO67" s="336"/>
      <c r="AP67" s="336"/>
      <c r="AQ67" s="336"/>
      <c r="AR67" s="336"/>
      <c r="AS67" s="336"/>
      <c r="AT67" s="336"/>
      <c r="AU67" s="336"/>
      <c r="AV67" s="336"/>
      <c r="AW67" s="336"/>
      <c r="AX67" s="336"/>
      <c r="AY67" s="336"/>
      <c r="AZ67" s="336"/>
      <c r="BA67" s="336"/>
      <c r="BB67" s="336"/>
      <c r="BC67" s="336"/>
      <c r="BD67" s="336"/>
      <c r="BE67" s="336"/>
      <c r="BF67" s="336"/>
      <c r="BG67" s="336"/>
      <c r="BH67" s="336"/>
      <c r="BI67" s="336"/>
      <c r="BJ67" s="336"/>
      <c r="BK67" s="336"/>
      <c r="BL67" s="336"/>
      <c r="BM67" s="336"/>
      <c r="BN67" s="336"/>
      <c r="BO67" s="336"/>
      <c r="BP67" s="336"/>
      <c r="BQ67" s="336"/>
      <c r="BR67" s="336"/>
      <c r="BS67" s="336"/>
      <c r="BT67" s="336"/>
      <c r="BU67" s="336"/>
      <c r="BV67" s="336"/>
      <c r="BW67" s="336"/>
      <c r="BX67" s="336"/>
      <c r="BY67" s="336"/>
      <c r="BZ67" s="336"/>
      <c r="CA67" s="336"/>
      <c r="CB67" s="336"/>
      <c r="CC67" s="336"/>
      <c r="CD67" s="336"/>
      <c r="CE67" s="336"/>
      <c r="CF67" s="336"/>
    </row>
    <row r="68" spans="1:84" s="15" customFormat="1" ht="12" customHeight="1" outlineLevel="1" x14ac:dyDescent="0.2">
      <c r="A68" s="242" t="s">
        <v>313</v>
      </c>
      <c r="B68" s="27" t="s">
        <v>33</v>
      </c>
      <c r="C68" s="177">
        <f t="shared" si="10"/>
        <v>0</v>
      </c>
      <c r="D68" s="97"/>
      <c r="E68" s="220"/>
      <c r="F68" s="220">
        <v>0.14000000000000001</v>
      </c>
      <c r="G68" s="220"/>
      <c r="H68" s="220"/>
      <c r="I68" s="220"/>
      <c r="J68" s="220"/>
      <c r="K68" s="223">
        <f>9.25%+6.4%</f>
        <v>0.1565</v>
      </c>
      <c r="L68" s="220"/>
      <c r="M68" s="220"/>
      <c r="N68" s="245"/>
      <c r="P68" s="198"/>
      <c r="S68" s="16"/>
      <c r="T68" s="16"/>
      <c r="U68" s="16"/>
      <c r="V68" s="16"/>
      <c r="W68" s="16"/>
      <c r="X68" s="16"/>
      <c r="Y68" s="16"/>
      <c r="Z68" s="16"/>
      <c r="AA68" s="16"/>
      <c r="AB68" s="16"/>
      <c r="AC68" s="16"/>
      <c r="AD68" s="16"/>
      <c r="AE68" s="266"/>
      <c r="AF68" s="16"/>
      <c r="AG68" s="339" t="s">
        <v>416</v>
      </c>
      <c r="AH68" s="337">
        <f>-Capex!D4</f>
        <v>-250</v>
      </c>
      <c r="AI68" s="337">
        <f>-Capex!E4</f>
        <v>-255</v>
      </c>
      <c r="AJ68" s="337">
        <f>-Capex!F4</f>
        <v>-260.10000000000002</v>
      </c>
      <c r="AK68" s="337">
        <f>-Capex!G4</f>
        <v>-265.30199999999996</v>
      </c>
      <c r="AL68" s="337">
        <f>-Capex!H4</f>
        <v>0</v>
      </c>
      <c r="AM68" s="337">
        <f>-Capex!I4</f>
        <v>-11.040808032000001</v>
      </c>
      <c r="AN68" s="337">
        <f>-Capex!J4</f>
        <v>-11.261624192640001</v>
      </c>
      <c r="AO68" s="337">
        <f>-Capex!K4</f>
        <v>-11.486856676492801</v>
      </c>
      <c r="AP68" s="337">
        <f>-Capex!L4</f>
        <v>-11.716593810022658</v>
      </c>
      <c r="AQ68" s="337">
        <f>-Capex!M4</f>
        <v>-11.95092568622311</v>
      </c>
      <c r="AR68" s="337">
        <f>-Capex!N4</f>
        <v>-12.189944199947574</v>
      </c>
      <c r="AS68" s="337">
        <f>-Capex!O4</f>
        <v>-12.433743083946524</v>
      </c>
      <c r="AT68" s="337">
        <f>-Capex!P4</f>
        <v>-12.682417945625454</v>
      </c>
      <c r="AU68" s="337">
        <f>-Capex!Q4</f>
        <v>-12.936066304537963</v>
      </c>
      <c r="AV68" s="337">
        <f>-Capex!R4</f>
        <v>-13.194787630628724</v>
      </c>
      <c r="AW68" s="337">
        <f>-Capex!S4</f>
        <v>-13.458683383241299</v>
      </c>
      <c r="AX68" s="337">
        <f>-Capex!T4</f>
        <v>-13.727857050906124</v>
      </c>
      <c r="AY68" s="337">
        <f>-Capex!U4</f>
        <v>-14.002414191924249</v>
      </c>
      <c r="AZ68" s="337">
        <f>-Capex!V4</f>
        <v>-14.282462475762735</v>
      </c>
      <c r="BA68" s="337">
        <f>-Capex!W4</f>
        <v>-14.568111725277987</v>
      </c>
      <c r="BB68" s="337">
        <f>-Capex!X4</f>
        <v>-14.85947395978355</v>
      </c>
      <c r="BC68" s="337">
        <f>-Capex!Y4</f>
        <v>-15.156663438979221</v>
      </c>
      <c r="BD68" s="337">
        <f>-Capex!Z4</f>
        <v>-15.459796707758805</v>
      </c>
      <c r="BE68" s="337">
        <f>-Capex!AA4</f>
        <v>-15.768992641913982</v>
      </c>
      <c r="BF68" s="337">
        <f>-Capex!AB4</f>
        <v>-16.084372494752262</v>
      </c>
      <c r="BG68" s="337">
        <f>-Capex!AC4</f>
        <v>-16.406059944647307</v>
      </c>
      <c r="BH68" s="337">
        <f>-Capex!AD4</f>
        <v>-16.734181143540251</v>
      </c>
      <c r="BI68" s="337">
        <f>-Capex!AE4</f>
        <v>-17.068864766411057</v>
      </c>
      <c r="BJ68" s="337">
        <f>-Capex!AF4</f>
        <v>-17.410242061739282</v>
      </c>
      <c r="BK68" s="337">
        <f>-Capex!AG4</f>
        <v>-17.758446902974065</v>
      </c>
      <c r="BL68" s="337">
        <f>-Capex!AH4</f>
        <v>-18.11361584103355</v>
      </c>
      <c r="BM68" s="337">
        <f>-Capex!AI4</f>
        <v>0</v>
      </c>
      <c r="BN68" s="337">
        <f>-Capex!AJ4</f>
        <v>0</v>
      </c>
      <c r="BO68" s="337">
        <f>-Capex!AK4</f>
        <v>0</v>
      </c>
      <c r="BP68" s="337">
        <f>-Capex!AL4</f>
        <v>0</v>
      </c>
      <c r="BQ68" s="337">
        <f>-Capex!AM4</f>
        <v>0</v>
      </c>
      <c r="BR68" s="337">
        <f>-Capex!AN4</f>
        <v>0</v>
      </c>
      <c r="BS68" s="337">
        <f>-Capex!AO4</f>
        <v>0</v>
      </c>
      <c r="BT68" s="337">
        <f>-Capex!AP4</f>
        <v>0</v>
      </c>
      <c r="BU68" s="337">
        <f>-Capex!AQ4</f>
        <v>0</v>
      </c>
      <c r="BV68" s="337">
        <f>-Capex!AR4</f>
        <v>0</v>
      </c>
      <c r="BW68" s="337">
        <f>-Capex!AS4</f>
        <v>0</v>
      </c>
      <c r="BX68" s="337">
        <f>-Capex!AT4</f>
        <v>0</v>
      </c>
      <c r="BY68" s="337">
        <f>-Capex!AU4</f>
        <v>0</v>
      </c>
      <c r="BZ68" s="337">
        <f>-Capex!AV4</f>
        <v>0</v>
      </c>
      <c r="CA68" s="337">
        <f>-Capex!AW4</f>
        <v>0</v>
      </c>
      <c r="CB68" s="337">
        <f>-Capex!AX4</f>
        <v>0</v>
      </c>
      <c r="CC68" s="337">
        <f>-Capex!AY4</f>
        <v>0</v>
      </c>
      <c r="CD68" s="337">
        <f>-Capex!AZ4</f>
        <v>0</v>
      </c>
      <c r="CE68" s="337">
        <f>-Capex!BA4</f>
        <v>0</v>
      </c>
      <c r="CF68" s="337"/>
    </row>
    <row r="69" spans="1:84" s="15" customFormat="1" ht="12" customHeight="1" outlineLevel="1" x14ac:dyDescent="0.2">
      <c r="A69" s="242" t="s">
        <v>314</v>
      </c>
      <c r="B69" s="27" t="s">
        <v>33</v>
      </c>
      <c r="C69" s="177">
        <f t="shared" si="10"/>
        <v>0</v>
      </c>
      <c r="D69" s="97"/>
      <c r="E69" s="220"/>
      <c r="F69" s="220"/>
      <c r="G69" s="220"/>
      <c r="H69" s="220"/>
      <c r="I69" s="220"/>
      <c r="J69" s="220"/>
      <c r="K69" s="223">
        <f>10%+6.8%</f>
        <v>0.16800000000000001</v>
      </c>
      <c r="L69" s="220"/>
      <c r="M69" s="220"/>
      <c r="N69" s="245"/>
      <c r="P69" s="198"/>
      <c r="S69" s="16"/>
      <c r="T69" s="16"/>
      <c r="U69" s="16"/>
      <c r="V69" s="16"/>
      <c r="W69" s="16"/>
      <c r="X69" s="16"/>
      <c r="Y69" s="16"/>
      <c r="Z69" s="16"/>
      <c r="AA69" s="16"/>
      <c r="AB69" s="16"/>
      <c r="AC69" s="16"/>
      <c r="AD69" s="16"/>
      <c r="AE69" s="266"/>
      <c r="AF69" s="16"/>
      <c r="AG69" s="343" t="s">
        <v>430</v>
      </c>
      <c r="AH69" s="337"/>
      <c r="AI69" s="337"/>
      <c r="AJ69" s="337"/>
      <c r="AK69" s="337"/>
      <c r="AL69" s="337"/>
      <c r="AM69" s="337"/>
      <c r="AN69" s="336"/>
      <c r="AO69" s="336"/>
      <c r="AP69" s="336"/>
      <c r="AQ69" s="336"/>
      <c r="AR69" s="336"/>
      <c r="AS69" s="336"/>
      <c r="AT69" s="336"/>
      <c r="AU69" s="336"/>
      <c r="AV69" s="336"/>
      <c r="AW69" s="336"/>
      <c r="AX69" s="33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row>
    <row r="70" spans="1:84" s="15" customFormat="1" ht="12" customHeight="1" outlineLevel="1" x14ac:dyDescent="0.2">
      <c r="A70" s="242" t="s">
        <v>315</v>
      </c>
      <c r="B70" s="27" t="s">
        <v>33</v>
      </c>
      <c r="C70" s="177">
        <f t="shared" si="10"/>
        <v>0</v>
      </c>
      <c r="D70" s="97"/>
      <c r="E70" s="220"/>
      <c r="F70" s="220"/>
      <c r="G70" s="220"/>
      <c r="H70" s="220"/>
      <c r="I70" s="220"/>
      <c r="J70" s="220"/>
      <c r="K70" s="223">
        <f>10.75%+7.2%</f>
        <v>0.17949999999999999</v>
      </c>
      <c r="L70" s="220"/>
      <c r="M70" s="220"/>
      <c r="N70" s="245"/>
      <c r="P70" s="198"/>
      <c r="S70" s="16"/>
      <c r="T70" s="16"/>
      <c r="U70" s="16"/>
      <c r="V70" s="16"/>
      <c r="W70" s="16"/>
      <c r="X70" s="16"/>
      <c r="Y70" s="16"/>
      <c r="Z70" s="16"/>
      <c r="AA70" s="16"/>
      <c r="AB70" s="16"/>
      <c r="AC70" s="16"/>
      <c r="AD70" s="16"/>
      <c r="AE70" s="266"/>
      <c r="AF70" s="16"/>
      <c r="AG70" s="339" t="s">
        <v>425</v>
      </c>
      <c r="AH70" s="353">
        <f>'Cash Flows'!A5</f>
        <v>20816.861658044567</v>
      </c>
      <c r="AI70" s="339" t="b">
        <f ca="1">AH70=SUM(AH71:AH74)</f>
        <v>0</v>
      </c>
      <c r="AJ70" s="337"/>
      <c r="AK70" s="337"/>
      <c r="AL70" s="337"/>
      <c r="AM70" s="337"/>
      <c r="AN70" s="336"/>
      <c r="AO70" s="336"/>
      <c r="AP70" s="336"/>
      <c r="AQ70" s="336"/>
      <c r="AR70" s="336"/>
      <c r="AS70" s="336"/>
      <c r="AT70" s="336"/>
      <c r="AU70" s="336"/>
      <c r="AV70" s="336"/>
      <c r="AW70" s="336"/>
      <c r="AX70" s="33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row>
    <row r="71" spans="1:84" s="15" customFormat="1" ht="12" customHeight="1" outlineLevel="1" x14ac:dyDescent="0.2">
      <c r="A71" s="242" t="s">
        <v>316</v>
      </c>
      <c r="B71" s="27" t="s">
        <v>33</v>
      </c>
      <c r="C71" s="177">
        <f t="shared" si="10"/>
        <v>0</v>
      </c>
      <c r="D71" s="97"/>
      <c r="E71" s="220"/>
      <c r="F71" s="220"/>
      <c r="G71" s="220"/>
      <c r="H71" s="220"/>
      <c r="I71" s="220"/>
      <c r="J71" s="220"/>
      <c r="K71" s="223">
        <f>11.5%+7.6%</f>
        <v>0.191</v>
      </c>
      <c r="L71" s="220"/>
      <c r="M71" s="220"/>
      <c r="N71" s="245"/>
      <c r="P71" s="198"/>
      <c r="S71" s="16"/>
      <c r="T71" s="16"/>
      <c r="U71" s="16"/>
      <c r="V71" s="16"/>
      <c r="W71" s="16"/>
      <c r="X71" s="16"/>
      <c r="Y71" s="16"/>
      <c r="Z71" s="16"/>
      <c r="AA71" s="16"/>
      <c r="AB71" s="16"/>
      <c r="AC71" s="16"/>
      <c r="AD71" s="16"/>
      <c r="AE71" s="266"/>
      <c r="AF71" s="16"/>
      <c r="AG71" s="339" t="s">
        <v>428</v>
      </c>
      <c r="AH71" s="353">
        <f ca="1">'Cash Flows'!A4</f>
        <v>3555.9297936992321</v>
      </c>
      <c r="AI71" s="339"/>
      <c r="AJ71" s="337"/>
      <c r="AK71" s="337"/>
      <c r="AL71" s="337"/>
      <c r="AM71" s="337"/>
      <c r="AN71" s="336"/>
      <c r="AO71" s="336"/>
      <c r="AP71" s="336"/>
      <c r="AQ71" s="336"/>
      <c r="AR71" s="336"/>
      <c r="AS71" s="336"/>
      <c r="AT71" s="336"/>
      <c r="AU71" s="336"/>
      <c r="AV71" s="336"/>
      <c r="AW71" s="336"/>
      <c r="AX71" s="33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row>
    <row r="72" spans="1:84" s="15" customFormat="1" ht="12" customHeight="1" outlineLevel="1" x14ac:dyDescent="0.2">
      <c r="A72" s="242" t="s">
        <v>317</v>
      </c>
      <c r="B72" s="27" t="s">
        <v>33</v>
      </c>
      <c r="C72" s="177">
        <f t="shared" si="10"/>
        <v>0</v>
      </c>
      <c r="D72" s="97"/>
      <c r="E72" s="220"/>
      <c r="F72" s="220"/>
      <c r="G72" s="220"/>
      <c r="H72" s="220"/>
      <c r="I72" s="220"/>
      <c r="J72" s="220"/>
      <c r="K72" s="223">
        <f>12%+8%</f>
        <v>0.2</v>
      </c>
      <c r="L72" s="220"/>
      <c r="M72" s="220"/>
      <c r="N72" s="245"/>
      <c r="P72" s="198"/>
      <c r="S72" s="16"/>
      <c r="T72" s="16"/>
      <c r="U72" s="16"/>
      <c r="V72" s="16"/>
      <c r="W72" s="16"/>
      <c r="X72" s="16"/>
      <c r="Y72" s="16"/>
      <c r="Z72" s="16"/>
      <c r="AA72" s="16"/>
      <c r="AB72" s="16"/>
      <c r="AC72" s="16"/>
      <c r="AD72" s="16"/>
      <c r="AE72" s="266"/>
      <c r="AF72" s="16"/>
      <c r="AG72" s="339" t="s">
        <v>427</v>
      </c>
      <c r="AH72" s="353">
        <f ca="1">'Cash Flows'!A23</f>
        <v>4111.9549901952205</v>
      </c>
      <c r="AI72" s="339"/>
      <c r="AJ72" s="337"/>
      <c r="AK72" s="337"/>
      <c r="AL72" s="337"/>
      <c r="AM72" s="337"/>
      <c r="AN72" s="336"/>
      <c r="AO72" s="336"/>
      <c r="AP72" s="336"/>
      <c r="AQ72" s="336"/>
      <c r="AR72" s="336"/>
      <c r="AS72" s="336"/>
      <c r="AT72" s="336"/>
      <c r="AU72" s="336"/>
      <c r="AV72" s="336"/>
      <c r="AW72" s="336"/>
      <c r="AX72" s="33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row>
    <row r="73" spans="1:84" s="15" customFormat="1" ht="12" customHeight="1" outlineLevel="1" x14ac:dyDescent="0.2">
      <c r="A73" s="242" t="s">
        <v>328</v>
      </c>
      <c r="B73" s="27" t="s">
        <v>33</v>
      </c>
      <c r="C73" s="177">
        <f t="shared" si="10"/>
        <v>0</v>
      </c>
      <c r="D73" s="97"/>
      <c r="E73" s="220"/>
      <c r="F73" s="220"/>
      <c r="G73" s="220"/>
      <c r="H73" s="220"/>
      <c r="I73" s="220"/>
      <c r="J73" s="220"/>
      <c r="K73" s="223">
        <f>12%+8.4%</f>
        <v>0.20400000000000001</v>
      </c>
      <c r="L73" s="220"/>
      <c r="M73" s="220"/>
      <c r="N73" s="245"/>
      <c r="P73" s="198"/>
      <c r="S73" s="16"/>
      <c r="T73" s="16"/>
      <c r="U73" s="16"/>
      <c r="V73" s="16"/>
      <c r="W73" s="16"/>
      <c r="X73" s="16"/>
      <c r="Y73" s="16"/>
      <c r="Z73" s="16"/>
      <c r="AA73" s="16"/>
      <c r="AB73" s="16"/>
      <c r="AC73" s="16"/>
      <c r="AD73" s="16"/>
      <c r="AE73" s="266"/>
      <c r="AF73" s="16"/>
      <c r="AG73" s="339" t="s">
        <v>429</v>
      </c>
      <c r="AH73" s="353">
        <f>-('Cash Flows'!A9+'Cash Flows'!A10+'Cash Flows'!A11)</f>
        <v>11963.386654274029</v>
      </c>
      <c r="AI73" s="339"/>
      <c r="AJ73" s="337"/>
      <c r="AK73" s="337"/>
      <c r="AL73" s="337"/>
      <c r="AM73" s="337"/>
      <c r="AN73" s="336"/>
      <c r="AO73" s="336"/>
      <c r="AP73" s="336"/>
      <c r="AQ73" s="336"/>
      <c r="AR73" s="336"/>
      <c r="AS73" s="336"/>
      <c r="AT73" s="336"/>
      <c r="AU73" s="336"/>
      <c r="AV73" s="336"/>
      <c r="AW73" s="336"/>
      <c r="AX73" s="33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row>
    <row r="74" spans="1:84" s="15" customFormat="1" ht="12" customHeight="1" x14ac:dyDescent="0.2">
      <c r="A74" s="197" t="s">
        <v>420</v>
      </c>
      <c r="B74" s="189"/>
      <c r="C74" s="190"/>
      <c r="D74" s="191"/>
      <c r="E74" s="192"/>
      <c r="F74" s="192"/>
      <c r="G74" s="192"/>
      <c r="H74" s="192"/>
      <c r="I74" s="192"/>
      <c r="J74" s="192"/>
      <c r="K74" s="192"/>
      <c r="L74" s="192"/>
      <c r="M74" s="192"/>
      <c r="N74" s="247"/>
      <c r="P74" s="198"/>
      <c r="S74" s="16"/>
      <c r="T74" s="16"/>
      <c r="U74" s="16"/>
      <c r="V74" s="16"/>
      <c r="W74" s="16"/>
      <c r="X74" s="16"/>
      <c r="Y74" s="16"/>
      <c r="Z74" s="16"/>
      <c r="AA74" s="16"/>
      <c r="AB74" s="16"/>
      <c r="AC74" s="16"/>
      <c r="AD74" s="16"/>
      <c r="AE74" s="266"/>
      <c r="AF74" s="16"/>
      <c r="AG74" s="339" t="s">
        <v>426</v>
      </c>
      <c r="AH74" s="353">
        <f>-('Cash Flows'!A13+'Cash Flows'!A14)</f>
        <v>1161.567959</v>
      </c>
      <c r="AI74" s="339"/>
      <c r="AJ74" s="337"/>
      <c r="AK74" s="337"/>
      <c r="AL74" s="337"/>
      <c r="AM74" s="337"/>
      <c r="AN74" s="336"/>
      <c r="AO74" s="336"/>
      <c r="AP74" s="336"/>
      <c r="AQ74" s="336"/>
      <c r="AR74" s="336"/>
      <c r="AS74" s="336"/>
      <c r="AT74" s="336"/>
      <c r="AU74" s="336"/>
      <c r="AV74" s="336"/>
      <c r="AW74" s="336"/>
      <c r="AX74" s="33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row>
    <row r="75" spans="1:84" s="15" customFormat="1" ht="12" customHeight="1" outlineLevel="1" x14ac:dyDescent="0.2">
      <c r="A75" s="242" t="s">
        <v>281</v>
      </c>
      <c r="B75" s="27" t="s">
        <v>33</v>
      </c>
      <c r="C75" s="177">
        <f>INDEX(D75:N75,$C$2)</f>
        <v>0</v>
      </c>
      <c r="D75" s="97"/>
      <c r="E75" s="220"/>
      <c r="F75" s="220"/>
      <c r="G75" s="220"/>
      <c r="H75" s="220"/>
      <c r="I75" s="220"/>
      <c r="J75" s="220"/>
      <c r="K75" s="220"/>
      <c r="L75" s="220"/>
      <c r="M75" s="220"/>
      <c r="N75" s="245">
        <v>5.0000000000000001E-3</v>
      </c>
      <c r="P75" s="198"/>
      <c r="S75" s="16"/>
      <c r="T75" s="16"/>
      <c r="U75" s="16"/>
      <c r="V75" s="16"/>
      <c r="W75" s="16"/>
      <c r="X75" s="16"/>
      <c r="Y75" s="16"/>
      <c r="Z75" s="16"/>
      <c r="AA75" s="16"/>
      <c r="AB75" s="16"/>
      <c r="AC75" s="16"/>
      <c r="AD75" s="16"/>
      <c r="AE75" s="266"/>
      <c r="AF75" s="16"/>
      <c r="AG75" s="343" t="s">
        <v>432</v>
      </c>
      <c r="AH75" s="337"/>
      <c r="AI75" s="337"/>
      <c r="AJ75" s="337"/>
      <c r="AK75" s="337"/>
      <c r="AL75" s="337"/>
      <c r="AM75" s="337"/>
      <c r="AN75" s="336"/>
      <c r="AO75" s="336"/>
      <c r="AP75" s="336"/>
      <c r="AQ75" s="336"/>
      <c r="AR75" s="336"/>
      <c r="AS75" s="336"/>
      <c r="AT75" s="336"/>
      <c r="AU75" s="336"/>
      <c r="AV75" s="336"/>
      <c r="AW75" s="336"/>
      <c r="AX75" s="33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row>
    <row r="76" spans="1:84" s="15" customFormat="1" ht="12" customHeight="1" outlineLevel="1" x14ac:dyDescent="0.2">
      <c r="A76" s="242" t="s">
        <v>282</v>
      </c>
      <c r="B76" s="27" t="s">
        <v>33</v>
      </c>
      <c r="C76" s="164">
        <f>INDEX(D76:N76,$C$2)</f>
        <v>0</v>
      </c>
      <c r="D76" s="97"/>
      <c r="E76" s="220"/>
      <c r="F76" s="220"/>
      <c r="G76" s="220"/>
      <c r="H76" s="220"/>
      <c r="I76" s="220"/>
      <c r="J76" s="220"/>
      <c r="K76" s="220"/>
      <c r="L76" s="220"/>
      <c r="M76" s="220"/>
      <c r="N76" s="245">
        <v>0.05</v>
      </c>
      <c r="P76" s="198"/>
      <c r="S76" s="16"/>
      <c r="T76" s="16"/>
      <c r="U76" s="16"/>
      <c r="V76" s="16"/>
      <c r="W76" s="16"/>
      <c r="X76" s="16"/>
      <c r="Y76" s="16"/>
      <c r="Z76" s="16"/>
      <c r="AA76" s="16"/>
      <c r="AB76" s="16"/>
      <c r="AC76" s="16"/>
      <c r="AD76" s="16"/>
      <c r="AE76" s="266"/>
      <c r="AF76" s="16"/>
      <c r="AG76" s="337"/>
      <c r="AH76" s="354">
        <v>0</v>
      </c>
      <c r="AI76" s="351">
        <v>2.5000000000000001E-2</v>
      </c>
      <c r="AJ76" s="351">
        <v>0.05</v>
      </c>
      <c r="AK76" s="351">
        <v>7.4999999999999997E-2</v>
      </c>
      <c r="AL76" s="351">
        <v>0.1</v>
      </c>
      <c r="AM76" s="351">
        <v>0.125</v>
      </c>
      <c r="AN76" s="355">
        <v>0.15</v>
      </c>
      <c r="AO76" s="355">
        <v>0.17499999999999999</v>
      </c>
      <c r="AP76" s="355">
        <v>0.2</v>
      </c>
      <c r="AQ76" s="355">
        <v>0.22500000000000001</v>
      </c>
      <c r="AR76" s="355">
        <v>0.25</v>
      </c>
      <c r="AS76" s="355">
        <v>0.27500000000000002</v>
      </c>
      <c r="AT76" s="355">
        <v>0.3</v>
      </c>
      <c r="AU76" s="336"/>
      <c r="AV76" s="336"/>
      <c r="AW76" s="336"/>
      <c r="AX76" s="33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row>
    <row r="77" spans="1:84" s="15" customFormat="1" ht="15" customHeight="1" outlineLevel="1" x14ac:dyDescent="0.2">
      <c r="A77" s="242" t="s">
        <v>283</v>
      </c>
      <c r="B77" s="27"/>
      <c r="C77" s="217">
        <f>INDEX(D77:N77,$C$2)</f>
        <v>0</v>
      </c>
      <c r="D77" s="97"/>
      <c r="E77" s="220"/>
      <c r="F77" s="220"/>
      <c r="G77" s="220"/>
      <c r="H77" s="225"/>
      <c r="I77" s="225"/>
      <c r="J77" s="220"/>
      <c r="K77" s="220"/>
      <c r="L77" s="225"/>
      <c r="M77" s="225"/>
      <c r="N77" s="248">
        <v>12.5</v>
      </c>
      <c r="P77" s="198"/>
      <c r="S77" s="16"/>
      <c r="T77" s="16"/>
      <c r="U77" s="16"/>
      <c r="V77" s="16"/>
      <c r="W77" s="16"/>
      <c r="X77" s="16"/>
      <c r="Y77" s="16"/>
      <c r="Z77" s="16"/>
      <c r="AA77" s="16"/>
      <c r="AB77" s="16"/>
      <c r="AC77" s="16"/>
      <c r="AD77" s="16"/>
      <c r="AE77" s="266"/>
      <c r="AF77" s="16"/>
      <c r="AG77" s="356">
        <f ca="1">C151</f>
        <v>264.78875788251298</v>
      </c>
      <c r="AH77" s="336">
        <f t="dataTable" ref="AH77:AT77" dt2D="0" dtr="1" r1="C129" ca="1"/>
        <v>4643.4374755014414</v>
      </c>
      <c r="AI77" s="336">
        <v>2710.2250229357924</v>
      </c>
      <c r="AJ77" s="336">
        <v>1589.1153613220984</v>
      </c>
      <c r="AK77" s="336">
        <v>913.33730310311705</v>
      </c>
      <c r="AL77" s="336">
        <v>491.23695251988482</v>
      </c>
      <c r="AM77" s="336">
        <v>219.13561584552338</v>
      </c>
      <c r="AN77" s="336">
        <v>38.970966268035916</v>
      </c>
      <c r="AO77" s="336">
        <v>-82.906240429748209</v>
      </c>
      <c r="AP77" s="336">
        <v>-166.66080821981592</v>
      </c>
      <c r="AQ77" s="336">
        <v>-224.77264261499931</v>
      </c>
      <c r="AR77" s="336">
        <v>-265.20502487351865</v>
      </c>
      <c r="AS77" s="336">
        <v>-293.18593987628145</v>
      </c>
      <c r="AT77" s="336">
        <v>-312.23841192061622</v>
      </c>
      <c r="AU77" s="336"/>
      <c r="AV77" s="336"/>
      <c r="AW77" s="336"/>
      <c r="AX77" s="33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row>
    <row r="78" spans="1:84" s="15" customFormat="1" ht="12" customHeight="1" x14ac:dyDescent="0.2">
      <c r="A78" s="249"/>
      <c r="B78" s="27"/>
      <c r="C78" s="164"/>
      <c r="D78" s="166"/>
      <c r="E78" s="166"/>
      <c r="F78" s="166"/>
      <c r="G78" s="166"/>
      <c r="H78" s="166"/>
      <c r="I78" s="166"/>
      <c r="J78" s="166"/>
      <c r="K78" s="166"/>
      <c r="L78" s="166"/>
      <c r="M78" s="166"/>
      <c r="N78" s="250"/>
      <c r="P78" s="198"/>
      <c r="S78" s="16"/>
      <c r="T78" s="16"/>
      <c r="U78" s="16"/>
      <c r="V78" s="16"/>
      <c r="W78" s="16"/>
      <c r="X78" s="16"/>
      <c r="Y78" s="16"/>
      <c r="Z78" s="16"/>
      <c r="AA78" s="16"/>
      <c r="AB78" s="16"/>
      <c r="AC78" s="16"/>
      <c r="AD78" s="16"/>
      <c r="AE78" s="266"/>
      <c r="AF78" s="16"/>
      <c r="AG78" s="336"/>
      <c r="AH78" s="336"/>
      <c r="AI78" s="336"/>
      <c r="AJ78" s="336"/>
      <c r="AK78" s="336"/>
      <c r="AL78" s="336"/>
      <c r="AM78" s="336"/>
      <c r="AN78" s="336"/>
      <c r="AO78" s="336"/>
      <c r="AP78" s="336"/>
      <c r="AQ78" s="336"/>
      <c r="AR78" s="336"/>
      <c r="AS78" s="336"/>
      <c r="AT78" s="336"/>
      <c r="AU78" s="336"/>
      <c r="AV78" s="336"/>
      <c r="AW78" s="336"/>
      <c r="AX78" s="33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row>
    <row r="79" spans="1:84" ht="12" customHeight="1" x14ac:dyDescent="0.2">
      <c r="A79" s="197" t="s">
        <v>236</v>
      </c>
      <c r="B79" s="27" t="s">
        <v>33</v>
      </c>
      <c r="C79" s="164">
        <f>INDEX(D79:N79,$C$2)</f>
        <v>0</v>
      </c>
      <c r="D79" s="30"/>
      <c r="E79" s="226">
        <v>9.2499999999999999E-2</v>
      </c>
      <c r="F79" s="226">
        <v>0.06</v>
      </c>
      <c r="G79" s="226">
        <v>0</v>
      </c>
      <c r="H79" s="226">
        <v>0</v>
      </c>
      <c r="I79" s="226">
        <v>0.05</v>
      </c>
      <c r="J79" s="226">
        <v>0</v>
      </c>
      <c r="K79" s="226">
        <v>0</v>
      </c>
      <c r="L79" s="226">
        <v>0</v>
      </c>
      <c r="M79" s="226">
        <v>0</v>
      </c>
      <c r="N79" s="251">
        <v>0.19</v>
      </c>
      <c r="P79" s="237"/>
      <c r="AE79" s="266"/>
    </row>
    <row r="80" spans="1:84" ht="12" customHeight="1" x14ac:dyDescent="0.2">
      <c r="A80" s="197" t="s">
        <v>237</v>
      </c>
      <c r="B80" s="27" t="s">
        <v>33</v>
      </c>
      <c r="C80" s="164">
        <f>INDEX(D80:N80,$C$2)</f>
        <v>0</v>
      </c>
      <c r="D80" s="30"/>
      <c r="E80" s="226">
        <v>0</v>
      </c>
      <c r="F80" s="226">
        <v>0</v>
      </c>
      <c r="G80" s="226">
        <v>0</v>
      </c>
      <c r="H80" s="226">
        <v>0</v>
      </c>
      <c r="I80" s="226">
        <v>0.05</v>
      </c>
      <c r="J80" s="226">
        <v>0</v>
      </c>
      <c r="K80" s="226">
        <v>0</v>
      </c>
      <c r="L80" s="226">
        <v>0</v>
      </c>
      <c r="M80" s="226">
        <v>0</v>
      </c>
      <c r="N80" s="251">
        <v>0</v>
      </c>
      <c r="P80" s="237"/>
      <c r="AE80" s="266"/>
    </row>
    <row r="81" spans="1:84" ht="12" customHeight="1" x14ac:dyDescent="0.2">
      <c r="A81" s="197"/>
      <c r="B81" s="27"/>
      <c r="C81" s="164"/>
      <c r="D81" s="20"/>
      <c r="E81" s="20"/>
      <c r="F81" s="20"/>
      <c r="G81" s="20"/>
      <c r="H81" s="20"/>
      <c r="I81" s="20"/>
      <c r="J81" s="20"/>
      <c r="K81" s="20"/>
      <c r="L81" s="20"/>
      <c r="M81" s="20"/>
      <c r="N81" s="252"/>
      <c r="P81" s="237"/>
      <c r="AE81" s="266"/>
    </row>
    <row r="82" spans="1:84" s="15" customFormat="1" ht="12" customHeight="1" x14ac:dyDescent="0.2">
      <c r="A82" s="197" t="s">
        <v>252</v>
      </c>
      <c r="B82" s="27"/>
      <c r="C82" s="164"/>
      <c r="D82" s="70"/>
      <c r="E82" s="227"/>
      <c r="F82" s="227"/>
      <c r="G82" s="227"/>
      <c r="H82" s="227"/>
      <c r="I82" s="227"/>
      <c r="J82" s="227"/>
      <c r="K82" s="227"/>
      <c r="L82" s="227"/>
      <c r="M82" s="227"/>
      <c r="N82" s="253"/>
      <c r="P82" s="198"/>
      <c r="AE82" s="263"/>
      <c r="AG82" s="337"/>
      <c r="AH82" s="337"/>
      <c r="AI82" s="337"/>
      <c r="AJ82" s="337"/>
      <c r="AK82" s="337"/>
      <c r="AL82" s="337"/>
      <c r="AM82" s="337"/>
      <c r="AN82" s="337"/>
      <c r="AO82" s="337"/>
      <c r="AP82" s="337"/>
      <c r="AQ82" s="337"/>
      <c r="AR82" s="337"/>
      <c r="AS82" s="337"/>
      <c r="AT82" s="337"/>
      <c r="AU82" s="337"/>
      <c r="AV82" s="337"/>
      <c r="AW82" s="337"/>
      <c r="AX82" s="337"/>
    </row>
    <row r="83" spans="1:84" s="15" customFormat="1" ht="12" customHeight="1" x14ac:dyDescent="0.2">
      <c r="A83" s="242" t="s">
        <v>240</v>
      </c>
      <c r="B83" s="27" t="s">
        <v>33</v>
      </c>
      <c r="C83" s="164">
        <f t="shared" ref="C83:C84" si="14">INDEX(D83:N83,$C$2)</f>
        <v>0.1</v>
      </c>
      <c r="D83" s="30"/>
      <c r="E83" s="226"/>
      <c r="F83" s="226"/>
      <c r="G83" s="226"/>
      <c r="H83" s="226">
        <v>0.1</v>
      </c>
      <c r="I83" s="226"/>
      <c r="J83" s="226"/>
      <c r="K83" s="226"/>
      <c r="L83" s="226"/>
      <c r="M83" s="226"/>
      <c r="N83" s="251"/>
      <c r="P83" s="198"/>
      <c r="AE83" s="263"/>
      <c r="AG83" s="337"/>
      <c r="AH83" s="337"/>
      <c r="AI83" s="337"/>
      <c r="AJ83" s="337"/>
      <c r="AK83" s="337"/>
      <c r="AL83" s="337"/>
      <c r="AM83" s="337"/>
      <c r="AN83" s="337"/>
      <c r="AO83" s="337"/>
      <c r="AP83" s="337"/>
      <c r="AQ83" s="337"/>
      <c r="AR83" s="337"/>
      <c r="AS83" s="337"/>
      <c r="AT83" s="337"/>
      <c r="AU83" s="337"/>
      <c r="AV83" s="337"/>
      <c r="AW83" s="337"/>
      <c r="AX83" s="337"/>
    </row>
    <row r="84" spans="1:84" s="15" customFormat="1" ht="12" customHeight="1" x14ac:dyDescent="0.2">
      <c r="A84" s="242" t="s">
        <v>219</v>
      </c>
      <c r="B84" s="27" t="s">
        <v>33</v>
      </c>
      <c r="C84" s="164">
        <f t="shared" si="14"/>
        <v>0</v>
      </c>
      <c r="D84" s="30"/>
      <c r="E84" s="226"/>
      <c r="F84" s="226"/>
      <c r="G84" s="226"/>
      <c r="H84" s="226"/>
      <c r="I84" s="226"/>
      <c r="J84" s="226"/>
      <c r="K84" s="226"/>
      <c r="L84" s="226"/>
      <c r="M84" s="226"/>
      <c r="N84" s="251"/>
      <c r="P84" s="198"/>
      <c r="AE84" s="263"/>
      <c r="AG84" s="337"/>
      <c r="AH84" s="337"/>
      <c r="AI84" s="337"/>
      <c r="AJ84" s="337"/>
      <c r="AK84" s="337"/>
      <c r="AL84" s="337"/>
      <c r="AM84" s="337"/>
      <c r="AN84" s="337"/>
      <c r="AO84" s="337"/>
      <c r="AP84" s="337"/>
      <c r="AQ84" s="337"/>
      <c r="AR84" s="337"/>
      <c r="AS84" s="337"/>
      <c r="AT84" s="337"/>
      <c r="AU84" s="337"/>
      <c r="AV84" s="337"/>
      <c r="AW84" s="337"/>
      <c r="AX84" s="337"/>
    </row>
    <row r="85" spans="1:84" s="15" customFormat="1" ht="12" customHeight="1" x14ac:dyDescent="0.2">
      <c r="A85" s="242" t="s">
        <v>220</v>
      </c>
      <c r="B85" s="27"/>
      <c r="C85" s="164"/>
      <c r="D85" s="30"/>
      <c r="E85" s="226"/>
      <c r="F85" s="226"/>
      <c r="G85" s="226"/>
      <c r="H85" s="226"/>
      <c r="I85" s="226"/>
      <c r="J85" s="226"/>
      <c r="K85" s="226"/>
      <c r="L85" s="226"/>
      <c r="M85" s="226"/>
      <c r="N85" s="251"/>
      <c r="P85" s="198"/>
      <c r="AE85" s="263"/>
      <c r="AG85" s="337"/>
      <c r="AH85" s="337"/>
      <c r="AI85" s="337"/>
      <c r="AJ85" s="337"/>
      <c r="AK85" s="337"/>
      <c r="AL85" s="337"/>
      <c r="AM85" s="337"/>
      <c r="AN85" s="337"/>
      <c r="AO85" s="337"/>
      <c r="AP85" s="337"/>
      <c r="AQ85" s="337"/>
      <c r="AR85" s="337"/>
      <c r="AS85" s="337"/>
      <c r="AT85" s="337"/>
      <c r="AU85" s="337"/>
      <c r="AV85" s="337"/>
      <c r="AW85" s="337"/>
      <c r="AX85" s="337"/>
    </row>
    <row r="86" spans="1:84" s="15" customFormat="1" ht="12" customHeight="1" x14ac:dyDescent="0.2">
      <c r="A86" s="254" t="s">
        <v>220</v>
      </c>
      <c r="B86" s="27" t="s">
        <v>33</v>
      </c>
      <c r="C86" s="164">
        <f t="shared" ref="C86:C87" si="15">INDEX(D86:N86,$C$2)</f>
        <v>0</v>
      </c>
      <c r="D86" s="30"/>
      <c r="E86" s="226"/>
      <c r="F86" s="226"/>
      <c r="G86" s="226"/>
      <c r="H86" s="226"/>
      <c r="I86" s="226"/>
      <c r="J86" s="226"/>
      <c r="K86" s="226"/>
      <c r="L86" s="226"/>
      <c r="M86" s="226"/>
      <c r="N86" s="251"/>
      <c r="P86" s="198"/>
      <c r="AE86" s="263"/>
      <c r="AG86" s="337"/>
      <c r="AH86" s="337"/>
      <c r="AI86" s="337"/>
      <c r="AJ86" s="337"/>
      <c r="AK86" s="337"/>
      <c r="AL86" s="337"/>
      <c r="AM86" s="337"/>
      <c r="AN86" s="337"/>
      <c r="AO86" s="337"/>
      <c r="AP86" s="337"/>
      <c r="AQ86" s="337"/>
      <c r="AR86" s="337"/>
      <c r="AS86" s="337"/>
      <c r="AT86" s="337"/>
      <c r="AU86" s="337"/>
      <c r="AV86" s="337"/>
      <c r="AW86" s="337"/>
      <c r="AX86" s="337"/>
    </row>
    <row r="87" spans="1:84" s="15" customFormat="1" ht="12" customHeight="1" x14ac:dyDescent="0.2">
      <c r="A87" s="254" t="s">
        <v>218</v>
      </c>
      <c r="B87" s="27" t="s">
        <v>33</v>
      </c>
      <c r="C87" s="164">
        <f t="shared" si="15"/>
        <v>0</v>
      </c>
      <c r="D87" s="30"/>
      <c r="E87" s="226"/>
      <c r="F87" s="226"/>
      <c r="G87" s="226"/>
      <c r="H87" s="226"/>
      <c r="I87" s="226"/>
      <c r="J87" s="226"/>
      <c r="K87" s="226"/>
      <c r="L87" s="226"/>
      <c r="M87" s="226"/>
      <c r="N87" s="251"/>
      <c r="P87" s="198"/>
      <c r="AE87" s="263"/>
      <c r="AG87" s="337"/>
      <c r="AH87" s="337"/>
      <c r="AI87" s="337"/>
      <c r="AJ87" s="337"/>
      <c r="AK87" s="337"/>
      <c r="AL87" s="337"/>
      <c r="AM87" s="337"/>
      <c r="AN87" s="337"/>
      <c r="AO87" s="337"/>
      <c r="AP87" s="337"/>
      <c r="AQ87" s="337"/>
      <c r="AR87" s="337"/>
      <c r="AS87" s="337"/>
      <c r="AT87" s="337"/>
      <c r="AU87" s="337"/>
      <c r="AV87" s="337"/>
      <c r="AW87" s="337"/>
      <c r="AX87" s="337"/>
    </row>
    <row r="88" spans="1:84" s="15" customFormat="1" ht="12" customHeight="1" x14ac:dyDescent="0.2">
      <c r="A88" s="197" t="s">
        <v>20</v>
      </c>
      <c r="B88" s="27" t="s">
        <v>33</v>
      </c>
      <c r="C88" s="164">
        <f>INDEX(D88:N88,$C$2)</f>
        <v>0.08</v>
      </c>
      <c r="D88" s="30"/>
      <c r="E88" s="226">
        <v>0</v>
      </c>
      <c r="F88" s="226">
        <v>0.35</v>
      </c>
      <c r="G88" s="226">
        <v>0</v>
      </c>
      <c r="H88" s="226">
        <v>0.08</v>
      </c>
      <c r="I88" s="226">
        <v>0.2</v>
      </c>
      <c r="J88" s="226">
        <v>0.1</v>
      </c>
      <c r="K88" s="219">
        <v>6.8000000000000005E-2</v>
      </c>
      <c r="L88" s="226">
        <v>0.17</v>
      </c>
      <c r="M88" s="226">
        <v>0.1</v>
      </c>
      <c r="N88" s="251">
        <v>0.15</v>
      </c>
      <c r="P88" s="198"/>
      <c r="X88" s="16"/>
      <c r="Y88" s="16"/>
      <c r="Z88" s="16"/>
      <c r="AA88" s="16"/>
      <c r="AB88" s="16"/>
      <c r="AC88" s="16"/>
      <c r="AD88" s="16"/>
      <c r="AE88" s="266"/>
      <c r="AF88" s="16"/>
      <c r="AG88" s="336"/>
      <c r="AH88" s="336"/>
      <c r="AI88" s="336"/>
      <c r="AJ88" s="336"/>
      <c r="AK88" s="336"/>
      <c r="AL88" s="336"/>
      <c r="AM88" s="336"/>
      <c r="AN88" s="336"/>
      <c r="AO88" s="336"/>
      <c r="AP88" s="336"/>
      <c r="AQ88" s="336"/>
      <c r="AR88" s="336"/>
      <c r="AS88" s="336"/>
      <c r="AT88" s="336"/>
      <c r="AU88" s="336"/>
      <c r="AV88" s="336"/>
      <c r="AW88" s="336"/>
      <c r="AX88" s="33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row>
    <row r="89" spans="1:84" ht="12" customHeight="1" x14ac:dyDescent="0.2">
      <c r="A89" s="197" t="s">
        <v>165</v>
      </c>
      <c r="B89" s="27" t="s">
        <v>33</v>
      </c>
      <c r="C89" s="164">
        <f>INDEX(D89:N89,$C$2)</f>
        <v>0.08</v>
      </c>
      <c r="D89" s="30"/>
      <c r="E89" s="226">
        <v>0.15</v>
      </c>
      <c r="F89" s="226">
        <v>0.35</v>
      </c>
      <c r="G89" s="226">
        <v>0.33</v>
      </c>
      <c r="H89" s="226">
        <v>0.08</v>
      </c>
      <c r="I89" s="226">
        <v>0.2</v>
      </c>
      <c r="J89" s="226">
        <v>0.35</v>
      </c>
      <c r="K89" s="226">
        <v>0.3</v>
      </c>
      <c r="L89" s="226">
        <v>0.15</v>
      </c>
      <c r="M89" s="226">
        <v>0.1</v>
      </c>
      <c r="N89" s="251">
        <v>0.15</v>
      </c>
      <c r="P89" s="237"/>
      <c r="AE89" s="266"/>
    </row>
    <row r="90" spans="1:84" ht="12" customHeight="1" x14ac:dyDescent="0.2">
      <c r="A90" s="197"/>
      <c r="B90" s="27"/>
      <c r="C90" s="164"/>
      <c r="D90" s="30"/>
      <c r="E90" s="226"/>
      <c r="F90" s="226"/>
      <c r="G90" s="226"/>
      <c r="H90" s="226"/>
      <c r="I90" s="226"/>
      <c r="J90" s="226"/>
      <c r="K90" s="226"/>
      <c r="L90" s="226"/>
      <c r="M90" s="226"/>
      <c r="N90" s="251"/>
      <c r="P90" s="237"/>
      <c r="AE90" s="266"/>
    </row>
    <row r="91" spans="1:84" ht="12" customHeight="1" x14ac:dyDescent="0.2">
      <c r="A91" s="197"/>
      <c r="B91" s="27"/>
      <c r="C91" s="164"/>
      <c r="D91" s="20"/>
      <c r="E91" s="20"/>
      <c r="F91" s="20"/>
      <c r="G91" s="20"/>
      <c r="H91" s="20"/>
      <c r="I91" s="184"/>
      <c r="J91" s="20"/>
      <c r="K91" s="20"/>
      <c r="L91" s="20"/>
      <c r="M91" s="20"/>
      <c r="N91" s="252"/>
      <c r="P91" s="237"/>
      <c r="AE91" s="266"/>
    </row>
    <row r="92" spans="1:84" s="15" customFormat="1" ht="12" customHeight="1" x14ac:dyDescent="0.2">
      <c r="A92" s="197" t="s">
        <v>10</v>
      </c>
      <c r="B92" s="27"/>
      <c r="C92" s="164"/>
      <c r="D92" s="21"/>
      <c r="E92" s="21"/>
      <c r="F92" s="21"/>
      <c r="G92" s="21"/>
      <c r="H92" s="21"/>
      <c r="I92" s="21"/>
      <c r="J92" s="21"/>
      <c r="K92" s="21"/>
      <c r="L92" s="21"/>
      <c r="M92" s="21"/>
      <c r="N92" s="255"/>
      <c r="P92" s="198"/>
      <c r="X92" s="16"/>
      <c r="Y92" s="16"/>
      <c r="Z92" s="16"/>
      <c r="AA92" s="16"/>
      <c r="AB92" s="16"/>
      <c r="AC92" s="16"/>
      <c r="AD92" s="16"/>
      <c r="AE92" s="266"/>
      <c r="AF92" s="16"/>
      <c r="AG92" s="336"/>
      <c r="AH92" s="336"/>
      <c r="AI92" s="336"/>
      <c r="AJ92" s="336"/>
      <c r="AK92" s="336"/>
      <c r="AL92" s="336"/>
      <c r="AM92" s="336"/>
      <c r="AN92" s="336"/>
      <c r="AO92" s="336"/>
      <c r="AP92" s="336"/>
      <c r="AQ92" s="336"/>
      <c r="AR92" s="336"/>
      <c r="AS92" s="336"/>
      <c r="AT92" s="336"/>
      <c r="AU92" s="336"/>
      <c r="AV92" s="336"/>
      <c r="AW92" s="336"/>
      <c r="AX92" s="33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row>
    <row r="93" spans="1:84" s="15" customFormat="1" ht="12" customHeight="1" outlineLevel="1" x14ac:dyDescent="0.2">
      <c r="A93" s="256" t="s">
        <v>37</v>
      </c>
      <c r="B93" s="27" t="s">
        <v>33</v>
      </c>
      <c r="C93" s="164">
        <f>INDEX(D93:N93,$C$2)</f>
        <v>0</v>
      </c>
      <c r="D93" s="30"/>
      <c r="E93" s="87"/>
      <c r="F93" s="87"/>
      <c r="G93" s="87"/>
      <c r="H93" s="87"/>
      <c r="I93" s="87"/>
      <c r="J93" s="87"/>
      <c r="K93" s="87"/>
      <c r="L93" s="87"/>
      <c r="M93" s="87"/>
      <c r="N93" s="257"/>
      <c r="P93" s="198"/>
      <c r="Q93" s="16"/>
      <c r="R93" s="16"/>
      <c r="S93" s="16"/>
      <c r="T93" s="16"/>
      <c r="U93" s="16"/>
      <c r="V93" s="16"/>
      <c r="W93" s="16"/>
      <c r="X93" s="16"/>
      <c r="Y93" s="16"/>
      <c r="Z93" s="16"/>
      <c r="AA93" s="16"/>
      <c r="AB93" s="16"/>
      <c r="AC93" s="16"/>
      <c r="AD93" s="16"/>
      <c r="AE93" s="266"/>
      <c r="AF93" s="16"/>
      <c r="AG93" s="336"/>
      <c r="AH93" s="336"/>
      <c r="AI93" s="336"/>
      <c r="AJ93" s="336"/>
      <c r="AK93" s="336"/>
      <c r="AL93" s="336"/>
      <c r="AM93" s="336"/>
      <c r="AN93" s="336"/>
      <c r="AO93" s="336"/>
      <c r="AP93" s="336"/>
      <c r="AQ93" s="336"/>
      <c r="AR93" s="336"/>
      <c r="AS93" s="336"/>
      <c r="AT93" s="336"/>
      <c r="AU93" s="336"/>
      <c r="AV93" s="336"/>
      <c r="AW93" s="336"/>
      <c r="AX93" s="33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row>
    <row r="94" spans="1:84" s="15" customFormat="1" ht="12" customHeight="1" outlineLevel="1" x14ac:dyDescent="0.2">
      <c r="A94" s="256" t="s">
        <v>36</v>
      </c>
      <c r="B94" s="27" t="s">
        <v>33</v>
      </c>
      <c r="C94" s="164">
        <f>INDEX(D94:N94,$C$2)</f>
        <v>0</v>
      </c>
      <c r="D94" s="30"/>
      <c r="E94" s="87"/>
      <c r="F94" s="87"/>
      <c r="G94" s="87"/>
      <c r="H94" s="87"/>
      <c r="I94" s="87"/>
      <c r="J94" s="87"/>
      <c r="K94" s="87"/>
      <c r="L94" s="87"/>
      <c r="M94" s="87"/>
      <c r="N94" s="257"/>
      <c r="P94" s="198"/>
      <c r="Q94" s="16"/>
      <c r="R94" s="16"/>
      <c r="S94" s="16"/>
      <c r="T94" s="16"/>
      <c r="U94" s="16"/>
      <c r="V94" s="16"/>
      <c r="W94" s="16"/>
      <c r="X94" s="16"/>
      <c r="Y94" s="16"/>
      <c r="Z94" s="16"/>
      <c r="AA94" s="16"/>
      <c r="AB94" s="16"/>
      <c r="AC94" s="16"/>
      <c r="AD94" s="16"/>
      <c r="AE94" s="266"/>
      <c r="AF94" s="16"/>
      <c r="AG94" s="336"/>
      <c r="AH94" s="336"/>
      <c r="AI94" s="336"/>
      <c r="AJ94" s="336"/>
      <c r="AK94" s="336"/>
      <c r="AL94" s="336"/>
      <c r="AM94" s="336"/>
      <c r="AN94" s="336"/>
      <c r="AO94" s="336"/>
      <c r="AP94" s="336"/>
      <c r="AQ94" s="336"/>
      <c r="AR94" s="336"/>
      <c r="AS94" s="336"/>
      <c r="AT94" s="336"/>
      <c r="AU94" s="336"/>
      <c r="AV94" s="336"/>
      <c r="AW94" s="336"/>
      <c r="AX94" s="33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row>
    <row r="95" spans="1:84" ht="12" customHeight="1" outlineLevel="1" x14ac:dyDescent="0.2">
      <c r="A95" s="256" t="s">
        <v>38</v>
      </c>
      <c r="B95" s="27" t="s">
        <v>33</v>
      </c>
      <c r="C95" s="164">
        <f>INDEX(D95:N95,$C$2)</f>
        <v>0</v>
      </c>
      <c r="D95" s="165"/>
      <c r="E95" s="87"/>
      <c r="F95" s="87"/>
      <c r="G95" s="87"/>
      <c r="H95" s="87"/>
      <c r="I95" s="87"/>
      <c r="J95" s="87"/>
      <c r="K95" s="87"/>
      <c r="L95" s="87"/>
      <c r="M95" s="87"/>
      <c r="N95" s="257"/>
      <c r="P95" s="237"/>
      <c r="AE95" s="266"/>
    </row>
    <row r="96" spans="1:84" ht="12" customHeight="1" outlineLevel="1" x14ac:dyDescent="0.2">
      <c r="A96" s="256" t="s">
        <v>39</v>
      </c>
      <c r="B96" s="27" t="s">
        <v>33</v>
      </c>
      <c r="C96" s="164">
        <f>INDEX(D96:N96,$C$2)</f>
        <v>0</v>
      </c>
      <c r="D96" s="30"/>
      <c r="E96" s="87"/>
      <c r="F96" s="87"/>
      <c r="G96" s="87"/>
      <c r="H96" s="87"/>
      <c r="I96" s="87"/>
      <c r="J96" s="87"/>
      <c r="K96" s="87"/>
      <c r="L96" s="87"/>
      <c r="M96" s="87"/>
      <c r="N96" s="257"/>
      <c r="P96" s="237"/>
      <c r="AE96" s="266"/>
    </row>
    <row r="97" spans="1:50" x14ac:dyDescent="0.2">
      <c r="A97" s="237"/>
      <c r="C97" s="164"/>
      <c r="K97" s="17"/>
      <c r="L97" s="17"/>
      <c r="M97" s="17"/>
      <c r="N97" s="258"/>
      <c r="P97" s="237"/>
      <c r="AE97" s="266"/>
    </row>
    <row r="98" spans="1:50" x14ac:dyDescent="0.2">
      <c r="A98" s="259" t="s">
        <v>19</v>
      </c>
      <c r="C98" s="164"/>
      <c r="K98" s="17"/>
      <c r="L98" s="17"/>
      <c r="M98" s="17"/>
      <c r="N98" s="258"/>
      <c r="P98" s="237"/>
      <c r="AE98" s="266"/>
    </row>
    <row r="99" spans="1:50" s="15" customFormat="1" ht="12" customHeight="1" x14ac:dyDescent="0.2">
      <c r="A99" s="260" t="s">
        <v>357</v>
      </c>
      <c r="B99" s="27" t="s">
        <v>33</v>
      </c>
      <c r="C99" s="164">
        <f t="shared" ref="C99:C113" si="16">INDEX(D99:N99,$C$2)</f>
        <v>0.35</v>
      </c>
      <c r="D99" s="30">
        <v>0.3</v>
      </c>
      <c r="E99" s="226">
        <v>0.34</v>
      </c>
      <c r="F99" s="219">
        <v>0.22500000000000001</v>
      </c>
      <c r="G99" s="226">
        <v>0.34</v>
      </c>
      <c r="H99" s="226">
        <v>0.35</v>
      </c>
      <c r="I99" s="226">
        <v>0.25</v>
      </c>
      <c r="J99" s="226">
        <v>0.3</v>
      </c>
      <c r="K99" s="226">
        <v>0.28000000000000003</v>
      </c>
      <c r="L99" s="226">
        <v>0.3</v>
      </c>
      <c r="M99" s="226">
        <v>0.3</v>
      </c>
      <c r="N99" s="251"/>
      <c r="P99" s="198"/>
      <c r="AE99" s="263"/>
      <c r="AG99" s="337"/>
      <c r="AH99" s="337"/>
      <c r="AI99" s="337"/>
      <c r="AJ99" s="337"/>
      <c r="AK99" s="337"/>
      <c r="AL99" s="337"/>
      <c r="AM99" s="337"/>
      <c r="AN99" s="337"/>
      <c r="AO99" s="337"/>
      <c r="AP99" s="337"/>
      <c r="AQ99" s="337"/>
      <c r="AR99" s="337"/>
      <c r="AS99" s="337"/>
      <c r="AT99" s="337"/>
      <c r="AU99" s="337"/>
      <c r="AV99" s="337"/>
      <c r="AW99" s="337"/>
      <c r="AX99" s="337"/>
    </row>
    <row r="100" spans="1:50" s="15" customFormat="1" ht="12" customHeight="1" x14ac:dyDescent="0.2">
      <c r="A100" s="260" t="s">
        <v>456</v>
      </c>
      <c r="B100" s="27"/>
      <c r="C100" s="164">
        <f t="shared" si="16"/>
        <v>0</v>
      </c>
      <c r="D100" s="30"/>
      <c r="E100" s="226"/>
      <c r="F100" s="226"/>
      <c r="G100" s="226"/>
      <c r="H100" s="226"/>
      <c r="I100" s="226"/>
      <c r="J100" s="226"/>
      <c r="K100" s="226"/>
      <c r="L100" s="226"/>
      <c r="M100" s="226"/>
      <c r="N100" s="251"/>
      <c r="P100" s="198"/>
      <c r="AE100" s="263"/>
      <c r="AG100" s="337"/>
      <c r="AH100" s="337"/>
      <c r="AI100" s="337"/>
      <c r="AJ100" s="337"/>
      <c r="AK100" s="337"/>
      <c r="AL100" s="337"/>
      <c r="AM100" s="337"/>
      <c r="AN100" s="337"/>
      <c r="AO100" s="337"/>
      <c r="AP100" s="337"/>
      <c r="AQ100" s="337"/>
      <c r="AR100" s="337"/>
      <c r="AS100" s="337"/>
      <c r="AT100" s="337"/>
      <c r="AU100" s="337"/>
      <c r="AV100" s="337"/>
      <c r="AW100" s="337"/>
      <c r="AX100" s="337"/>
    </row>
    <row r="101" spans="1:50" s="15" customFormat="1" ht="12" customHeight="1" x14ac:dyDescent="0.2">
      <c r="A101" s="261" t="s">
        <v>281</v>
      </c>
      <c r="B101" s="27"/>
      <c r="C101" s="164">
        <f t="shared" si="16"/>
        <v>0</v>
      </c>
      <c r="D101" s="30"/>
      <c r="E101" s="226"/>
      <c r="F101" s="226"/>
      <c r="G101" s="226"/>
      <c r="H101" s="226"/>
      <c r="I101" s="226"/>
      <c r="J101" s="226"/>
      <c r="K101" s="226"/>
      <c r="L101" s="226"/>
      <c r="M101" s="226"/>
      <c r="N101" s="253">
        <v>34</v>
      </c>
      <c r="P101" s="198"/>
      <c r="AE101" s="263"/>
      <c r="AG101" s="337"/>
      <c r="AH101" s="337"/>
      <c r="AI101" s="337"/>
      <c r="AJ101" s="337"/>
      <c r="AK101" s="337"/>
      <c r="AL101" s="337"/>
      <c r="AM101" s="337"/>
      <c r="AN101" s="337"/>
      <c r="AO101" s="337"/>
      <c r="AP101" s="337"/>
      <c r="AQ101" s="337"/>
      <c r="AR101" s="337"/>
      <c r="AS101" s="337"/>
      <c r="AT101" s="337"/>
      <c r="AU101" s="337"/>
      <c r="AV101" s="337"/>
      <c r="AW101" s="337"/>
      <c r="AX101" s="337"/>
    </row>
    <row r="102" spans="1:50" s="15" customFormat="1" ht="12" customHeight="1" x14ac:dyDescent="0.2">
      <c r="A102" s="261" t="s">
        <v>284</v>
      </c>
      <c r="B102" s="27"/>
      <c r="C102" s="164">
        <f t="shared" si="16"/>
        <v>0</v>
      </c>
      <c r="D102" s="30"/>
      <c r="E102" s="226"/>
      <c r="F102" s="226"/>
      <c r="G102" s="226"/>
      <c r="H102" s="226"/>
      <c r="I102" s="226"/>
      <c r="J102" s="226"/>
      <c r="K102" s="226"/>
      <c r="L102" s="226"/>
      <c r="M102" s="226"/>
      <c r="N102" s="253">
        <v>170</v>
      </c>
      <c r="P102" s="198"/>
      <c r="AE102" s="263"/>
      <c r="AG102" s="337"/>
      <c r="AH102" s="337"/>
      <c r="AI102" s="337"/>
      <c r="AJ102" s="337"/>
      <c r="AK102" s="337"/>
      <c r="AL102" s="337"/>
      <c r="AM102" s="337"/>
      <c r="AN102" s="337"/>
      <c r="AO102" s="337"/>
      <c r="AP102" s="337"/>
      <c r="AQ102" s="337"/>
      <c r="AR102" s="337"/>
      <c r="AS102" s="337"/>
      <c r="AT102" s="337"/>
      <c r="AU102" s="337"/>
      <c r="AV102" s="337"/>
      <c r="AW102" s="337"/>
      <c r="AX102" s="337"/>
    </row>
    <row r="103" spans="1:50" s="15" customFormat="1" ht="12" customHeight="1" x14ac:dyDescent="0.2">
      <c r="A103" s="242" t="s">
        <v>190</v>
      </c>
      <c r="B103" s="27" t="s">
        <v>43</v>
      </c>
      <c r="C103" s="16">
        <f t="shared" si="16"/>
        <v>0</v>
      </c>
      <c r="D103" s="70"/>
      <c r="E103" s="227"/>
      <c r="F103" s="227"/>
      <c r="G103" s="227"/>
      <c r="H103" s="227"/>
      <c r="I103" s="227"/>
      <c r="J103" s="227"/>
      <c r="K103" s="227"/>
      <c r="L103" s="227"/>
      <c r="M103" s="227"/>
      <c r="N103" s="253"/>
      <c r="P103" s="198"/>
      <c r="AE103" s="263"/>
      <c r="AG103" s="337"/>
      <c r="AH103" s="337"/>
      <c r="AI103" s="337"/>
      <c r="AJ103" s="337"/>
      <c r="AK103" s="337"/>
      <c r="AL103" s="337"/>
      <c r="AM103" s="337"/>
      <c r="AN103" s="337"/>
      <c r="AO103" s="337"/>
      <c r="AP103" s="337"/>
      <c r="AQ103" s="337"/>
      <c r="AR103" s="337"/>
      <c r="AS103" s="337"/>
      <c r="AT103" s="337"/>
      <c r="AU103" s="337"/>
      <c r="AV103" s="337"/>
      <c r="AW103" s="337"/>
      <c r="AX103" s="337"/>
    </row>
    <row r="104" spans="1:50" ht="12" customHeight="1" x14ac:dyDescent="0.2">
      <c r="A104" s="262" t="s">
        <v>84</v>
      </c>
      <c r="B104" s="27"/>
      <c r="C104" s="16"/>
      <c r="D104" s="15"/>
      <c r="E104" s="15"/>
      <c r="F104" s="15"/>
      <c r="G104" s="15"/>
      <c r="H104" s="15"/>
      <c r="I104" s="15"/>
      <c r="J104" s="15"/>
      <c r="K104" s="15"/>
      <c r="L104" s="15"/>
      <c r="M104" s="15"/>
      <c r="N104" s="263"/>
      <c r="P104" s="237"/>
      <c r="AE104" s="266"/>
    </row>
    <row r="105" spans="1:50" ht="12" customHeight="1" x14ac:dyDescent="0.2">
      <c r="A105" s="256" t="s">
        <v>88</v>
      </c>
      <c r="B105" s="27" t="s">
        <v>43</v>
      </c>
      <c r="C105" s="16">
        <f t="shared" si="16"/>
        <v>5</v>
      </c>
      <c r="D105" s="70">
        <v>10</v>
      </c>
      <c r="E105" s="227">
        <v>17</v>
      </c>
      <c r="F105" s="227">
        <v>10</v>
      </c>
      <c r="G105" s="227">
        <v>5</v>
      </c>
      <c r="H105" s="227">
        <v>5</v>
      </c>
      <c r="I105" s="227">
        <v>16</v>
      </c>
      <c r="J105" s="227">
        <v>10</v>
      </c>
      <c r="K105" s="227">
        <v>10</v>
      </c>
      <c r="L105" s="227">
        <v>10</v>
      </c>
      <c r="M105" s="227">
        <v>1</v>
      </c>
      <c r="N105" s="253">
        <v>5</v>
      </c>
      <c r="P105" s="237"/>
      <c r="AE105" s="266"/>
    </row>
    <row r="106" spans="1:50" ht="12" customHeight="1" x14ac:dyDescent="0.2">
      <c r="A106" s="256" t="s">
        <v>139</v>
      </c>
      <c r="B106" s="27" t="s">
        <v>33</v>
      </c>
      <c r="C106" s="164">
        <f t="shared" si="16"/>
        <v>0</v>
      </c>
      <c r="D106" s="30"/>
      <c r="E106" s="226">
        <v>0</v>
      </c>
      <c r="F106" s="226">
        <v>0</v>
      </c>
      <c r="G106" s="226">
        <v>0</v>
      </c>
      <c r="H106" s="226">
        <v>0</v>
      </c>
      <c r="I106" s="226"/>
      <c r="J106" s="226"/>
      <c r="K106" s="226"/>
      <c r="L106" s="226"/>
      <c r="M106" s="226">
        <v>0</v>
      </c>
      <c r="N106" s="251"/>
      <c r="P106" s="237"/>
      <c r="AE106" s="266"/>
    </row>
    <row r="107" spans="1:50" ht="12" customHeight="1" x14ac:dyDescent="0.2">
      <c r="A107" s="256" t="s">
        <v>90</v>
      </c>
      <c r="B107" s="27"/>
      <c r="C107" s="217">
        <f t="shared" si="16"/>
        <v>1</v>
      </c>
      <c r="D107" s="70">
        <v>1</v>
      </c>
      <c r="E107" s="227">
        <v>1</v>
      </c>
      <c r="F107" s="227">
        <v>1</v>
      </c>
      <c r="G107" s="227">
        <v>1</v>
      </c>
      <c r="H107" s="227">
        <v>1</v>
      </c>
      <c r="I107" s="227">
        <v>2</v>
      </c>
      <c r="J107" s="227">
        <v>1</v>
      </c>
      <c r="K107" s="227">
        <v>1</v>
      </c>
      <c r="L107" s="227">
        <v>1</v>
      </c>
      <c r="M107" s="227">
        <v>1</v>
      </c>
      <c r="N107" s="253">
        <v>2</v>
      </c>
      <c r="P107" s="237"/>
      <c r="AE107" s="266"/>
    </row>
    <row r="108" spans="1:50" ht="12" customHeight="1" x14ac:dyDescent="0.2">
      <c r="A108" s="264" t="s">
        <v>104</v>
      </c>
      <c r="B108" s="27" t="s">
        <v>43</v>
      </c>
      <c r="C108" s="16">
        <f t="shared" si="16"/>
        <v>0</v>
      </c>
      <c r="D108" s="70"/>
      <c r="E108" s="227"/>
      <c r="F108" s="227"/>
      <c r="G108" s="227"/>
      <c r="H108" s="227"/>
      <c r="I108" s="227">
        <v>2</v>
      </c>
      <c r="J108" s="227"/>
      <c r="K108" s="227"/>
      <c r="L108" s="227"/>
      <c r="M108" s="227"/>
      <c r="N108" s="253">
        <v>2</v>
      </c>
      <c r="P108" s="237"/>
      <c r="AE108" s="266"/>
    </row>
    <row r="109" spans="1:50" ht="12" customHeight="1" x14ac:dyDescent="0.2">
      <c r="A109" s="262" t="s">
        <v>133</v>
      </c>
      <c r="B109" s="27" t="s">
        <v>43</v>
      </c>
      <c r="C109" s="16">
        <f t="shared" si="16"/>
        <v>5</v>
      </c>
      <c r="D109" s="70"/>
      <c r="E109" s="227">
        <v>100</v>
      </c>
      <c r="F109" s="227">
        <v>100</v>
      </c>
      <c r="G109" s="227">
        <v>100</v>
      </c>
      <c r="H109" s="227">
        <v>5</v>
      </c>
      <c r="I109" s="227">
        <v>5</v>
      </c>
      <c r="J109" s="227">
        <v>10</v>
      </c>
      <c r="K109" s="227">
        <v>100</v>
      </c>
      <c r="L109" s="227">
        <v>100</v>
      </c>
      <c r="M109" s="227">
        <v>100</v>
      </c>
      <c r="N109" s="253">
        <v>100</v>
      </c>
      <c r="P109" s="237"/>
      <c r="AE109" s="266"/>
    </row>
    <row r="110" spans="1:50" ht="12" customHeight="1" x14ac:dyDescent="0.2">
      <c r="A110" s="254" t="s">
        <v>285</v>
      </c>
      <c r="B110" s="27" t="s">
        <v>33</v>
      </c>
      <c r="C110" s="177">
        <f t="shared" si="16"/>
        <v>1</v>
      </c>
      <c r="D110" s="185"/>
      <c r="E110" s="228">
        <v>0.3</v>
      </c>
      <c r="F110" s="228">
        <v>1</v>
      </c>
      <c r="G110" s="228">
        <v>1</v>
      </c>
      <c r="H110" s="228">
        <v>1</v>
      </c>
      <c r="I110" s="228">
        <v>1</v>
      </c>
      <c r="J110" s="228">
        <v>1</v>
      </c>
      <c r="K110" s="228">
        <v>0.5</v>
      </c>
      <c r="L110" s="228">
        <v>1</v>
      </c>
      <c r="M110" s="228">
        <v>1</v>
      </c>
      <c r="N110" s="265">
        <v>1</v>
      </c>
      <c r="P110" s="237"/>
      <c r="AE110" s="266"/>
    </row>
    <row r="111" spans="1:50" ht="12" customHeight="1" x14ac:dyDescent="0.2">
      <c r="A111" s="262" t="s">
        <v>268</v>
      </c>
      <c r="B111" s="27" t="s">
        <v>33</v>
      </c>
      <c r="C111" s="177">
        <f t="shared" si="16"/>
        <v>0</v>
      </c>
      <c r="D111" s="70"/>
      <c r="E111" s="227"/>
      <c r="F111" s="227"/>
      <c r="G111" s="227"/>
      <c r="H111" s="227"/>
      <c r="I111" s="227"/>
      <c r="J111" s="227"/>
      <c r="K111" s="227"/>
      <c r="L111" s="227"/>
      <c r="M111" s="229">
        <v>3.0000000000000001E-3</v>
      </c>
      <c r="N111" s="253"/>
      <c r="P111" s="237"/>
      <c r="AE111" s="266"/>
    </row>
    <row r="112" spans="1:50" ht="12" customHeight="1" x14ac:dyDescent="0.2">
      <c r="A112" s="262" t="s">
        <v>270</v>
      </c>
      <c r="B112" s="27" t="s">
        <v>134</v>
      </c>
      <c r="C112" s="16">
        <f t="shared" si="16"/>
        <v>0</v>
      </c>
      <c r="D112" s="70"/>
      <c r="E112" s="227"/>
      <c r="F112" s="227"/>
      <c r="G112" s="227"/>
      <c r="H112" s="227"/>
      <c r="I112" s="227"/>
      <c r="J112" s="227"/>
      <c r="K112" s="227"/>
      <c r="L112" s="227"/>
      <c r="M112" s="227">
        <v>3</v>
      </c>
      <c r="N112" s="253"/>
      <c r="P112" s="237"/>
      <c r="AE112" s="266"/>
    </row>
    <row r="113" spans="1:31" ht="12" customHeight="1" x14ac:dyDescent="0.2">
      <c r="A113" s="237" t="s">
        <v>457</v>
      </c>
      <c r="B113" s="27" t="s">
        <v>43</v>
      </c>
      <c r="C113" s="16">
        <f t="shared" si="16"/>
        <v>0</v>
      </c>
      <c r="D113" s="70"/>
      <c r="E113" s="227"/>
      <c r="F113" s="227"/>
      <c r="G113" s="227"/>
      <c r="H113" s="227"/>
      <c r="I113" s="227"/>
      <c r="J113" s="227"/>
      <c r="K113" s="227"/>
      <c r="L113" s="227"/>
      <c r="M113" s="227">
        <v>5</v>
      </c>
      <c r="N113" s="253"/>
      <c r="P113" s="237"/>
      <c r="AE113" s="266"/>
    </row>
    <row r="114" spans="1:31" ht="12" customHeight="1" x14ac:dyDescent="0.2">
      <c r="A114" s="262" t="s">
        <v>326</v>
      </c>
      <c r="B114" s="27" t="s">
        <v>33</v>
      </c>
      <c r="C114" s="181">
        <f>INDEX(D114:N114,$C$2)</f>
        <v>0</v>
      </c>
      <c r="D114" s="70"/>
      <c r="E114" s="227"/>
      <c r="F114" s="227"/>
      <c r="G114" s="227"/>
      <c r="H114" s="227"/>
      <c r="I114" s="230">
        <v>0.1</v>
      </c>
      <c r="J114" s="227"/>
      <c r="K114" s="227"/>
      <c r="L114" s="227"/>
      <c r="M114" s="227"/>
      <c r="N114" s="253"/>
      <c r="P114" s="237"/>
      <c r="AE114" s="266"/>
    </row>
    <row r="115" spans="1:31" ht="12" customHeight="1" x14ac:dyDescent="0.2">
      <c r="A115" s="198" t="s">
        <v>276</v>
      </c>
      <c r="B115" s="18" t="s">
        <v>33</v>
      </c>
      <c r="C115" s="181">
        <f>INDEX(D115:N115,$C$2)</f>
        <v>0</v>
      </c>
      <c r="D115" s="70"/>
      <c r="E115" s="227"/>
      <c r="F115" s="227"/>
      <c r="G115" s="227"/>
      <c r="H115" s="227"/>
      <c r="I115" s="227"/>
      <c r="J115" s="227"/>
      <c r="K115" s="227"/>
      <c r="L115" s="231">
        <v>7.4999999999999997E-3</v>
      </c>
      <c r="M115" s="227"/>
      <c r="N115" s="253"/>
      <c r="P115" s="237"/>
      <c r="AE115" s="266"/>
    </row>
    <row r="116" spans="1:31" ht="12" customHeight="1" x14ac:dyDescent="0.2">
      <c r="A116" s="262" t="s">
        <v>279</v>
      </c>
      <c r="B116" s="16" t="s">
        <v>280</v>
      </c>
      <c r="C116" s="181">
        <f>INDEX(D116:N116,$C$2)</f>
        <v>0</v>
      </c>
      <c r="D116" s="70"/>
      <c r="E116" s="227"/>
      <c r="F116" s="227"/>
      <c r="G116" s="227"/>
      <c r="H116" s="227"/>
      <c r="I116" s="227"/>
      <c r="J116" s="227"/>
      <c r="K116" s="227"/>
      <c r="L116" s="230">
        <v>0.75</v>
      </c>
      <c r="M116" s="227"/>
      <c r="N116" s="253"/>
      <c r="P116" s="237"/>
      <c r="AE116" s="266"/>
    </row>
    <row r="117" spans="1:31" ht="12" customHeight="1" x14ac:dyDescent="0.2">
      <c r="A117" s="237"/>
      <c r="C117" s="16"/>
      <c r="D117" s="16"/>
      <c r="E117" s="16"/>
      <c r="F117" s="16"/>
      <c r="G117" s="16"/>
      <c r="H117" s="16"/>
      <c r="I117" s="16"/>
      <c r="J117" s="15"/>
      <c r="N117" s="266"/>
      <c r="P117" s="237"/>
      <c r="AE117" s="266"/>
    </row>
    <row r="118" spans="1:31" ht="12" customHeight="1" x14ac:dyDescent="0.2">
      <c r="A118" s="239" t="s">
        <v>168</v>
      </c>
      <c r="B118" s="15"/>
      <c r="C118" s="15"/>
      <c r="D118" s="16"/>
      <c r="E118" s="16"/>
      <c r="F118" s="16"/>
      <c r="G118" s="16"/>
      <c r="H118" s="16"/>
      <c r="I118" s="16"/>
      <c r="J118" s="15"/>
      <c r="N118" s="266"/>
      <c r="P118" s="237"/>
      <c r="AE118" s="266"/>
    </row>
    <row r="119" spans="1:31" ht="12" customHeight="1" x14ac:dyDescent="0.2">
      <c r="A119" s="242" t="s">
        <v>171</v>
      </c>
      <c r="B119" s="13" t="s">
        <v>33</v>
      </c>
      <c r="C119" s="28">
        <v>0.5</v>
      </c>
      <c r="J119" s="15"/>
      <c r="N119" s="266"/>
      <c r="P119" s="237"/>
      <c r="AE119" s="266"/>
    </row>
    <row r="120" spans="1:31" ht="12" customHeight="1" x14ac:dyDescent="0.2">
      <c r="A120" s="242" t="s">
        <v>169</v>
      </c>
      <c r="B120" s="13" t="s">
        <v>33</v>
      </c>
      <c r="C120" s="28">
        <v>0.5</v>
      </c>
      <c r="D120" s="15"/>
      <c r="E120" s="15"/>
      <c r="F120" s="15"/>
      <c r="G120" s="15"/>
      <c r="H120" s="15"/>
      <c r="I120" s="15"/>
      <c r="J120" s="15"/>
      <c r="N120" s="266"/>
      <c r="P120" s="237"/>
      <c r="AE120" s="266"/>
    </row>
    <row r="121" spans="1:31" ht="12" customHeight="1" x14ac:dyDescent="0.2">
      <c r="A121" s="242" t="s">
        <v>239</v>
      </c>
      <c r="B121" s="13" t="s">
        <v>33</v>
      </c>
      <c r="C121" s="28">
        <v>1</v>
      </c>
      <c r="D121" s="15"/>
      <c r="E121" s="15"/>
      <c r="F121" s="15"/>
      <c r="G121" s="15"/>
      <c r="H121" s="15"/>
      <c r="I121" s="15"/>
      <c r="J121" s="15"/>
      <c r="N121" s="266"/>
      <c r="P121" s="237"/>
      <c r="AE121" s="266"/>
    </row>
    <row r="122" spans="1:31" ht="12" customHeight="1" x14ac:dyDescent="0.2">
      <c r="A122" s="242" t="s">
        <v>191</v>
      </c>
      <c r="B122" s="13" t="s">
        <v>134</v>
      </c>
      <c r="C122" s="70">
        <v>2019</v>
      </c>
      <c r="D122" s="15"/>
      <c r="E122" s="15"/>
      <c r="F122" s="15"/>
      <c r="G122" s="15"/>
      <c r="H122" s="15"/>
      <c r="I122" s="15"/>
      <c r="J122" s="15"/>
      <c r="N122" s="266"/>
      <c r="P122" s="237"/>
      <c r="AE122" s="266"/>
    </row>
    <row r="123" spans="1:31" ht="12" customHeight="1" x14ac:dyDescent="0.2">
      <c r="A123" s="242" t="s">
        <v>83</v>
      </c>
      <c r="B123" s="13" t="s">
        <v>33</v>
      </c>
      <c r="C123" s="28">
        <v>0</v>
      </c>
      <c r="D123" s="14"/>
      <c r="E123" s="14"/>
      <c r="F123" s="14"/>
      <c r="G123" s="14"/>
      <c r="H123" s="14"/>
      <c r="I123" s="14"/>
      <c r="J123" s="15"/>
      <c r="N123" s="266"/>
      <c r="P123" s="237"/>
      <c r="AE123" s="266"/>
    </row>
    <row r="124" spans="1:31" ht="12" customHeight="1" x14ac:dyDescent="0.2">
      <c r="A124" s="242" t="s">
        <v>474</v>
      </c>
      <c r="B124" s="13" t="s">
        <v>33</v>
      </c>
      <c r="C124" s="368">
        <v>2E-3</v>
      </c>
      <c r="D124" s="14"/>
      <c r="E124" s="14"/>
      <c r="F124" s="14"/>
      <c r="G124" s="14"/>
      <c r="H124" s="14"/>
      <c r="I124" s="14"/>
      <c r="J124" s="15"/>
      <c r="N124" s="266"/>
      <c r="P124" s="237"/>
      <c r="AE124" s="266"/>
    </row>
    <row r="125" spans="1:31" ht="12" customHeight="1" x14ac:dyDescent="0.2">
      <c r="A125" s="242"/>
      <c r="B125" s="13"/>
      <c r="C125" s="86"/>
      <c r="D125" s="14"/>
      <c r="E125" s="14"/>
      <c r="F125" s="14"/>
      <c r="G125" s="14"/>
      <c r="H125" s="14"/>
      <c r="I125" s="14"/>
      <c r="J125" s="15"/>
      <c r="N125" s="266"/>
      <c r="P125" s="237"/>
      <c r="AE125" s="266"/>
    </row>
    <row r="126" spans="1:31" ht="12" customHeight="1" x14ac:dyDescent="0.2">
      <c r="A126" s="239" t="s">
        <v>79</v>
      </c>
      <c r="B126" s="15"/>
      <c r="C126" s="14"/>
      <c r="D126" s="15"/>
      <c r="E126" s="15"/>
      <c r="F126" s="15"/>
      <c r="G126" s="15"/>
      <c r="H126" s="15"/>
      <c r="I126" s="15"/>
      <c r="J126" s="15"/>
      <c r="N126" s="266"/>
      <c r="P126" s="237"/>
      <c r="AE126" s="266"/>
    </row>
    <row r="127" spans="1:31" ht="12" customHeight="1" x14ac:dyDescent="0.2">
      <c r="A127" s="242" t="s">
        <v>41</v>
      </c>
      <c r="B127" s="13" t="s">
        <v>33</v>
      </c>
      <c r="C127" s="28">
        <v>0.02</v>
      </c>
      <c r="D127" s="15"/>
      <c r="E127" s="15"/>
      <c r="F127" s="15"/>
      <c r="G127" s="15"/>
      <c r="H127" s="15"/>
      <c r="I127" s="15"/>
      <c r="J127" s="15"/>
      <c r="N127" s="266"/>
      <c r="P127" s="237"/>
      <c r="AE127" s="266"/>
    </row>
    <row r="128" spans="1:31" ht="12" customHeight="1" x14ac:dyDescent="0.2">
      <c r="A128" s="242" t="s">
        <v>362</v>
      </c>
      <c r="B128" s="13" t="s">
        <v>33</v>
      </c>
      <c r="C128" s="86">
        <f>C129-C127</f>
        <v>9.9999999999999992E-2</v>
      </c>
      <c r="D128" s="15"/>
      <c r="E128" s="15"/>
      <c r="F128" s="15"/>
      <c r="G128" s="15"/>
      <c r="H128" s="15"/>
      <c r="I128" s="15"/>
      <c r="J128" s="15"/>
      <c r="N128" s="266"/>
      <c r="P128" s="237"/>
      <c r="AE128" s="266"/>
    </row>
    <row r="129" spans="1:31" ht="12" customHeight="1" x14ac:dyDescent="0.2">
      <c r="A129" s="242" t="s">
        <v>363</v>
      </c>
      <c r="B129" s="13" t="s">
        <v>33</v>
      </c>
      <c r="C129" s="28">
        <v>0.12</v>
      </c>
      <c r="D129" s="86"/>
      <c r="E129" s="86"/>
      <c r="F129" s="86"/>
      <c r="G129" s="86"/>
      <c r="H129" s="86"/>
      <c r="I129" s="86"/>
      <c r="J129" s="15"/>
      <c r="N129" s="266"/>
      <c r="P129" s="237"/>
      <c r="AE129" s="266"/>
    </row>
    <row r="130" spans="1:31" ht="12" customHeight="1" x14ac:dyDescent="0.2">
      <c r="A130" s="242" t="s">
        <v>364</v>
      </c>
      <c r="B130" s="13" t="s">
        <v>33</v>
      </c>
      <c r="C130" s="86">
        <f>C131-C127</f>
        <v>9.9999999999999992E-2</v>
      </c>
      <c r="D130" s="86"/>
      <c r="E130" s="86"/>
      <c r="F130" s="86"/>
      <c r="G130" s="86"/>
      <c r="H130" s="86"/>
      <c r="I130" s="86"/>
      <c r="J130" s="15"/>
      <c r="N130" s="266"/>
      <c r="P130" s="237"/>
      <c r="AE130" s="266"/>
    </row>
    <row r="131" spans="1:31" ht="12" customHeight="1" x14ac:dyDescent="0.2">
      <c r="A131" s="242" t="s">
        <v>365</v>
      </c>
      <c r="B131" s="13" t="s">
        <v>33</v>
      </c>
      <c r="C131" s="28">
        <v>0.12</v>
      </c>
      <c r="D131" s="86"/>
      <c r="E131" s="86"/>
      <c r="F131" s="86"/>
      <c r="G131" s="86"/>
      <c r="H131" s="86"/>
      <c r="I131" s="86"/>
      <c r="J131" s="15"/>
      <c r="N131" s="266"/>
      <c r="P131" s="237"/>
      <c r="AE131" s="266"/>
    </row>
    <row r="132" spans="1:31" ht="12" customHeight="1" x14ac:dyDescent="0.2">
      <c r="A132" s="242" t="s">
        <v>483</v>
      </c>
      <c r="B132" s="13" t="s">
        <v>33</v>
      </c>
      <c r="C132" s="86">
        <f>C133-C127</f>
        <v>9.9999999999999992E-2</v>
      </c>
      <c r="D132" s="86"/>
      <c r="E132" s="86"/>
      <c r="F132" s="86"/>
      <c r="G132" s="86"/>
      <c r="H132" s="86"/>
      <c r="I132" s="86"/>
      <c r="J132" s="15"/>
      <c r="N132" s="266"/>
      <c r="P132" s="237"/>
      <c r="AE132" s="266"/>
    </row>
    <row r="133" spans="1:31" ht="12" customHeight="1" x14ac:dyDescent="0.2">
      <c r="A133" s="242" t="s">
        <v>484</v>
      </c>
      <c r="B133" s="13" t="s">
        <v>33</v>
      </c>
      <c r="C133" s="28">
        <v>0.12</v>
      </c>
      <c r="D133" s="86"/>
      <c r="E133" s="86"/>
      <c r="F133" s="86"/>
      <c r="G133" s="86"/>
      <c r="H133" s="86"/>
      <c r="I133" s="86"/>
      <c r="J133" s="15"/>
      <c r="N133" s="266"/>
      <c r="P133" s="237"/>
      <c r="AE133" s="266"/>
    </row>
    <row r="134" spans="1:31" ht="12" customHeight="1" x14ac:dyDescent="0.2">
      <c r="A134" s="242"/>
      <c r="B134" s="13"/>
      <c r="C134" s="20"/>
      <c r="D134" s="86"/>
      <c r="E134" s="86"/>
      <c r="F134" s="86"/>
      <c r="G134" s="86"/>
      <c r="H134" s="86"/>
      <c r="I134" s="86"/>
      <c r="J134" s="15"/>
      <c r="N134" s="266"/>
      <c r="P134" s="237"/>
      <c r="AE134" s="266"/>
    </row>
    <row r="135" spans="1:31" ht="12" customHeight="1" x14ac:dyDescent="0.2">
      <c r="A135" s="239" t="s">
        <v>42</v>
      </c>
      <c r="B135" s="13"/>
      <c r="C135" s="19"/>
      <c r="D135" s="86"/>
      <c r="E135" s="86"/>
      <c r="F135" s="86"/>
      <c r="G135" s="86"/>
      <c r="H135" s="86"/>
      <c r="I135" s="86"/>
      <c r="J135" s="15"/>
      <c r="N135" s="266"/>
      <c r="P135" s="237"/>
      <c r="AE135" s="266"/>
    </row>
    <row r="136" spans="1:31" ht="12" customHeight="1" x14ac:dyDescent="0.2">
      <c r="A136" s="242" t="s">
        <v>34</v>
      </c>
      <c r="B136" s="13" t="s">
        <v>33</v>
      </c>
      <c r="C136" s="28">
        <v>0.7</v>
      </c>
      <c r="D136" s="20"/>
      <c r="E136" s="20"/>
      <c r="F136" s="20"/>
      <c r="G136" s="20"/>
      <c r="H136" s="20"/>
      <c r="I136" s="20"/>
      <c r="J136" s="15"/>
      <c r="N136" s="266"/>
      <c r="P136" s="237"/>
      <c r="AE136" s="266"/>
    </row>
    <row r="137" spans="1:31" ht="12" customHeight="1" x14ac:dyDescent="0.2">
      <c r="A137" s="242" t="s">
        <v>22</v>
      </c>
      <c r="B137" s="27" t="s">
        <v>43</v>
      </c>
      <c r="C137" s="29">
        <v>8</v>
      </c>
      <c r="D137" s="20"/>
      <c r="E137" s="20"/>
      <c r="F137" s="20"/>
      <c r="G137" s="20"/>
      <c r="H137" s="20"/>
      <c r="I137" s="20"/>
      <c r="J137" s="15"/>
      <c r="N137" s="266"/>
      <c r="P137" s="237"/>
      <c r="AE137" s="266"/>
    </row>
    <row r="138" spans="1:31" ht="12" customHeight="1" x14ac:dyDescent="0.2">
      <c r="A138" s="242" t="s">
        <v>485</v>
      </c>
      <c r="B138" s="27" t="s">
        <v>33</v>
      </c>
      <c r="C138" s="28">
        <v>0.12</v>
      </c>
      <c r="D138" s="19"/>
      <c r="E138" s="19"/>
      <c r="F138" s="19"/>
      <c r="G138" s="19"/>
      <c r="H138" s="19"/>
      <c r="I138" s="19"/>
      <c r="J138" s="15"/>
      <c r="N138" s="266"/>
      <c r="P138" s="237"/>
      <c r="AE138" s="266"/>
    </row>
    <row r="139" spans="1:31" ht="12" customHeight="1" x14ac:dyDescent="0.2">
      <c r="A139"/>
      <c r="B139"/>
      <c r="C139"/>
      <c r="D139" s="86"/>
      <c r="E139" s="86"/>
      <c r="F139" s="86"/>
      <c r="G139" s="86"/>
      <c r="H139" s="86"/>
      <c r="I139" s="86"/>
      <c r="J139" s="15"/>
      <c r="N139" s="266"/>
      <c r="P139" s="237"/>
      <c r="AE139" s="266"/>
    </row>
    <row r="140" spans="1:31" ht="12" customHeight="1" x14ac:dyDescent="0.2">
      <c r="A140" s="239" t="s">
        <v>470</v>
      </c>
      <c r="B140" s="13"/>
      <c r="C140" s="20"/>
      <c r="D140" s="86"/>
      <c r="E140" s="86"/>
      <c r="F140" s="86"/>
      <c r="G140" s="86"/>
      <c r="H140" s="86"/>
      <c r="I140" s="86"/>
      <c r="J140" s="15"/>
      <c r="N140" s="266"/>
      <c r="P140" s="237"/>
      <c r="AE140" s="266"/>
    </row>
    <row r="141" spans="1:31" ht="38.25" x14ac:dyDescent="0.2">
      <c r="A141" s="367" t="s">
        <v>471</v>
      </c>
      <c r="B141" s="13" t="s">
        <v>33</v>
      </c>
      <c r="C141" s="28">
        <v>0.5</v>
      </c>
      <c r="D141" s="86"/>
      <c r="E141" s="86"/>
      <c r="F141" s="86"/>
      <c r="G141" s="86"/>
      <c r="H141" s="86"/>
      <c r="I141" s="86"/>
      <c r="J141" s="15"/>
      <c r="N141" s="266"/>
      <c r="P141" s="237"/>
      <c r="AE141" s="266"/>
    </row>
    <row r="142" spans="1:31" ht="38.25" x14ac:dyDescent="0.2">
      <c r="A142" s="367" t="s">
        <v>491</v>
      </c>
      <c r="B142" s="13" t="s">
        <v>33</v>
      </c>
      <c r="C142" s="28">
        <v>0.5</v>
      </c>
      <c r="D142" s="86"/>
      <c r="E142" s="86"/>
      <c r="F142" s="86"/>
      <c r="G142" s="86"/>
      <c r="H142" s="86"/>
      <c r="I142" s="86"/>
      <c r="J142" s="15"/>
      <c r="N142" s="266"/>
      <c r="P142" s="237"/>
      <c r="AE142" s="266"/>
    </row>
    <row r="143" spans="1:31" ht="63" x14ac:dyDescent="0.2">
      <c r="A143" s="366" t="s">
        <v>492</v>
      </c>
      <c r="B143" s="13"/>
      <c r="C143" s="86"/>
      <c r="D143" s="86"/>
      <c r="E143" s="86"/>
      <c r="F143" s="86"/>
      <c r="G143" s="86"/>
      <c r="H143" s="86"/>
      <c r="I143" s="86"/>
      <c r="J143" s="15"/>
      <c r="N143" s="266"/>
      <c r="P143" s="237"/>
      <c r="AE143" s="266"/>
    </row>
    <row r="144" spans="1:31" ht="12" customHeight="1" x14ac:dyDescent="0.2">
      <c r="A144" s="242"/>
      <c r="B144" s="13"/>
      <c r="C144" s="20"/>
      <c r="D144" s="86"/>
      <c r="E144" s="86"/>
      <c r="F144" s="86"/>
      <c r="G144" s="86"/>
      <c r="H144" s="86"/>
      <c r="I144" s="86"/>
      <c r="J144" s="15"/>
      <c r="N144" s="266"/>
      <c r="P144" s="237"/>
      <c r="AE144" s="266"/>
    </row>
    <row r="145" spans="1:31" ht="12" customHeight="1" x14ac:dyDescent="0.2">
      <c r="A145" s="239" t="s">
        <v>80</v>
      </c>
      <c r="C145" s="16"/>
      <c r="D145" s="19"/>
      <c r="E145" s="19"/>
      <c r="F145" s="19"/>
      <c r="G145" s="19"/>
      <c r="H145" s="19"/>
      <c r="I145" s="19"/>
      <c r="J145" s="15"/>
      <c r="N145" s="266"/>
      <c r="P145" s="237"/>
      <c r="AE145" s="266"/>
    </row>
    <row r="146" spans="1:31" ht="12" customHeight="1" x14ac:dyDescent="0.2">
      <c r="A146" s="242" t="s">
        <v>76</v>
      </c>
      <c r="B146" s="13" t="s">
        <v>33</v>
      </c>
      <c r="C146" s="30">
        <v>1</v>
      </c>
      <c r="D146" s="86"/>
      <c r="E146" s="86"/>
      <c r="F146" s="86"/>
      <c r="G146" s="86"/>
      <c r="H146" s="86"/>
      <c r="I146" s="86"/>
      <c r="J146" s="15"/>
      <c r="N146" s="266"/>
      <c r="P146" s="237"/>
      <c r="AE146" s="266"/>
    </row>
    <row r="147" spans="1:31" ht="12" customHeight="1" x14ac:dyDescent="0.2">
      <c r="A147" s="242" t="s">
        <v>81</v>
      </c>
      <c r="B147" s="13" t="s">
        <v>33</v>
      </c>
      <c r="C147" s="30">
        <v>1</v>
      </c>
      <c r="D147" s="86"/>
      <c r="E147" s="86"/>
      <c r="F147" s="86"/>
      <c r="G147" s="86"/>
      <c r="H147" s="86"/>
      <c r="I147" s="86"/>
      <c r="J147" s="15"/>
      <c r="N147" s="266"/>
      <c r="P147" s="237"/>
      <c r="AE147" s="266"/>
    </row>
    <row r="148" spans="1:31" ht="12" customHeight="1" x14ac:dyDescent="0.2">
      <c r="A148" s="242" t="s">
        <v>82</v>
      </c>
      <c r="B148" s="13" t="s">
        <v>33</v>
      </c>
      <c r="C148" s="30">
        <v>1</v>
      </c>
      <c r="D148" s="16"/>
      <c r="E148" s="16"/>
      <c r="F148" s="16"/>
      <c r="G148" s="16"/>
      <c r="H148" s="16"/>
      <c r="I148" s="16"/>
      <c r="J148" s="15"/>
      <c r="N148" s="266"/>
      <c r="P148" s="237"/>
      <c r="AE148" s="266"/>
    </row>
    <row r="149" spans="1:31" ht="12" customHeight="1" x14ac:dyDescent="0.2">
      <c r="A149" s="237"/>
      <c r="C149" s="16"/>
      <c r="D149" s="20"/>
      <c r="E149" s="175"/>
      <c r="F149" s="175"/>
      <c r="G149" s="175"/>
      <c r="H149" s="175"/>
      <c r="I149" s="175"/>
      <c r="J149" s="175"/>
      <c r="K149" s="175"/>
      <c r="L149" s="175"/>
      <c r="M149" s="175"/>
      <c r="N149" s="266"/>
      <c r="P149" s="237"/>
      <c r="AE149" s="266"/>
    </row>
    <row r="150" spans="1:31" ht="12" customHeight="1" x14ac:dyDescent="0.2">
      <c r="A150" s="239" t="s">
        <v>177</v>
      </c>
      <c r="B150" s="22"/>
      <c r="C150" s="23"/>
      <c r="D150" s="20"/>
      <c r="E150" s="20"/>
      <c r="F150" s="20"/>
      <c r="G150" s="20"/>
      <c r="H150" s="20"/>
      <c r="I150" s="20"/>
      <c r="N150" s="266"/>
      <c r="P150" s="237"/>
      <c r="AE150" s="266"/>
    </row>
    <row r="151" spans="1:31" ht="12" customHeight="1" x14ac:dyDescent="0.2">
      <c r="A151" s="242" t="s">
        <v>431</v>
      </c>
      <c r="B151" s="13" t="s">
        <v>206</v>
      </c>
      <c r="C151" s="350">
        <f ca="1">Calculations!B128</f>
        <v>264.78875788251298</v>
      </c>
      <c r="D151" s="20"/>
      <c r="E151" s="20"/>
      <c r="F151" s="20"/>
      <c r="G151" s="20"/>
      <c r="H151" s="20"/>
      <c r="I151" s="20"/>
      <c r="N151" s="266"/>
      <c r="P151" s="237"/>
      <c r="AE151" s="266"/>
    </row>
    <row r="152" spans="1:31" ht="12" customHeight="1" x14ac:dyDescent="0.2">
      <c r="A152" s="242" t="s">
        <v>213</v>
      </c>
      <c r="B152" s="13" t="s">
        <v>33</v>
      </c>
      <c r="C152" s="314">
        <f ca="1">Calculations!D133</f>
        <v>0.15700455736792307</v>
      </c>
      <c r="D152" s="20"/>
      <c r="E152" s="20"/>
      <c r="F152" s="20"/>
      <c r="G152" s="20"/>
      <c r="H152" s="20"/>
      <c r="I152" s="20"/>
      <c r="N152" s="266"/>
      <c r="P152" s="237"/>
      <c r="AE152" s="266"/>
    </row>
    <row r="153" spans="1:31" ht="12" customHeight="1" x14ac:dyDescent="0.2">
      <c r="A153" s="242" t="s">
        <v>467</v>
      </c>
      <c r="B153" s="13" t="s">
        <v>206</v>
      </c>
      <c r="C153" s="350">
        <f ca="1">Calculations!B149</f>
        <v>340.10507421108662</v>
      </c>
      <c r="D153" s="20"/>
      <c r="E153" s="20"/>
      <c r="F153" s="20"/>
      <c r="G153" s="20"/>
      <c r="H153" s="20"/>
      <c r="I153" s="20"/>
      <c r="N153" s="266"/>
      <c r="P153" s="237"/>
      <c r="AE153" s="266"/>
    </row>
    <row r="154" spans="1:31" ht="12" customHeight="1" x14ac:dyDescent="0.2">
      <c r="A154" s="242" t="s">
        <v>399</v>
      </c>
      <c r="B154" s="13" t="s">
        <v>33</v>
      </c>
      <c r="C154" s="314">
        <f ca="1">'Cash Flows'!D21</f>
        <v>0.15748057924343217</v>
      </c>
      <c r="D154" s="16"/>
      <c r="E154" s="16"/>
      <c r="F154" s="16"/>
      <c r="G154" s="16"/>
      <c r="H154" s="16"/>
      <c r="I154" s="16"/>
      <c r="N154" s="266"/>
      <c r="P154" s="237"/>
      <c r="AE154" s="266"/>
    </row>
    <row r="155" spans="1:31" ht="12" customHeight="1" x14ac:dyDescent="0.2">
      <c r="A155" s="242" t="s">
        <v>465</v>
      </c>
      <c r="B155" s="13" t="s">
        <v>206</v>
      </c>
      <c r="C155" s="350">
        <f ca="1">'Cash Flows'!A23</f>
        <v>4111.9549901952205</v>
      </c>
      <c r="D155" s="16"/>
      <c r="E155" s="16"/>
      <c r="F155" s="16"/>
      <c r="G155" s="16"/>
      <c r="H155" s="16"/>
      <c r="I155" s="16"/>
      <c r="N155" s="266"/>
      <c r="P155" s="237"/>
      <c r="AE155" s="266"/>
    </row>
    <row r="156" spans="1:31" ht="12" customHeight="1" x14ac:dyDescent="0.2">
      <c r="A156" s="242" t="s">
        <v>466</v>
      </c>
      <c r="B156" s="13" t="s">
        <v>206</v>
      </c>
      <c r="C156" s="350">
        <f ca="1">'Cash Flows'!B23</f>
        <v>541.00321767202558</v>
      </c>
      <c r="D156" s="16"/>
      <c r="E156" s="16"/>
      <c r="F156" s="16"/>
      <c r="G156" s="16"/>
      <c r="H156" s="16"/>
      <c r="I156" s="16"/>
      <c r="N156" s="266"/>
      <c r="P156" s="237"/>
      <c r="AE156" s="266"/>
    </row>
    <row r="157" spans="1:31" ht="12" customHeight="1" x14ac:dyDescent="0.2">
      <c r="A157" s="242" t="s">
        <v>178</v>
      </c>
      <c r="B157" s="13" t="s">
        <v>33</v>
      </c>
      <c r="C157" s="314">
        <f ca="1">'Cash Flows'!D33</f>
        <v>0.50824109220538261</v>
      </c>
      <c r="D157" s="23"/>
      <c r="E157" s="23"/>
      <c r="F157" s="23"/>
      <c r="G157" s="23"/>
      <c r="H157" s="23"/>
      <c r="I157" s="23"/>
      <c r="N157" s="266"/>
      <c r="P157" s="237"/>
      <c r="AE157" s="266"/>
    </row>
    <row r="158" spans="1:31" ht="12" customHeight="1" thickBot="1" x14ac:dyDescent="0.25">
      <c r="A158" s="267" t="s">
        <v>179</v>
      </c>
      <c r="B158" s="268" t="s">
        <v>33</v>
      </c>
      <c r="C158" s="315">
        <f ca="1">'Cash Flows'!D34</f>
        <v>0.76601915900019624</v>
      </c>
      <c r="D158" s="269"/>
      <c r="E158" s="269"/>
      <c r="F158" s="269"/>
      <c r="G158" s="269"/>
      <c r="H158" s="269"/>
      <c r="I158" s="269"/>
      <c r="J158" s="270"/>
      <c r="K158" s="271"/>
      <c r="L158" s="271"/>
      <c r="M158" s="271"/>
      <c r="N158" s="272"/>
      <c r="P158" s="276"/>
      <c r="Q158" s="271"/>
      <c r="R158" s="271"/>
      <c r="S158" s="271"/>
      <c r="T158" s="271"/>
      <c r="U158" s="271"/>
      <c r="V158" s="271"/>
      <c r="W158" s="271"/>
      <c r="X158" s="271"/>
      <c r="Y158" s="271"/>
      <c r="Z158" s="271"/>
      <c r="AA158" s="271"/>
      <c r="AB158" s="271"/>
      <c r="AC158" s="271"/>
      <c r="AD158" s="271"/>
      <c r="AE158" s="272"/>
    </row>
    <row r="159" spans="1:31" ht="12" customHeight="1" thickBot="1" x14ac:dyDescent="0.25"/>
    <row r="160" spans="1:31" ht="17.100000000000001" customHeight="1" x14ac:dyDescent="0.2">
      <c r="A160" s="279" t="s">
        <v>244</v>
      </c>
      <c r="B160" s="280"/>
      <c r="C160" s="235"/>
      <c r="D160" s="235"/>
      <c r="E160" s="235"/>
      <c r="F160" s="235"/>
      <c r="G160" s="235"/>
      <c r="H160" s="235"/>
      <c r="I160" s="235"/>
      <c r="J160" s="235"/>
      <c r="K160" s="234"/>
      <c r="L160" s="234"/>
      <c r="M160" s="234"/>
      <c r="N160" s="234"/>
      <c r="O160" s="234"/>
      <c r="P160" s="234"/>
      <c r="Q160" s="234"/>
      <c r="R160" s="234"/>
      <c r="S160" s="234"/>
      <c r="T160" s="234"/>
      <c r="U160" s="234"/>
      <c r="V160" s="234"/>
      <c r="W160" s="234"/>
      <c r="X160" s="234"/>
      <c r="Y160" s="234"/>
      <c r="Z160" s="234"/>
      <c r="AA160" s="234"/>
      <c r="AB160" s="234"/>
      <c r="AC160" s="234"/>
      <c r="AD160" s="234"/>
      <c r="AE160" s="236"/>
    </row>
    <row r="161" spans="1:31" ht="17.100000000000001" customHeight="1" x14ac:dyDescent="0.2">
      <c r="A161" s="334" t="s">
        <v>468</v>
      </c>
      <c r="B161" s="18"/>
      <c r="AE161" s="266"/>
    </row>
    <row r="162" spans="1:31" ht="12" customHeight="1" x14ac:dyDescent="0.2">
      <c r="A162" s="281"/>
      <c r="B162" s="18"/>
      <c r="AE162" s="266"/>
    </row>
    <row r="163" spans="1:31" ht="18" customHeight="1" x14ac:dyDescent="0.2">
      <c r="A163" s="287" t="s">
        <v>464</v>
      </c>
      <c r="B163" s="288"/>
      <c r="C163" s="289"/>
      <c r="D163" s="289"/>
      <c r="E163" s="289"/>
      <c r="F163" s="289"/>
      <c r="G163" s="289"/>
      <c r="H163" s="289"/>
      <c r="I163" s="289"/>
      <c r="J163" s="289"/>
      <c r="K163" s="290"/>
      <c r="L163" s="290"/>
      <c r="M163" s="290"/>
      <c r="N163" s="290"/>
      <c r="O163" s="290"/>
      <c r="P163" s="290"/>
      <c r="Q163" s="290"/>
      <c r="R163" s="290"/>
      <c r="S163" s="290"/>
      <c r="T163" s="290"/>
      <c r="U163" s="290"/>
      <c r="V163" s="290"/>
      <c r="W163" s="290"/>
      <c r="X163" s="290"/>
      <c r="Y163" s="290"/>
      <c r="Z163" s="290"/>
      <c r="AA163" s="290"/>
      <c r="AB163" s="290"/>
      <c r="AC163" s="290"/>
      <c r="AD163" s="290"/>
      <c r="AE163" s="329"/>
    </row>
    <row r="164" spans="1:31" ht="12" customHeight="1" x14ac:dyDescent="0.2">
      <c r="A164" s="283" t="s">
        <v>373</v>
      </c>
      <c r="B164" s="18"/>
      <c r="AE164" s="266"/>
    </row>
    <row r="165" spans="1:31" ht="12" customHeight="1" x14ac:dyDescent="0.2">
      <c r="A165" s="237"/>
      <c r="B165" s="16" t="s">
        <v>243</v>
      </c>
      <c r="C165" s="163">
        <v>0.6</v>
      </c>
      <c r="D165" s="163">
        <v>0.8</v>
      </c>
      <c r="E165" s="163">
        <v>1</v>
      </c>
      <c r="F165" s="163">
        <v>1.2</v>
      </c>
      <c r="G165" s="163">
        <v>1.5</v>
      </c>
      <c r="AE165" s="266"/>
    </row>
    <row r="166" spans="1:31" ht="12" customHeight="1" x14ac:dyDescent="0.2">
      <c r="A166" s="262" t="s">
        <v>178</v>
      </c>
      <c r="B166" s="277">
        <f ca="1">$C$157</f>
        <v>0.50824109220538261</v>
      </c>
      <c r="C166" s="278">
        <f t="dataTable" ref="C166:G169" dt2D="0" dtr="1" r1="C146" ca="1"/>
        <v>-3.0875245084031406</v>
      </c>
      <c r="D166" s="278">
        <v>0.5791161439344924</v>
      </c>
      <c r="E166" s="278">
        <v>0.50824109220538261</v>
      </c>
      <c r="F166" s="278">
        <v>0.48847639508867369</v>
      </c>
      <c r="G166" s="278">
        <v>0.48107613383159153</v>
      </c>
      <c r="AE166" s="266"/>
    </row>
    <row r="167" spans="1:31" ht="12" customHeight="1" x14ac:dyDescent="0.2">
      <c r="A167" s="262" t="s">
        <v>179</v>
      </c>
      <c r="B167" s="277">
        <f ca="1">$C$158</f>
        <v>0.76601915900019624</v>
      </c>
      <c r="C167" s="278">
        <v>-0.17895496693740356</v>
      </c>
      <c r="D167" s="278">
        <v>7.1864847521114799</v>
      </c>
      <c r="E167" s="278">
        <v>0.76601915900019624</v>
      </c>
      <c r="F167" s="278">
        <v>0.59211334027205076</v>
      </c>
      <c r="G167" s="278">
        <v>0.53544252279614379</v>
      </c>
      <c r="AE167" s="266"/>
    </row>
    <row r="168" spans="1:31" ht="12" customHeight="1" x14ac:dyDescent="0.2">
      <c r="A168" s="262" t="s">
        <v>241</v>
      </c>
      <c r="B168" s="277">
        <f ca="1">$C$152</f>
        <v>0.15700455736792307</v>
      </c>
      <c r="C168" s="278">
        <v>-0.12155207506722621</v>
      </c>
      <c r="D168" s="278">
        <v>8.5936859694877077E-2</v>
      </c>
      <c r="E168" s="278">
        <v>0.15700455736792307</v>
      </c>
      <c r="F168" s="278">
        <v>0.21034222385964152</v>
      </c>
      <c r="G168" s="278">
        <v>0.26947224406469705</v>
      </c>
      <c r="AE168" s="266"/>
    </row>
    <row r="169" spans="1:31" ht="12" customHeight="1" x14ac:dyDescent="0.2">
      <c r="A169" s="262" t="s">
        <v>242</v>
      </c>
      <c r="B169" s="277">
        <f ca="1">$C$154</f>
        <v>0.15748057924343217</v>
      </c>
      <c r="C169" s="278" t="e">
        <v>#NUM!</v>
      </c>
      <c r="D169" s="278">
        <v>6.4458898063906034E-2</v>
      </c>
      <c r="E169" s="278">
        <v>0.15748057924343217</v>
      </c>
      <c r="F169" s="278">
        <v>0.23581457158055619</v>
      </c>
      <c r="G169" s="278">
        <v>0.32640521245884146</v>
      </c>
      <c r="AE169" s="266"/>
    </row>
    <row r="170" spans="1:31" ht="12" customHeight="1" x14ac:dyDescent="0.2">
      <c r="A170" s="242"/>
      <c r="B170" s="18"/>
      <c r="AE170" s="266"/>
    </row>
    <row r="171" spans="1:31" ht="12" customHeight="1" x14ac:dyDescent="0.2">
      <c r="A171" s="283" t="s">
        <v>18</v>
      </c>
      <c r="B171" s="18"/>
      <c r="AE171" s="266"/>
    </row>
    <row r="172" spans="1:31" ht="12" customHeight="1" x14ac:dyDescent="0.2">
      <c r="A172" s="237"/>
      <c r="B172" s="16" t="s">
        <v>246</v>
      </c>
      <c r="C172" s="163">
        <v>0.6</v>
      </c>
      <c r="D172" s="163">
        <v>0.8</v>
      </c>
      <c r="E172" s="163">
        <v>1</v>
      </c>
      <c r="F172" s="163">
        <v>1.2</v>
      </c>
      <c r="G172" s="163">
        <v>1.5</v>
      </c>
      <c r="AE172" s="266"/>
    </row>
    <row r="173" spans="1:31" ht="12" customHeight="1" x14ac:dyDescent="0.2">
      <c r="A173" s="262" t="s">
        <v>178</v>
      </c>
      <c r="B173" s="277">
        <f ca="1">$C$157</f>
        <v>0.50824109220538261</v>
      </c>
      <c r="C173" s="278">
        <f t="dataTable" ref="C173:G176" dt2D="0" dtr="1" r1="C148" ca="1"/>
        <v>0.47777840557345475</v>
      </c>
      <c r="D173" s="278">
        <v>0.48852694068696928</v>
      </c>
      <c r="E173" s="278">
        <v>0.50824109220538261</v>
      </c>
      <c r="F173" s="278">
        <v>0.54323973830394268</v>
      </c>
      <c r="G173" s="278">
        <v>0.75475301504070302</v>
      </c>
      <c r="AE173" s="266"/>
    </row>
    <row r="174" spans="1:31" ht="12" customHeight="1" x14ac:dyDescent="0.2">
      <c r="A174" s="262" t="s">
        <v>179</v>
      </c>
      <c r="B174" s="277">
        <f ca="1">$C$158</f>
        <v>0.76601915900019624</v>
      </c>
      <c r="C174" s="278">
        <v>0.57317285508818472</v>
      </c>
      <c r="D174" s="278">
        <v>0.63246143124532939</v>
      </c>
      <c r="E174" s="278">
        <v>0.76601915900019624</v>
      </c>
      <c r="F174" s="278">
        <v>1.1785785483227667</v>
      </c>
      <c r="G174" s="278">
        <v>-1.3355919601108708</v>
      </c>
      <c r="AE174" s="266"/>
    </row>
    <row r="175" spans="1:31" ht="12" customHeight="1" x14ac:dyDescent="0.2">
      <c r="A175" s="262" t="s">
        <v>241</v>
      </c>
      <c r="B175" s="277">
        <f ca="1">$C$152</f>
        <v>0.15700455736792307</v>
      </c>
      <c r="C175" s="278">
        <v>0.2154908345113582</v>
      </c>
      <c r="D175" s="278">
        <v>0.18845736682636072</v>
      </c>
      <c r="E175" s="278">
        <v>0.15700455736792307</v>
      </c>
      <c r="F175" s="278">
        <v>0.12057535980607725</v>
      </c>
      <c r="G175" s="278">
        <v>4.2293685637578182E-2</v>
      </c>
      <c r="AE175" s="266"/>
    </row>
    <row r="176" spans="1:31" ht="12" customHeight="1" x14ac:dyDescent="0.2">
      <c r="A176" s="262" t="s">
        <v>242</v>
      </c>
      <c r="B176" s="277">
        <f ca="1">$C$154</f>
        <v>0.15748057924343217</v>
      </c>
      <c r="C176" s="278">
        <v>0.24338929517845576</v>
      </c>
      <c r="D176" s="278">
        <v>0.20299771744665684</v>
      </c>
      <c r="E176" s="278">
        <v>0.15748057924343217</v>
      </c>
      <c r="F176" s="278">
        <v>0.10806212374881063</v>
      </c>
      <c r="G176" s="278">
        <v>1.0847191435294778E-2</v>
      </c>
      <c r="AE176" s="266"/>
    </row>
    <row r="177" spans="1:31" ht="12" customHeight="1" x14ac:dyDescent="0.2">
      <c r="A177" s="262"/>
      <c r="B177" s="277"/>
      <c r="C177" s="278"/>
      <c r="D177" s="278"/>
      <c r="F177" s="278"/>
      <c r="G177" s="278"/>
      <c r="AE177" s="266"/>
    </row>
    <row r="178" spans="1:31" ht="12" customHeight="1" x14ac:dyDescent="0.2">
      <c r="A178" s="283" t="s">
        <v>374</v>
      </c>
      <c r="B178" s="18"/>
      <c r="AE178" s="266"/>
    </row>
    <row r="179" spans="1:31" ht="12" customHeight="1" x14ac:dyDescent="0.2">
      <c r="A179" s="237"/>
      <c r="B179" s="16" t="s">
        <v>375</v>
      </c>
      <c r="C179" s="163">
        <v>0.6</v>
      </c>
      <c r="D179" s="163">
        <v>0.8</v>
      </c>
      <c r="E179" s="163">
        <v>1</v>
      </c>
      <c r="F179" s="163">
        <v>1.2</v>
      </c>
      <c r="G179" s="163">
        <v>1.5</v>
      </c>
      <c r="AE179" s="266"/>
    </row>
    <row r="180" spans="1:31" ht="12" customHeight="1" x14ac:dyDescent="0.2">
      <c r="A180" s="262" t="s">
        <v>178</v>
      </c>
      <c r="B180" s="277">
        <f ca="1">$C$157</f>
        <v>0.50824109220538261</v>
      </c>
      <c r="C180" s="286">
        <f t="dataTable" ref="C180:G183" dt2D="0" dtr="1" r1="C147" ca="1"/>
        <v>0.50167429908418681</v>
      </c>
      <c r="D180" s="286">
        <v>0.50286030090979117</v>
      </c>
      <c r="E180" s="286">
        <v>0.50824109220538261</v>
      </c>
      <c r="F180" s="286">
        <v>0.51032777720862144</v>
      </c>
      <c r="G180" s="286">
        <v>0.5243497200088465</v>
      </c>
      <c r="AE180" s="266"/>
    </row>
    <row r="181" spans="1:31" ht="12" customHeight="1" x14ac:dyDescent="0.2">
      <c r="A181" s="262" t="s">
        <v>179</v>
      </c>
      <c r="B181" s="277">
        <f ca="1">$C$158</f>
        <v>0.76601915900019624</v>
      </c>
      <c r="C181" s="278">
        <v>0.58804235824787454</v>
      </c>
      <c r="D181" s="278">
        <v>0.65241884367446767</v>
      </c>
      <c r="E181" s="278">
        <v>0.76601915900019624</v>
      </c>
      <c r="F181" s="278">
        <v>0.93007206233652584</v>
      </c>
      <c r="G181" s="278">
        <v>1.564686593499639</v>
      </c>
      <c r="AE181" s="266"/>
    </row>
    <row r="182" spans="1:31" ht="12" customHeight="1" x14ac:dyDescent="0.2">
      <c r="A182" s="262" t="s">
        <v>241</v>
      </c>
      <c r="B182" s="277">
        <f ca="1">$C$152</f>
        <v>0.15700455736792307</v>
      </c>
      <c r="C182" s="278">
        <v>0.22774803644101915</v>
      </c>
      <c r="D182" s="278">
        <v>0.1867517910457519</v>
      </c>
      <c r="E182" s="278">
        <v>0.15700455736792307</v>
      </c>
      <c r="F182" s="278">
        <v>0.1363675282926744</v>
      </c>
      <c r="G182" s="278">
        <v>0.11066694189610282</v>
      </c>
      <c r="AE182" s="266"/>
    </row>
    <row r="183" spans="1:31" ht="12" customHeight="1" x14ac:dyDescent="0.2">
      <c r="A183" s="262" t="s">
        <v>242</v>
      </c>
      <c r="B183" s="277">
        <f ca="1">$C$154</f>
        <v>0.15748057924343217</v>
      </c>
      <c r="C183" s="278">
        <v>0.26259086899615469</v>
      </c>
      <c r="D183" s="278">
        <v>0.20068947379965651</v>
      </c>
      <c r="E183" s="278">
        <v>0.15748057924343217</v>
      </c>
      <c r="F183" s="278">
        <v>0.12902060650232383</v>
      </c>
      <c r="G183" s="278">
        <v>9.5483493172266343E-2</v>
      </c>
      <c r="AE183" s="266"/>
    </row>
    <row r="184" spans="1:31" ht="12" customHeight="1" x14ac:dyDescent="0.2">
      <c r="A184" s="291"/>
      <c r="B184" s="292"/>
      <c r="C184" s="293"/>
      <c r="D184" s="293"/>
      <c r="E184" s="293"/>
      <c r="F184" s="293"/>
      <c r="G184" s="294"/>
      <c r="H184" s="294"/>
      <c r="I184" s="294"/>
      <c r="J184" s="294"/>
      <c r="K184" s="295"/>
      <c r="L184" s="295"/>
      <c r="M184" s="295"/>
      <c r="N184" s="295"/>
      <c r="O184" s="295"/>
      <c r="P184" s="295"/>
      <c r="Q184" s="295"/>
      <c r="R184" s="295"/>
      <c r="S184" s="295"/>
      <c r="T184" s="295"/>
      <c r="U184" s="295"/>
      <c r="V184" s="295"/>
      <c r="W184" s="295"/>
      <c r="X184" s="295"/>
      <c r="Y184" s="295"/>
      <c r="Z184" s="295"/>
      <c r="AE184" s="266"/>
    </row>
    <row r="185" spans="1:31" ht="21" customHeight="1" x14ac:dyDescent="0.2">
      <c r="A185" s="282" t="s">
        <v>247</v>
      </c>
      <c r="B185" s="15"/>
      <c r="AA185" s="290"/>
      <c r="AB185" s="290"/>
      <c r="AC185" s="290"/>
      <c r="AD185" s="290"/>
      <c r="AE185" s="329"/>
    </row>
    <row r="186" spans="1:31" ht="12" customHeight="1" x14ac:dyDescent="0.2">
      <c r="A186" s="283" t="s">
        <v>249</v>
      </c>
      <c r="B186" s="156"/>
      <c r="AE186" s="266"/>
    </row>
    <row r="187" spans="1:31" ht="12" customHeight="1" x14ac:dyDescent="0.2">
      <c r="AE187" s="266"/>
    </row>
    <row r="188" spans="1:31" ht="12" customHeight="1" x14ac:dyDescent="0.2">
      <c r="AE188" s="266"/>
    </row>
    <row r="189" spans="1:31" ht="12" customHeight="1" x14ac:dyDescent="0.2">
      <c r="AE189" s="266"/>
    </row>
    <row r="190" spans="1:31" ht="12" customHeight="1" x14ac:dyDescent="0.2">
      <c r="AE190" s="266"/>
    </row>
    <row r="191" spans="1:31" ht="12" customHeight="1" x14ac:dyDescent="0.2">
      <c r="AE191" s="266"/>
    </row>
    <row r="192" spans="1:31" ht="12" customHeight="1" x14ac:dyDescent="0.2">
      <c r="AE192" s="266"/>
    </row>
    <row r="193" spans="1:31" ht="12" customHeight="1" x14ac:dyDescent="0.2">
      <c r="A193" s="198"/>
      <c r="B193" s="15"/>
      <c r="D193" s="23" t="s">
        <v>190</v>
      </c>
      <c r="AE193" s="266"/>
    </row>
    <row r="194" spans="1:31" ht="12" customHeight="1" x14ac:dyDescent="0.2">
      <c r="A194" s="237"/>
      <c r="B194" s="159">
        <f ca="1">$C$157</f>
        <v>0.50824109220538261</v>
      </c>
      <c r="C194" s="15">
        <v>0</v>
      </c>
      <c r="D194" s="19">
        <v>5</v>
      </c>
      <c r="E194" s="19">
        <v>8</v>
      </c>
      <c r="F194" s="19">
        <v>10</v>
      </c>
      <c r="AE194" s="266"/>
    </row>
    <row r="195" spans="1:31" ht="12" customHeight="1" x14ac:dyDescent="0.2">
      <c r="A195" s="237"/>
      <c r="B195" s="15">
        <v>0</v>
      </c>
      <c r="C195" s="160">
        <f t="dataTable" ref="C195:F197" dt2D="1" dtr="1" r1="C103" r2="C109" ca="1"/>
        <v>0.52246833901975098</v>
      </c>
      <c r="D195" s="158">
        <v>0.50870663037300745</v>
      </c>
      <c r="E195" s="158">
        <v>0.48077710639161098</v>
      </c>
      <c r="F195" s="158">
        <v>0.46047984928037544</v>
      </c>
      <c r="AE195" s="266"/>
    </row>
    <row r="196" spans="1:31" ht="12" customHeight="1" x14ac:dyDescent="0.2">
      <c r="A196" s="284" t="s">
        <v>248</v>
      </c>
      <c r="B196" s="15">
        <v>5</v>
      </c>
      <c r="C196" s="160">
        <v>0.50824109220538261</v>
      </c>
      <c r="D196" s="158">
        <v>0.50824109220538261</v>
      </c>
      <c r="E196" s="158">
        <v>0.48077710639161098</v>
      </c>
      <c r="F196" s="158">
        <v>0.46047984928037544</v>
      </c>
      <c r="AE196" s="266"/>
    </row>
    <row r="197" spans="1:31" ht="12" customHeight="1" x14ac:dyDescent="0.2">
      <c r="A197" s="237"/>
      <c r="B197" s="15">
        <v>10</v>
      </c>
      <c r="C197" s="160">
        <v>0.50029055438272862</v>
      </c>
      <c r="D197" s="158">
        <v>0.50029055438272862</v>
      </c>
      <c r="E197" s="158">
        <v>0.48077710639161098</v>
      </c>
      <c r="F197" s="158">
        <v>0.46047984928037544</v>
      </c>
      <c r="AE197" s="266"/>
    </row>
    <row r="198" spans="1:31" ht="12" customHeight="1" x14ac:dyDescent="0.2">
      <c r="A198" s="198"/>
      <c r="B198" s="15"/>
      <c r="AE198" s="266"/>
    </row>
    <row r="199" spans="1:31" ht="12" customHeight="1" x14ac:dyDescent="0.2">
      <c r="A199" s="198"/>
      <c r="B199" s="15"/>
      <c r="AE199" s="266"/>
    </row>
    <row r="200" spans="1:31" ht="12" customHeight="1" x14ac:dyDescent="0.2">
      <c r="A200" s="285"/>
      <c r="B200" s="15"/>
      <c r="C200" s="161"/>
      <c r="D200" s="162"/>
      <c r="E200" s="162"/>
      <c r="F200" s="162"/>
      <c r="AE200" s="266"/>
    </row>
    <row r="201" spans="1:31" ht="12" customHeight="1" x14ac:dyDescent="0.2">
      <c r="A201" s="237"/>
      <c r="B201" s="15"/>
      <c r="C201" s="160"/>
      <c r="D201" s="158"/>
      <c r="E201" s="158"/>
      <c r="F201" s="158"/>
      <c r="AE201" s="266"/>
    </row>
    <row r="202" spans="1:31" ht="12" customHeight="1" x14ac:dyDescent="0.2">
      <c r="A202" s="334"/>
      <c r="B202" s="15"/>
      <c r="C202" s="160"/>
      <c r="D202" s="158"/>
      <c r="E202" s="158"/>
      <c r="F202" s="158"/>
      <c r="AE202" s="266"/>
    </row>
    <row r="203" spans="1:31" ht="12" customHeight="1" x14ac:dyDescent="0.2">
      <c r="A203" s="330"/>
      <c r="B203" s="331"/>
      <c r="C203" s="289"/>
      <c r="D203" s="289"/>
      <c r="E203" s="289"/>
      <c r="F203" s="289"/>
      <c r="G203" s="289"/>
      <c r="H203" s="289"/>
      <c r="I203" s="289"/>
      <c r="J203" s="289"/>
      <c r="K203" s="290"/>
      <c r="L203" s="290"/>
      <c r="M203" s="290"/>
      <c r="N203" s="290"/>
      <c r="O203" s="290"/>
      <c r="P203" s="290"/>
      <c r="Q203" s="290"/>
      <c r="R203" s="290"/>
      <c r="S203" s="290"/>
      <c r="T203" s="290"/>
      <c r="U203" s="290"/>
      <c r="V203" s="290"/>
      <c r="W203" s="290"/>
      <c r="X203" s="290"/>
      <c r="Y203" s="290"/>
      <c r="Z203" s="290"/>
      <c r="AA203" s="290"/>
      <c r="AB203" s="290"/>
      <c r="AC203" s="290"/>
      <c r="AD203" s="290"/>
      <c r="AE203" s="329"/>
    </row>
    <row r="204" spans="1:31" ht="18" customHeight="1" x14ac:dyDescent="0.2">
      <c r="A204" s="282" t="s">
        <v>418</v>
      </c>
      <c r="AE204" s="266"/>
    </row>
    <row r="205" spans="1:31" ht="18" customHeight="1" x14ac:dyDescent="0.2">
      <c r="A205" s="334" t="s">
        <v>469</v>
      </c>
      <c r="AE205" s="266"/>
    </row>
    <row r="206" spans="1:31" ht="18" customHeight="1" x14ac:dyDescent="0.2">
      <c r="A206" s="333"/>
      <c r="AE206" s="266"/>
    </row>
    <row r="207" spans="1:31" ht="12" customHeight="1" x14ac:dyDescent="0.2">
      <c r="A207" s="283" t="s">
        <v>250</v>
      </c>
      <c r="AE207" s="266"/>
    </row>
    <row r="208" spans="1:31" ht="12" customHeight="1" x14ac:dyDescent="0.2">
      <c r="A208" s="198"/>
      <c r="B208" s="15"/>
      <c r="D208" s="23" t="s">
        <v>76</v>
      </c>
      <c r="AE208" s="266"/>
    </row>
    <row r="209" spans="1:31" ht="12" customHeight="1" x14ac:dyDescent="0.2">
      <c r="A209" s="237"/>
      <c r="B209" s="332">
        <f ca="1">$C$157</f>
        <v>0.50824109220538261</v>
      </c>
      <c r="C209" s="157">
        <v>0.6</v>
      </c>
      <c r="D209" s="163">
        <v>0.8</v>
      </c>
      <c r="E209" s="163">
        <v>1</v>
      </c>
      <c r="F209" s="163">
        <v>1.2</v>
      </c>
      <c r="G209" s="163"/>
      <c r="AE209" s="266"/>
    </row>
    <row r="210" spans="1:31" ht="12" customHeight="1" x14ac:dyDescent="0.2">
      <c r="A210" s="237"/>
      <c r="B210" s="157">
        <v>0</v>
      </c>
      <c r="C210" s="88">
        <f t="dataTable" ref="C210:F212" dt2D="1" dtr="1" r1="C146" r2="C95" ca="1"/>
        <v>-3.0875245084031406</v>
      </c>
      <c r="D210" s="278">
        <v>0.5791161439344924</v>
      </c>
      <c r="E210" s="278">
        <v>0.50824109220538261</v>
      </c>
      <c r="F210" s="278">
        <v>0.48847639508867369</v>
      </c>
      <c r="G210" s="278"/>
      <c r="AE210" s="266"/>
    </row>
    <row r="211" spans="1:31" ht="12" customHeight="1" x14ac:dyDescent="0.2">
      <c r="A211" s="284" t="s">
        <v>251</v>
      </c>
      <c r="B211" s="157">
        <v>0.2</v>
      </c>
      <c r="C211" s="88">
        <v>-3.0875245084031406</v>
      </c>
      <c r="D211" s="278">
        <v>0.67900253520777976</v>
      </c>
      <c r="E211" s="278">
        <v>0.62302764700783264</v>
      </c>
      <c r="F211" s="278">
        <v>0.60743101843708014</v>
      </c>
      <c r="G211" s="278"/>
      <c r="AE211" s="266"/>
    </row>
    <row r="212" spans="1:31" ht="12" customHeight="1" x14ac:dyDescent="0.2">
      <c r="A212" s="237"/>
      <c r="B212" s="157">
        <v>0.5</v>
      </c>
      <c r="C212" s="88">
        <v>-3.0875245084031406</v>
      </c>
      <c r="D212" s="278">
        <v>0.82883212211771107</v>
      </c>
      <c r="E212" s="278">
        <v>0.79520747921150781</v>
      </c>
      <c r="F212" s="278">
        <v>0.78586295345968971</v>
      </c>
      <c r="G212" s="278"/>
      <c r="AE212" s="266"/>
    </row>
    <row r="213" spans="1:31" ht="12" customHeight="1" x14ac:dyDescent="0.2">
      <c r="A213" s="237"/>
      <c r="B213" s="157"/>
      <c r="C213" s="88"/>
      <c r="D213" s="278"/>
      <c r="E213" s="278"/>
      <c r="F213" s="278"/>
      <c r="G213" s="278"/>
      <c r="AE213" s="266"/>
    </row>
    <row r="214" spans="1:31" ht="12" customHeight="1" x14ac:dyDescent="0.2">
      <c r="A214" s="237" t="s">
        <v>458</v>
      </c>
      <c r="B214" s="157"/>
      <c r="C214" s="88"/>
      <c r="D214" s="278"/>
      <c r="E214" s="278"/>
      <c r="F214" s="278"/>
      <c r="G214" s="278"/>
      <c r="AE214" s="266"/>
    </row>
    <row r="215" spans="1:31" ht="12" customHeight="1" x14ac:dyDescent="0.2">
      <c r="A215" s="237" t="s">
        <v>417</v>
      </c>
      <c r="B215" s="157"/>
      <c r="C215" s="88"/>
      <c r="D215" s="278"/>
      <c r="E215" s="278"/>
      <c r="F215" s="278"/>
      <c r="G215" s="278"/>
      <c r="AE215" s="266"/>
    </row>
    <row r="216" spans="1:31" ht="12" customHeight="1" x14ac:dyDescent="0.2">
      <c r="A216" s="237"/>
      <c r="B216" s="157"/>
      <c r="C216" s="88"/>
      <c r="D216" s="278"/>
      <c r="E216" s="278"/>
      <c r="F216" s="278"/>
      <c r="G216" s="278"/>
      <c r="AE216" s="266"/>
    </row>
    <row r="217" spans="1:31" ht="12" customHeight="1" x14ac:dyDescent="0.2">
      <c r="A217" s="283" t="s">
        <v>459</v>
      </c>
      <c r="AE217" s="266"/>
    </row>
    <row r="218" spans="1:31" ht="12" customHeight="1" x14ac:dyDescent="0.2">
      <c r="A218" s="198"/>
      <c r="B218" s="15"/>
      <c r="D218" s="23" t="s">
        <v>245</v>
      </c>
      <c r="AE218" s="266"/>
    </row>
    <row r="219" spans="1:31" ht="12" customHeight="1" x14ac:dyDescent="0.2">
      <c r="A219" s="237"/>
      <c r="B219" s="159">
        <f ca="1">$C$157</f>
        <v>0.50824109220538261</v>
      </c>
      <c r="C219" s="157">
        <v>0.6</v>
      </c>
      <c r="D219" s="163">
        <v>0.8</v>
      </c>
      <c r="E219" s="163">
        <v>1</v>
      </c>
      <c r="F219" s="163">
        <v>1.5</v>
      </c>
      <c r="AE219" s="266"/>
    </row>
    <row r="220" spans="1:31" ht="12" customHeight="1" x14ac:dyDescent="0.2">
      <c r="A220" s="237"/>
      <c r="B220" s="157">
        <v>0</v>
      </c>
      <c r="C220" s="160">
        <f t="dataTable" ref="C220:F222" dt2D="1" dtr="1" r1="C148" r2="C95" ca="1"/>
        <v>0.47777840557345475</v>
      </c>
      <c r="D220" s="158">
        <v>0.48852694068696928</v>
      </c>
      <c r="E220" s="158">
        <v>0.50824109220538261</v>
      </c>
      <c r="F220" s="158">
        <v>0.75475301504070302</v>
      </c>
      <c r="AE220" s="266"/>
    </row>
    <row r="221" spans="1:31" ht="12" customHeight="1" x14ac:dyDescent="0.2">
      <c r="A221" s="284" t="s">
        <v>251</v>
      </c>
      <c r="B221" s="157">
        <v>0.2</v>
      </c>
      <c r="C221" s="160">
        <v>0.59919389736984952</v>
      </c>
      <c r="D221" s="158">
        <v>0.60758998086334814</v>
      </c>
      <c r="E221" s="158">
        <v>0.62302764700783264</v>
      </c>
      <c r="F221" s="158">
        <v>0.81845619126291747</v>
      </c>
      <c r="AE221" s="266"/>
    </row>
    <row r="222" spans="1:31" ht="12" customHeight="1" x14ac:dyDescent="0.2">
      <c r="A222" s="237"/>
      <c r="B222" s="157">
        <v>0.5</v>
      </c>
      <c r="C222" s="160">
        <v>0.78131713506444134</v>
      </c>
      <c r="D222" s="158">
        <v>0.78618454112791636</v>
      </c>
      <c r="E222" s="158">
        <v>0.79520747921150781</v>
      </c>
      <c r="F222" s="158">
        <v>0.91401095559623913</v>
      </c>
      <c r="AE222" s="266"/>
    </row>
    <row r="223" spans="1:31" ht="12" customHeight="1" x14ac:dyDescent="0.2">
      <c r="A223" s="237" t="s">
        <v>460</v>
      </c>
      <c r="AE223" s="266"/>
    </row>
    <row r="224" spans="1:31" ht="12" customHeight="1" x14ac:dyDescent="0.2">
      <c r="A224" s="237" t="s">
        <v>417</v>
      </c>
      <c r="AE224" s="266"/>
    </row>
    <row r="225" spans="1:31" ht="12" customHeight="1" x14ac:dyDescent="0.2">
      <c r="A225" s="237"/>
      <c r="AE225" s="266"/>
    </row>
    <row r="226" spans="1:31" ht="12" customHeight="1" x14ac:dyDescent="0.2">
      <c r="A226" s="237"/>
      <c r="AE226" s="266"/>
    </row>
    <row r="227" spans="1:31" ht="12" customHeight="1" x14ac:dyDescent="0.2">
      <c r="A227" s="237"/>
      <c r="AE227" s="266"/>
    </row>
    <row r="228" spans="1:31" ht="12" customHeight="1" x14ac:dyDescent="0.2">
      <c r="A228" s="237"/>
      <c r="AE228" s="266"/>
    </row>
    <row r="229" spans="1:31" ht="12" customHeight="1" thickBot="1" x14ac:dyDescent="0.25">
      <c r="A229" s="276"/>
      <c r="B229" s="271"/>
      <c r="C229" s="269"/>
      <c r="D229" s="269"/>
      <c r="E229" s="269"/>
      <c r="F229" s="269"/>
      <c r="G229" s="269"/>
      <c r="H229" s="269"/>
      <c r="I229" s="269"/>
      <c r="J229" s="269"/>
      <c r="K229" s="271"/>
      <c r="L229" s="271"/>
      <c r="M229" s="271"/>
      <c r="N229" s="271"/>
      <c r="O229" s="271"/>
      <c r="P229" s="271"/>
      <c r="Q229" s="271"/>
      <c r="R229" s="271"/>
      <c r="S229" s="271"/>
      <c r="T229" s="271"/>
      <c r="U229" s="271"/>
      <c r="V229" s="271"/>
      <c r="W229" s="271"/>
      <c r="X229" s="271"/>
      <c r="Y229" s="271"/>
      <c r="Z229" s="271"/>
      <c r="AA229" s="271"/>
      <c r="AB229" s="271"/>
      <c r="AC229" s="271"/>
      <c r="AD229" s="271"/>
      <c r="AE229" s="272"/>
    </row>
    <row r="230" spans="1:31" ht="12" customHeight="1" x14ac:dyDescent="0.2"/>
    <row r="231" spans="1:31" ht="12" customHeight="1" x14ac:dyDescent="0.2">
      <c r="A231" s="282" t="s">
        <v>477</v>
      </c>
    </row>
    <row r="232" spans="1:31" ht="12" customHeight="1" x14ac:dyDescent="0.2"/>
    <row r="233" spans="1:31" ht="12" customHeight="1" x14ac:dyDescent="0.2">
      <c r="A233" s="283" t="s">
        <v>475</v>
      </c>
      <c r="B233" s="18"/>
    </row>
    <row r="234" spans="1:31" ht="12" customHeight="1" x14ac:dyDescent="0.2">
      <c r="A234" s="237"/>
      <c r="C234" s="372">
        <v>2E-3</v>
      </c>
      <c r="D234" s="372">
        <v>5.0000000000000001E-3</v>
      </c>
      <c r="E234" s="372">
        <v>0.01</v>
      </c>
      <c r="F234" s="372">
        <v>0.05</v>
      </c>
      <c r="G234" s="372">
        <v>0.2</v>
      </c>
    </row>
    <row r="235" spans="1:31" ht="12" customHeight="1" x14ac:dyDescent="0.2">
      <c r="A235" s="262" t="s">
        <v>486</v>
      </c>
      <c r="B235" s="373">
        <f ca="1">'Cash Flows'!B23</f>
        <v>541.00321767202558</v>
      </c>
      <c r="C235" s="374">
        <f t="dataTable" ref="C235:G238" dt2D="0" dtr="1" r1="C124" ca="1"/>
        <v>541.00321767202558</v>
      </c>
      <c r="D235" s="374">
        <v>536.98559313002329</v>
      </c>
      <c r="E235" s="374">
        <v>530.28955222668617</v>
      </c>
      <c r="F235" s="374">
        <v>476.72122499999</v>
      </c>
      <c r="G235" s="374">
        <v>313.65315018184907</v>
      </c>
    </row>
    <row r="236" spans="1:31" ht="12" customHeight="1" x14ac:dyDescent="0.2">
      <c r="A236" s="262" t="s">
        <v>487</v>
      </c>
      <c r="B236" s="373">
        <f ca="1">'Cash Flows'!A23</f>
        <v>4111.9549901952205</v>
      </c>
      <c r="C236" s="374">
        <v>4111.9549901952205</v>
      </c>
      <c r="D236" s="374">
        <v>4084.6810556233117</v>
      </c>
      <c r="E236" s="374">
        <v>4039.224498003462</v>
      </c>
      <c r="F236" s="374">
        <v>3675.5720370446666</v>
      </c>
      <c r="G236" s="374">
        <v>2424.3639567536852</v>
      </c>
    </row>
    <row r="237" spans="1:31" ht="12" customHeight="1" x14ac:dyDescent="0.2">
      <c r="A237" s="262" t="s">
        <v>488</v>
      </c>
      <c r="B237" s="373">
        <f ca="1">Calculations!B167</f>
        <v>66.455575169675171</v>
      </c>
      <c r="C237" s="374">
        <v>66.455575169675171</v>
      </c>
      <c r="D237" s="374">
        <v>65.81186720660682</v>
      </c>
      <c r="E237" s="374">
        <v>64.739020601492996</v>
      </c>
      <c r="F237" s="374">
        <v>56.156247760582175</v>
      </c>
      <c r="G237" s="374">
        <v>21.216346644229819</v>
      </c>
    </row>
    <row r="238" spans="1:31" ht="12" customHeight="1" x14ac:dyDescent="0.2">
      <c r="A238" s="262" t="s">
        <v>489</v>
      </c>
      <c r="B238" s="373">
        <f ca="1">Calculations!A167</f>
        <v>475.89788441338874</v>
      </c>
      <c r="C238" s="374">
        <v>475.89788441338874</v>
      </c>
      <c r="D238" s="374">
        <v>471.91536247885745</v>
      </c>
      <c r="E238" s="374">
        <v>465.27782592130495</v>
      </c>
      <c r="F238" s="374">
        <v>412.17753346088506</v>
      </c>
      <c r="G238" s="374">
        <v>204.00141916336997</v>
      </c>
    </row>
    <row r="239" spans="1:31" ht="12" customHeight="1" x14ac:dyDescent="0.2"/>
    <row r="240" spans="1:31"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row r="251" ht="12" customHeight="1" x14ac:dyDescent="0.2"/>
    <row r="252" ht="12" customHeight="1" x14ac:dyDescent="0.2"/>
    <row r="253" ht="12" customHeight="1" x14ac:dyDescent="0.2"/>
    <row r="254" ht="12" customHeight="1" x14ac:dyDescent="0.2"/>
    <row r="255" ht="12" customHeight="1" x14ac:dyDescent="0.2"/>
    <row r="256" ht="12" customHeight="1" x14ac:dyDescent="0.2"/>
    <row r="257" ht="12" customHeight="1" x14ac:dyDescent="0.2"/>
    <row r="258" ht="12" customHeight="1" x14ac:dyDescent="0.2"/>
    <row r="259" ht="12" customHeight="1" x14ac:dyDescent="0.2"/>
    <row r="260" ht="12" customHeight="1" x14ac:dyDescent="0.2"/>
    <row r="261" ht="12" customHeight="1" x14ac:dyDescent="0.2"/>
    <row r="262" ht="12" customHeight="1" x14ac:dyDescent="0.2"/>
    <row r="263" ht="12" customHeight="1" x14ac:dyDescent="0.2"/>
    <row r="264" ht="12" customHeight="1" x14ac:dyDescent="0.2"/>
    <row r="265" ht="12" customHeight="1" x14ac:dyDescent="0.2"/>
    <row r="266" ht="12" customHeight="1" x14ac:dyDescent="0.2"/>
    <row r="267" ht="12" customHeight="1" x14ac:dyDescent="0.2"/>
    <row r="268" ht="12" customHeight="1" x14ac:dyDescent="0.2"/>
    <row r="269" ht="12" customHeight="1" x14ac:dyDescent="0.2"/>
    <row r="270" ht="12" customHeight="1" x14ac:dyDescent="0.2"/>
    <row r="271" ht="12" customHeight="1" x14ac:dyDescent="0.2"/>
    <row r="272" ht="12" customHeight="1" x14ac:dyDescent="0.2"/>
    <row r="273" ht="12" customHeight="1" x14ac:dyDescent="0.2"/>
    <row r="274" ht="12" customHeight="1" x14ac:dyDescent="0.2"/>
    <row r="275" ht="12" customHeight="1" x14ac:dyDescent="0.2"/>
    <row r="276" ht="12" customHeight="1" x14ac:dyDescent="0.2"/>
    <row r="277" ht="12" customHeight="1" x14ac:dyDescent="0.2"/>
    <row r="278" ht="12" customHeight="1" x14ac:dyDescent="0.2"/>
    <row r="279" ht="12" customHeight="1" x14ac:dyDescent="0.2"/>
    <row r="280" ht="12" customHeight="1" x14ac:dyDescent="0.2"/>
    <row r="281" ht="12" customHeight="1" x14ac:dyDescent="0.2"/>
    <row r="282" ht="12" customHeight="1" x14ac:dyDescent="0.2"/>
    <row r="283" ht="12" customHeight="1" x14ac:dyDescent="0.2"/>
    <row r="284" ht="12" customHeight="1" x14ac:dyDescent="0.2"/>
    <row r="285" ht="12" customHeight="1" x14ac:dyDescent="0.2"/>
    <row r="286" ht="12" customHeight="1" x14ac:dyDescent="0.2"/>
    <row r="287" ht="12" customHeight="1" x14ac:dyDescent="0.2"/>
    <row r="288" ht="12" customHeight="1" x14ac:dyDescent="0.2"/>
    <row r="289" ht="12" customHeight="1" x14ac:dyDescent="0.2"/>
  </sheetData>
  <dataConsolidate/>
  <mergeCells count="5">
    <mergeCell ref="B2:B3"/>
    <mergeCell ref="P59:S60"/>
    <mergeCell ref="AC2:AC3"/>
    <mergeCell ref="AD2:AD3"/>
    <mergeCell ref="AE2:AE3"/>
  </mergeCells>
  <phoneticPr fontId="0" type="noConversion"/>
  <dataValidations count="1">
    <dataValidation type="list" allowBlank="1" showInputMessage="1" showErrorMessage="1" sqref="C3">
      <formula1>$D$3:$N$3</formula1>
    </dataValidation>
  </dataValidations>
  <pageMargins left="0.75" right="0.75" top="1" bottom="1" header="0" footer="0"/>
  <pageSetup paperSize="9" orientation="portrait"/>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sheetPr>
  <dimension ref="B1:BA22"/>
  <sheetViews>
    <sheetView topLeftCell="J1" zoomScale="125" zoomScaleNormal="125" zoomScalePageLayoutView="125" workbookViewId="0">
      <selection activeCell="U25" sqref="U25"/>
    </sheetView>
  </sheetViews>
  <sheetFormatPr defaultColWidth="11.42578125" defaultRowHeight="12.75" x14ac:dyDescent="0.2"/>
  <cols>
    <col min="2" max="2" width="33.28515625" bestFit="1" customWidth="1"/>
    <col min="3" max="3" width="11.42578125" style="26"/>
    <col min="4" max="7" width="11.140625" bestFit="1" customWidth="1"/>
    <col min="8" max="15" width="13.140625" bestFit="1" customWidth="1"/>
    <col min="16" max="32" width="14" bestFit="1" customWidth="1"/>
    <col min="33" max="34" width="13.140625" bestFit="1" customWidth="1"/>
    <col min="35" max="53" width="11.140625" bestFit="1" customWidth="1"/>
  </cols>
  <sheetData>
    <row r="1" spans="2:53" s="1" customFormat="1" x14ac:dyDescent="0.2">
      <c r="B1" s="1" t="s">
        <v>44</v>
      </c>
      <c r="C1" s="25"/>
      <c r="D1" s="42">
        <v>2015</v>
      </c>
      <c r="E1" s="25">
        <f>D1+1</f>
        <v>2016</v>
      </c>
      <c r="F1" s="25">
        <f t="shared" ref="F1:AH1" si="0">E1+1</f>
        <v>2017</v>
      </c>
      <c r="G1" s="25">
        <f t="shared" si="0"/>
        <v>2018</v>
      </c>
      <c r="H1" s="25">
        <f t="shared" si="0"/>
        <v>2019</v>
      </c>
      <c r="I1" s="25">
        <f t="shared" si="0"/>
        <v>2020</v>
      </c>
      <c r="J1" s="25">
        <f t="shared" si="0"/>
        <v>2021</v>
      </c>
      <c r="K1" s="25">
        <f t="shared" si="0"/>
        <v>2022</v>
      </c>
      <c r="L1" s="25">
        <f t="shared" si="0"/>
        <v>2023</v>
      </c>
      <c r="M1" s="25">
        <f t="shared" si="0"/>
        <v>2024</v>
      </c>
      <c r="N1" s="25">
        <f t="shared" si="0"/>
        <v>2025</v>
      </c>
      <c r="O1" s="25">
        <f t="shared" si="0"/>
        <v>2026</v>
      </c>
      <c r="P1" s="25">
        <f t="shared" si="0"/>
        <v>2027</v>
      </c>
      <c r="Q1" s="25">
        <f t="shared" si="0"/>
        <v>2028</v>
      </c>
      <c r="R1" s="25">
        <f t="shared" si="0"/>
        <v>2029</v>
      </c>
      <c r="S1" s="25">
        <f t="shared" si="0"/>
        <v>2030</v>
      </c>
      <c r="T1" s="25">
        <f t="shared" si="0"/>
        <v>2031</v>
      </c>
      <c r="U1" s="25">
        <f t="shared" si="0"/>
        <v>2032</v>
      </c>
      <c r="V1" s="25">
        <f t="shared" si="0"/>
        <v>2033</v>
      </c>
      <c r="W1" s="25">
        <f t="shared" si="0"/>
        <v>2034</v>
      </c>
      <c r="X1" s="25">
        <f t="shared" si="0"/>
        <v>2035</v>
      </c>
      <c r="Y1" s="25">
        <f t="shared" si="0"/>
        <v>2036</v>
      </c>
      <c r="Z1" s="25">
        <f t="shared" si="0"/>
        <v>2037</v>
      </c>
      <c r="AA1" s="25">
        <f t="shared" si="0"/>
        <v>2038</v>
      </c>
      <c r="AB1" s="25">
        <f t="shared" si="0"/>
        <v>2039</v>
      </c>
      <c r="AC1" s="25">
        <f t="shared" si="0"/>
        <v>2040</v>
      </c>
      <c r="AD1" s="25">
        <f t="shared" si="0"/>
        <v>2041</v>
      </c>
      <c r="AE1" s="25">
        <f t="shared" si="0"/>
        <v>2042</v>
      </c>
      <c r="AF1" s="25">
        <f t="shared" si="0"/>
        <v>2043</v>
      </c>
      <c r="AG1" s="25">
        <f t="shared" si="0"/>
        <v>2044</v>
      </c>
      <c r="AH1" s="25">
        <f t="shared" si="0"/>
        <v>2045</v>
      </c>
      <c r="AI1" s="25">
        <f t="shared" ref="AI1" si="1">AH1+1</f>
        <v>2046</v>
      </c>
      <c r="AJ1" s="25">
        <f t="shared" ref="AJ1" si="2">AI1+1</f>
        <v>2047</v>
      </c>
      <c r="AK1" s="25">
        <f t="shared" ref="AK1" si="3">AJ1+1</f>
        <v>2048</v>
      </c>
      <c r="AL1" s="25">
        <f t="shared" ref="AL1" si="4">AK1+1</f>
        <v>2049</v>
      </c>
      <c r="AM1" s="25">
        <f t="shared" ref="AM1" si="5">AL1+1</f>
        <v>2050</v>
      </c>
      <c r="AN1" s="25">
        <f t="shared" ref="AN1" si="6">AM1+1</f>
        <v>2051</v>
      </c>
      <c r="AO1" s="25">
        <f t="shared" ref="AO1" si="7">AN1+1</f>
        <v>2052</v>
      </c>
      <c r="AP1" s="25">
        <f t="shared" ref="AP1" si="8">AO1+1</f>
        <v>2053</v>
      </c>
      <c r="AQ1" s="25">
        <f t="shared" ref="AQ1" si="9">AP1+1</f>
        <v>2054</v>
      </c>
      <c r="AR1" s="25">
        <f t="shared" ref="AR1" si="10">AQ1+1</f>
        <v>2055</v>
      </c>
      <c r="AS1" s="25">
        <f t="shared" ref="AS1" si="11">AR1+1</f>
        <v>2056</v>
      </c>
      <c r="AT1" s="25">
        <f t="shared" ref="AT1" si="12">AS1+1</f>
        <v>2057</v>
      </c>
      <c r="AU1" s="25">
        <f t="shared" ref="AU1" si="13">AT1+1</f>
        <v>2058</v>
      </c>
      <c r="AV1" s="25">
        <f t="shared" ref="AV1" si="14">AU1+1</f>
        <v>2059</v>
      </c>
      <c r="AW1" s="25">
        <f t="shared" ref="AW1" si="15">AV1+1</f>
        <v>2060</v>
      </c>
      <c r="AX1" s="25">
        <f t="shared" ref="AX1" si="16">AW1+1</f>
        <v>2061</v>
      </c>
      <c r="AY1" s="25">
        <f t="shared" ref="AY1" si="17">AX1+1</f>
        <v>2062</v>
      </c>
      <c r="AZ1" s="25">
        <f t="shared" ref="AZ1" si="18">AY1+1</f>
        <v>2063</v>
      </c>
      <c r="BA1" s="25">
        <f t="shared" ref="BA1" si="19">AZ1+1</f>
        <v>2064</v>
      </c>
    </row>
    <row r="2" spans="2:53" x14ac:dyDescent="0.2">
      <c r="B2" t="s">
        <v>361</v>
      </c>
      <c r="D2" s="24">
        <v>1</v>
      </c>
      <c r="E2" s="24">
        <v>2</v>
      </c>
      <c r="F2" s="24">
        <v>3</v>
      </c>
      <c r="G2" s="24">
        <v>4</v>
      </c>
      <c r="H2" s="24">
        <v>5</v>
      </c>
      <c r="I2" s="24">
        <v>6</v>
      </c>
      <c r="J2" s="24">
        <v>7</v>
      </c>
      <c r="K2" s="24">
        <v>8</v>
      </c>
      <c r="L2" s="24">
        <v>9</v>
      </c>
      <c r="M2" s="24">
        <v>10</v>
      </c>
      <c r="N2" s="24">
        <v>11</v>
      </c>
      <c r="O2" s="24">
        <v>12</v>
      </c>
      <c r="P2" s="24">
        <v>13</v>
      </c>
      <c r="Q2" s="24">
        <v>14</v>
      </c>
      <c r="R2" s="24">
        <v>15</v>
      </c>
      <c r="S2" s="24">
        <v>16</v>
      </c>
      <c r="T2" s="24">
        <v>17</v>
      </c>
      <c r="U2" s="24">
        <v>18</v>
      </c>
      <c r="V2" s="24">
        <v>19</v>
      </c>
      <c r="W2" s="24">
        <v>20</v>
      </c>
      <c r="X2" s="24">
        <v>21</v>
      </c>
      <c r="Y2" s="24">
        <v>22</v>
      </c>
      <c r="Z2" s="24">
        <v>23</v>
      </c>
      <c r="AA2" s="24">
        <v>24</v>
      </c>
      <c r="AB2" s="24">
        <v>25</v>
      </c>
      <c r="AC2" s="24">
        <v>26</v>
      </c>
      <c r="AD2" s="24">
        <v>27</v>
      </c>
      <c r="AE2" s="24">
        <v>28</v>
      </c>
      <c r="AF2" s="24">
        <v>29</v>
      </c>
      <c r="AG2" s="24">
        <v>30</v>
      </c>
      <c r="AH2" s="24">
        <v>31</v>
      </c>
      <c r="AI2" s="24">
        <v>32</v>
      </c>
      <c r="AJ2" s="24">
        <v>33</v>
      </c>
      <c r="AK2" s="24">
        <v>34</v>
      </c>
      <c r="AL2" s="24">
        <v>35</v>
      </c>
      <c r="AM2" s="24">
        <v>36</v>
      </c>
      <c r="AN2" s="24">
        <v>37</v>
      </c>
      <c r="AO2" s="24">
        <v>38</v>
      </c>
      <c r="AP2" s="24">
        <v>39</v>
      </c>
      <c r="AQ2" s="24">
        <v>40</v>
      </c>
      <c r="AR2" s="24">
        <v>41</v>
      </c>
      <c r="AS2" s="24">
        <v>42</v>
      </c>
      <c r="AT2" s="24">
        <v>43</v>
      </c>
      <c r="AU2" s="24">
        <v>44</v>
      </c>
      <c r="AV2" s="24">
        <v>45</v>
      </c>
      <c r="AW2" s="24">
        <v>46</v>
      </c>
      <c r="AX2" s="24">
        <v>47</v>
      </c>
      <c r="AY2" s="24">
        <v>48</v>
      </c>
      <c r="AZ2" s="24">
        <v>49</v>
      </c>
      <c r="BA2" s="24">
        <v>50</v>
      </c>
    </row>
    <row r="3" spans="2:53" x14ac:dyDescent="0.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row>
    <row r="4" spans="2:53" s="39" customFormat="1" x14ac:dyDescent="0.2">
      <c r="B4" s="40" t="s">
        <v>77</v>
      </c>
      <c r="C4" s="41"/>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row>
    <row r="5" spans="2:53" x14ac:dyDescent="0.2">
      <c r="B5" s="18" t="s">
        <v>162</v>
      </c>
      <c r="C5" s="27" t="s">
        <v>164</v>
      </c>
      <c r="D5" s="84">
        <v>0</v>
      </c>
      <c r="E5" s="84">
        <v>0</v>
      </c>
      <c r="F5" s="84">
        <v>0</v>
      </c>
      <c r="G5" s="84">
        <v>0</v>
      </c>
      <c r="H5" s="84">
        <v>200000</v>
      </c>
      <c r="I5" s="84">
        <v>500000</v>
      </c>
      <c r="J5" s="84">
        <v>500000</v>
      </c>
      <c r="K5" s="84">
        <v>500000</v>
      </c>
      <c r="L5" s="84">
        <v>500000</v>
      </c>
      <c r="M5" s="84">
        <v>500000</v>
      </c>
      <c r="N5" s="84">
        <v>500000</v>
      </c>
      <c r="O5" s="84">
        <v>500000</v>
      </c>
      <c r="P5" s="84">
        <v>500000</v>
      </c>
      <c r="Q5" s="84">
        <v>500000</v>
      </c>
      <c r="R5" s="84">
        <v>500000</v>
      </c>
      <c r="S5" s="84">
        <v>500000</v>
      </c>
      <c r="T5" s="84">
        <v>500000</v>
      </c>
      <c r="U5" s="84">
        <v>500000</v>
      </c>
      <c r="V5" s="84">
        <v>500000</v>
      </c>
      <c r="W5" s="84">
        <v>500000</v>
      </c>
      <c r="X5" s="84">
        <v>500000</v>
      </c>
      <c r="Y5" s="84">
        <v>500000</v>
      </c>
      <c r="Z5" s="84">
        <v>500000</v>
      </c>
      <c r="AA5" s="84">
        <v>500000</v>
      </c>
      <c r="AB5" s="84">
        <v>500000</v>
      </c>
      <c r="AC5" s="84">
        <v>500000</v>
      </c>
      <c r="AD5" s="84">
        <v>500000</v>
      </c>
      <c r="AE5" s="84">
        <v>500000</v>
      </c>
      <c r="AF5" s="84">
        <v>500000</v>
      </c>
      <c r="AG5" s="84">
        <v>500000</v>
      </c>
      <c r="AH5" s="84">
        <v>500000</v>
      </c>
      <c r="AI5" s="84"/>
      <c r="AJ5" s="84"/>
      <c r="AK5" s="84"/>
      <c r="AL5" s="84"/>
      <c r="AM5" s="84"/>
      <c r="AN5" s="84"/>
      <c r="AO5" s="84"/>
      <c r="AP5" s="84"/>
      <c r="AQ5" s="84"/>
      <c r="AR5" s="84"/>
      <c r="AS5" s="84"/>
      <c r="AT5" s="84"/>
      <c r="AU5" s="84"/>
      <c r="AV5" s="84"/>
      <c r="AW5" s="84"/>
      <c r="AX5" s="84"/>
      <c r="AY5" s="84"/>
      <c r="AZ5" s="84"/>
      <c r="BA5" s="84"/>
    </row>
    <row r="6" spans="2:53" x14ac:dyDescent="0.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row>
    <row r="7" spans="2:53" s="39" customFormat="1" x14ac:dyDescent="0.2">
      <c r="B7" s="40" t="s">
        <v>76</v>
      </c>
      <c r="C7" s="41"/>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row>
    <row r="8" spans="2:53" x14ac:dyDescent="0.2">
      <c r="B8" s="2" t="s">
        <v>478</v>
      </c>
      <c r="C8" s="27" t="s">
        <v>163</v>
      </c>
      <c r="D8" s="84">
        <v>1240</v>
      </c>
      <c r="E8" s="84">
        <v>1225</v>
      </c>
      <c r="F8" s="84">
        <v>1211</v>
      </c>
      <c r="G8" s="84">
        <v>1196</v>
      </c>
      <c r="H8" s="84">
        <v>1182</v>
      </c>
      <c r="I8" s="84">
        <v>1168</v>
      </c>
      <c r="J8" s="84">
        <v>1154</v>
      </c>
      <c r="K8" s="84">
        <v>1140</v>
      </c>
      <c r="L8" s="84">
        <v>1127</v>
      </c>
      <c r="M8" s="84">
        <v>1113</v>
      </c>
      <c r="N8" s="84">
        <v>1100</v>
      </c>
      <c r="O8" s="84">
        <v>1100</v>
      </c>
      <c r="P8" s="84">
        <v>1100</v>
      </c>
      <c r="Q8" s="84">
        <v>1100</v>
      </c>
      <c r="R8" s="84">
        <v>1100</v>
      </c>
      <c r="S8" s="84">
        <v>1100</v>
      </c>
      <c r="T8" s="84">
        <v>1100</v>
      </c>
      <c r="U8" s="84">
        <v>1100</v>
      </c>
      <c r="V8" s="84">
        <v>1100</v>
      </c>
      <c r="W8" s="84">
        <v>1100</v>
      </c>
      <c r="X8" s="84">
        <v>1100</v>
      </c>
      <c r="Y8" s="84">
        <v>1100</v>
      </c>
      <c r="Z8" s="84">
        <v>1100</v>
      </c>
      <c r="AA8" s="84">
        <v>1100</v>
      </c>
      <c r="AB8" s="84">
        <v>1100</v>
      </c>
      <c r="AC8" s="84">
        <v>1100</v>
      </c>
      <c r="AD8" s="84">
        <v>1100</v>
      </c>
      <c r="AE8" s="84">
        <v>1100</v>
      </c>
      <c r="AF8" s="84">
        <v>1100</v>
      </c>
      <c r="AG8" s="84">
        <v>1100</v>
      </c>
      <c r="AH8" s="84">
        <v>1100</v>
      </c>
      <c r="AI8" s="84"/>
      <c r="AJ8" s="84"/>
      <c r="AK8" s="84"/>
      <c r="AL8" s="84"/>
      <c r="AM8" s="84"/>
      <c r="AN8" s="84"/>
      <c r="AO8" s="84"/>
      <c r="AP8" s="84"/>
      <c r="AQ8" s="84"/>
      <c r="AR8" s="84"/>
      <c r="AS8" s="84"/>
      <c r="AT8" s="84"/>
      <c r="AU8" s="84"/>
      <c r="AV8" s="84"/>
      <c r="AW8" s="84"/>
      <c r="AX8" s="84"/>
      <c r="AY8" s="84"/>
      <c r="AZ8" s="84"/>
      <c r="BA8" s="84"/>
    </row>
    <row r="9" spans="2:53" x14ac:dyDescent="0.2">
      <c r="B9" s="2" t="s">
        <v>96</v>
      </c>
      <c r="D9" s="216">
        <f>1</f>
        <v>1</v>
      </c>
      <c r="E9" s="216">
        <f>D9*(1+'Assumptions &amp; Results'!$C$127)</f>
        <v>1.02</v>
      </c>
      <c r="F9" s="216">
        <f>E9*(1+'Assumptions &amp; Results'!$C$127)</f>
        <v>1.0404</v>
      </c>
      <c r="G9" s="216">
        <f>F9*(1+'Assumptions &amp; Results'!$C$127)</f>
        <v>1.0612079999999999</v>
      </c>
      <c r="H9" s="216">
        <f>G9*(1+'Assumptions &amp; Results'!$C$127)</f>
        <v>1.08243216</v>
      </c>
      <c r="I9" s="216">
        <f>H9*(1+'Assumptions &amp; Results'!$C$127)</f>
        <v>1.1040808032</v>
      </c>
      <c r="J9" s="216">
        <f>I9*(1+'Assumptions &amp; Results'!$C$127)</f>
        <v>1.1261624192640001</v>
      </c>
      <c r="K9" s="216">
        <f>J9*(1+'Assumptions &amp; Results'!$C$127)</f>
        <v>1.14868566764928</v>
      </c>
      <c r="L9" s="216">
        <f>K9*(1+'Assumptions &amp; Results'!$C$127)</f>
        <v>1.1716593810022657</v>
      </c>
      <c r="M9" s="216">
        <f>L9*(1+'Assumptions &amp; Results'!$C$127)</f>
        <v>1.1950925686223111</v>
      </c>
      <c r="N9" s="216">
        <f>M9*(1+'Assumptions &amp; Results'!$C$127)</f>
        <v>1.2189944199947573</v>
      </c>
      <c r="O9" s="216">
        <f>N9*(1+'Assumptions &amp; Results'!$C$127)</f>
        <v>1.2433743083946525</v>
      </c>
      <c r="P9" s="216">
        <f>O9*(1+'Assumptions &amp; Results'!$C$127)</f>
        <v>1.2682417945625455</v>
      </c>
      <c r="Q9" s="216">
        <f>P9*(1+'Assumptions &amp; Results'!$C$127)</f>
        <v>1.2936066304537963</v>
      </c>
      <c r="R9" s="216">
        <f>Q9*(1+'Assumptions &amp; Results'!$C$127)</f>
        <v>1.3194787630628724</v>
      </c>
      <c r="S9" s="216">
        <f>R9*(1+'Assumptions &amp; Results'!$C$127)</f>
        <v>1.3458683383241299</v>
      </c>
      <c r="T9" s="216">
        <f>S9*(1+'Assumptions &amp; Results'!$C$127)</f>
        <v>1.3727857050906125</v>
      </c>
      <c r="U9" s="216">
        <f>T9*(1+'Assumptions &amp; Results'!$C$127)</f>
        <v>1.4002414191924248</v>
      </c>
      <c r="V9" s="216">
        <f>U9*(1+'Assumptions &amp; Results'!$C$127)</f>
        <v>1.4282462475762734</v>
      </c>
      <c r="W9" s="216">
        <f>V9*(1+'Assumptions &amp; Results'!$C$127)</f>
        <v>1.4568111725277988</v>
      </c>
      <c r="X9" s="216">
        <f>W9*(1+'Assumptions &amp; Results'!$C$127)</f>
        <v>1.4859473959783549</v>
      </c>
      <c r="Y9" s="216">
        <f>X9*(1+'Assumptions &amp; Results'!$C$127)</f>
        <v>1.5156663438979221</v>
      </c>
      <c r="Z9" s="216">
        <f>Y9*(1+'Assumptions &amp; Results'!$C$127)</f>
        <v>1.5459796707758806</v>
      </c>
      <c r="AA9" s="216">
        <f>Z9*(1+'Assumptions &amp; Results'!$C$127)</f>
        <v>1.5768992641913981</v>
      </c>
      <c r="AB9" s="216">
        <f>AA9*(1+'Assumptions &amp; Results'!$C$127)</f>
        <v>1.6084372494752261</v>
      </c>
      <c r="AC9" s="216">
        <f>AB9*(1+'Assumptions &amp; Results'!$C$127)</f>
        <v>1.6406059944647307</v>
      </c>
      <c r="AD9" s="216">
        <f>AC9*(1+'Assumptions &amp; Results'!$C$127)</f>
        <v>1.6734181143540252</v>
      </c>
      <c r="AE9" s="216">
        <f>AD9*(1+'Assumptions &amp; Results'!$C$127)</f>
        <v>1.7068864766411058</v>
      </c>
      <c r="AF9" s="216">
        <f>AE9*(1+'Assumptions &amp; Results'!$C$127)</f>
        <v>1.7410242061739281</v>
      </c>
      <c r="AG9" s="216">
        <f>AF9*(1+'Assumptions &amp; Results'!$C$127)</f>
        <v>1.7758446902974065</v>
      </c>
      <c r="AH9" s="216">
        <f>AG9*(1+'Assumptions &amp; Results'!$C$127)</f>
        <v>1.8113615841033548</v>
      </c>
      <c r="AI9" s="216">
        <f>AH9*(1+'Assumptions &amp; Results'!$C$127)</f>
        <v>1.8475888157854219</v>
      </c>
      <c r="AJ9" s="216">
        <f>AI9*(1+'Assumptions &amp; Results'!$C$127)</f>
        <v>1.8845405921011305</v>
      </c>
      <c r="AK9" s="216">
        <f>AJ9*(1+'Assumptions &amp; Results'!$C$127)</f>
        <v>1.9222314039431532</v>
      </c>
      <c r="AL9" s="216">
        <f>AK9*(1+'Assumptions &amp; Results'!$C$127)</f>
        <v>1.9606760320220162</v>
      </c>
      <c r="AM9" s="216">
        <f>AL9*(1+'Assumptions &amp; Results'!$C$127)</f>
        <v>1.9998895526624565</v>
      </c>
      <c r="AN9" s="216">
        <f>AM9*(1+'Assumptions &amp; Results'!$C$127)</f>
        <v>2.0398873437157055</v>
      </c>
      <c r="AO9" s="216">
        <f>AN9*(1+'Assumptions &amp; Results'!$C$127)</f>
        <v>2.0806850905900198</v>
      </c>
      <c r="AP9" s="216">
        <f>AO9*(1+'Assumptions &amp; Results'!$C$127)</f>
        <v>2.1222987924018204</v>
      </c>
      <c r="AQ9" s="216">
        <f>AP9*(1+'Assumptions &amp; Results'!$C$127)</f>
        <v>2.1647447682498568</v>
      </c>
      <c r="AR9" s="216">
        <f>AQ9*(1+'Assumptions &amp; Results'!$C$127)</f>
        <v>2.208039663614854</v>
      </c>
      <c r="AS9" s="216">
        <f>AR9*(1+'Assumptions &amp; Results'!$C$127)</f>
        <v>2.252200456887151</v>
      </c>
      <c r="AT9" s="216">
        <f>AS9*(1+'Assumptions &amp; Results'!$C$127)</f>
        <v>2.2972444660248938</v>
      </c>
      <c r="AU9" s="216">
        <f>AT9*(1+'Assumptions &amp; Results'!$C$127)</f>
        <v>2.343189355345392</v>
      </c>
      <c r="AV9" s="216">
        <f>AU9*(1+'Assumptions &amp; Results'!$C$127)</f>
        <v>2.3900531424522997</v>
      </c>
      <c r="AW9" s="216">
        <f>AV9*(1+'Assumptions &amp; Results'!$C$127)</f>
        <v>2.4378542053013459</v>
      </c>
      <c r="AX9" s="216">
        <f>AW9*(1+'Assumptions &amp; Results'!$C$127)</f>
        <v>2.4866112894073726</v>
      </c>
      <c r="AY9" s="216">
        <f>AX9*(1+'Assumptions &amp; Results'!$C$127)</f>
        <v>2.53634351519552</v>
      </c>
      <c r="AZ9" s="216">
        <f>AY9*(1+'Assumptions &amp; Results'!$C$127)</f>
        <v>2.5870703854994304</v>
      </c>
      <c r="BA9" s="216">
        <f>AZ9*(1+'Assumptions &amp; Results'!$C$127)</f>
        <v>2.6388117932094191</v>
      </c>
    </row>
    <row r="10" spans="2:53" x14ac:dyDescent="0.2">
      <c r="B10" s="2" t="s">
        <v>479</v>
      </c>
      <c r="C10" s="27" t="s">
        <v>163</v>
      </c>
      <c r="D10" s="82">
        <f>D8*D9*(1-'Assumptions &amp; Results'!$C$123)*'Assumptions &amp; Results'!$C$146</f>
        <v>1240</v>
      </c>
      <c r="E10" s="82">
        <f>E8*E9*(1-'Assumptions &amp; Results'!$C$123)*'Assumptions &amp; Results'!$C$146</f>
        <v>1249.5</v>
      </c>
      <c r="F10" s="82">
        <f>F8*F9*(1-'Assumptions &amp; Results'!$C$123)*'Assumptions &amp; Results'!$C$146</f>
        <v>1259.9243999999999</v>
      </c>
      <c r="G10" s="82">
        <f>G8*G9*(1-'Assumptions &amp; Results'!$C$123)*'Assumptions &amp; Results'!$C$146</f>
        <v>1269.2047679999998</v>
      </c>
      <c r="H10" s="82">
        <f>H8*H9*(1-'Assumptions &amp; Results'!$C$123)*'Assumptions &amp; Results'!$C$146</f>
        <v>1279.4348131199999</v>
      </c>
      <c r="I10" s="82">
        <f>I8*I9*(1-'Assumptions &amp; Results'!$C$123)*'Assumptions &amp; Results'!$C$146</f>
        <v>1289.5663781375999</v>
      </c>
      <c r="J10" s="82">
        <f>J8*J9*(1-'Assumptions &amp; Results'!$C$123)*'Assumptions &amp; Results'!$C$146</f>
        <v>1299.5914318306561</v>
      </c>
      <c r="K10" s="82">
        <f>K8*K9*(1-'Assumptions &amp; Results'!$C$123)*'Assumptions &amp; Results'!$C$146</f>
        <v>1309.5016611201793</v>
      </c>
      <c r="L10" s="82">
        <f>L8*L9*(1-'Assumptions &amp; Results'!$C$123)*'Assumptions &amp; Results'!$C$146</f>
        <v>1320.4601223895536</v>
      </c>
      <c r="M10" s="82">
        <f>M8*M9*(1-'Assumptions &amp; Results'!$C$123)*'Assumptions &amp; Results'!$C$146</f>
        <v>1330.1380288766322</v>
      </c>
      <c r="N10" s="82">
        <f>N8*N9*(1-'Assumptions &amp; Results'!$C$123)*'Assumptions &amp; Results'!$C$146</f>
        <v>1340.893861994233</v>
      </c>
      <c r="O10" s="82">
        <f>O8*O9*(1-'Assumptions &amp; Results'!$C$123)*'Assumptions &amp; Results'!$C$146</f>
        <v>1367.7117392341177</v>
      </c>
      <c r="P10" s="82">
        <f>P8*P9*(1-'Assumptions &amp; Results'!$C$123)*'Assumptions &amp; Results'!$C$146</f>
        <v>1395.0659740188</v>
      </c>
      <c r="Q10" s="82">
        <f>Q8*Q9*(1-'Assumptions &amp; Results'!$C$123)*'Assumptions &amp; Results'!$C$146</f>
        <v>1422.9672934991759</v>
      </c>
      <c r="R10" s="82">
        <f>R8*R9*(1-'Assumptions &amp; Results'!$C$123)*'Assumptions &amp; Results'!$C$146</f>
        <v>1451.4266393691596</v>
      </c>
      <c r="S10" s="82">
        <f>S8*S9*(1-'Assumptions &amp; Results'!$C$123)*'Assumptions &amp; Results'!$C$146</f>
        <v>1480.4551721565429</v>
      </c>
      <c r="T10" s="82">
        <f>T8*T9*(1-'Assumptions &amp; Results'!$C$123)*'Assumptions &amp; Results'!$C$146</f>
        <v>1510.0642755996737</v>
      </c>
      <c r="U10" s="82">
        <f>U8*U9*(1-'Assumptions &amp; Results'!$C$123)*'Assumptions &amp; Results'!$C$146</f>
        <v>1540.2655611116672</v>
      </c>
      <c r="V10" s="82">
        <f>V8*V9*(1-'Assumptions &amp; Results'!$C$123)*'Assumptions &amp; Results'!$C$146</f>
        <v>1571.0708723339008</v>
      </c>
      <c r="W10" s="82">
        <f>W8*W9*(1-'Assumptions &amp; Results'!$C$123)*'Assumptions &amp; Results'!$C$146</f>
        <v>1602.4922897805786</v>
      </c>
      <c r="X10" s="82">
        <f>X8*X9*(1-'Assumptions &amp; Results'!$C$123)*'Assumptions &amp; Results'!$C$146</f>
        <v>1634.5421355761905</v>
      </c>
      <c r="Y10" s="82">
        <f>Y8*Y9*(1-'Assumptions &amp; Results'!$C$123)*'Assumptions &amp; Results'!$C$146</f>
        <v>1667.2329782877143</v>
      </c>
      <c r="Z10" s="82">
        <f>Z8*Z9*(1-'Assumptions &amp; Results'!$C$123)*'Assumptions &amp; Results'!$C$146</f>
        <v>1700.5776378534686</v>
      </c>
      <c r="AA10" s="82">
        <f>AA8*AA9*(1-'Assumptions &amp; Results'!$C$123)*'Assumptions &amp; Results'!$C$146</f>
        <v>1734.589190610538</v>
      </c>
      <c r="AB10" s="82">
        <f>AB8*AB9*(1-'Assumptions &amp; Results'!$C$123)*'Assumptions &amp; Results'!$C$146</f>
        <v>1769.2809744227488</v>
      </c>
      <c r="AC10" s="82">
        <f>AC8*AC9*(1-'Assumptions &amp; Results'!$C$123)*'Assumptions &amp; Results'!$C$146</f>
        <v>1804.6665939112038</v>
      </c>
      <c r="AD10" s="82">
        <f>AD8*AD9*(1-'Assumptions &amp; Results'!$C$123)*'Assumptions &amp; Results'!$C$146</f>
        <v>1840.7599257894278</v>
      </c>
      <c r="AE10" s="82">
        <f>AE8*AE9*(1-'Assumptions &amp; Results'!$C$123)*'Assumptions &amp; Results'!$C$146</f>
        <v>1877.5751243052164</v>
      </c>
      <c r="AF10" s="82">
        <f>AF8*AF9*(1-'Assumptions &amp; Results'!$C$123)*'Assumptions &amp; Results'!$C$146</f>
        <v>1915.1266267913209</v>
      </c>
      <c r="AG10" s="82">
        <f>AG8*AG9*(1-'Assumptions &amp; Results'!$C$123)*'Assumptions &amp; Results'!$C$146</f>
        <v>1953.4291593271471</v>
      </c>
      <c r="AH10" s="82">
        <f>AH8*AH9*(1-'Assumptions &amp; Results'!$C$123)*'Assumptions &amp; Results'!$C$146</f>
        <v>1992.4977425136904</v>
      </c>
      <c r="AI10" s="82">
        <f>AI8*AI9*(1-'Assumptions &amp; Results'!$C$123)*'Assumptions &amp; Results'!$C$146</f>
        <v>0</v>
      </c>
      <c r="AJ10" s="82">
        <f>AJ8*AJ9*(1-'Assumptions &amp; Results'!$C$123)*'Assumptions &amp; Results'!$C$146</f>
        <v>0</v>
      </c>
      <c r="AK10" s="82">
        <f>AK8*AK9*(1-'Assumptions &amp; Results'!$C$123)*'Assumptions &amp; Results'!$C$146</f>
        <v>0</v>
      </c>
      <c r="AL10" s="82">
        <f>AL8*AL9*(1-'Assumptions &amp; Results'!$C$123)*'Assumptions &amp; Results'!$C$146</f>
        <v>0</v>
      </c>
      <c r="AM10" s="82">
        <f>AM8*AM9*(1-'Assumptions &amp; Results'!$C$123)*'Assumptions &amp; Results'!$C$146</f>
        <v>0</v>
      </c>
      <c r="AN10" s="82">
        <f>AN8*AN9*(1-'Assumptions &amp; Results'!$C$123)*'Assumptions &amp; Results'!$C$146</f>
        <v>0</v>
      </c>
      <c r="AO10" s="82">
        <f>AO8*AO9*(1-'Assumptions &amp; Results'!$C$123)*'Assumptions &amp; Results'!$C$146</f>
        <v>0</v>
      </c>
      <c r="AP10" s="82">
        <f>AP8*AP9*(1-'Assumptions &amp; Results'!$C$123)*'Assumptions &amp; Results'!$C$146</f>
        <v>0</v>
      </c>
      <c r="AQ10" s="82">
        <f>AQ8*AQ9*(1-'Assumptions &amp; Results'!$C$123)*'Assumptions &amp; Results'!$C$146</f>
        <v>0</v>
      </c>
      <c r="AR10" s="82">
        <f>AR8*AR9*(1-'Assumptions &amp; Results'!$C$123)*'Assumptions &amp; Results'!$C$146</f>
        <v>0</v>
      </c>
      <c r="AS10" s="82">
        <f>AS8*AS9*(1-'Assumptions &amp; Results'!$C$123)*'Assumptions &amp; Results'!$C$146</f>
        <v>0</v>
      </c>
      <c r="AT10" s="82">
        <f>AT8*AT9*(1-'Assumptions &amp; Results'!$C$123)*'Assumptions &amp; Results'!$C$146</f>
        <v>0</v>
      </c>
      <c r="AU10" s="82">
        <f>AU8*AU9*(1-'Assumptions &amp; Results'!$C$123)*'Assumptions &amp; Results'!$C$146</f>
        <v>0</v>
      </c>
      <c r="AV10" s="82">
        <f>AV8*AV9*(1-'Assumptions &amp; Results'!$C$123)*'Assumptions &amp; Results'!$C$146</f>
        <v>0</v>
      </c>
      <c r="AW10" s="82">
        <f>AW8*AW9*(1-'Assumptions &amp; Results'!$C$123)*'Assumptions &amp; Results'!$C$146</f>
        <v>0</v>
      </c>
      <c r="AX10" s="82">
        <f>AX8*AX9*(1-'Assumptions &amp; Results'!$C$123)*'Assumptions &amp; Results'!$C$146</f>
        <v>0</v>
      </c>
      <c r="AY10" s="82">
        <f>AY8*AY9*(1-'Assumptions &amp; Results'!$C$123)*'Assumptions &amp; Results'!$C$146</f>
        <v>0</v>
      </c>
      <c r="AZ10" s="82">
        <f>AZ8*AZ9*(1-'Assumptions &amp; Results'!$C$123)*'Assumptions &amp; Results'!$C$146</f>
        <v>0</v>
      </c>
      <c r="BA10" s="82">
        <f>BA8*BA9*(1-'Assumptions &amp; Results'!$C$123)*'Assumptions &amp; Results'!$C$146</f>
        <v>0</v>
      </c>
    </row>
    <row r="11" spans="2:53" x14ac:dyDescent="0.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row>
    <row r="12" spans="2:53" s="39" customFormat="1" x14ac:dyDescent="0.2">
      <c r="B12" s="40" t="s">
        <v>78</v>
      </c>
      <c r="C12" s="41"/>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row>
    <row r="13" spans="2:53" x14ac:dyDescent="0.2">
      <c r="B13" s="2" t="s">
        <v>480</v>
      </c>
      <c r="C13" s="81" t="s">
        <v>163</v>
      </c>
      <c r="D13" s="84">
        <v>600</v>
      </c>
      <c r="E13" s="84">
        <f>D13</f>
        <v>600</v>
      </c>
      <c r="F13" s="84">
        <f t="shared" ref="F13:AH13" si="20">E13</f>
        <v>600</v>
      </c>
      <c r="G13" s="84">
        <f t="shared" si="20"/>
        <v>600</v>
      </c>
      <c r="H13" s="84">
        <f t="shared" si="20"/>
        <v>600</v>
      </c>
      <c r="I13" s="84">
        <f t="shared" si="20"/>
        <v>600</v>
      </c>
      <c r="J13" s="84">
        <f t="shared" si="20"/>
        <v>600</v>
      </c>
      <c r="K13" s="84">
        <f t="shared" si="20"/>
        <v>600</v>
      </c>
      <c r="L13" s="84">
        <f t="shared" si="20"/>
        <v>600</v>
      </c>
      <c r="M13" s="84">
        <f t="shared" si="20"/>
        <v>600</v>
      </c>
      <c r="N13" s="84">
        <f t="shared" si="20"/>
        <v>600</v>
      </c>
      <c r="O13" s="84">
        <f t="shared" si="20"/>
        <v>600</v>
      </c>
      <c r="P13" s="84">
        <f t="shared" si="20"/>
        <v>600</v>
      </c>
      <c r="Q13" s="84">
        <f t="shared" si="20"/>
        <v>600</v>
      </c>
      <c r="R13" s="84">
        <f t="shared" si="20"/>
        <v>600</v>
      </c>
      <c r="S13" s="84">
        <f t="shared" si="20"/>
        <v>600</v>
      </c>
      <c r="T13" s="84">
        <f t="shared" si="20"/>
        <v>600</v>
      </c>
      <c r="U13" s="84">
        <f t="shared" si="20"/>
        <v>600</v>
      </c>
      <c r="V13" s="84">
        <f t="shared" si="20"/>
        <v>600</v>
      </c>
      <c r="W13" s="84">
        <f t="shared" si="20"/>
        <v>600</v>
      </c>
      <c r="X13" s="84">
        <f t="shared" si="20"/>
        <v>600</v>
      </c>
      <c r="Y13" s="84">
        <f t="shared" si="20"/>
        <v>600</v>
      </c>
      <c r="Z13" s="84">
        <f t="shared" si="20"/>
        <v>600</v>
      </c>
      <c r="AA13" s="84">
        <f t="shared" si="20"/>
        <v>600</v>
      </c>
      <c r="AB13" s="84">
        <f t="shared" si="20"/>
        <v>600</v>
      </c>
      <c r="AC13" s="84">
        <f t="shared" si="20"/>
        <v>600</v>
      </c>
      <c r="AD13" s="84">
        <f t="shared" si="20"/>
        <v>600</v>
      </c>
      <c r="AE13" s="84">
        <f t="shared" si="20"/>
        <v>600</v>
      </c>
      <c r="AF13" s="84">
        <f t="shared" si="20"/>
        <v>600</v>
      </c>
      <c r="AG13" s="84">
        <f t="shared" si="20"/>
        <v>600</v>
      </c>
      <c r="AH13" s="84">
        <f t="shared" si="20"/>
        <v>600</v>
      </c>
      <c r="AI13" s="84"/>
      <c r="AJ13" s="84"/>
      <c r="AK13" s="84"/>
      <c r="AL13" s="84"/>
      <c r="AM13" s="84"/>
      <c r="AN13" s="84"/>
      <c r="AO13" s="84"/>
      <c r="AP13" s="84"/>
      <c r="AQ13" s="84"/>
      <c r="AR13" s="84"/>
      <c r="AS13" s="84"/>
      <c r="AT13" s="84"/>
      <c r="AU13" s="84"/>
      <c r="AV13" s="84"/>
      <c r="AW13" s="84"/>
      <c r="AX13" s="84"/>
      <c r="AY13" s="84"/>
      <c r="AZ13" s="84"/>
      <c r="BA13" s="84"/>
    </row>
    <row r="14" spans="2:53" x14ac:dyDescent="0.2">
      <c r="B14" s="2" t="s">
        <v>95</v>
      </c>
      <c r="C14" s="26" t="s">
        <v>75</v>
      </c>
      <c r="D14" s="82">
        <f>D13*D5*'Assumptions &amp; Results'!$C$148/1000000</f>
        <v>0</v>
      </c>
      <c r="E14" s="82">
        <f>E13*E5*'Assumptions &amp; Results'!$C$148/1000000</f>
        <v>0</v>
      </c>
      <c r="F14" s="82">
        <f>F13*F5*'Assumptions &amp; Results'!$C$148/1000000</f>
        <v>0</v>
      </c>
      <c r="G14" s="82">
        <f>G13*G5*'Assumptions &amp; Results'!$C$148/1000000</f>
        <v>0</v>
      </c>
      <c r="H14" s="82">
        <f>H13*H5*'Assumptions &amp; Results'!$C$148/1000000</f>
        <v>120</v>
      </c>
      <c r="I14" s="82">
        <f>I13*I5*'Assumptions &amp; Results'!$C$148/1000000</f>
        <v>300</v>
      </c>
      <c r="J14" s="82">
        <f>J13*J5*'Assumptions &amp; Results'!$C$148/1000000</f>
        <v>300</v>
      </c>
      <c r="K14" s="82">
        <f>K13*K5*'Assumptions &amp; Results'!$C$148/1000000</f>
        <v>300</v>
      </c>
      <c r="L14" s="82">
        <f>L13*L5*'Assumptions &amp; Results'!$C$148/1000000</f>
        <v>300</v>
      </c>
      <c r="M14" s="82">
        <f>M13*M5*'Assumptions &amp; Results'!$C$148/1000000</f>
        <v>300</v>
      </c>
      <c r="N14" s="82">
        <f>N13*N5*'Assumptions &amp; Results'!$C$148/1000000</f>
        <v>300</v>
      </c>
      <c r="O14" s="82">
        <f>O13*O5*'Assumptions &amp; Results'!$C$148/1000000</f>
        <v>300</v>
      </c>
      <c r="P14" s="82">
        <f>P13*P5*'Assumptions &amp; Results'!$C$148/1000000</f>
        <v>300</v>
      </c>
      <c r="Q14" s="82">
        <f>Q13*Q5*'Assumptions &amp; Results'!$C$148/1000000</f>
        <v>300</v>
      </c>
      <c r="R14" s="82">
        <f>R13*R5*'Assumptions &amp; Results'!$C$148/1000000</f>
        <v>300</v>
      </c>
      <c r="S14" s="82">
        <f>S13*S5*'Assumptions &amp; Results'!$C$148/1000000</f>
        <v>300</v>
      </c>
      <c r="T14" s="82">
        <f>T13*T5*'Assumptions &amp; Results'!$C$148/1000000</f>
        <v>300</v>
      </c>
      <c r="U14" s="82">
        <f>U13*U5*'Assumptions &amp; Results'!$C$148/1000000</f>
        <v>300</v>
      </c>
      <c r="V14" s="82">
        <f>V13*V5*'Assumptions &amp; Results'!$C$148/1000000</f>
        <v>300</v>
      </c>
      <c r="W14" s="82">
        <f>W13*W5*'Assumptions &amp; Results'!$C$148/1000000</f>
        <v>300</v>
      </c>
      <c r="X14" s="82">
        <f>X13*X5*'Assumptions &amp; Results'!$C$148/1000000</f>
        <v>300</v>
      </c>
      <c r="Y14" s="82">
        <f>Y13*Y5*'Assumptions &amp; Results'!$C$148/1000000</f>
        <v>300</v>
      </c>
      <c r="Z14" s="82">
        <f>Z13*Z5*'Assumptions &amp; Results'!$C$148/1000000</f>
        <v>300</v>
      </c>
      <c r="AA14" s="82">
        <f>AA13*AA5*'Assumptions &amp; Results'!$C$148/1000000</f>
        <v>300</v>
      </c>
      <c r="AB14" s="82">
        <f>AB13*AB5*'Assumptions &amp; Results'!$C$148/1000000</f>
        <v>300</v>
      </c>
      <c r="AC14" s="82">
        <f>AC13*AC5*'Assumptions &amp; Results'!$C$148/1000000</f>
        <v>300</v>
      </c>
      <c r="AD14" s="82">
        <f>AD13*AD5*'Assumptions &amp; Results'!$C$148/1000000</f>
        <v>300</v>
      </c>
      <c r="AE14" s="82">
        <f>AE13*AE5*'Assumptions &amp; Results'!$C$148/1000000</f>
        <v>300</v>
      </c>
      <c r="AF14" s="82">
        <f>AF13*AF5*'Assumptions &amp; Results'!$C$148/1000000</f>
        <v>300</v>
      </c>
      <c r="AG14" s="82">
        <f>AG13*AG5*'Assumptions &amp; Results'!$C$148/1000000</f>
        <v>300</v>
      </c>
      <c r="AH14" s="82">
        <f>AH13*AH5*'Assumptions &amp; Results'!$C$148/1000000</f>
        <v>300</v>
      </c>
      <c r="AI14" s="82">
        <f>AI13*AI5*'Assumptions &amp; Results'!$C$148/1000000</f>
        <v>0</v>
      </c>
      <c r="AJ14" s="82">
        <f>AJ13*AJ5*'Assumptions &amp; Results'!$C$148/1000000</f>
        <v>0</v>
      </c>
      <c r="AK14" s="82">
        <f>AK13*AK5*'Assumptions &amp; Results'!$C$148/1000000</f>
        <v>0</v>
      </c>
      <c r="AL14" s="82">
        <f>AL13*AL5*'Assumptions &amp; Results'!$C$148/1000000</f>
        <v>0</v>
      </c>
      <c r="AM14" s="82">
        <f>AM13*AM5*'Assumptions &amp; Results'!$C$148/1000000</f>
        <v>0</v>
      </c>
      <c r="AN14" s="82">
        <f>AN13*AN5*'Assumptions &amp; Results'!$C$148/1000000</f>
        <v>0</v>
      </c>
      <c r="AO14" s="82">
        <f>AO13*AO5*'Assumptions &amp; Results'!$C$148/1000000</f>
        <v>0</v>
      </c>
      <c r="AP14" s="82">
        <f>AP13*AP5*'Assumptions &amp; Results'!$C$148/1000000</f>
        <v>0</v>
      </c>
      <c r="AQ14" s="82">
        <f>AQ13*AQ5*'Assumptions &amp; Results'!$C$148/1000000</f>
        <v>0</v>
      </c>
      <c r="AR14" s="82">
        <f>AR13*AR5*'Assumptions &amp; Results'!$C$148/1000000</f>
        <v>0</v>
      </c>
      <c r="AS14" s="82">
        <f>AS13*AS5*'Assumptions &amp; Results'!$C$148/1000000</f>
        <v>0</v>
      </c>
      <c r="AT14" s="82">
        <f>AT13*AT5*'Assumptions &amp; Results'!$C$148/1000000</f>
        <v>0</v>
      </c>
      <c r="AU14" s="82">
        <f>AU13*AU5*'Assumptions &amp; Results'!$C$148/1000000</f>
        <v>0</v>
      </c>
      <c r="AV14" s="82">
        <f>AV13*AV5*'Assumptions &amp; Results'!$C$148/1000000</f>
        <v>0</v>
      </c>
      <c r="AW14" s="82">
        <f>AW13*AW5*'Assumptions &amp; Results'!$C$148/1000000</f>
        <v>0</v>
      </c>
      <c r="AX14" s="82">
        <f>AX13*AX5*'Assumptions &amp; Results'!$C$148/1000000</f>
        <v>0</v>
      </c>
      <c r="AY14" s="82">
        <f>AY13*AY5*'Assumptions &amp; Results'!$C$148/1000000</f>
        <v>0</v>
      </c>
      <c r="AZ14" s="82">
        <f>AZ13*AZ5*'Assumptions &amp; Results'!$C$148/1000000</f>
        <v>0</v>
      </c>
      <c r="BA14" s="82">
        <f>BA13*BA5*'Assumptions &amp; Results'!$C$148/1000000</f>
        <v>0</v>
      </c>
    </row>
    <row r="15" spans="2:53" x14ac:dyDescent="0.2">
      <c r="B15" s="2" t="s">
        <v>140</v>
      </c>
      <c r="C15" s="26" t="s">
        <v>75</v>
      </c>
      <c r="D15" s="82">
        <f t="shared" ref="D15:AI15" si="21">D14*D9</f>
        <v>0</v>
      </c>
      <c r="E15" s="82">
        <f t="shared" si="21"/>
        <v>0</v>
      </c>
      <c r="F15" s="82">
        <f t="shared" si="21"/>
        <v>0</v>
      </c>
      <c r="G15" s="82">
        <f t="shared" si="21"/>
        <v>0</v>
      </c>
      <c r="H15" s="82">
        <f t="shared" si="21"/>
        <v>129.8918592</v>
      </c>
      <c r="I15" s="82">
        <f t="shared" si="21"/>
        <v>331.22424096000003</v>
      </c>
      <c r="J15" s="82">
        <f t="shared" si="21"/>
        <v>337.84872577920004</v>
      </c>
      <c r="K15" s="82">
        <f t="shared" si="21"/>
        <v>344.60570029478401</v>
      </c>
      <c r="L15" s="82">
        <f t="shared" si="21"/>
        <v>351.49781430067975</v>
      </c>
      <c r="M15" s="82">
        <f t="shared" si="21"/>
        <v>358.52777058669329</v>
      </c>
      <c r="N15" s="82">
        <f t="shared" si="21"/>
        <v>365.69832599842721</v>
      </c>
      <c r="O15" s="82">
        <f t="shared" si="21"/>
        <v>373.01229251839572</v>
      </c>
      <c r="P15" s="82">
        <f t="shared" si="21"/>
        <v>380.47253836876365</v>
      </c>
      <c r="Q15" s="82">
        <f t="shared" si="21"/>
        <v>388.08198913613887</v>
      </c>
      <c r="R15" s="82">
        <f t="shared" si="21"/>
        <v>395.84362891886173</v>
      </c>
      <c r="S15" s="82">
        <f t="shared" si="21"/>
        <v>403.76050149723898</v>
      </c>
      <c r="T15" s="82">
        <f t="shared" si="21"/>
        <v>411.83571152718372</v>
      </c>
      <c r="U15" s="82">
        <f t="shared" si="21"/>
        <v>420.07242575772744</v>
      </c>
      <c r="V15" s="82">
        <f t="shared" si="21"/>
        <v>428.47387427288203</v>
      </c>
      <c r="W15" s="82">
        <f t="shared" si="21"/>
        <v>437.04335175833961</v>
      </c>
      <c r="X15" s="82">
        <f t="shared" si="21"/>
        <v>445.78421879350645</v>
      </c>
      <c r="Y15" s="82">
        <f t="shared" si="21"/>
        <v>454.69990316937663</v>
      </c>
      <c r="Z15" s="82">
        <f t="shared" si="21"/>
        <v>463.7939012327642</v>
      </c>
      <c r="AA15" s="82">
        <f t="shared" si="21"/>
        <v>473.06977925741944</v>
      </c>
      <c r="AB15" s="82">
        <f t="shared" si="21"/>
        <v>482.53117484256785</v>
      </c>
      <c r="AC15" s="82">
        <f t="shared" si="21"/>
        <v>492.18179833941917</v>
      </c>
      <c r="AD15" s="82">
        <f t="shared" si="21"/>
        <v>502.02543430620756</v>
      </c>
      <c r="AE15" s="82">
        <f t="shared" si="21"/>
        <v>512.06594299233177</v>
      </c>
      <c r="AF15" s="82">
        <f t="shared" si="21"/>
        <v>522.30726185217839</v>
      </c>
      <c r="AG15" s="82">
        <f t="shared" si="21"/>
        <v>532.75340708922192</v>
      </c>
      <c r="AH15" s="82">
        <f t="shared" si="21"/>
        <v>543.40847523100649</v>
      </c>
      <c r="AI15" s="82">
        <f t="shared" si="21"/>
        <v>0</v>
      </c>
      <c r="AJ15" s="82">
        <f t="shared" ref="AJ15:BA15" si="22">AJ14*AJ9</f>
        <v>0</v>
      </c>
      <c r="AK15" s="82">
        <f t="shared" si="22"/>
        <v>0</v>
      </c>
      <c r="AL15" s="82">
        <f t="shared" si="22"/>
        <v>0</v>
      </c>
      <c r="AM15" s="82">
        <f t="shared" si="22"/>
        <v>0</v>
      </c>
      <c r="AN15" s="82">
        <f t="shared" si="22"/>
        <v>0</v>
      </c>
      <c r="AO15" s="82">
        <f t="shared" si="22"/>
        <v>0</v>
      </c>
      <c r="AP15" s="82">
        <f t="shared" si="22"/>
        <v>0</v>
      </c>
      <c r="AQ15" s="82">
        <f t="shared" si="22"/>
        <v>0</v>
      </c>
      <c r="AR15" s="82">
        <f t="shared" si="22"/>
        <v>0</v>
      </c>
      <c r="AS15" s="82">
        <f t="shared" si="22"/>
        <v>0</v>
      </c>
      <c r="AT15" s="82">
        <f t="shared" si="22"/>
        <v>0</v>
      </c>
      <c r="AU15" s="82">
        <f t="shared" si="22"/>
        <v>0</v>
      </c>
      <c r="AV15" s="82">
        <f t="shared" si="22"/>
        <v>0</v>
      </c>
      <c r="AW15" s="82">
        <f t="shared" si="22"/>
        <v>0</v>
      </c>
      <c r="AX15" s="82">
        <f t="shared" si="22"/>
        <v>0</v>
      </c>
      <c r="AY15" s="82">
        <f t="shared" si="22"/>
        <v>0</v>
      </c>
      <c r="AZ15" s="82">
        <f t="shared" si="22"/>
        <v>0</v>
      </c>
      <c r="BA15" s="82">
        <f t="shared" si="22"/>
        <v>0</v>
      </c>
    </row>
    <row r="16" spans="2:53" x14ac:dyDescent="0.2">
      <c r="B16" s="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row>
    <row r="17" spans="2:53" x14ac:dyDescent="0.2">
      <c r="B17" s="2" t="s">
        <v>481</v>
      </c>
      <c r="C17" s="26" t="s">
        <v>75</v>
      </c>
      <c r="D17" s="84">
        <v>250</v>
      </c>
      <c r="E17" s="84">
        <v>250</v>
      </c>
      <c r="F17" s="84">
        <v>250</v>
      </c>
      <c r="G17" s="84">
        <v>250</v>
      </c>
      <c r="H17" s="84"/>
      <c r="I17" s="84">
        <v>0</v>
      </c>
      <c r="J17" s="84">
        <v>0</v>
      </c>
      <c r="K17" s="84">
        <v>0</v>
      </c>
      <c r="L17" s="84">
        <v>0</v>
      </c>
      <c r="M17" s="84">
        <v>0</v>
      </c>
      <c r="N17" s="84">
        <v>0</v>
      </c>
      <c r="O17" s="84">
        <v>0</v>
      </c>
      <c r="P17" s="84">
        <v>0</v>
      </c>
      <c r="Q17" s="84">
        <v>0</v>
      </c>
      <c r="R17" s="84">
        <v>0</v>
      </c>
      <c r="S17" s="84">
        <v>0</v>
      </c>
      <c r="T17" s="84">
        <v>0</v>
      </c>
      <c r="U17" s="84">
        <v>0</v>
      </c>
      <c r="V17" s="84">
        <v>0</v>
      </c>
      <c r="W17" s="84">
        <v>0</v>
      </c>
      <c r="X17" s="84">
        <v>0</v>
      </c>
      <c r="Y17" s="84">
        <v>0</v>
      </c>
      <c r="Z17" s="84">
        <v>0</v>
      </c>
      <c r="AA17" s="84">
        <v>0</v>
      </c>
      <c r="AB17" s="84">
        <v>0</v>
      </c>
      <c r="AC17" s="84">
        <v>0</v>
      </c>
      <c r="AD17" s="84">
        <v>0</v>
      </c>
      <c r="AE17" s="84">
        <v>0</v>
      </c>
      <c r="AF17" s="84">
        <v>0</v>
      </c>
      <c r="AG17" s="84">
        <v>0</v>
      </c>
      <c r="AH17" s="84">
        <v>0</v>
      </c>
      <c r="AI17" s="84"/>
      <c r="AJ17" s="84"/>
      <c r="AK17" s="84"/>
      <c r="AL17" s="84"/>
      <c r="AM17" s="84"/>
      <c r="AN17" s="84"/>
      <c r="AO17" s="84"/>
      <c r="AP17" s="84"/>
      <c r="AQ17" s="84"/>
      <c r="AR17" s="84"/>
      <c r="AS17" s="84"/>
      <c r="AT17" s="84"/>
      <c r="AU17" s="84"/>
      <c r="AV17" s="84"/>
      <c r="AW17" s="84"/>
      <c r="AX17" s="84"/>
      <c r="AY17" s="84"/>
      <c r="AZ17" s="84"/>
      <c r="BA17" s="84"/>
    </row>
    <row r="18" spans="2:53" x14ac:dyDescent="0.2">
      <c r="B18" s="2" t="s">
        <v>482</v>
      </c>
      <c r="C18" s="26" t="s">
        <v>75</v>
      </c>
      <c r="D18" s="82">
        <f>D17*D9*'Assumptions &amp; Results'!$C$147</f>
        <v>250</v>
      </c>
      <c r="E18" s="82">
        <f>E17*E9*'Assumptions &amp; Results'!$C$147</f>
        <v>255</v>
      </c>
      <c r="F18" s="82">
        <f>F17*F9*'Assumptions &amp; Results'!$C$147</f>
        <v>260.10000000000002</v>
      </c>
      <c r="G18" s="82">
        <f>G17*G9*'Assumptions &amp; Results'!$C$147</f>
        <v>265.30199999999996</v>
      </c>
      <c r="H18" s="82">
        <f>H17*H9*'Assumptions &amp; Results'!$C$147</f>
        <v>0</v>
      </c>
      <c r="I18" s="82">
        <f>I17*I9*'Assumptions &amp; Results'!$C$147</f>
        <v>0</v>
      </c>
      <c r="J18" s="82">
        <f>J17*J9*'Assumptions &amp; Results'!$C$147</f>
        <v>0</v>
      </c>
      <c r="K18" s="82">
        <f>K17*K9*'Assumptions &amp; Results'!$C$147</f>
        <v>0</v>
      </c>
      <c r="L18" s="82">
        <f>L17*L9*'Assumptions &amp; Results'!$C$147</f>
        <v>0</v>
      </c>
      <c r="M18" s="82">
        <f>M17*M9*'Assumptions &amp; Results'!$C$147</f>
        <v>0</v>
      </c>
      <c r="N18" s="82">
        <f>N17*N9*'Assumptions &amp; Results'!$C$147</f>
        <v>0</v>
      </c>
      <c r="O18" s="82">
        <f>O17*O9*'Assumptions &amp; Results'!$C$147</f>
        <v>0</v>
      </c>
      <c r="P18" s="82">
        <f>P17*P9*'Assumptions &amp; Results'!$C$147</f>
        <v>0</v>
      </c>
      <c r="Q18" s="82">
        <f>Q17*Q9*'Assumptions &amp; Results'!$C$147</f>
        <v>0</v>
      </c>
      <c r="R18" s="82">
        <f>R17*R9*'Assumptions &amp; Results'!$C$147</f>
        <v>0</v>
      </c>
      <c r="S18" s="82">
        <f>S17*S9*'Assumptions &amp; Results'!$C$147</f>
        <v>0</v>
      </c>
      <c r="T18" s="82">
        <f>T17*T9*'Assumptions &amp; Results'!$C$147</f>
        <v>0</v>
      </c>
      <c r="U18" s="82">
        <f>U17*U9*'Assumptions &amp; Results'!$C$147</f>
        <v>0</v>
      </c>
      <c r="V18" s="82">
        <f>V17*V9*'Assumptions &amp; Results'!$C$147</f>
        <v>0</v>
      </c>
      <c r="W18" s="82">
        <f>W17*W9*'Assumptions &amp; Results'!$C$147</f>
        <v>0</v>
      </c>
      <c r="X18" s="82">
        <f>X17*X9*'Assumptions &amp; Results'!$C$147</f>
        <v>0</v>
      </c>
      <c r="Y18" s="82">
        <f>Y17*Y9*'Assumptions &amp; Results'!$C$147</f>
        <v>0</v>
      </c>
      <c r="Z18" s="82">
        <f>Z17*Z9*'Assumptions &amp; Results'!$C$147</f>
        <v>0</v>
      </c>
      <c r="AA18" s="82">
        <f>AA17*AA9*'Assumptions &amp; Results'!$C$147</f>
        <v>0</v>
      </c>
      <c r="AB18" s="82">
        <f>AB17*AB9*'Assumptions &amp; Results'!$C$147</f>
        <v>0</v>
      </c>
      <c r="AC18" s="82">
        <f>AC17*AC9*'Assumptions &amp; Results'!$C$147</f>
        <v>0</v>
      </c>
      <c r="AD18" s="82">
        <f>AD17*AD9*'Assumptions &amp; Results'!$C$147</f>
        <v>0</v>
      </c>
      <c r="AE18" s="82">
        <f>AE17*AE9*'Assumptions &amp; Results'!$C$147</f>
        <v>0</v>
      </c>
      <c r="AF18" s="82">
        <f>AF17*AF9*'Assumptions &amp; Results'!$C$147</f>
        <v>0</v>
      </c>
      <c r="AG18" s="82">
        <f>AG17*AG9*'Assumptions &amp; Results'!$C$147</f>
        <v>0</v>
      </c>
      <c r="AH18" s="82">
        <f>AH17*AH9*'Assumptions &amp; Results'!$C$147</f>
        <v>0</v>
      </c>
      <c r="AI18" s="82">
        <f>AI17*AI9*'Assumptions &amp; Results'!$C$147</f>
        <v>0</v>
      </c>
      <c r="AJ18" s="82">
        <f>AJ17*AJ9*'Assumptions &amp; Results'!$C$147</f>
        <v>0</v>
      </c>
      <c r="AK18" s="82">
        <f>AK17*AK9*'Assumptions &amp; Results'!$C$147</f>
        <v>0</v>
      </c>
      <c r="AL18" s="82">
        <f>AL17*AL9*'Assumptions &amp; Results'!$C$147</f>
        <v>0</v>
      </c>
      <c r="AM18" s="82">
        <f>AM17*AM9*'Assumptions &amp; Results'!$C$147</f>
        <v>0</v>
      </c>
      <c r="AN18" s="82">
        <f>AN17*AN9*'Assumptions &amp; Results'!$C$147</f>
        <v>0</v>
      </c>
      <c r="AO18" s="82">
        <f>AO17*AO9*'Assumptions &amp; Results'!$C$147</f>
        <v>0</v>
      </c>
      <c r="AP18" s="82">
        <f>AP17*AP9*'Assumptions &amp; Results'!$C$147</f>
        <v>0</v>
      </c>
      <c r="AQ18" s="82">
        <f>AQ17*AQ9*'Assumptions &amp; Results'!$C$147</f>
        <v>0</v>
      </c>
      <c r="AR18" s="82">
        <f>AR17*AR9*'Assumptions &amp; Results'!$C$147</f>
        <v>0</v>
      </c>
      <c r="AS18" s="82">
        <f>AS17*AS9*'Assumptions &amp; Results'!$C$147</f>
        <v>0</v>
      </c>
      <c r="AT18" s="82">
        <f>AT17*AT9*'Assumptions &amp; Results'!$C$147</f>
        <v>0</v>
      </c>
      <c r="AU18" s="82">
        <f>AU17*AU9*'Assumptions &amp; Results'!$C$147</f>
        <v>0</v>
      </c>
      <c r="AV18" s="82">
        <f>AV17*AV9*'Assumptions &amp; Results'!$C$147</f>
        <v>0</v>
      </c>
      <c r="AW18" s="82">
        <f>AW17*AW9*'Assumptions &amp; Results'!$C$147</f>
        <v>0</v>
      </c>
      <c r="AX18" s="82">
        <f>AX17*AX9*'Assumptions &amp; Results'!$C$147</f>
        <v>0</v>
      </c>
      <c r="AY18" s="82">
        <f>AY17*AY9*'Assumptions &amp; Results'!$C$147</f>
        <v>0</v>
      </c>
      <c r="AZ18" s="82">
        <f>AZ17*AZ9*'Assumptions &amp; Results'!$C$147</f>
        <v>0</v>
      </c>
      <c r="BA18" s="82">
        <f>BA17*BA9*'Assumptions &amp; Results'!$C$147</f>
        <v>0</v>
      </c>
    </row>
    <row r="19" spans="2:53" x14ac:dyDescent="0.2">
      <c r="B19" s="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row>
    <row r="20" spans="2:53" x14ac:dyDescent="0.2">
      <c r="B20" s="2" t="s">
        <v>93</v>
      </c>
      <c r="C20" s="26" t="s">
        <v>75</v>
      </c>
      <c r="D20" s="84">
        <v>0</v>
      </c>
      <c r="E20" s="84">
        <v>0</v>
      </c>
      <c r="F20" s="84">
        <v>0</v>
      </c>
      <c r="G20" s="84">
        <v>0</v>
      </c>
      <c r="H20" s="84">
        <v>0</v>
      </c>
      <c r="I20" s="84">
        <v>10</v>
      </c>
      <c r="J20" s="84">
        <v>10</v>
      </c>
      <c r="K20" s="84">
        <v>10</v>
      </c>
      <c r="L20" s="84">
        <v>10</v>
      </c>
      <c r="M20" s="84">
        <v>10</v>
      </c>
      <c r="N20" s="84">
        <v>10</v>
      </c>
      <c r="O20" s="84">
        <v>10</v>
      </c>
      <c r="P20" s="84">
        <v>10</v>
      </c>
      <c r="Q20" s="84">
        <v>10</v>
      </c>
      <c r="R20" s="84">
        <v>10</v>
      </c>
      <c r="S20" s="84">
        <v>10</v>
      </c>
      <c r="T20" s="84">
        <v>10</v>
      </c>
      <c r="U20" s="84">
        <v>10</v>
      </c>
      <c r="V20" s="84">
        <v>10</v>
      </c>
      <c r="W20" s="84">
        <v>10</v>
      </c>
      <c r="X20" s="84">
        <v>10</v>
      </c>
      <c r="Y20" s="84">
        <v>10</v>
      </c>
      <c r="Z20" s="84">
        <v>10</v>
      </c>
      <c r="AA20" s="84">
        <v>10</v>
      </c>
      <c r="AB20" s="84">
        <v>10</v>
      </c>
      <c r="AC20" s="84">
        <v>10</v>
      </c>
      <c r="AD20" s="84">
        <v>10</v>
      </c>
      <c r="AE20" s="84">
        <v>10</v>
      </c>
      <c r="AF20" s="84">
        <v>10</v>
      </c>
      <c r="AG20" s="84">
        <v>10</v>
      </c>
      <c r="AH20" s="84">
        <v>10</v>
      </c>
      <c r="AI20" s="84"/>
      <c r="AJ20" s="84"/>
      <c r="AK20" s="84"/>
      <c r="AL20" s="84"/>
      <c r="AM20" s="84"/>
      <c r="AN20" s="84"/>
      <c r="AO20" s="84"/>
      <c r="AP20" s="84"/>
      <c r="AQ20" s="84"/>
      <c r="AR20" s="84"/>
      <c r="AS20" s="84"/>
      <c r="AT20" s="84"/>
      <c r="AU20" s="84"/>
      <c r="AV20" s="84"/>
      <c r="AW20" s="84"/>
      <c r="AX20" s="84"/>
      <c r="AY20" s="84"/>
      <c r="AZ20" s="84"/>
      <c r="BA20" s="84"/>
    </row>
    <row r="21" spans="2:53" x14ac:dyDescent="0.2">
      <c r="B21" s="2" t="s">
        <v>92</v>
      </c>
      <c r="C21" s="26" t="s">
        <v>75</v>
      </c>
      <c r="D21" s="82">
        <f t="shared" ref="D21:AI21" si="23">D20*D9</f>
        <v>0</v>
      </c>
      <c r="E21" s="82">
        <f t="shared" si="23"/>
        <v>0</v>
      </c>
      <c r="F21" s="82">
        <f t="shared" si="23"/>
        <v>0</v>
      </c>
      <c r="G21" s="82">
        <f t="shared" si="23"/>
        <v>0</v>
      </c>
      <c r="H21" s="82">
        <f t="shared" si="23"/>
        <v>0</v>
      </c>
      <c r="I21" s="82">
        <f t="shared" si="23"/>
        <v>11.040808032000001</v>
      </c>
      <c r="J21" s="82">
        <f t="shared" si="23"/>
        <v>11.261624192640001</v>
      </c>
      <c r="K21" s="82">
        <f t="shared" si="23"/>
        <v>11.486856676492801</v>
      </c>
      <c r="L21" s="82">
        <f t="shared" si="23"/>
        <v>11.716593810022658</v>
      </c>
      <c r="M21" s="82">
        <f t="shared" si="23"/>
        <v>11.95092568622311</v>
      </c>
      <c r="N21" s="82">
        <f t="shared" si="23"/>
        <v>12.189944199947574</v>
      </c>
      <c r="O21" s="82">
        <f t="shared" si="23"/>
        <v>12.433743083946524</v>
      </c>
      <c r="P21" s="82">
        <f t="shared" si="23"/>
        <v>12.682417945625454</v>
      </c>
      <c r="Q21" s="82">
        <f t="shared" si="23"/>
        <v>12.936066304537963</v>
      </c>
      <c r="R21" s="82">
        <f t="shared" si="23"/>
        <v>13.194787630628724</v>
      </c>
      <c r="S21" s="82">
        <f t="shared" si="23"/>
        <v>13.458683383241299</v>
      </c>
      <c r="T21" s="82">
        <f t="shared" si="23"/>
        <v>13.727857050906124</v>
      </c>
      <c r="U21" s="82">
        <f t="shared" si="23"/>
        <v>14.002414191924249</v>
      </c>
      <c r="V21" s="82">
        <f t="shared" si="23"/>
        <v>14.282462475762735</v>
      </c>
      <c r="W21" s="82">
        <f t="shared" si="23"/>
        <v>14.568111725277987</v>
      </c>
      <c r="X21" s="82">
        <f t="shared" si="23"/>
        <v>14.85947395978355</v>
      </c>
      <c r="Y21" s="82">
        <f t="shared" si="23"/>
        <v>15.156663438979221</v>
      </c>
      <c r="Z21" s="82">
        <f t="shared" si="23"/>
        <v>15.459796707758805</v>
      </c>
      <c r="AA21" s="82">
        <f t="shared" si="23"/>
        <v>15.768992641913982</v>
      </c>
      <c r="AB21" s="82">
        <f t="shared" si="23"/>
        <v>16.084372494752262</v>
      </c>
      <c r="AC21" s="82">
        <f t="shared" si="23"/>
        <v>16.406059944647307</v>
      </c>
      <c r="AD21" s="82">
        <f t="shared" si="23"/>
        <v>16.734181143540251</v>
      </c>
      <c r="AE21" s="82">
        <f t="shared" si="23"/>
        <v>17.068864766411057</v>
      </c>
      <c r="AF21" s="82">
        <f t="shared" si="23"/>
        <v>17.410242061739282</v>
      </c>
      <c r="AG21" s="82">
        <f t="shared" si="23"/>
        <v>17.758446902974065</v>
      </c>
      <c r="AH21" s="82">
        <f t="shared" si="23"/>
        <v>18.11361584103355</v>
      </c>
      <c r="AI21" s="82">
        <f t="shared" si="23"/>
        <v>0</v>
      </c>
      <c r="AJ21" s="82">
        <f t="shared" ref="AJ21:BA21" si="24">AJ20*AJ9</f>
        <v>0</v>
      </c>
      <c r="AK21" s="82">
        <f t="shared" si="24"/>
        <v>0</v>
      </c>
      <c r="AL21" s="82">
        <f t="shared" si="24"/>
        <v>0</v>
      </c>
      <c r="AM21" s="82">
        <f t="shared" si="24"/>
        <v>0</v>
      </c>
      <c r="AN21" s="82">
        <f t="shared" si="24"/>
        <v>0</v>
      </c>
      <c r="AO21" s="82">
        <f t="shared" si="24"/>
        <v>0</v>
      </c>
      <c r="AP21" s="82">
        <f t="shared" si="24"/>
        <v>0</v>
      </c>
      <c r="AQ21" s="82">
        <f t="shared" si="24"/>
        <v>0</v>
      </c>
      <c r="AR21" s="82">
        <f t="shared" si="24"/>
        <v>0</v>
      </c>
      <c r="AS21" s="82">
        <f t="shared" si="24"/>
        <v>0</v>
      </c>
      <c r="AT21" s="82">
        <f t="shared" si="24"/>
        <v>0</v>
      </c>
      <c r="AU21" s="82">
        <f t="shared" si="24"/>
        <v>0</v>
      </c>
      <c r="AV21" s="82">
        <f t="shared" si="24"/>
        <v>0</v>
      </c>
      <c r="AW21" s="82">
        <f t="shared" si="24"/>
        <v>0</v>
      </c>
      <c r="AX21" s="82">
        <f t="shared" si="24"/>
        <v>0</v>
      </c>
      <c r="AY21" s="82">
        <f t="shared" si="24"/>
        <v>0</v>
      </c>
      <c r="AZ21" s="82">
        <f t="shared" si="24"/>
        <v>0</v>
      </c>
      <c r="BA21" s="82">
        <f t="shared" si="24"/>
        <v>0</v>
      </c>
    </row>
    <row r="22" spans="2:53" x14ac:dyDescent="0.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59999389629810485"/>
  </sheetPr>
  <dimension ref="A1:CF197"/>
  <sheetViews>
    <sheetView zoomScale="130" zoomScaleNormal="130" zoomScalePageLayoutView="130" workbookViewId="0">
      <pane xSplit="4" ySplit="2" topLeftCell="E91" activePane="bottomRight" state="frozenSplit"/>
      <selection activeCell="G29" sqref="G29"/>
      <selection pane="topRight" activeCell="G29" sqref="G29"/>
      <selection pane="bottomLeft" activeCell="G29" sqref="G29"/>
      <selection pane="bottomRight" activeCell="C119" sqref="C119"/>
    </sheetView>
  </sheetViews>
  <sheetFormatPr defaultColWidth="11.42578125" defaultRowHeight="12.75" x14ac:dyDescent="0.2"/>
  <cols>
    <col min="1" max="1" width="11.42578125" style="7"/>
    <col min="2" max="2" width="11.42578125" style="7" bestFit="1" customWidth="1"/>
    <col min="3" max="3" width="46.140625" style="7" customWidth="1"/>
    <col min="4" max="4" width="8.42578125" style="36" customWidth="1"/>
    <col min="5" max="5" width="14.28515625" style="7" customWidth="1"/>
    <col min="6" max="35" width="11.42578125" style="7"/>
    <col min="36" max="36" width="11.42578125" style="7" customWidth="1"/>
    <col min="37" max="16384" width="11.42578125" style="7"/>
  </cols>
  <sheetData>
    <row r="1" spans="1:56" x14ac:dyDescent="0.2">
      <c r="E1" s="36">
        <f>Inputs!D1</f>
        <v>2015</v>
      </c>
      <c r="F1" s="36">
        <f>Inputs!E1</f>
        <v>2016</v>
      </c>
      <c r="G1" s="36">
        <f>Inputs!F1</f>
        <v>2017</v>
      </c>
      <c r="H1" s="36">
        <f>Inputs!G1</f>
        <v>2018</v>
      </c>
      <c r="I1" s="36">
        <f>Inputs!H1</f>
        <v>2019</v>
      </c>
      <c r="J1" s="36">
        <f>Inputs!I1</f>
        <v>2020</v>
      </c>
      <c r="K1" s="36">
        <f>Inputs!J1</f>
        <v>2021</v>
      </c>
      <c r="L1" s="36">
        <f>Inputs!K1</f>
        <v>2022</v>
      </c>
      <c r="M1" s="36">
        <f>Inputs!L1</f>
        <v>2023</v>
      </c>
      <c r="N1" s="36">
        <f>Inputs!M1</f>
        <v>2024</v>
      </c>
      <c r="O1" s="36">
        <f>Inputs!N1</f>
        <v>2025</v>
      </c>
      <c r="P1" s="36">
        <f>Inputs!O1</f>
        <v>2026</v>
      </c>
      <c r="Q1" s="36">
        <f>Inputs!P1</f>
        <v>2027</v>
      </c>
      <c r="R1" s="36">
        <f>Inputs!Q1</f>
        <v>2028</v>
      </c>
      <c r="S1" s="36">
        <f>Inputs!R1</f>
        <v>2029</v>
      </c>
      <c r="T1" s="36">
        <f>Inputs!S1</f>
        <v>2030</v>
      </c>
      <c r="U1" s="36">
        <f>Inputs!T1</f>
        <v>2031</v>
      </c>
      <c r="V1" s="36">
        <f>Inputs!U1</f>
        <v>2032</v>
      </c>
      <c r="W1" s="36">
        <f>Inputs!V1</f>
        <v>2033</v>
      </c>
      <c r="X1" s="36">
        <f>Inputs!W1</f>
        <v>2034</v>
      </c>
      <c r="Y1" s="36">
        <f>Inputs!X1</f>
        <v>2035</v>
      </c>
      <c r="Z1" s="36">
        <f>Inputs!Y1</f>
        <v>2036</v>
      </c>
      <c r="AA1" s="36">
        <f>Inputs!Z1</f>
        <v>2037</v>
      </c>
      <c r="AB1" s="36">
        <f>Inputs!AA1</f>
        <v>2038</v>
      </c>
      <c r="AC1" s="36">
        <f>Inputs!AB1</f>
        <v>2039</v>
      </c>
      <c r="AD1" s="36">
        <f>Inputs!AC1</f>
        <v>2040</v>
      </c>
      <c r="AE1" s="36">
        <f>Inputs!AD1</f>
        <v>2041</v>
      </c>
      <c r="AF1" s="36">
        <f>Inputs!AE1</f>
        <v>2042</v>
      </c>
      <c r="AG1" s="36">
        <f>Inputs!AF1</f>
        <v>2043</v>
      </c>
      <c r="AH1" s="36">
        <f>Inputs!AG1</f>
        <v>2044</v>
      </c>
      <c r="AI1" s="36">
        <f>Inputs!AH1</f>
        <v>2045</v>
      </c>
      <c r="AJ1" s="36">
        <f>Inputs!AI1</f>
        <v>2046</v>
      </c>
      <c r="AK1" s="36">
        <f>Inputs!AJ1</f>
        <v>2047</v>
      </c>
      <c r="AL1" s="36">
        <f>Inputs!AK1</f>
        <v>2048</v>
      </c>
      <c r="AM1" s="36">
        <f>Inputs!AL1</f>
        <v>2049</v>
      </c>
      <c r="AN1" s="36">
        <f>Inputs!AM1</f>
        <v>2050</v>
      </c>
      <c r="AO1" s="36">
        <f>Inputs!AN1</f>
        <v>2051</v>
      </c>
      <c r="AP1" s="36">
        <f>Inputs!AO1</f>
        <v>2052</v>
      </c>
      <c r="AQ1" s="36">
        <f>Inputs!AP1</f>
        <v>2053</v>
      </c>
      <c r="AR1" s="36">
        <f>Inputs!AQ1</f>
        <v>2054</v>
      </c>
      <c r="AS1" s="36">
        <f>Inputs!AR1</f>
        <v>2055</v>
      </c>
      <c r="AT1" s="36">
        <f>Inputs!AS1</f>
        <v>2056</v>
      </c>
      <c r="AU1" s="36">
        <f>Inputs!AT1</f>
        <v>2057</v>
      </c>
      <c r="AV1" s="36">
        <f>Inputs!AU1</f>
        <v>2058</v>
      </c>
      <c r="AW1" s="36">
        <f>Inputs!AV1</f>
        <v>2059</v>
      </c>
      <c r="AX1" s="36">
        <f>Inputs!AW1</f>
        <v>2060</v>
      </c>
      <c r="AY1" s="36">
        <f>Inputs!AX1</f>
        <v>2061</v>
      </c>
      <c r="AZ1" s="36">
        <f>Inputs!AY1</f>
        <v>2062</v>
      </c>
      <c r="BA1" s="36">
        <f>Inputs!AZ1</f>
        <v>2063</v>
      </c>
      <c r="BB1" s="36">
        <f>Inputs!BA1</f>
        <v>2064</v>
      </c>
      <c r="BC1" s="36"/>
      <c r="BD1" s="36"/>
    </row>
    <row r="2" spans="1:56" x14ac:dyDescent="0.2">
      <c r="A2" s="275" t="s">
        <v>372</v>
      </c>
      <c r="B2" s="275" t="s">
        <v>397</v>
      </c>
      <c r="D2" s="36" t="s">
        <v>0</v>
      </c>
      <c r="E2" s="36">
        <f>Inputs!D2</f>
        <v>1</v>
      </c>
      <c r="F2" s="36">
        <f>Inputs!E2</f>
        <v>2</v>
      </c>
      <c r="G2" s="36">
        <f>Inputs!F2</f>
        <v>3</v>
      </c>
      <c r="H2" s="36">
        <f>Inputs!G2</f>
        <v>4</v>
      </c>
      <c r="I2" s="36">
        <f>Inputs!H2</f>
        <v>5</v>
      </c>
      <c r="J2" s="36">
        <f>Inputs!I2</f>
        <v>6</v>
      </c>
      <c r="K2" s="36">
        <f>Inputs!J2</f>
        <v>7</v>
      </c>
      <c r="L2" s="36">
        <f>Inputs!K2</f>
        <v>8</v>
      </c>
      <c r="M2" s="36">
        <f>Inputs!L2</f>
        <v>9</v>
      </c>
      <c r="N2" s="36">
        <f>Inputs!M2</f>
        <v>10</v>
      </c>
      <c r="O2" s="36">
        <f>Inputs!N2</f>
        <v>11</v>
      </c>
      <c r="P2" s="36">
        <f>Inputs!O2</f>
        <v>12</v>
      </c>
      <c r="Q2" s="36">
        <f>Inputs!P2</f>
        <v>13</v>
      </c>
      <c r="R2" s="36">
        <f>Inputs!Q2</f>
        <v>14</v>
      </c>
      <c r="S2" s="36">
        <f>Inputs!R2</f>
        <v>15</v>
      </c>
      <c r="T2" s="36">
        <f>Inputs!S2</f>
        <v>16</v>
      </c>
      <c r="U2" s="36">
        <f>Inputs!T2</f>
        <v>17</v>
      </c>
      <c r="V2" s="36">
        <f>Inputs!U2</f>
        <v>18</v>
      </c>
      <c r="W2" s="36">
        <f>Inputs!V2</f>
        <v>19</v>
      </c>
      <c r="X2" s="36">
        <f>Inputs!W2</f>
        <v>20</v>
      </c>
      <c r="Y2" s="36">
        <f>Inputs!X2</f>
        <v>21</v>
      </c>
      <c r="Z2" s="36">
        <f>Inputs!Y2</f>
        <v>22</v>
      </c>
      <c r="AA2" s="36">
        <f>Inputs!Z2</f>
        <v>23</v>
      </c>
      <c r="AB2" s="36">
        <f>Inputs!AA2</f>
        <v>24</v>
      </c>
      <c r="AC2" s="36">
        <f>Inputs!AB2</f>
        <v>25</v>
      </c>
      <c r="AD2" s="36">
        <f>Inputs!AC2</f>
        <v>26</v>
      </c>
      <c r="AE2" s="36">
        <f>Inputs!AD2</f>
        <v>27</v>
      </c>
      <c r="AF2" s="36">
        <f>Inputs!AE2</f>
        <v>28</v>
      </c>
      <c r="AG2" s="36">
        <f>Inputs!AF2</f>
        <v>29</v>
      </c>
      <c r="AH2" s="36">
        <f>Inputs!AG2</f>
        <v>30</v>
      </c>
      <c r="AI2" s="36">
        <f>Inputs!AH2</f>
        <v>31</v>
      </c>
      <c r="AJ2" s="36">
        <f>Inputs!AI2</f>
        <v>32</v>
      </c>
      <c r="AK2" s="36">
        <f>Inputs!AJ2</f>
        <v>33</v>
      </c>
      <c r="AL2" s="36">
        <f>Inputs!AK2</f>
        <v>34</v>
      </c>
      <c r="AM2" s="36">
        <f>Inputs!AL2</f>
        <v>35</v>
      </c>
      <c r="AN2" s="36">
        <f>Inputs!AM2</f>
        <v>36</v>
      </c>
      <c r="AO2" s="36">
        <f>Inputs!AN2</f>
        <v>37</v>
      </c>
      <c r="AP2" s="36">
        <f>Inputs!AO2</f>
        <v>38</v>
      </c>
      <c r="AQ2" s="36">
        <f>Inputs!AP2</f>
        <v>39</v>
      </c>
      <c r="AR2" s="36">
        <f>Inputs!AQ2</f>
        <v>40</v>
      </c>
      <c r="AS2" s="36">
        <f>Inputs!AR2</f>
        <v>41</v>
      </c>
      <c r="AT2" s="36">
        <f>Inputs!AS2</f>
        <v>42</v>
      </c>
      <c r="AU2" s="36">
        <f>Inputs!AT2</f>
        <v>43</v>
      </c>
      <c r="AV2" s="36">
        <f>Inputs!AU2</f>
        <v>44</v>
      </c>
      <c r="AW2" s="36">
        <f>Inputs!AV2</f>
        <v>45</v>
      </c>
      <c r="AX2" s="36">
        <f>Inputs!AW2</f>
        <v>46</v>
      </c>
      <c r="AY2" s="36">
        <f>Inputs!AX2</f>
        <v>47</v>
      </c>
      <c r="AZ2" s="36">
        <f>Inputs!AY2</f>
        <v>48</v>
      </c>
      <c r="BA2" s="36">
        <f>Inputs!AZ2</f>
        <v>49</v>
      </c>
      <c r="BB2" s="36">
        <f>Inputs!BA2</f>
        <v>50</v>
      </c>
      <c r="BC2" s="36"/>
      <c r="BD2" s="36"/>
    </row>
    <row r="3" spans="1:56" ht="15.75" x14ac:dyDescent="0.25">
      <c r="C3" s="12"/>
    </row>
    <row r="4" spans="1:56" s="306" customFormat="1" ht="15.75" x14ac:dyDescent="0.25">
      <c r="C4" s="307" t="s">
        <v>210</v>
      </c>
    </row>
    <row r="5" spans="1:56" x14ac:dyDescent="0.2">
      <c r="C5" s="78"/>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row>
    <row r="6" spans="1:56" s="105" customFormat="1" x14ac:dyDescent="0.2">
      <c r="A6" s="100">
        <f>SUM(E6:BB6)</f>
        <v>20816.861658044567</v>
      </c>
      <c r="B6" s="100">
        <f>NPV('Assumptions &amp; Results'!$C$129,Calculations!E6:BB6)</f>
        <v>3338.2842489252616</v>
      </c>
      <c r="C6" s="101" t="s">
        <v>85</v>
      </c>
      <c r="D6" s="102" t="s">
        <v>75</v>
      </c>
      <c r="E6" s="103">
        <f t="shared" ref="E6:AJ6" si="0">E7*E8</f>
        <v>0</v>
      </c>
      <c r="F6" s="103">
        <f t="shared" si="0"/>
        <v>0</v>
      </c>
      <c r="G6" s="103">
        <f t="shared" si="0"/>
        <v>0</v>
      </c>
      <c r="H6" s="103">
        <f t="shared" si="0"/>
        <v>0</v>
      </c>
      <c r="I6" s="103">
        <f t="shared" si="0"/>
        <v>255.88696262400001</v>
      </c>
      <c r="J6" s="103">
        <f t="shared" si="0"/>
        <v>644.78318906879997</v>
      </c>
      <c r="K6" s="103">
        <f t="shared" si="0"/>
        <v>649.79571591532806</v>
      </c>
      <c r="L6" s="103">
        <f t="shared" si="0"/>
        <v>654.75083056008964</v>
      </c>
      <c r="M6" s="103">
        <f t="shared" si="0"/>
        <v>660.23006119477679</v>
      </c>
      <c r="N6" s="103">
        <f t="shared" si="0"/>
        <v>665.06901443831612</v>
      </c>
      <c r="O6" s="103">
        <f t="shared" si="0"/>
        <v>670.44693099711651</v>
      </c>
      <c r="P6" s="103">
        <f t="shared" si="0"/>
        <v>683.85586961705883</v>
      </c>
      <c r="Q6" s="103">
        <f t="shared" si="0"/>
        <v>697.53298700940002</v>
      </c>
      <c r="R6" s="103">
        <f t="shared" si="0"/>
        <v>711.48364674958793</v>
      </c>
      <c r="S6" s="103">
        <f t="shared" si="0"/>
        <v>725.7133196845798</v>
      </c>
      <c r="T6" s="103">
        <f t="shared" si="0"/>
        <v>740.22758607827143</v>
      </c>
      <c r="U6" s="103">
        <f t="shared" si="0"/>
        <v>755.03213779983685</v>
      </c>
      <c r="V6" s="103">
        <f t="shared" si="0"/>
        <v>770.13278055583362</v>
      </c>
      <c r="W6" s="103">
        <f t="shared" si="0"/>
        <v>785.53543616695038</v>
      </c>
      <c r="X6" s="103">
        <f t="shared" si="0"/>
        <v>801.24614489028932</v>
      </c>
      <c r="Y6" s="103">
        <f t="shared" si="0"/>
        <v>817.27106778809525</v>
      </c>
      <c r="Z6" s="103">
        <f t="shared" si="0"/>
        <v>833.61648914385717</v>
      </c>
      <c r="AA6" s="103">
        <f t="shared" si="0"/>
        <v>850.28881892673428</v>
      </c>
      <c r="AB6" s="103">
        <f t="shared" si="0"/>
        <v>867.29459530526901</v>
      </c>
      <c r="AC6" s="103">
        <f t="shared" si="0"/>
        <v>884.64048721137442</v>
      </c>
      <c r="AD6" s="103">
        <f t="shared" si="0"/>
        <v>902.3332969556019</v>
      </c>
      <c r="AE6" s="103">
        <f t="shared" si="0"/>
        <v>920.37996289471391</v>
      </c>
      <c r="AF6" s="103">
        <f t="shared" si="0"/>
        <v>938.78756215260819</v>
      </c>
      <c r="AG6" s="103">
        <f t="shared" si="0"/>
        <v>957.56331339566043</v>
      </c>
      <c r="AH6" s="103">
        <f t="shared" si="0"/>
        <v>976.71457966357355</v>
      </c>
      <c r="AI6" s="103">
        <f t="shared" si="0"/>
        <v>996.24887125684518</v>
      </c>
      <c r="AJ6" s="103">
        <f t="shared" si="0"/>
        <v>0</v>
      </c>
      <c r="AK6" s="103">
        <f t="shared" ref="AK6:BB6" si="1">AK7*AK8</f>
        <v>0</v>
      </c>
      <c r="AL6" s="103">
        <f t="shared" si="1"/>
        <v>0</v>
      </c>
      <c r="AM6" s="103">
        <f t="shared" si="1"/>
        <v>0</v>
      </c>
      <c r="AN6" s="103">
        <f t="shared" si="1"/>
        <v>0</v>
      </c>
      <c r="AO6" s="103">
        <f t="shared" si="1"/>
        <v>0</v>
      </c>
      <c r="AP6" s="103">
        <f t="shared" si="1"/>
        <v>0</v>
      </c>
      <c r="AQ6" s="103">
        <f t="shared" si="1"/>
        <v>0</v>
      </c>
      <c r="AR6" s="103">
        <f t="shared" si="1"/>
        <v>0</v>
      </c>
      <c r="AS6" s="103">
        <f t="shared" si="1"/>
        <v>0</v>
      </c>
      <c r="AT6" s="103">
        <f t="shared" si="1"/>
        <v>0</v>
      </c>
      <c r="AU6" s="103">
        <f t="shared" si="1"/>
        <v>0</v>
      </c>
      <c r="AV6" s="103">
        <f t="shared" si="1"/>
        <v>0</v>
      </c>
      <c r="AW6" s="103">
        <f t="shared" si="1"/>
        <v>0</v>
      </c>
      <c r="AX6" s="103">
        <f t="shared" si="1"/>
        <v>0</v>
      </c>
      <c r="AY6" s="103">
        <f t="shared" si="1"/>
        <v>0</v>
      </c>
      <c r="AZ6" s="103">
        <f t="shared" si="1"/>
        <v>0</v>
      </c>
      <c r="BA6" s="103">
        <f t="shared" si="1"/>
        <v>0</v>
      </c>
      <c r="BB6" s="103">
        <f t="shared" si="1"/>
        <v>0</v>
      </c>
      <c r="BC6" s="104"/>
      <c r="BD6" s="104"/>
    </row>
    <row r="7" spans="1:56" x14ac:dyDescent="0.2">
      <c r="A7" s="308">
        <f>SUM(E7:BB7)</f>
        <v>13.2</v>
      </c>
      <c r="C7" s="8" t="s">
        <v>17</v>
      </c>
      <c r="D7" s="36" t="s">
        <v>192</v>
      </c>
      <c r="E7" s="51">
        <f>Inputs!D5/1000000</f>
        <v>0</v>
      </c>
      <c r="F7" s="51">
        <f>Inputs!E5/1000000</f>
        <v>0</v>
      </c>
      <c r="G7" s="51">
        <f>Inputs!F5/1000000</f>
        <v>0</v>
      </c>
      <c r="H7" s="51">
        <f>Inputs!G5/1000000</f>
        <v>0</v>
      </c>
      <c r="I7" s="51">
        <f>Inputs!H5/1000000</f>
        <v>0.2</v>
      </c>
      <c r="J7" s="51">
        <f>Inputs!I5/1000000</f>
        <v>0.5</v>
      </c>
      <c r="K7" s="51">
        <f>Inputs!J5/1000000</f>
        <v>0.5</v>
      </c>
      <c r="L7" s="51">
        <f>Inputs!K5/1000000</f>
        <v>0.5</v>
      </c>
      <c r="M7" s="51">
        <f>Inputs!L5/1000000</f>
        <v>0.5</v>
      </c>
      <c r="N7" s="51">
        <f>Inputs!M5/1000000</f>
        <v>0.5</v>
      </c>
      <c r="O7" s="51">
        <f>Inputs!N5/1000000</f>
        <v>0.5</v>
      </c>
      <c r="P7" s="51">
        <f>Inputs!O5/1000000</f>
        <v>0.5</v>
      </c>
      <c r="Q7" s="51">
        <f>Inputs!P5/1000000</f>
        <v>0.5</v>
      </c>
      <c r="R7" s="51">
        <f>Inputs!Q5/1000000</f>
        <v>0.5</v>
      </c>
      <c r="S7" s="51">
        <f>Inputs!R5/1000000</f>
        <v>0.5</v>
      </c>
      <c r="T7" s="51">
        <f>Inputs!S5/1000000</f>
        <v>0.5</v>
      </c>
      <c r="U7" s="51">
        <f>Inputs!T5/1000000</f>
        <v>0.5</v>
      </c>
      <c r="V7" s="51">
        <f>Inputs!U5/1000000</f>
        <v>0.5</v>
      </c>
      <c r="W7" s="51">
        <f>Inputs!V5/1000000</f>
        <v>0.5</v>
      </c>
      <c r="X7" s="51">
        <f>Inputs!W5/1000000</f>
        <v>0.5</v>
      </c>
      <c r="Y7" s="51">
        <f>Inputs!X5/1000000</f>
        <v>0.5</v>
      </c>
      <c r="Z7" s="51">
        <f>Inputs!Y5/1000000</f>
        <v>0.5</v>
      </c>
      <c r="AA7" s="51">
        <f>Inputs!Z5/1000000</f>
        <v>0.5</v>
      </c>
      <c r="AB7" s="51">
        <f>Inputs!AA5/1000000</f>
        <v>0.5</v>
      </c>
      <c r="AC7" s="51">
        <f>Inputs!AB5/1000000</f>
        <v>0.5</v>
      </c>
      <c r="AD7" s="51">
        <f>Inputs!AC5/1000000</f>
        <v>0.5</v>
      </c>
      <c r="AE7" s="51">
        <f>Inputs!AD5/1000000</f>
        <v>0.5</v>
      </c>
      <c r="AF7" s="51">
        <f>Inputs!AE5/1000000</f>
        <v>0.5</v>
      </c>
      <c r="AG7" s="51">
        <f>Inputs!AF5/1000000</f>
        <v>0.5</v>
      </c>
      <c r="AH7" s="51">
        <f>Inputs!AG5/1000000</f>
        <v>0.5</v>
      </c>
      <c r="AI7" s="51">
        <f>Inputs!AH5/1000000</f>
        <v>0.5</v>
      </c>
      <c r="AJ7" s="51">
        <f>Inputs!AI5/1000000</f>
        <v>0</v>
      </c>
      <c r="AK7" s="51">
        <f>Inputs!AJ5/1000000</f>
        <v>0</v>
      </c>
      <c r="AL7" s="51">
        <f>Inputs!AK5/1000000</f>
        <v>0</v>
      </c>
      <c r="AM7" s="51">
        <f>Inputs!AL5/1000000</f>
        <v>0</v>
      </c>
      <c r="AN7" s="51">
        <f>Inputs!AM5/1000000</f>
        <v>0</v>
      </c>
      <c r="AO7" s="51">
        <f>Inputs!AN5/1000000</f>
        <v>0</v>
      </c>
      <c r="AP7" s="51">
        <f>Inputs!AO5/1000000</f>
        <v>0</v>
      </c>
      <c r="AQ7" s="51">
        <f>Inputs!AP5/1000000</f>
        <v>0</v>
      </c>
      <c r="AR7" s="51">
        <f>Inputs!AQ5/1000000</f>
        <v>0</v>
      </c>
      <c r="AS7" s="51">
        <f>Inputs!AR5/1000000</f>
        <v>0</v>
      </c>
      <c r="AT7" s="51">
        <f>Inputs!AS5/1000000</f>
        <v>0</v>
      </c>
      <c r="AU7" s="51">
        <f>Inputs!AT5/1000000</f>
        <v>0</v>
      </c>
      <c r="AV7" s="51">
        <f>Inputs!AU5/1000000</f>
        <v>0</v>
      </c>
      <c r="AW7" s="51">
        <f>Inputs!AV5/1000000</f>
        <v>0</v>
      </c>
      <c r="AX7" s="51">
        <f>Inputs!AW5/1000000</f>
        <v>0</v>
      </c>
      <c r="AY7" s="51">
        <f>Inputs!AX5/1000000</f>
        <v>0</v>
      </c>
      <c r="AZ7" s="51">
        <f>Inputs!AY5/1000000</f>
        <v>0</v>
      </c>
      <c r="BA7" s="51">
        <f>Inputs!AZ5/1000000</f>
        <v>0</v>
      </c>
      <c r="BB7" s="51">
        <f>Inputs!BA5/1000000</f>
        <v>0</v>
      </c>
      <c r="BC7" s="38"/>
      <c r="BD7" s="38"/>
    </row>
    <row r="8" spans="1:56" ht="12" customHeight="1" x14ac:dyDescent="0.2">
      <c r="C8" s="8" t="s">
        <v>76</v>
      </c>
      <c r="D8" s="36" t="s">
        <v>163</v>
      </c>
      <c r="E8" s="51">
        <f>Inputs!D10</f>
        <v>1240</v>
      </c>
      <c r="F8" s="51">
        <f>Inputs!E10</f>
        <v>1249.5</v>
      </c>
      <c r="G8" s="51">
        <f>Inputs!F10</f>
        <v>1259.9243999999999</v>
      </c>
      <c r="H8" s="51">
        <f>Inputs!G10</f>
        <v>1269.2047679999998</v>
      </c>
      <c r="I8" s="51">
        <f>Inputs!H10</f>
        <v>1279.4348131199999</v>
      </c>
      <c r="J8" s="51">
        <f>Inputs!I10</f>
        <v>1289.5663781375999</v>
      </c>
      <c r="K8" s="51">
        <f>Inputs!J10</f>
        <v>1299.5914318306561</v>
      </c>
      <c r="L8" s="51">
        <f>Inputs!K10</f>
        <v>1309.5016611201793</v>
      </c>
      <c r="M8" s="51">
        <f>Inputs!L10</f>
        <v>1320.4601223895536</v>
      </c>
      <c r="N8" s="51">
        <f>Inputs!M10</f>
        <v>1330.1380288766322</v>
      </c>
      <c r="O8" s="51">
        <f>Inputs!N10</f>
        <v>1340.893861994233</v>
      </c>
      <c r="P8" s="51">
        <f>Inputs!O10</f>
        <v>1367.7117392341177</v>
      </c>
      <c r="Q8" s="51">
        <f>Inputs!P10</f>
        <v>1395.0659740188</v>
      </c>
      <c r="R8" s="51">
        <f>Inputs!Q10</f>
        <v>1422.9672934991759</v>
      </c>
      <c r="S8" s="51">
        <f>Inputs!R10</f>
        <v>1451.4266393691596</v>
      </c>
      <c r="T8" s="51">
        <f>Inputs!S10</f>
        <v>1480.4551721565429</v>
      </c>
      <c r="U8" s="51">
        <f>Inputs!T10</f>
        <v>1510.0642755996737</v>
      </c>
      <c r="V8" s="51">
        <f>Inputs!U10</f>
        <v>1540.2655611116672</v>
      </c>
      <c r="W8" s="51">
        <f>Inputs!V10</f>
        <v>1571.0708723339008</v>
      </c>
      <c r="X8" s="51">
        <f>Inputs!W10</f>
        <v>1602.4922897805786</v>
      </c>
      <c r="Y8" s="51">
        <f>Inputs!X10</f>
        <v>1634.5421355761905</v>
      </c>
      <c r="Z8" s="51">
        <f>Inputs!Y10</f>
        <v>1667.2329782877143</v>
      </c>
      <c r="AA8" s="51">
        <f>Inputs!Z10</f>
        <v>1700.5776378534686</v>
      </c>
      <c r="AB8" s="51">
        <f>Inputs!AA10</f>
        <v>1734.589190610538</v>
      </c>
      <c r="AC8" s="51">
        <f>Inputs!AB10</f>
        <v>1769.2809744227488</v>
      </c>
      <c r="AD8" s="51">
        <f>Inputs!AC10</f>
        <v>1804.6665939112038</v>
      </c>
      <c r="AE8" s="51">
        <f>Inputs!AD10</f>
        <v>1840.7599257894278</v>
      </c>
      <c r="AF8" s="51">
        <f>Inputs!AE10</f>
        <v>1877.5751243052164</v>
      </c>
      <c r="AG8" s="51">
        <f>Inputs!AF10</f>
        <v>1915.1266267913209</v>
      </c>
      <c r="AH8" s="51">
        <f>Inputs!AG10</f>
        <v>1953.4291593271471</v>
      </c>
      <c r="AI8" s="51">
        <f>Inputs!AH10</f>
        <v>1992.4977425136904</v>
      </c>
      <c r="AJ8" s="51">
        <f>Inputs!AI10</f>
        <v>0</v>
      </c>
      <c r="AK8" s="51">
        <f>Inputs!AJ10</f>
        <v>0</v>
      </c>
      <c r="AL8" s="51">
        <f>Inputs!AK10</f>
        <v>0</v>
      </c>
      <c r="AM8" s="51">
        <f>Inputs!AL10</f>
        <v>0</v>
      </c>
      <c r="AN8" s="51">
        <f>Inputs!AM10</f>
        <v>0</v>
      </c>
      <c r="AO8" s="51">
        <f>Inputs!AN10</f>
        <v>0</v>
      </c>
      <c r="AP8" s="51">
        <f>Inputs!AO10</f>
        <v>0</v>
      </c>
      <c r="AQ8" s="51">
        <f>Inputs!AP10</f>
        <v>0</v>
      </c>
      <c r="AR8" s="51">
        <f>Inputs!AQ10</f>
        <v>0</v>
      </c>
      <c r="AS8" s="51">
        <f>Inputs!AR10</f>
        <v>0</v>
      </c>
      <c r="AT8" s="51">
        <f>Inputs!AS10</f>
        <v>0</v>
      </c>
      <c r="AU8" s="51">
        <f>Inputs!AT10</f>
        <v>0</v>
      </c>
      <c r="AV8" s="51">
        <f>Inputs!AU10</f>
        <v>0</v>
      </c>
      <c r="AW8" s="51">
        <f>Inputs!AV10</f>
        <v>0</v>
      </c>
      <c r="AX8" s="51">
        <f>Inputs!AW10</f>
        <v>0</v>
      </c>
      <c r="AY8" s="51">
        <f>Inputs!AX10</f>
        <v>0</v>
      </c>
      <c r="AZ8" s="51">
        <f>Inputs!AY10</f>
        <v>0</v>
      </c>
      <c r="BA8" s="51">
        <f>Inputs!AZ10</f>
        <v>0</v>
      </c>
      <c r="BB8" s="51">
        <f>Inputs!BA10</f>
        <v>0</v>
      </c>
      <c r="BC8" s="38"/>
      <c r="BD8" s="38"/>
    </row>
    <row r="9" spans="1:56" ht="12" customHeight="1" x14ac:dyDescent="0.2">
      <c r="C9" s="8"/>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38"/>
      <c r="BD9" s="38"/>
    </row>
    <row r="10" spans="1:56" s="105" customFormat="1" x14ac:dyDescent="0.2">
      <c r="A10" s="100">
        <f>SUM(E10:BB10)</f>
        <v>11282.512047981318</v>
      </c>
      <c r="B10" s="100">
        <f>NPV('Assumptions &amp; Results'!$C$129,Calculations!E10:BB10)</f>
        <v>1787.9754638885529</v>
      </c>
      <c r="C10" s="101" t="s">
        <v>18</v>
      </c>
      <c r="D10" s="102" t="s">
        <v>75</v>
      </c>
      <c r="E10" s="103">
        <f>Inputs!D15</f>
        <v>0</v>
      </c>
      <c r="F10" s="103">
        <f>Inputs!E15</f>
        <v>0</v>
      </c>
      <c r="G10" s="103">
        <f>Inputs!F15</f>
        <v>0</v>
      </c>
      <c r="H10" s="103">
        <f>Inputs!G15</f>
        <v>0</v>
      </c>
      <c r="I10" s="103">
        <f>Inputs!H15</f>
        <v>129.8918592</v>
      </c>
      <c r="J10" s="103">
        <f>Inputs!I15</f>
        <v>331.22424096000003</v>
      </c>
      <c r="K10" s="103">
        <f>Inputs!J15</f>
        <v>337.84872577920004</v>
      </c>
      <c r="L10" s="103">
        <f>Inputs!K15</f>
        <v>344.60570029478401</v>
      </c>
      <c r="M10" s="103">
        <f>Inputs!L15</f>
        <v>351.49781430067975</v>
      </c>
      <c r="N10" s="103">
        <f>Inputs!M15</f>
        <v>358.52777058669329</v>
      </c>
      <c r="O10" s="103">
        <f>Inputs!N15</f>
        <v>365.69832599842721</v>
      </c>
      <c r="P10" s="103">
        <f>Inputs!O15</f>
        <v>373.01229251839572</v>
      </c>
      <c r="Q10" s="103">
        <f>Inputs!P15</f>
        <v>380.47253836876365</v>
      </c>
      <c r="R10" s="103">
        <f>Inputs!Q15</f>
        <v>388.08198913613887</v>
      </c>
      <c r="S10" s="103">
        <f>Inputs!R15</f>
        <v>395.84362891886173</v>
      </c>
      <c r="T10" s="103">
        <f>Inputs!S15</f>
        <v>403.76050149723898</v>
      </c>
      <c r="U10" s="103">
        <f>Inputs!T15</f>
        <v>411.83571152718372</v>
      </c>
      <c r="V10" s="103">
        <f>Inputs!U15</f>
        <v>420.07242575772744</v>
      </c>
      <c r="W10" s="103">
        <f>Inputs!V15</f>
        <v>428.47387427288203</v>
      </c>
      <c r="X10" s="103">
        <f>Inputs!W15</f>
        <v>437.04335175833961</v>
      </c>
      <c r="Y10" s="103">
        <f>Inputs!X15</f>
        <v>445.78421879350645</v>
      </c>
      <c r="Z10" s="103">
        <f>Inputs!Y15</f>
        <v>454.69990316937663</v>
      </c>
      <c r="AA10" s="103">
        <f>Inputs!Z15</f>
        <v>463.7939012327642</v>
      </c>
      <c r="AB10" s="103">
        <f>Inputs!AA15</f>
        <v>473.06977925741944</v>
      </c>
      <c r="AC10" s="103">
        <f>Inputs!AB15</f>
        <v>482.53117484256785</v>
      </c>
      <c r="AD10" s="103">
        <f>Inputs!AC15</f>
        <v>492.18179833941917</v>
      </c>
      <c r="AE10" s="103">
        <f>Inputs!AD15</f>
        <v>502.02543430620756</v>
      </c>
      <c r="AF10" s="103">
        <f>Inputs!AE15</f>
        <v>512.06594299233177</v>
      </c>
      <c r="AG10" s="103">
        <f>Inputs!AF15</f>
        <v>522.30726185217839</v>
      </c>
      <c r="AH10" s="103">
        <f>Inputs!AG15</f>
        <v>532.75340708922192</v>
      </c>
      <c r="AI10" s="103">
        <f>Inputs!AH15</f>
        <v>543.40847523100649</v>
      </c>
      <c r="AJ10" s="103">
        <f>Inputs!AI15</f>
        <v>0</v>
      </c>
      <c r="AK10" s="103">
        <f>Inputs!AJ15</f>
        <v>0</v>
      </c>
      <c r="AL10" s="103">
        <f>Inputs!AK15</f>
        <v>0</v>
      </c>
      <c r="AM10" s="103">
        <f>Inputs!AL15</f>
        <v>0</v>
      </c>
      <c r="AN10" s="103">
        <f>Inputs!AM15</f>
        <v>0</v>
      </c>
      <c r="AO10" s="103">
        <f>Inputs!AN15</f>
        <v>0</v>
      </c>
      <c r="AP10" s="103">
        <f>Inputs!AO15</f>
        <v>0</v>
      </c>
      <c r="AQ10" s="103">
        <f>Inputs!AP15</f>
        <v>0</v>
      </c>
      <c r="AR10" s="103">
        <f>Inputs!AQ15</f>
        <v>0</v>
      </c>
      <c r="AS10" s="103">
        <f>Inputs!AR15</f>
        <v>0</v>
      </c>
      <c r="AT10" s="103">
        <f>Inputs!AS15</f>
        <v>0</v>
      </c>
      <c r="AU10" s="103">
        <f>Inputs!AT15</f>
        <v>0</v>
      </c>
      <c r="AV10" s="103">
        <f>Inputs!AU15</f>
        <v>0</v>
      </c>
      <c r="AW10" s="103">
        <f>Inputs!AV15</f>
        <v>0</v>
      </c>
      <c r="AX10" s="103">
        <f>Inputs!AW15</f>
        <v>0</v>
      </c>
      <c r="AY10" s="103">
        <f>Inputs!AX15</f>
        <v>0</v>
      </c>
      <c r="AZ10" s="103">
        <f>Inputs!AY15</f>
        <v>0</v>
      </c>
      <c r="BA10" s="103">
        <f>Inputs!AZ15</f>
        <v>0</v>
      </c>
      <c r="BB10" s="103">
        <f>Inputs!BA15</f>
        <v>0</v>
      </c>
      <c r="BC10" s="104"/>
      <c r="BD10" s="104"/>
    </row>
    <row r="11" spans="1:56" x14ac:dyDescent="0.2">
      <c r="C11" s="8"/>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38"/>
      <c r="BD11" s="38"/>
    </row>
    <row r="12" spans="1:56" x14ac:dyDescent="0.2">
      <c r="A12" s="37">
        <f>SUM(E12:BB12)</f>
        <v>41.633723316089146</v>
      </c>
      <c r="B12" s="37">
        <f>NPV('Assumptions &amp; Results'!$C$129,Calculations!E12:BB12)</f>
        <v>6.6765684978505231</v>
      </c>
      <c r="C12" s="78" t="s">
        <v>475</v>
      </c>
      <c r="D12" s="36" t="s">
        <v>75</v>
      </c>
      <c r="E12" s="51">
        <f>'Assumptions &amp; Results'!$C$124*Calculations!E6</f>
        <v>0</v>
      </c>
      <c r="F12" s="51">
        <f>'Assumptions &amp; Results'!$C$124*Calculations!F6</f>
        <v>0</v>
      </c>
      <c r="G12" s="51">
        <f>'Assumptions &amp; Results'!$C$124*Calculations!G6</f>
        <v>0</v>
      </c>
      <c r="H12" s="51">
        <f>'Assumptions &amp; Results'!$C$124*Calculations!H6</f>
        <v>0</v>
      </c>
      <c r="I12" s="51">
        <f>'Assumptions &amp; Results'!$C$124*Calculations!I6</f>
        <v>0.51177392524800003</v>
      </c>
      <c r="J12" s="51">
        <f>'Assumptions &amp; Results'!$C$124*Calculations!J6</f>
        <v>1.2895663781375999</v>
      </c>
      <c r="K12" s="51">
        <f>'Assumptions &amp; Results'!$C$124*Calculations!K6</f>
        <v>1.2995914318306561</v>
      </c>
      <c r="L12" s="51">
        <f>'Assumptions &amp; Results'!$C$124*Calculations!L6</f>
        <v>1.3095016611201793</v>
      </c>
      <c r="M12" s="51">
        <f>'Assumptions &amp; Results'!$C$124*Calculations!M6</f>
        <v>1.3204601223895536</v>
      </c>
      <c r="N12" s="51">
        <f>'Assumptions &amp; Results'!$C$124*Calculations!N6</f>
        <v>1.3301380288766322</v>
      </c>
      <c r="O12" s="51">
        <f>'Assumptions &amp; Results'!$C$124*Calculations!O6</f>
        <v>1.340893861994233</v>
      </c>
      <c r="P12" s="51">
        <f>'Assumptions &amp; Results'!$C$124*Calculations!P6</f>
        <v>1.3677117392341176</v>
      </c>
      <c r="Q12" s="51">
        <f>'Assumptions &amp; Results'!$C$124*Calculations!Q6</f>
        <v>1.3950659740188001</v>
      </c>
      <c r="R12" s="51">
        <f>'Assumptions &amp; Results'!$C$124*Calculations!R6</f>
        <v>1.4229672934991759</v>
      </c>
      <c r="S12" s="51">
        <f>'Assumptions &amp; Results'!$C$124*Calculations!S6</f>
        <v>1.4514266393691597</v>
      </c>
      <c r="T12" s="51">
        <f>'Assumptions &amp; Results'!$C$124*Calculations!T6</f>
        <v>1.4804551721565429</v>
      </c>
      <c r="U12" s="51">
        <f>'Assumptions &amp; Results'!$C$124*Calculations!U6</f>
        <v>1.5100642755996738</v>
      </c>
      <c r="V12" s="51">
        <f>'Assumptions &amp; Results'!$C$124*Calculations!V6</f>
        <v>1.5402655611116673</v>
      </c>
      <c r="W12" s="51">
        <f>'Assumptions &amp; Results'!$C$124*Calculations!W6</f>
        <v>1.5710708723339009</v>
      </c>
      <c r="X12" s="51">
        <f>'Assumptions &amp; Results'!$C$124*Calculations!X6</f>
        <v>1.6024922897805787</v>
      </c>
      <c r="Y12" s="51">
        <f>'Assumptions &amp; Results'!$C$124*Calculations!Y6</f>
        <v>1.6345421355761904</v>
      </c>
      <c r="Z12" s="51">
        <f>'Assumptions &amp; Results'!$C$124*Calculations!Z6</f>
        <v>1.6672329782877144</v>
      </c>
      <c r="AA12" s="51">
        <f>'Assumptions &amp; Results'!$C$124*Calculations!AA6</f>
        <v>1.7005776378534685</v>
      </c>
      <c r="AB12" s="51">
        <f>'Assumptions &amp; Results'!$C$124*Calculations!AB6</f>
        <v>1.734589190610538</v>
      </c>
      <c r="AC12" s="51">
        <f>'Assumptions &amp; Results'!$C$124*Calculations!AC6</f>
        <v>1.7692809744227489</v>
      </c>
      <c r="AD12" s="51">
        <f>'Assumptions &amp; Results'!$C$124*Calculations!AD6</f>
        <v>1.8046665939112039</v>
      </c>
      <c r="AE12" s="51">
        <f>'Assumptions &amp; Results'!$C$124*Calculations!AE6</f>
        <v>1.8407599257894278</v>
      </c>
      <c r="AF12" s="51">
        <f>'Assumptions &amp; Results'!$C$124*Calculations!AF6</f>
        <v>1.8775751243052163</v>
      </c>
      <c r="AG12" s="51">
        <f>'Assumptions &amp; Results'!$C$124*Calculations!AG6</f>
        <v>1.915126626791321</v>
      </c>
      <c r="AH12" s="51">
        <f>'Assumptions &amp; Results'!$C$124*Calculations!AH6</f>
        <v>1.9534291593271471</v>
      </c>
      <c r="AI12" s="51">
        <f>'Assumptions &amp; Results'!$C$124*Calculations!AI6</f>
        <v>1.9924977425136905</v>
      </c>
      <c r="AJ12" s="51">
        <f>'Assumptions &amp; Results'!$C$124*Calculations!AJ6</f>
        <v>0</v>
      </c>
      <c r="AK12" s="51">
        <f>'Assumptions &amp; Results'!$C$124*Calculations!AK6</f>
        <v>0</v>
      </c>
      <c r="AL12" s="51">
        <f>'Assumptions &amp; Results'!$C$124*Calculations!AL6</f>
        <v>0</v>
      </c>
      <c r="AM12" s="51">
        <f>'Assumptions &amp; Results'!$C$124*Calculations!AM6</f>
        <v>0</v>
      </c>
      <c r="AN12" s="51">
        <f>'Assumptions &amp; Results'!$C$124*Calculations!AN6</f>
        <v>0</v>
      </c>
      <c r="AO12" s="51">
        <f>'Assumptions &amp; Results'!$C$124*Calculations!AO6</f>
        <v>0</v>
      </c>
      <c r="AP12" s="51">
        <f>'Assumptions &amp; Results'!$C$124*Calculations!AP6</f>
        <v>0</v>
      </c>
      <c r="AQ12" s="51">
        <f>'Assumptions &amp; Results'!$C$124*Calculations!AQ6</f>
        <v>0</v>
      </c>
      <c r="AR12" s="51">
        <f>'Assumptions &amp; Results'!$C$124*Calculations!AR6</f>
        <v>0</v>
      </c>
      <c r="AS12" s="51">
        <f>'Assumptions &amp; Results'!$C$124*Calculations!AS6</f>
        <v>0</v>
      </c>
      <c r="AT12" s="51">
        <f>'Assumptions &amp; Results'!$C$124*Calculations!AT6</f>
        <v>0</v>
      </c>
      <c r="AU12" s="51">
        <f>'Assumptions &amp; Results'!$C$124*Calculations!AU6</f>
        <v>0</v>
      </c>
      <c r="AV12" s="51">
        <f>'Assumptions &amp; Results'!$C$124*Calculations!AV6</f>
        <v>0</v>
      </c>
      <c r="AW12" s="51">
        <f>'Assumptions &amp; Results'!$C$124*Calculations!AW6</f>
        <v>0</v>
      </c>
      <c r="AX12" s="51">
        <f>'Assumptions &amp; Results'!$C$124*Calculations!AX6</f>
        <v>0</v>
      </c>
      <c r="AY12" s="51">
        <f>'Assumptions &amp; Results'!$C$124*Calculations!AY6</f>
        <v>0</v>
      </c>
      <c r="AZ12" s="51">
        <f>'Assumptions &amp; Results'!$C$124*Calculations!AZ6</f>
        <v>0</v>
      </c>
      <c r="BA12" s="51">
        <f>'Assumptions &amp; Results'!$C$124*Calculations!BA6</f>
        <v>0</v>
      </c>
      <c r="BB12" s="51">
        <f>'Assumptions &amp; Results'!$C$124*Calculations!BB6</f>
        <v>0</v>
      </c>
      <c r="BC12" s="38"/>
      <c r="BD12" s="38"/>
    </row>
    <row r="13" spans="1:56" x14ac:dyDescent="0.2">
      <c r="C13" s="8"/>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38"/>
      <c r="BD13" s="38"/>
    </row>
    <row r="14" spans="1:56" x14ac:dyDescent="0.2">
      <c r="C14" s="78" t="s">
        <v>211</v>
      </c>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38"/>
      <c r="BD14" s="38"/>
    </row>
    <row r="15" spans="1:56" x14ac:dyDescent="0.2">
      <c r="A15" s="37">
        <f>SUM(E15:BB15)</f>
        <v>0</v>
      </c>
      <c r="B15" s="37">
        <f>NPV('Assumptions &amp; Results'!$C$129,Calculations!E15:BB15)</f>
        <v>0</v>
      </c>
      <c r="C15" s="11" t="s">
        <v>136</v>
      </c>
      <c r="D15" s="36" t="s">
        <v>75</v>
      </c>
      <c r="E15" s="51">
        <f>'Assumptions &amp; Results'!$C$4</f>
        <v>0</v>
      </c>
      <c r="F15" s="51">
        <v>0</v>
      </c>
      <c r="G15" s="51">
        <v>0</v>
      </c>
      <c r="H15" s="51">
        <v>0</v>
      </c>
      <c r="I15" s="51">
        <v>0</v>
      </c>
      <c r="J15" s="51">
        <v>0</v>
      </c>
      <c r="K15" s="51">
        <v>0</v>
      </c>
      <c r="L15" s="51">
        <v>0</v>
      </c>
      <c r="M15" s="51">
        <v>0</v>
      </c>
      <c r="N15" s="51">
        <v>0</v>
      </c>
      <c r="O15" s="51">
        <v>0</v>
      </c>
      <c r="P15" s="51">
        <v>0</v>
      </c>
      <c r="Q15" s="51">
        <v>0</v>
      </c>
      <c r="R15" s="51">
        <v>0</v>
      </c>
      <c r="S15" s="51">
        <v>0</v>
      </c>
      <c r="T15" s="51">
        <v>0</v>
      </c>
      <c r="U15" s="51">
        <v>0</v>
      </c>
      <c r="V15" s="51">
        <v>0</v>
      </c>
      <c r="W15" s="51">
        <v>0</v>
      </c>
      <c r="X15" s="51">
        <v>0</v>
      </c>
      <c r="Y15" s="51">
        <v>0</v>
      </c>
      <c r="Z15" s="51">
        <v>0</v>
      </c>
      <c r="AA15" s="51">
        <v>0</v>
      </c>
      <c r="AB15" s="51">
        <v>0</v>
      </c>
      <c r="AC15" s="51">
        <v>0</v>
      </c>
      <c r="AD15" s="51">
        <v>0</v>
      </c>
      <c r="AE15" s="51">
        <v>0</v>
      </c>
      <c r="AF15" s="51">
        <v>0</v>
      </c>
      <c r="AG15" s="51">
        <v>0</v>
      </c>
      <c r="AH15" s="51">
        <v>0</v>
      </c>
      <c r="AI15" s="51">
        <v>0</v>
      </c>
      <c r="AJ15" s="51">
        <v>0</v>
      </c>
      <c r="AK15" s="51">
        <v>0</v>
      </c>
      <c r="AL15" s="51">
        <v>0</v>
      </c>
      <c r="AM15" s="51">
        <v>0</v>
      </c>
      <c r="AN15" s="51">
        <v>0</v>
      </c>
      <c r="AO15" s="51">
        <v>0</v>
      </c>
      <c r="AP15" s="51">
        <v>0</v>
      </c>
      <c r="AQ15" s="51">
        <v>0</v>
      </c>
      <c r="AR15" s="51">
        <v>0</v>
      </c>
      <c r="AS15" s="51">
        <v>0</v>
      </c>
      <c r="AT15" s="51">
        <v>0</v>
      </c>
      <c r="AU15" s="51">
        <v>0</v>
      </c>
      <c r="AV15" s="51">
        <v>0</v>
      </c>
      <c r="AW15" s="51">
        <v>0</v>
      </c>
      <c r="AX15" s="51">
        <v>0</v>
      </c>
      <c r="AY15" s="51">
        <v>0</v>
      </c>
      <c r="AZ15" s="51">
        <v>0</v>
      </c>
      <c r="BA15" s="51">
        <v>0</v>
      </c>
      <c r="BB15" s="51">
        <v>0</v>
      </c>
      <c r="BC15" s="38"/>
      <c r="BD15" s="38"/>
    </row>
    <row r="16" spans="1:56" x14ac:dyDescent="0.2">
      <c r="A16" s="37">
        <f t="shared" ref="A16:A76" si="2">SUM(E16:BB16)</f>
        <v>0</v>
      </c>
      <c r="B16" s="37">
        <f>NPV('Assumptions &amp; Results'!$C$129,Calculations!E16:BB16)</f>
        <v>0</v>
      </c>
      <c r="C16" s="11" t="s">
        <v>170</v>
      </c>
      <c r="D16" s="36" t="s">
        <v>75</v>
      </c>
      <c r="E16" s="51">
        <f>E10*'Assumptions &amp; Results'!$C$119*'Assumptions &amp; Results'!$C$120*'Assumptions &amp; Results'!$C$79</f>
        <v>0</v>
      </c>
      <c r="F16" s="51">
        <f>F10*'Assumptions &amp; Results'!$C$119*'Assumptions &amp; Results'!$C$120*'Assumptions &amp; Results'!$C$79</f>
        <v>0</v>
      </c>
      <c r="G16" s="51">
        <f>G10*'Assumptions &amp; Results'!$C$119*'Assumptions &amp; Results'!$C$120*'Assumptions &amp; Results'!$C$79</f>
        <v>0</v>
      </c>
      <c r="H16" s="51">
        <f>H10*'Assumptions &amp; Results'!$C$119*'Assumptions &amp; Results'!$C$120*'Assumptions &amp; Results'!$C$79</f>
        <v>0</v>
      </c>
      <c r="I16" s="51">
        <f>I10*'Assumptions &amp; Results'!$C$119*'Assumptions &amp; Results'!$C$120*'Assumptions &amp; Results'!$C$79</f>
        <v>0</v>
      </c>
      <c r="J16" s="51">
        <f>J10*'Assumptions &amp; Results'!$C$119*'Assumptions &amp; Results'!$C$120*'Assumptions &amp; Results'!$C$79</f>
        <v>0</v>
      </c>
      <c r="K16" s="51">
        <f>K10*'Assumptions &amp; Results'!$C$119*'Assumptions &amp; Results'!$C$120*'Assumptions &amp; Results'!$C$79</f>
        <v>0</v>
      </c>
      <c r="L16" s="51">
        <f>L10*'Assumptions &amp; Results'!$C$119*'Assumptions &amp; Results'!$C$120*'Assumptions &amp; Results'!$C$79</f>
        <v>0</v>
      </c>
      <c r="M16" s="51">
        <f>M10*'Assumptions &amp; Results'!$C$119*'Assumptions &amp; Results'!$C$120*'Assumptions &amp; Results'!$C$79</f>
        <v>0</v>
      </c>
      <c r="N16" s="51">
        <f>N10*'Assumptions &amp; Results'!$C$119*'Assumptions &amp; Results'!$C$120*'Assumptions &amp; Results'!$C$79</f>
        <v>0</v>
      </c>
      <c r="O16" s="51">
        <f>O10*'Assumptions &amp; Results'!$C$119*'Assumptions &amp; Results'!$C$120*'Assumptions &amp; Results'!$C$79</f>
        <v>0</v>
      </c>
      <c r="P16" s="51">
        <f>P10*'Assumptions &amp; Results'!$C$119*'Assumptions &amp; Results'!$C$120*'Assumptions &amp; Results'!$C$79</f>
        <v>0</v>
      </c>
      <c r="Q16" s="51">
        <f>Q10*'Assumptions &amp; Results'!$C$119*'Assumptions &amp; Results'!$C$120*'Assumptions &amp; Results'!$C$79</f>
        <v>0</v>
      </c>
      <c r="R16" s="51">
        <f>R10*'Assumptions &amp; Results'!$C$119*'Assumptions &amp; Results'!$C$120*'Assumptions &amp; Results'!$C$79</f>
        <v>0</v>
      </c>
      <c r="S16" s="51">
        <f>S10*'Assumptions &amp; Results'!$C$119*'Assumptions &amp; Results'!$C$120*'Assumptions &amp; Results'!$C$79</f>
        <v>0</v>
      </c>
      <c r="T16" s="51">
        <f>T10*'Assumptions &amp; Results'!$C$119*'Assumptions &amp; Results'!$C$120*'Assumptions &amp; Results'!$C$79</f>
        <v>0</v>
      </c>
      <c r="U16" s="51">
        <f>U10*'Assumptions &amp; Results'!$C$119*'Assumptions &amp; Results'!$C$120*'Assumptions &amp; Results'!$C$79</f>
        <v>0</v>
      </c>
      <c r="V16" s="51">
        <f>V10*'Assumptions &amp; Results'!$C$119*'Assumptions &amp; Results'!$C$120*'Assumptions &amp; Results'!$C$79</f>
        <v>0</v>
      </c>
      <c r="W16" s="51">
        <f>W10*'Assumptions &amp; Results'!$C$119*'Assumptions &amp; Results'!$C$120*'Assumptions &amp; Results'!$C$79</f>
        <v>0</v>
      </c>
      <c r="X16" s="51">
        <f>X10*'Assumptions &amp; Results'!$C$119*'Assumptions &amp; Results'!$C$120*'Assumptions &amp; Results'!$C$79</f>
        <v>0</v>
      </c>
      <c r="Y16" s="51">
        <f>Y10*'Assumptions &amp; Results'!$C$119*'Assumptions &amp; Results'!$C$120*'Assumptions &amp; Results'!$C$79</f>
        <v>0</v>
      </c>
      <c r="Z16" s="51">
        <f>Z10*'Assumptions &amp; Results'!$C$119*'Assumptions &amp; Results'!$C$120*'Assumptions &amp; Results'!$C$79</f>
        <v>0</v>
      </c>
      <c r="AA16" s="51">
        <f>AA10*'Assumptions &amp; Results'!$C$119*'Assumptions &amp; Results'!$C$120*'Assumptions &amp; Results'!$C$79</f>
        <v>0</v>
      </c>
      <c r="AB16" s="51">
        <f>AB10*'Assumptions &amp; Results'!$C$119*'Assumptions &amp; Results'!$C$120*'Assumptions &amp; Results'!$C$79</f>
        <v>0</v>
      </c>
      <c r="AC16" s="51">
        <f>AC10*'Assumptions &amp; Results'!$C$119*'Assumptions &amp; Results'!$C$120*'Assumptions &amp; Results'!$C$79</f>
        <v>0</v>
      </c>
      <c r="AD16" s="51">
        <f>AD10*'Assumptions &amp; Results'!$C$119*'Assumptions &amp; Results'!$C$120*'Assumptions &amp; Results'!$C$79</f>
        <v>0</v>
      </c>
      <c r="AE16" s="51">
        <f>AE10*'Assumptions &amp; Results'!$C$119*'Assumptions &amp; Results'!$C$120*'Assumptions &amp; Results'!$C$79</f>
        <v>0</v>
      </c>
      <c r="AF16" s="51">
        <f>AF10*'Assumptions &amp; Results'!$C$119*'Assumptions &amp; Results'!$C$120*'Assumptions &amp; Results'!$C$79</f>
        <v>0</v>
      </c>
      <c r="AG16" s="51">
        <f>AG10*'Assumptions &amp; Results'!$C$119*'Assumptions &amp; Results'!$C$120*'Assumptions &amp; Results'!$C$79</f>
        <v>0</v>
      </c>
      <c r="AH16" s="51">
        <f>AH10*'Assumptions &amp; Results'!$C$119*'Assumptions &amp; Results'!$C$120*'Assumptions &amp; Results'!$C$79</f>
        <v>0</v>
      </c>
      <c r="AI16" s="51">
        <f>AI10*'Assumptions &amp; Results'!$C$119*'Assumptions &amp; Results'!$C$120*'Assumptions &amp; Results'!$C$79</f>
        <v>0</v>
      </c>
      <c r="AJ16" s="51">
        <f>AJ10*'Assumptions &amp; Results'!$C$119*'Assumptions &amp; Results'!$C$120*'Assumptions &amp; Results'!$C$79</f>
        <v>0</v>
      </c>
      <c r="AK16" s="51">
        <f>AK10*'Assumptions &amp; Results'!$C$119*'Assumptions &amp; Results'!$C$120*'Assumptions &amp; Results'!$C$79</f>
        <v>0</v>
      </c>
      <c r="AL16" s="51">
        <f>AL10*'Assumptions &amp; Results'!$C$119*'Assumptions &amp; Results'!$C$120*'Assumptions &amp; Results'!$C$79</f>
        <v>0</v>
      </c>
      <c r="AM16" s="51">
        <f>AM10*'Assumptions &amp; Results'!$C$119*'Assumptions &amp; Results'!$C$120*'Assumptions &amp; Results'!$C$79</f>
        <v>0</v>
      </c>
      <c r="AN16" s="51">
        <f>AN10*'Assumptions &amp; Results'!$C$119*'Assumptions &amp; Results'!$C$120*'Assumptions &amp; Results'!$C$79</f>
        <v>0</v>
      </c>
      <c r="AO16" s="51">
        <f>AO10*'Assumptions &amp; Results'!$C$119*'Assumptions &amp; Results'!$C$120*'Assumptions &amp; Results'!$C$79</f>
        <v>0</v>
      </c>
      <c r="AP16" s="51">
        <f>AP10*'Assumptions &amp; Results'!$C$119*'Assumptions &amp; Results'!$C$120*'Assumptions &amp; Results'!$C$79</f>
        <v>0</v>
      </c>
      <c r="AQ16" s="51">
        <f>AQ10*'Assumptions &amp; Results'!$C$119*'Assumptions &amp; Results'!$C$120*'Assumptions &amp; Results'!$C$79</f>
        <v>0</v>
      </c>
      <c r="AR16" s="51">
        <f>AR10*'Assumptions &amp; Results'!$C$119*'Assumptions &amp; Results'!$C$120*'Assumptions &amp; Results'!$C$79</f>
        <v>0</v>
      </c>
      <c r="AS16" s="51">
        <f>AS10*'Assumptions &amp; Results'!$C$119*'Assumptions &amp; Results'!$C$120*'Assumptions &amp; Results'!$C$79</f>
        <v>0</v>
      </c>
      <c r="AT16" s="51">
        <f>AT10*'Assumptions &amp; Results'!$C$119*'Assumptions &amp; Results'!$C$120*'Assumptions &amp; Results'!$C$79</f>
        <v>0</v>
      </c>
      <c r="AU16" s="51">
        <f>AU10*'Assumptions &amp; Results'!$C$119*'Assumptions &amp; Results'!$C$120*'Assumptions &amp; Results'!$C$79</f>
        <v>0</v>
      </c>
      <c r="AV16" s="51">
        <f>AV10*'Assumptions &amp; Results'!$C$119*'Assumptions &amp; Results'!$C$120*'Assumptions &amp; Results'!$C$79</f>
        <v>0</v>
      </c>
      <c r="AW16" s="51">
        <f>AW10*'Assumptions &amp; Results'!$C$119*'Assumptions &amp; Results'!$C$120*'Assumptions &amp; Results'!$C$79</f>
        <v>0</v>
      </c>
      <c r="AX16" s="51">
        <f>AX10*'Assumptions &amp; Results'!$C$119*'Assumptions &amp; Results'!$C$120*'Assumptions &amp; Results'!$C$79</f>
        <v>0</v>
      </c>
      <c r="AY16" s="51">
        <f>AY10*'Assumptions &amp; Results'!$C$119*'Assumptions &amp; Results'!$C$120*'Assumptions &amp; Results'!$C$79</f>
        <v>0</v>
      </c>
      <c r="AZ16" s="51">
        <f>AZ10*'Assumptions &amp; Results'!$C$119*'Assumptions &amp; Results'!$C$120*'Assumptions &amp; Results'!$C$79</f>
        <v>0</v>
      </c>
      <c r="BA16" s="51">
        <f>BA10*'Assumptions &amp; Results'!$C$119*'Assumptions &amp; Results'!$C$120*'Assumptions &amp; Results'!$C$79</f>
        <v>0</v>
      </c>
      <c r="BB16" s="51">
        <f>BB10*'Assumptions &amp; Results'!$C$119*'Assumptions &amp; Results'!$C$120*'Assumptions &amp; Results'!$C$79</f>
        <v>0</v>
      </c>
      <c r="BC16" s="38"/>
      <c r="BD16" s="38"/>
    </row>
    <row r="17" spans="1:56" x14ac:dyDescent="0.2">
      <c r="A17" s="37">
        <f t="shared" si="2"/>
        <v>0</v>
      </c>
      <c r="B17" s="37">
        <f>NPV('Assumptions &amp; Results'!$C$129,Calculations!E17:BB17)</f>
        <v>0</v>
      </c>
      <c r="C17" s="11" t="s">
        <v>238</v>
      </c>
      <c r="D17" s="36" t="s">
        <v>75</v>
      </c>
      <c r="E17" s="51">
        <f>Capex!D4*'Assumptions &amp; Results'!$C$121*'Assumptions &amp; Results'!$C$80</f>
        <v>0</v>
      </c>
      <c r="F17" s="51">
        <f>Capex!E4*'Assumptions &amp; Results'!$C$121*'Assumptions &amp; Results'!$C$80</f>
        <v>0</v>
      </c>
      <c r="G17" s="51">
        <f>Capex!F4*'Assumptions &amp; Results'!$C$121*'Assumptions &amp; Results'!$C$80</f>
        <v>0</v>
      </c>
      <c r="H17" s="51">
        <f>Capex!G4*'Assumptions &amp; Results'!$C$121*'Assumptions &amp; Results'!$C$80</f>
        <v>0</v>
      </c>
      <c r="I17" s="51">
        <f>Capex!H4*'Assumptions &amp; Results'!$C$121*'Assumptions &amp; Results'!$C$80</f>
        <v>0</v>
      </c>
      <c r="J17" s="51">
        <f>Capex!I4*'Assumptions &amp; Results'!$C$121*'Assumptions &amp; Results'!$C$80</f>
        <v>0</v>
      </c>
      <c r="K17" s="51">
        <f>Capex!J4*'Assumptions &amp; Results'!$C$121*'Assumptions &amp; Results'!$C$80</f>
        <v>0</v>
      </c>
      <c r="L17" s="51">
        <f>Capex!K4*'Assumptions &amp; Results'!$C$121*'Assumptions &amp; Results'!$C$80</f>
        <v>0</v>
      </c>
      <c r="M17" s="51">
        <f>Capex!L4*'Assumptions &amp; Results'!$C$121*'Assumptions &amp; Results'!$C$80</f>
        <v>0</v>
      </c>
      <c r="N17" s="51">
        <f>Capex!M4*'Assumptions &amp; Results'!$C$121*'Assumptions &amp; Results'!$C$80</f>
        <v>0</v>
      </c>
      <c r="O17" s="51">
        <f>Capex!N4*'Assumptions &amp; Results'!$C$121*'Assumptions &amp; Results'!$C$80</f>
        <v>0</v>
      </c>
      <c r="P17" s="51">
        <f>Capex!O4*'Assumptions &amp; Results'!$C$121*'Assumptions &amp; Results'!$C$80</f>
        <v>0</v>
      </c>
      <c r="Q17" s="51">
        <f>Capex!P4*'Assumptions &amp; Results'!$C$121*'Assumptions &amp; Results'!$C$80</f>
        <v>0</v>
      </c>
      <c r="R17" s="51">
        <f>Capex!Q4*'Assumptions &amp; Results'!$C$121*'Assumptions &amp; Results'!$C$80</f>
        <v>0</v>
      </c>
      <c r="S17" s="51">
        <f>Capex!R4*'Assumptions &amp; Results'!$C$121*'Assumptions &amp; Results'!$C$80</f>
        <v>0</v>
      </c>
      <c r="T17" s="51">
        <f>Capex!S4*'Assumptions &amp; Results'!$C$121*'Assumptions &amp; Results'!$C$80</f>
        <v>0</v>
      </c>
      <c r="U17" s="51">
        <f>Capex!T4*'Assumptions &amp; Results'!$C$121*'Assumptions &amp; Results'!$C$80</f>
        <v>0</v>
      </c>
      <c r="V17" s="51">
        <f>Capex!U4*'Assumptions &amp; Results'!$C$121*'Assumptions &amp; Results'!$C$80</f>
        <v>0</v>
      </c>
      <c r="W17" s="51">
        <f>Capex!V4*'Assumptions &amp; Results'!$C$121*'Assumptions &amp; Results'!$C$80</f>
        <v>0</v>
      </c>
      <c r="X17" s="51">
        <f>Capex!W4*'Assumptions &amp; Results'!$C$121*'Assumptions &amp; Results'!$C$80</f>
        <v>0</v>
      </c>
      <c r="Y17" s="51">
        <f>Capex!X4*'Assumptions &amp; Results'!$C$121*'Assumptions &amp; Results'!$C$80</f>
        <v>0</v>
      </c>
      <c r="Z17" s="51">
        <f>Capex!Y4*'Assumptions &amp; Results'!$C$121*'Assumptions &amp; Results'!$C$80</f>
        <v>0</v>
      </c>
      <c r="AA17" s="51">
        <f>Capex!Z4*'Assumptions &amp; Results'!$C$121*'Assumptions &amp; Results'!$C$80</f>
        <v>0</v>
      </c>
      <c r="AB17" s="51">
        <f>Capex!AA4*'Assumptions &amp; Results'!$C$121*'Assumptions &amp; Results'!$C$80</f>
        <v>0</v>
      </c>
      <c r="AC17" s="51">
        <f>Capex!AB4*'Assumptions &amp; Results'!$C$121*'Assumptions &amp; Results'!$C$80</f>
        <v>0</v>
      </c>
      <c r="AD17" s="51">
        <f>Capex!AC4*'Assumptions &amp; Results'!$C$121*'Assumptions &amp; Results'!$C$80</f>
        <v>0</v>
      </c>
      <c r="AE17" s="51">
        <f>Capex!AD4*'Assumptions &amp; Results'!$C$121*'Assumptions &amp; Results'!$C$80</f>
        <v>0</v>
      </c>
      <c r="AF17" s="51">
        <f>Capex!AE4*'Assumptions &amp; Results'!$C$121*'Assumptions &amp; Results'!$C$80</f>
        <v>0</v>
      </c>
      <c r="AG17" s="51">
        <f>Capex!AF4*'Assumptions &amp; Results'!$C$121*'Assumptions &amp; Results'!$C$80</f>
        <v>0</v>
      </c>
      <c r="AH17" s="51">
        <f>Capex!AG4*'Assumptions &amp; Results'!$C$121*'Assumptions &amp; Results'!$C$80</f>
        <v>0</v>
      </c>
      <c r="AI17" s="51">
        <f>Capex!AH4*'Assumptions &amp; Results'!$C$121*'Assumptions &amp; Results'!$C$80</f>
        <v>0</v>
      </c>
      <c r="AJ17" s="51">
        <f>Capex!AI4*'Assumptions &amp; Results'!$C$121*'Assumptions &amp; Results'!$C$80</f>
        <v>0</v>
      </c>
      <c r="AK17" s="51">
        <f>Capex!AJ4*'Assumptions &amp; Results'!$C$121*'Assumptions &amp; Results'!$C$80</f>
        <v>0</v>
      </c>
      <c r="AL17" s="51">
        <f>Capex!AK4*'Assumptions &amp; Results'!$C$121*'Assumptions &amp; Results'!$C$80</f>
        <v>0</v>
      </c>
      <c r="AM17" s="51">
        <f>Capex!AL4*'Assumptions &amp; Results'!$C$121*'Assumptions &amp; Results'!$C$80</f>
        <v>0</v>
      </c>
      <c r="AN17" s="51">
        <f>Capex!AM4*'Assumptions &amp; Results'!$C$121*'Assumptions &amp; Results'!$C$80</f>
        <v>0</v>
      </c>
      <c r="AO17" s="51">
        <f>Capex!AN4*'Assumptions &amp; Results'!$C$121*'Assumptions &amp; Results'!$C$80</f>
        <v>0</v>
      </c>
      <c r="AP17" s="51">
        <f>Capex!AO4*'Assumptions &amp; Results'!$C$121*'Assumptions &amp; Results'!$C$80</f>
        <v>0</v>
      </c>
      <c r="AQ17" s="51">
        <f>Capex!AP4*'Assumptions &amp; Results'!$C$121*'Assumptions &amp; Results'!$C$80</f>
        <v>0</v>
      </c>
      <c r="AR17" s="51">
        <f>Capex!AQ4*'Assumptions &amp; Results'!$C$121*'Assumptions &amp; Results'!$C$80</f>
        <v>0</v>
      </c>
      <c r="AS17" s="51">
        <f>Capex!AR4*'Assumptions &amp; Results'!$C$121*'Assumptions &amp; Results'!$C$80</f>
        <v>0</v>
      </c>
      <c r="AT17" s="51">
        <f>Capex!AS4*'Assumptions &amp; Results'!$C$121*'Assumptions &amp; Results'!$C$80</f>
        <v>0</v>
      </c>
      <c r="AU17" s="51">
        <f>Capex!AT4*'Assumptions &amp; Results'!$C$121*'Assumptions &amp; Results'!$C$80</f>
        <v>0</v>
      </c>
      <c r="AV17" s="51">
        <f>Capex!AU4*'Assumptions &amp; Results'!$C$121*'Assumptions &amp; Results'!$C$80</f>
        <v>0</v>
      </c>
      <c r="AW17" s="51">
        <f>Capex!AV4*'Assumptions &amp; Results'!$C$121*'Assumptions &amp; Results'!$C$80</f>
        <v>0</v>
      </c>
      <c r="AX17" s="51">
        <f>Capex!AW4*'Assumptions &amp; Results'!$C$121*'Assumptions &amp; Results'!$C$80</f>
        <v>0</v>
      </c>
      <c r="AY17" s="51">
        <f>Capex!AX4*'Assumptions &amp; Results'!$C$121*'Assumptions &amp; Results'!$C$80</f>
        <v>0</v>
      </c>
      <c r="AZ17" s="51">
        <f>Capex!AY4*'Assumptions &amp; Results'!$C$121*'Assumptions &amp; Results'!$C$80</f>
        <v>0</v>
      </c>
      <c r="BA17" s="51">
        <f>Capex!AZ4*'Assumptions &amp; Results'!$C$121*'Assumptions &amp; Results'!$C$80</f>
        <v>0</v>
      </c>
      <c r="BB17" s="51">
        <f>Capex!BA4*'Assumptions &amp; Results'!$C$121*'Assumptions &amp; Results'!$C$80</f>
        <v>0</v>
      </c>
      <c r="BC17" s="38"/>
      <c r="BD17" s="38"/>
    </row>
    <row r="18" spans="1:56" x14ac:dyDescent="0.2">
      <c r="A18" s="37">
        <f t="shared" si="2"/>
        <v>1040.8430829022284</v>
      </c>
      <c r="B18" s="37">
        <f>NPV('Assumptions &amp; Results'!$C$129,Calculations!E18:BB18)</f>
        <v>166.91421244626306</v>
      </c>
      <c r="C18" s="11" t="s">
        <v>208</v>
      </c>
      <c r="D18" s="36" t="s">
        <v>75</v>
      </c>
      <c r="E18" s="51">
        <f>E6*'Assumptions &amp; Results'!$C$6</f>
        <v>0</v>
      </c>
      <c r="F18" s="51">
        <f>F6*'Assumptions &amp; Results'!$C$6</f>
        <v>0</v>
      </c>
      <c r="G18" s="51">
        <f>G6*'Assumptions &amp; Results'!$C$6</f>
        <v>0</v>
      </c>
      <c r="H18" s="51">
        <f>H6*'Assumptions &amp; Results'!$C$6</f>
        <v>0</v>
      </c>
      <c r="I18" s="51">
        <f>I6*'Assumptions &amp; Results'!$C$6</f>
        <v>12.794348131200001</v>
      </c>
      <c r="J18" s="51">
        <f>J6*'Assumptions &amp; Results'!$C$6</f>
        <v>32.239159453440003</v>
      </c>
      <c r="K18" s="51">
        <f>K6*'Assumptions &amp; Results'!$C$6</f>
        <v>32.489785795766402</v>
      </c>
      <c r="L18" s="51">
        <f>L6*'Assumptions &amp; Results'!$C$6</f>
        <v>32.737541528004485</v>
      </c>
      <c r="M18" s="51">
        <f>M6*'Assumptions &amp; Results'!$C$6</f>
        <v>33.011503059738843</v>
      </c>
      <c r="N18" s="51">
        <f>N6*'Assumptions &amp; Results'!$C$6</f>
        <v>33.253450721915804</v>
      </c>
      <c r="O18" s="51">
        <f>O6*'Assumptions &amp; Results'!$C$6</f>
        <v>33.522346549855826</v>
      </c>
      <c r="P18" s="51">
        <f>P6*'Assumptions &amp; Results'!$C$6</f>
        <v>34.192793480852941</v>
      </c>
      <c r="Q18" s="51">
        <f>Q6*'Assumptions &amp; Results'!$C$6</f>
        <v>34.876649350470004</v>
      </c>
      <c r="R18" s="51">
        <f>R6*'Assumptions &amp; Results'!$C$6</f>
        <v>35.5741823374794</v>
      </c>
      <c r="S18" s="51">
        <f>S6*'Assumptions &amp; Results'!$C$6</f>
        <v>36.285665984228991</v>
      </c>
      <c r="T18" s="51">
        <f>T6*'Assumptions &amp; Results'!$C$6</f>
        <v>37.011379303913571</v>
      </c>
      <c r="U18" s="51">
        <f>U6*'Assumptions &amp; Results'!$C$6</f>
        <v>37.751606889991841</v>
      </c>
      <c r="V18" s="51">
        <f>V6*'Assumptions &amp; Results'!$C$6</f>
        <v>38.506639027791685</v>
      </c>
      <c r="W18" s="51">
        <f>W6*'Assumptions &amp; Results'!$C$6</f>
        <v>39.276771808347519</v>
      </c>
      <c r="X18" s="51">
        <f>X6*'Assumptions &amp; Results'!$C$6</f>
        <v>40.062307244514471</v>
      </c>
      <c r="Y18" s="51">
        <f>Y6*'Assumptions &amp; Results'!$C$6</f>
        <v>40.863553389404764</v>
      </c>
      <c r="Z18" s="51">
        <f>Z6*'Assumptions &amp; Results'!$C$6</f>
        <v>41.680824457192863</v>
      </c>
      <c r="AA18" s="51">
        <f>AA6*'Assumptions &amp; Results'!$C$6</f>
        <v>42.51444094633672</v>
      </c>
      <c r="AB18" s="51">
        <f>AB6*'Assumptions &amp; Results'!$C$6</f>
        <v>43.364729765263455</v>
      </c>
      <c r="AC18" s="51">
        <f>AC6*'Assumptions &amp; Results'!$C$6</f>
        <v>44.232024360568722</v>
      </c>
      <c r="AD18" s="51">
        <f>AD6*'Assumptions &amp; Results'!$C$6</f>
        <v>45.1166648477801</v>
      </c>
      <c r="AE18" s="51">
        <f>AE6*'Assumptions &amp; Results'!$C$6</f>
        <v>46.018998144735697</v>
      </c>
      <c r="AF18" s="51">
        <f>AF6*'Assumptions &amp; Results'!$C$6</f>
        <v>46.939378107630411</v>
      </c>
      <c r="AG18" s="51">
        <f>AG6*'Assumptions &amp; Results'!$C$6</f>
        <v>47.878165669783023</v>
      </c>
      <c r="AH18" s="51">
        <f>AH6*'Assumptions &amp; Results'!$C$6</f>
        <v>48.835728983178683</v>
      </c>
      <c r="AI18" s="51">
        <f>AI6*'Assumptions &amp; Results'!$C$6</f>
        <v>49.812443562842262</v>
      </c>
      <c r="AJ18" s="51">
        <f>AJ6*'Assumptions &amp; Results'!$C$6</f>
        <v>0</v>
      </c>
      <c r="AK18" s="51">
        <f>AK6*'Assumptions &amp; Results'!$C$6</f>
        <v>0</v>
      </c>
      <c r="AL18" s="51">
        <f>AL6*'Assumptions &amp; Results'!$C$6</f>
        <v>0</v>
      </c>
      <c r="AM18" s="51">
        <f>AM6*'Assumptions &amp; Results'!$C$6</f>
        <v>0</v>
      </c>
      <c r="AN18" s="51">
        <f>AN6*'Assumptions &amp; Results'!$C$6</f>
        <v>0</v>
      </c>
      <c r="AO18" s="51">
        <f>AO6*'Assumptions &amp; Results'!$C$6</f>
        <v>0</v>
      </c>
      <c r="AP18" s="51">
        <f>AP6*'Assumptions &amp; Results'!$C$6</f>
        <v>0</v>
      </c>
      <c r="AQ18" s="51">
        <f>AQ6*'Assumptions &amp; Results'!$C$6</f>
        <v>0</v>
      </c>
      <c r="AR18" s="51">
        <f>AR6*'Assumptions &amp; Results'!$C$6</f>
        <v>0</v>
      </c>
      <c r="AS18" s="51">
        <f>AS6*'Assumptions &amp; Results'!$C$6</f>
        <v>0</v>
      </c>
      <c r="AT18" s="51">
        <f>AT6*'Assumptions &amp; Results'!$C$6</f>
        <v>0</v>
      </c>
      <c r="AU18" s="51">
        <f>AU6*'Assumptions &amp; Results'!$C$6</f>
        <v>0</v>
      </c>
      <c r="AV18" s="51">
        <f>AV6*'Assumptions &amp; Results'!$C$6</f>
        <v>0</v>
      </c>
      <c r="AW18" s="51">
        <f>AW6*'Assumptions &amp; Results'!$C$6</f>
        <v>0</v>
      </c>
      <c r="AX18" s="51">
        <f>AX6*'Assumptions &amp; Results'!$C$6</f>
        <v>0</v>
      </c>
      <c r="AY18" s="51">
        <f>AY6*'Assumptions &amp; Results'!$C$6</f>
        <v>0</v>
      </c>
      <c r="AZ18" s="51">
        <f>AZ6*'Assumptions &amp; Results'!$C$6</f>
        <v>0</v>
      </c>
      <c r="BA18" s="51">
        <f>BA6*'Assumptions &amp; Results'!$C$6</f>
        <v>0</v>
      </c>
      <c r="BB18" s="51">
        <f>BB6*'Assumptions &amp; Results'!$C$6</f>
        <v>0</v>
      </c>
      <c r="BC18" s="38"/>
      <c r="BD18" s="38"/>
    </row>
    <row r="19" spans="1:56" x14ac:dyDescent="0.2">
      <c r="A19" s="37"/>
      <c r="B19" s="37"/>
      <c r="C19" s="8"/>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38"/>
      <c r="BD19" s="38"/>
    </row>
    <row r="20" spans="1:56" x14ac:dyDescent="0.2">
      <c r="A20" s="37">
        <f t="shared" si="2"/>
        <v>8451.8728038449353</v>
      </c>
      <c r="B20" s="37">
        <f>NPV('Assumptions &amp; Results'!$C$129,Calculations!E20:BB20)</f>
        <v>1376.7180040925944</v>
      </c>
      <c r="C20" s="78" t="s">
        <v>349</v>
      </c>
      <c r="D20" s="36" t="s">
        <v>75</v>
      </c>
      <c r="E20" s="51">
        <f>E6-E10-E12-E15-E16-E17-E18</f>
        <v>0</v>
      </c>
      <c r="F20" s="51">
        <f t="shared" ref="F20:BB20" si="3">F6-F10-F12-F15-F16-F17-F18</f>
        <v>0</v>
      </c>
      <c r="G20" s="51">
        <f t="shared" si="3"/>
        <v>0</v>
      </c>
      <c r="H20" s="51">
        <f t="shared" si="3"/>
        <v>0</v>
      </c>
      <c r="I20" s="51">
        <f t="shared" si="3"/>
        <v>112.68898136755202</v>
      </c>
      <c r="J20" s="51">
        <f t="shared" si="3"/>
        <v>280.03022227722238</v>
      </c>
      <c r="K20" s="51">
        <f t="shared" si="3"/>
        <v>278.15761290853095</v>
      </c>
      <c r="L20" s="51">
        <f t="shared" si="3"/>
        <v>276.09808707618095</v>
      </c>
      <c r="M20" s="51">
        <f t="shared" si="3"/>
        <v>274.40028371196865</v>
      </c>
      <c r="N20" s="51">
        <f t="shared" si="3"/>
        <v>271.95765510083044</v>
      </c>
      <c r="O20" s="51">
        <f t="shared" si="3"/>
        <v>269.88536458683927</v>
      </c>
      <c r="P20" s="51">
        <f t="shared" si="3"/>
        <v>275.28307187857604</v>
      </c>
      <c r="Q20" s="51">
        <f t="shared" si="3"/>
        <v>280.78873331614756</v>
      </c>
      <c r="R20" s="51">
        <f t="shared" si="3"/>
        <v>286.40450798247048</v>
      </c>
      <c r="S20" s="51">
        <f t="shared" si="3"/>
        <v>292.13259814211989</v>
      </c>
      <c r="T20" s="51">
        <f t="shared" si="3"/>
        <v>297.97525010496236</v>
      </c>
      <c r="U20" s="51">
        <f t="shared" si="3"/>
        <v>303.93475510706162</v>
      </c>
      <c r="V20" s="51">
        <f t="shared" si="3"/>
        <v>310.01345020920286</v>
      </c>
      <c r="W20" s="51">
        <f t="shared" si="3"/>
        <v>316.21371921338692</v>
      </c>
      <c r="X20" s="51">
        <f t="shared" si="3"/>
        <v>322.53799359765469</v>
      </c>
      <c r="Y20" s="51">
        <f t="shared" si="3"/>
        <v>328.98875346960784</v>
      </c>
      <c r="Z20" s="51">
        <f t="shared" si="3"/>
        <v>335.568528539</v>
      </c>
      <c r="AA20" s="51">
        <f t="shared" si="3"/>
        <v>342.27989910977988</v>
      </c>
      <c r="AB20" s="51">
        <f t="shared" si="3"/>
        <v>349.12549709197555</v>
      </c>
      <c r="AC20" s="51">
        <f t="shared" si="3"/>
        <v>356.10800703381506</v>
      </c>
      <c r="AD20" s="51">
        <f t="shared" si="3"/>
        <v>363.23016717449144</v>
      </c>
      <c r="AE20" s="51">
        <f t="shared" si="3"/>
        <v>370.49477051798124</v>
      </c>
      <c r="AF20" s="51">
        <f t="shared" si="3"/>
        <v>377.90466592834076</v>
      </c>
      <c r="AG20" s="51">
        <f t="shared" si="3"/>
        <v>385.46275924690769</v>
      </c>
      <c r="AH20" s="51">
        <f t="shared" si="3"/>
        <v>393.17201443184581</v>
      </c>
      <c r="AI20" s="51">
        <f t="shared" si="3"/>
        <v>401.03545472048273</v>
      </c>
      <c r="AJ20" s="51">
        <f t="shared" si="3"/>
        <v>0</v>
      </c>
      <c r="AK20" s="51">
        <f t="shared" si="3"/>
        <v>0</v>
      </c>
      <c r="AL20" s="51">
        <f t="shared" si="3"/>
        <v>0</v>
      </c>
      <c r="AM20" s="51">
        <f t="shared" si="3"/>
        <v>0</v>
      </c>
      <c r="AN20" s="51">
        <f t="shared" si="3"/>
        <v>0</v>
      </c>
      <c r="AO20" s="51">
        <f t="shared" si="3"/>
        <v>0</v>
      </c>
      <c r="AP20" s="51">
        <f t="shared" si="3"/>
        <v>0</v>
      </c>
      <c r="AQ20" s="51">
        <f t="shared" si="3"/>
        <v>0</v>
      </c>
      <c r="AR20" s="51">
        <f t="shared" si="3"/>
        <v>0</v>
      </c>
      <c r="AS20" s="51">
        <f t="shared" si="3"/>
        <v>0</v>
      </c>
      <c r="AT20" s="51">
        <f t="shared" si="3"/>
        <v>0</v>
      </c>
      <c r="AU20" s="51">
        <f t="shared" si="3"/>
        <v>0</v>
      </c>
      <c r="AV20" s="51">
        <f t="shared" si="3"/>
        <v>0</v>
      </c>
      <c r="AW20" s="51">
        <f t="shared" si="3"/>
        <v>0</v>
      </c>
      <c r="AX20" s="51">
        <f t="shared" si="3"/>
        <v>0</v>
      </c>
      <c r="AY20" s="51">
        <f t="shared" si="3"/>
        <v>0</v>
      </c>
      <c r="AZ20" s="51">
        <f t="shared" si="3"/>
        <v>0</v>
      </c>
      <c r="BA20" s="51">
        <f t="shared" si="3"/>
        <v>0</v>
      </c>
      <c r="BB20" s="51">
        <f t="shared" si="3"/>
        <v>0</v>
      </c>
      <c r="BC20" s="38"/>
      <c r="BD20" s="38"/>
    </row>
    <row r="21" spans="1:56" x14ac:dyDescent="0.2">
      <c r="A21" s="37"/>
      <c r="B21" s="37"/>
      <c r="C21" s="78"/>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38"/>
      <c r="BD21" s="38"/>
    </row>
    <row r="22" spans="1:56" x14ac:dyDescent="0.2">
      <c r="A22" s="37">
        <f t="shared" si="2"/>
        <v>0</v>
      </c>
      <c r="B22" s="37">
        <f>NPV('Assumptions &amp; Results'!$C$129,Calculations!E22:BB22)</f>
        <v>0</v>
      </c>
      <c r="C22" s="11" t="s">
        <v>343</v>
      </c>
      <c r="D22" s="36" t="s">
        <v>75</v>
      </c>
      <c r="E22" s="51">
        <f>'Assumptions &amp; Results'!$C$7*Calculations!E20</f>
        <v>0</v>
      </c>
      <c r="F22" s="51">
        <f>'Assumptions &amp; Results'!$C$7*Calculations!F20</f>
        <v>0</v>
      </c>
      <c r="G22" s="51">
        <f>'Assumptions &amp; Results'!$C$7*Calculations!G20</f>
        <v>0</v>
      </c>
      <c r="H22" s="51">
        <f>'Assumptions &amp; Results'!$C$7*Calculations!H20</f>
        <v>0</v>
      </c>
      <c r="I22" s="51">
        <f>'Assumptions &amp; Results'!$C$7*Calculations!I20</f>
        <v>0</v>
      </c>
      <c r="J22" s="51">
        <f>'Assumptions &amp; Results'!$C$7*Calculations!J20</f>
        <v>0</v>
      </c>
      <c r="K22" s="51">
        <f>'Assumptions &amp; Results'!$C$7*Calculations!K20</f>
        <v>0</v>
      </c>
      <c r="L22" s="51">
        <f>'Assumptions &amp; Results'!$C$7*Calculations!L20</f>
        <v>0</v>
      </c>
      <c r="M22" s="51">
        <f>'Assumptions &amp; Results'!$C$7*Calculations!M20</f>
        <v>0</v>
      </c>
      <c r="N22" s="51">
        <f>'Assumptions &amp; Results'!$C$7*Calculations!N20</f>
        <v>0</v>
      </c>
      <c r="O22" s="51">
        <f>'Assumptions &amp; Results'!$C$7*Calculations!O20</f>
        <v>0</v>
      </c>
      <c r="P22" s="51">
        <f>'Assumptions &amp; Results'!$C$7*Calculations!P20</f>
        <v>0</v>
      </c>
      <c r="Q22" s="51">
        <f>'Assumptions &amp; Results'!$C$7*Calculations!Q20</f>
        <v>0</v>
      </c>
      <c r="R22" s="51">
        <f>'Assumptions &amp; Results'!$C$7*Calculations!R20</f>
        <v>0</v>
      </c>
      <c r="S22" s="51">
        <f>'Assumptions &amp; Results'!$C$7*Calculations!S20</f>
        <v>0</v>
      </c>
      <c r="T22" s="51">
        <f>'Assumptions &amp; Results'!$C$7*Calculations!T20</f>
        <v>0</v>
      </c>
      <c r="U22" s="51">
        <f>'Assumptions &amp; Results'!$C$7*Calculations!U20</f>
        <v>0</v>
      </c>
      <c r="V22" s="51">
        <f>'Assumptions &amp; Results'!$C$7*Calculations!V20</f>
        <v>0</v>
      </c>
      <c r="W22" s="51">
        <f>'Assumptions &amp; Results'!$C$7*Calculations!W20</f>
        <v>0</v>
      </c>
      <c r="X22" s="51">
        <f>'Assumptions &amp; Results'!$C$7*Calculations!X20</f>
        <v>0</v>
      </c>
      <c r="Y22" s="51">
        <f>'Assumptions &amp; Results'!$C$7*Calculations!Y20</f>
        <v>0</v>
      </c>
      <c r="Z22" s="51">
        <f>'Assumptions &amp; Results'!$C$7*Calculations!Z20</f>
        <v>0</v>
      </c>
      <c r="AA22" s="51">
        <f>'Assumptions &amp; Results'!$C$7*Calculations!AA20</f>
        <v>0</v>
      </c>
      <c r="AB22" s="51">
        <f>'Assumptions &amp; Results'!$C$7*Calculations!AB20</f>
        <v>0</v>
      </c>
      <c r="AC22" s="51">
        <f>'Assumptions &amp; Results'!$C$7*Calculations!AC20</f>
        <v>0</v>
      </c>
      <c r="AD22" s="51">
        <f>'Assumptions &amp; Results'!$C$7*Calculations!AD20</f>
        <v>0</v>
      </c>
      <c r="AE22" s="51">
        <f>'Assumptions &amp; Results'!$C$7*Calculations!AE20</f>
        <v>0</v>
      </c>
      <c r="AF22" s="51">
        <f>'Assumptions &amp; Results'!$C$7*Calculations!AF20</f>
        <v>0</v>
      </c>
      <c r="AG22" s="51">
        <f>'Assumptions &amp; Results'!$C$7*Calculations!AG20</f>
        <v>0</v>
      </c>
      <c r="AH22" s="51">
        <f>'Assumptions &amp; Results'!$C$7*Calculations!AH20</f>
        <v>0</v>
      </c>
      <c r="AI22" s="51">
        <f>'Assumptions &amp; Results'!$C$7*Calculations!AI20</f>
        <v>0</v>
      </c>
      <c r="AJ22" s="51">
        <f>'Assumptions &amp; Results'!$C$7*Calculations!AJ20</f>
        <v>0</v>
      </c>
      <c r="AK22" s="51">
        <f>'Assumptions &amp; Results'!$C$7*Calculations!AK20</f>
        <v>0</v>
      </c>
      <c r="AL22" s="51">
        <f>'Assumptions &amp; Results'!$C$7*Calculations!AL20</f>
        <v>0</v>
      </c>
      <c r="AM22" s="51">
        <f>'Assumptions &amp; Results'!$C$7*Calculations!AM20</f>
        <v>0</v>
      </c>
      <c r="AN22" s="51">
        <f>'Assumptions &amp; Results'!$C$7*Calculations!AN20</f>
        <v>0</v>
      </c>
      <c r="AO22" s="51">
        <f>'Assumptions &amp; Results'!$C$7*Calculations!AO20</f>
        <v>0</v>
      </c>
      <c r="AP22" s="51">
        <f>'Assumptions &amp; Results'!$C$7*Calculations!AP20</f>
        <v>0</v>
      </c>
      <c r="AQ22" s="51">
        <f>'Assumptions &amp; Results'!$C$7*Calculations!AQ20</f>
        <v>0</v>
      </c>
      <c r="AR22" s="51">
        <f>'Assumptions &amp; Results'!$C$7*Calculations!AR20</f>
        <v>0</v>
      </c>
      <c r="AS22" s="51">
        <f>'Assumptions &amp; Results'!$C$7*Calculations!AS20</f>
        <v>0</v>
      </c>
      <c r="AT22" s="51">
        <f>'Assumptions &amp; Results'!$C$7*Calculations!AT20</f>
        <v>0</v>
      </c>
      <c r="AU22" s="51">
        <f>'Assumptions &amp; Results'!$C$7*Calculations!AU20</f>
        <v>0</v>
      </c>
      <c r="AV22" s="51">
        <f>'Assumptions &amp; Results'!$C$7*Calculations!AV20</f>
        <v>0</v>
      </c>
      <c r="AW22" s="51">
        <f>'Assumptions &amp; Results'!$C$7*Calculations!AW20</f>
        <v>0</v>
      </c>
      <c r="AX22" s="51">
        <f>'Assumptions &amp; Results'!$C$7*Calculations!AX20</f>
        <v>0</v>
      </c>
      <c r="AY22" s="51">
        <f>'Assumptions &amp; Results'!$C$7*Calculations!AY20</f>
        <v>0</v>
      </c>
      <c r="AZ22" s="51">
        <f>'Assumptions &amp; Results'!$C$7*Calculations!AZ20</f>
        <v>0</v>
      </c>
      <c r="BA22" s="51">
        <f>'Assumptions &amp; Results'!$C$7*Calculations!BA20</f>
        <v>0</v>
      </c>
      <c r="BB22" s="51">
        <f>'Assumptions &amp; Results'!$C$7*Calculations!BB20</f>
        <v>0</v>
      </c>
      <c r="BC22" s="38"/>
      <c r="BD22" s="38"/>
    </row>
    <row r="23" spans="1:56" x14ac:dyDescent="0.2">
      <c r="A23" s="37"/>
      <c r="B23" s="37"/>
      <c r="C23" s="1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38"/>
      <c r="BD23" s="38"/>
    </row>
    <row r="24" spans="1:56" x14ac:dyDescent="0.2">
      <c r="A24" s="37">
        <f t="shared" si="2"/>
        <v>8451.8728038449353</v>
      </c>
      <c r="B24" s="37">
        <f>NPV('Assumptions &amp; Results'!$C$129,Calculations!E24:BB24)</f>
        <v>1376.7180040925944</v>
      </c>
      <c r="C24" s="78" t="s">
        <v>207</v>
      </c>
      <c r="D24" s="36" t="s">
        <v>75</v>
      </c>
      <c r="E24" s="51">
        <f>E20-E22</f>
        <v>0</v>
      </c>
      <c r="F24" s="51">
        <f t="shared" ref="F24:BB24" si="4">F20-F22</f>
        <v>0</v>
      </c>
      <c r="G24" s="51">
        <f t="shared" si="4"/>
        <v>0</v>
      </c>
      <c r="H24" s="51">
        <f t="shared" si="4"/>
        <v>0</v>
      </c>
      <c r="I24" s="51">
        <f t="shared" si="4"/>
        <v>112.68898136755202</v>
      </c>
      <c r="J24" s="51">
        <f t="shared" si="4"/>
        <v>280.03022227722238</v>
      </c>
      <c r="K24" s="51">
        <f t="shared" si="4"/>
        <v>278.15761290853095</v>
      </c>
      <c r="L24" s="51">
        <f t="shared" si="4"/>
        <v>276.09808707618095</v>
      </c>
      <c r="M24" s="51">
        <f t="shared" si="4"/>
        <v>274.40028371196865</v>
      </c>
      <c r="N24" s="51">
        <f t="shared" si="4"/>
        <v>271.95765510083044</v>
      </c>
      <c r="O24" s="51">
        <f t="shared" si="4"/>
        <v>269.88536458683927</v>
      </c>
      <c r="P24" s="51">
        <f t="shared" si="4"/>
        <v>275.28307187857604</v>
      </c>
      <c r="Q24" s="51">
        <f t="shared" si="4"/>
        <v>280.78873331614756</v>
      </c>
      <c r="R24" s="51">
        <f t="shared" si="4"/>
        <v>286.40450798247048</v>
      </c>
      <c r="S24" s="51">
        <f t="shared" si="4"/>
        <v>292.13259814211989</v>
      </c>
      <c r="T24" s="51">
        <f t="shared" si="4"/>
        <v>297.97525010496236</v>
      </c>
      <c r="U24" s="51">
        <f t="shared" si="4"/>
        <v>303.93475510706162</v>
      </c>
      <c r="V24" s="51">
        <f t="shared" si="4"/>
        <v>310.01345020920286</v>
      </c>
      <c r="W24" s="51">
        <f t="shared" si="4"/>
        <v>316.21371921338692</v>
      </c>
      <c r="X24" s="51">
        <f t="shared" si="4"/>
        <v>322.53799359765469</v>
      </c>
      <c r="Y24" s="51">
        <f t="shared" si="4"/>
        <v>328.98875346960784</v>
      </c>
      <c r="Z24" s="51">
        <f t="shared" si="4"/>
        <v>335.568528539</v>
      </c>
      <c r="AA24" s="51">
        <f t="shared" si="4"/>
        <v>342.27989910977988</v>
      </c>
      <c r="AB24" s="51">
        <f t="shared" si="4"/>
        <v>349.12549709197555</v>
      </c>
      <c r="AC24" s="51">
        <f t="shared" si="4"/>
        <v>356.10800703381506</v>
      </c>
      <c r="AD24" s="51">
        <f t="shared" si="4"/>
        <v>363.23016717449144</v>
      </c>
      <c r="AE24" s="51">
        <f t="shared" si="4"/>
        <v>370.49477051798124</v>
      </c>
      <c r="AF24" s="51">
        <f t="shared" si="4"/>
        <v>377.90466592834076</v>
      </c>
      <c r="AG24" s="51">
        <f t="shared" si="4"/>
        <v>385.46275924690769</v>
      </c>
      <c r="AH24" s="51">
        <f t="shared" si="4"/>
        <v>393.17201443184581</v>
      </c>
      <c r="AI24" s="51">
        <f t="shared" si="4"/>
        <v>401.03545472048273</v>
      </c>
      <c r="AJ24" s="51">
        <f t="shared" si="4"/>
        <v>0</v>
      </c>
      <c r="AK24" s="51">
        <f t="shared" si="4"/>
        <v>0</v>
      </c>
      <c r="AL24" s="51">
        <f t="shared" si="4"/>
        <v>0</v>
      </c>
      <c r="AM24" s="51">
        <f t="shared" si="4"/>
        <v>0</v>
      </c>
      <c r="AN24" s="51">
        <f t="shared" si="4"/>
        <v>0</v>
      </c>
      <c r="AO24" s="51">
        <f t="shared" si="4"/>
        <v>0</v>
      </c>
      <c r="AP24" s="51">
        <f t="shared" si="4"/>
        <v>0</v>
      </c>
      <c r="AQ24" s="51">
        <f t="shared" si="4"/>
        <v>0</v>
      </c>
      <c r="AR24" s="51">
        <f t="shared" si="4"/>
        <v>0</v>
      </c>
      <c r="AS24" s="51">
        <f t="shared" si="4"/>
        <v>0</v>
      </c>
      <c r="AT24" s="51">
        <f t="shared" si="4"/>
        <v>0</v>
      </c>
      <c r="AU24" s="51">
        <f t="shared" si="4"/>
        <v>0</v>
      </c>
      <c r="AV24" s="51">
        <f t="shared" si="4"/>
        <v>0</v>
      </c>
      <c r="AW24" s="51">
        <f t="shared" si="4"/>
        <v>0</v>
      </c>
      <c r="AX24" s="51">
        <f t="shared" si="4"/>
        <v>0</v>
      </c>
      <c r="AY24" s="51">
        <f t="shared" si="4"/>
        <v>0</v>
      </c>
      <c r="AZ24" s="51">
        <f t="shared" si="4"/>
        <v>0</v>
      </c>
      <c r="BA24" s="51">
        <f t="shared" si="4"/>
        <v>0</v>
      </c>
      <c r="BB24" s="51">
        <f t="shared" si="4"/>
        <v>0</v>
      </c>
      <c r="BC24" s="38"/>
      <c r="BD24" s="38"/>
    </row>
    <row r="25" spans="1:56" x14ac:dyDescent="0.2">
      <c r="A25" s="37"/>
      <c r="B25" s="37"/>
      <c r="C25" s="1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38"/>
      <c r="BD25" s="38"/>
    </row>
    <row r="26" spans="1:56" x14ac:dyDescent="0.2">
      <c r="A26" s="37"/>
      <c r="B26" s="37"/>
      <c r="C26" s="11" t="s">
        <v>348</v>
      </c>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38"/>
      <c r="BD26" s="38"/>
    </row>
    <row r="27" spans="1:56" x14ac:dyDescent="0.2">
      <c r="A27" s="37"/>
      <c r="B27" s="37"/>
      <c r="C27" s="98" t="s">
        <v>330</v>
      </c>
      <c r="D27" s="36" t="s">
        <v>75</v>
      </c>
      <c r="E27" s="51">
        <f>IF(AND(Calculations!E6&gt;'Assumptions &amp; Results'!$C$9,Calculations!E6&lt;'Assumptions &amp; Results'!$C$16),Calculations!E6,0)</f>
        <v>0</v>
      </c>
      <c r="F27" s="51">
        <f>IF(AND(Calculations!F6&gt;'Assumptions &amp; Results'!$C$9,Calculations!F6&lt;'Assumptions &amp; Results'!$C$16),Calculations!F6,0)</f>
        <v>0</v>
      </c>
      <c r="G27" s="51">
        <f>IF(AND(Calculations!G6&gt;'Assumptions &amp; Results'!$C$9,Calculations!G6&lt;'Assumptions &amp; Results'!$C$16),Calculations!G6,0)</f>
        <v>0</v>
      </c>
      <c r="H27" s="51">
        <f>IF(AND(Calculations!H6&gt;'Assumptions &amp; Results'!$C$9,Calculations!H6&lt;'Assumptions &amp; Results'!$C$16),Calculations!H6,0)</f>
        <v>0</v>
      </c>
      <c r="I27" s="51">
        <f>IF(AND(Calculations!I6&gt;'Assumptions &amp; Results'!$C$9,Calculations!I6&lt;'Assumptions &amp; Results'!$C$16),Calculations!I6,0)</f>
        <v>0</v>
      </c>
      <c r="J27" s="51">
        <f>IF(AND(Calculations!J6&gt;'Assumptions &amp; Results'!$C$9,Calculations!J6&lt;'Assumptions &amp; Results'!$C$16),Calculations!J6,0)</f>
        <v>0</v>
      </c>
      <c r="K27" s="51">
        <f>IF(AND(Calculations!K6&gt;'Assumptions &amp; Results'!$C$9,Calculations!K6&lt;'Assumptions &amp; Results'!$C$16),Calculations!K6,0)</f>
        <v>0</v>
      </c>
      <c r="L27" s="51">
        <f>IF(AND(Calculations!L6&gt;'Assumptions &amp; Results'!$C$9,Calculations!L6&lt;'Assumptions &amp; Results'!$C$16),Calculations!L6,0)</f>
        <v>0</v>
      </c>
      <c r="M27" s="51">
        <f>IF(AND(Calculations!M6&gt;'Assumptions &amp; Results'!$C$9,Calculations!M6&lt;'Assumptions &amp; Results'!$C$16),Calculations!M6,0)</f>
        <v>0</v>
      </c>
      <c r="N27" s="51">
        <f>IF(AND(Calculations!N6&gt;'Assumptions &amp; Results'!$C$9,Calculations!N6&lt;'Assumptions &amp; Results'!$C$16),Calculations!N6,0)</f>
        <v>0</v>
      </c>
      <c r="O27" s="51">
        <f>IF(AND(Calculations!O6&gt;'Assumptions &amp; Results'!$C$9,Calculations!O6&lt;'Assumptions &amp; Results'!$C$16),Calculations!O6,0)</f>
        <v>0</v>
      </c>
      <c r="P27" s="51">
        <f>IF(AND(Calculations!P6&gt;'Assumptions &amp; Results'!$C$9,Calculations!P6&lt;'Assumptions &amp; Results'!$C$16),Calculations!P6,0)</f>
        <v>0</v>
      </c>
      <c r="Q27" s="51">
        <f>IF(AND(Calculations!Q6&gt;'Assumptions &amp; Results'!$C$9,Calculations!Q6&lt;'Assumptions &amp; Results'!$C$16),Calculations!Q6,0)</f>
        <v>0</v>
      </c>
      <c r="R27" s="51">
        <f>IF(AND(Calculations!R6&gt;'Assumptions &amp; Results'!$C$9,Calculations!R6&lt;'Assumptions &amp; Results'!$C$16),Calculations!R6,0)</f>
        <v>0</v>
      </c>
      <c r="S27" s="51">
        <f>IF(AND(Calculations!S6&gt;'Assumptions &amp; Results'!$C$9,Calculations!S6&lt;'Assumptions &amp; Results'!$C$16),Calculations!S6,0)</f>
        <v>0</v>
      </c>
      <c r="T27" s="51">
        <f>IF(AND(Calculations!T6&gt;'Assumptions &amp; Results'!$C$9,Calculations!T6&lt;'Assumptions &amp; Results'!$C$16),Calculations!T6,0)</f>
        <v>0</v>
      </c>
      <c r="U27" s="51">
        <f>IF(AND(Calculations!U6&gt;'Assumptions &amp; Results'!$C$9,Calculations!U6&lt;'Assumptions &amp; Results'!$C$16),Calculations!U6,0)</f>
        <v>0</v>
      </c>
      <c r="V27" s="51">
        <f>IF(AND(Calculations!V6&gt;'Assumptions &amp; Results'!$C$9,Calculations!V6&lt;'Assumptions &amp; Results'!$C$16),Calculations!V6,0)</f>
        <v>0</v>
      </c>
      <c r="W27" s="51">
        <f>IF(AND(Calculations!W6&gt;'Assumptions &amp; Results'!$C$9,Calculations!W6&lt;'Assumptions &amp; Results'!$C$16),Calculations!W6,0)</f>
        <v>0</v>
      </c>
      <c r="X27" s="51">
        <f>IF(AND(Calculations!X6&gt;'Assumptions &amp; Results'!$C$9,Calculations!X6&lt;'Assumptions &amp; Results'!$C$16),Calculations!X6,0)</f>
        <v>0</v>
      </c>
      <c r="Y27" s="51">
        <f>IF(AND(Calculations!Y6&gt;'Assumptions &amp; Results'!$C$9,Calculations!Y6&lt;'Assumptions &amp; Results'!$C$16),Calculations!Y6,0)</f>
        <v>0</v>
      </c>
      <c r="Z27" s="51">
        <f>IF(AND(Calculations!Z6&gt;'Assumptions &amp; Results'!$C$9,Calculations!Z6&lt;'Assumptions &amp; Results'!$C$16),Calculations!Z6,0)</f>
        <v>0</v>
      </c>
      <c r="AA27" s="51">
        <f>IF(AND(Calculations!AA6&gt;'Assumptions &amp; Results'!$C$9,Calculations!AA6&lt;'Assumptions &amp; Results'!$C$16),Calculations!AA6,0)</f>
        <v>0</v>
      </c>
      <c r="AB27" s="51">
        <f>IF(AND(Calculations!AB6&gt;'Assumptions &amp; Results'!$C$9,Calculations!AB6&lt;'Assumptions &amp; Results'!$C$16),Calculations!AB6,0)</f>
        <v>0</v>
      </c>
      <c r="AC27" s="51">
        <f>IF(AND(Calculations!AC6&gt;'Assumptions &amp; Results'!$C$9,Calculations!AC6&lt;'Assumptions &amp; Results'!$C$16),Calculations!AC6,0)</f>
        <v>0</v>
      </c>
      <c r="AD27" s="51">
        <f>IF(AND(Calculations!AD6&gt;'Assumptions &amp; Results'!$C$9,Calculations!AD6&lt;'Assumptions &amp; Results'!$C$16),Calculations!AD6,0)</f>
        <v>0</v>
      </c>
      <c r="AE27" s="51">
        <f>IF(AND(Calculations!AE6&gt;'Assumptions &amp; Results'!$C$9,Calculations!AE6&lt;'Assumptions &amp; Results'!$C$16),Calculations!AE6,0)</f>
        <v>0</v>
      </c>
      <c r="AF27" s="51">
        <f>IF(AND(Calculations!AF6&gt;'Assumptions &amp; Results'!$C$9,Calculations!AF6&lt;'Assumptions &amp; Results'!$C$16),Calculations!AF6,0)</f>
        <v>0</v>
      </c>
      <c r="AG27" s="51">
        <f>IF(AND(Calculations!AG6&gt;'Assumptions &amp; Results'!$C$9,Calculations!AG6&lt;'Assumptions &amp; Results'!$C$16),Calculations!AG6,0)</f>
        <v>0</v>
      </c>
      <c r="AH27" s="51">
        <f>IF(AND(Calculations!AH6&gt;'Assumptions &amp; Results'!$C$9,Calculations!AH6&lt;'Assumptions &amp; Results'!$C$16),Calculations!AH6,0)</f>
        <v>0</v>
      </c>
      <c r="AI27" s="51">
        <f>IF(AND(Calculations!AI6&gt;'Assumptions &amp; Results'!$C$9,Calculations!AI6&lt;'Assumptions &amp; Results'!$C$16),Calculations!AI6,0)</f>
        <v>0</v>
      </c>
      <c r="AJ27" s="51">
        <f>IF(AND(Calculations!AJ6&gt;'Assumptions &amp; Results'!$C$9,Calculations!AJ6&lt;'Assumptions &amp; Results'!$C$16),Calculations!AJ6,0)</f>
        <v>0</v>
      </c>
      <c r="AK27" s="51">
        <f>IF(AND(Calculations!AK6&gt;'Assumptions &amp; Results'!$C$9,Calculations!AK6&lt;'Assumptions &amp; Results'!$C$16),Calculations!AK6,0)</f>
        <v>0</v>
      </c>
      <c r="AL27" s="51">
        <f>IF(AND(Calculations!AL6&gt;'Assumptions &amp; Results'!$C$9,Calculations!AL6&lt;'Assumptions &amp; Results'!$C$16),Calculations!AL6,0)</f>
        <v>0</v>
      </c>
      <c r="AM27" s="51">
        <f>IF(AND(Calculations!AM6&gt;'Assumptions &amp; Results'!$C$9,Calculations!AM6&lt;'Assumptions &amp; Results'!$C$16),Calculations!AM6,0)</f>
        <v>0</v>
      </c>
      <c r="AN27" s="51">
        <f>IF(AND(Calculations!AN6&gt;'Assumptions &amp; Results'!$C$9,Calculations!AN6&lt;'Assumptions &amp; Results'!$C$16),Calculations!AN6,0)</f>
        <v>0</v>
      </c>
      <c r="AO27" s="51">
        <f>IF(AND(Calculations!AO6&gt;'Assumptions &amp; Results'!$C$9,Calculations!AO6&lt;'Assumptions &amp; Results'!$C$16),Calculations!AO6,0)</f>
        <v>0</v>
      </c>
      <c r="AP27" s="51">
        <f>IF(AND(Calculations!AP6&gt;'Assumptions &amp; Results'!$C$9,Calculations!AP6&lt;'Assumptions &amp; Results'!$C$16),Calculations!AP6,0)</f>
        <v>0</v>
      </c>
      <c r="AQ27" s="51">
        <f>IF(AND(Calculations!AQ6&gt;'Assumptions &amp; Results'!$C$9,Calculations!AQ6&lt;'Assumptions &amp; Results'!$C$16),Calculations!AQ6,0)</f>
        <v>0</v>
      </c>
      <c r="AR27" s="51">
        <f>IF(AND(Calculations!AR6&gt;'Assumptions &amp; Results'!$C$9,Calculations!AR6&lt;'Assumptions &amp; Results'!$C$16),Calculations!AR6,0)</f>
        <v>0</v>
      </c>
      <c r="AS27" s="51">
        <f>IF(AND(Calculations!AS6&gt;'Assumptions &amp; Results'!$C$9,Calculations!AS6&lt;'Assumptions &amp; Results'!$C$16),Calculations!AS6,0)</f>
        <v>0</v>
      </c>
      <c r="AT27" s="51">
        <f>IF(AND(Calculations!AT6&gt;'Assumptions &amp; Results'!$C$9,Calculations!AT6&lt;'Assumptions &amp; Results'!$C$16),Calculations!AT6,0)</f>
        <v>0</v>
      </c>
      <c r="AU27" s="51">
        <f>IF(AND(Calculations!AU6&gt;'Assumptions &amp; Results'!$C$9,Calculations!AU6&lt;'Assumptions &amp; Results'!$C$16),Calculations!AU6,0)</f>
        <v>0</v>
      </c>
      <c r="AV27" s="51">
        <f>IF(AND(Calculations!AV6&gt;'Assumptions &amp; Results'!$C$9,Calculations!AV6&lt;'Assumptions &amp; Results'!$C$16),Calculations!AV6,0)</f>
        <v>0</v>
      </c>
      <c r="AW27" s="51">
        <f>IF(AND(Calculations!AW6&gt;'Assumptions &amp; Results'!$C$9,Calculations!AW6&lt;'Assumptions &amp; Results'!$C$16),Calculations!AW6,0)</f>
        <v>0</v>
      </c>
      <c r="AX27" s="51">
        <f>IF(AND(Calculations!AX6&gt;'Assumptions &amp; Results'!$C$9,Calculations!AX6&lt;'Assumptions &amp; Results'!$C$16),Calculations!AX6,0)</f>
        <v>0</v>
      </c>
      <c r="AY27" s="51">
        <f>IF(AND(Calculations!AY6&gt;'Assumptions &amp; Results'!$C$9,Calculations!AY6&lt;'Assumptions &amp; Results'!$C$16),Calculations!AY6,0)</f>
        <v>0</v>
      </c>
      <c r="AZ27" s="51">
        <f>IF(AND(Calculations!AZ6&gt;'Assumptions &amp; Results'!$C$9,Calculations!AZ6&lt;'Assumptions &amp; Results'!$C$16),Calculations!AZ6,0)</f>
        <v>0</v>
      </c>
      <c r="BA27" s="51">
        <f>IF(AND(Calculations!BA6&gt;'Assumptions &amp; Results'!$C$9,Calculations!BA6&lt;'Assumptions &amp; Results'!$C$16),Calculations!BA6,0)</f>
        <v>0</v>
      </c>
      <c r="BB27" s="51">
        <f>IF(AND(Calculations!BB6&gt;'Assumptions &amp; Results'!$C$9,Calculations!BB6&lt;'Assumptions &amp; Results'!$C$16),Calculations!BB6,0)</f>
        <v>0</v>
      </c>
      <c r="BC27" s="38"/>
      <c r="BD27" s="38"/>
    </row>
    <row r="28" spans="1:56" x14ac:dyDescent="0.2">
      <c r="A28" s="37"/>
      <c r="B28" s="37"/>
      <c r="C28" s="98" t="s">
        <v>200</v>
      </c>
      <c r="D28" s="36" t="s">
        <v>75</v>
      </c>
      <c r="E28" s="51">
        <f>MIN(Calculations!E27,'Assumptions &amp; Results'!$C$9)</f>
        <v>0</v>
      </c>
      <c r="F28" s="51">
        <f>MIN(Calculations!F27,'Assumptions &amp; Results'!$C$9)</f>
        <v>0</v>
      </c>
      <c r="G28" s="51">
        <f>MIN(Calculations!G27,'Assumptions &amp; Results'!$C$9)</f>
        <v>0</v>
      </c>
      <c r="H28" s="51">
        <f>MIN(Calculations!H27,'Assumptions &amp; Results'!$C$9)</f>
        <v>0</v>
      </c>
      <c r="I28" s="51">
        <f>MIN(Calculations!I27,'Assumptions &amp; Results'!$C$9)</f>
        <v>0</v>
      </c>
      <c r="J28" s="51">
        <f>MIN(Calculations!J27,'Assumptions &amp; Results'!$C$9)</f>
        <v>0</v>
      </c>
      <c r="K28" s="51">
        <f>MIN(Calculations!K27,'Assumptions &amp; Results'!$C$9)</f>
        <v>0</v>
      </c>
      <c r="L28" s="51">
        <f>MIN(Calculations!L27,'Assumptions &amp; Results'!$C$9)</f>
        <v>0</v>
      </c>
      <c r="M28" s="51">
        <f>MIN(Calculations!M27,'Assumptions &amp; Results'!$C$9)</f>
        <v>0</v>
      </c>
      <c r="N28" s="51">
        <f>MIN(Calculations!N27,'Assumptions &amp; Results'!$C$9)</f>
        <v>0</v>
      </c>
      <c r="O28" s="51">
        <f>MIN(Calculations!O27,'Assumptions &amp; Results'!$C$9)</f>
        <v>0</v>
      </c>
      <c r="P28" s="51">
        <f>MIN(Calculations!P27,'Assumptions &amp; Results'!$C$9)</f>
        <v>0</v>
      </c>
      <c r="Q28" s="51">
        <f>MIN(Calculations!Q27,'Assumptions &amp; Results'!$C$9)</f>
        <v>0</v>
      </c>
      <c r="R28" s="51">
        <f>MIN(Calculations!R27,'Assumptions &amp; Results'!$C$9)</f>
        <v>0</v>
      </c>
      <c r="S28" s="51">
        <f>MIN(Calculations!S27,'Assumptions &amp; Results'!$C$9)</f>
        <v>0</v>
      </c>
      <c r="T28" s="51">
        <f>MIN(Calculations!T27,'Assumptions &amp; Results'!$C$9)</f>
        <v>0</v>
      </c>
      <c r="U28" s="51">
        <f>MIN(Calculations!U27,'Assumptions &amp; Results'!$C$9)</f>
        <v>0</v>
      </c>
      <c r="V28" s="51">
        <f>MIN(Calculations!V27,'Assumptions &amp; Results'!$C$9)</f>
        <v>0</v>
      </c>
      <c r="W28" s="51">
        <f>MIN(Calculations!W27,'Assumptions &amp; Results'!$C$9)</f>
        <v>0</v>
      </c>
      <c r="X28" s="51">
        <f>MIN(Calculations!X27,'Assumptions &amp; Results'!$C$9)</f>
        <v>0</v>
      </c>
      <c r="Y28" s="51">
        <f>MIN(Calculations!Y27,'Assumptions &amp; Results'!$C$9)</f>
        <v>0</v>
      </c>
      <c r="Z28" s="51">
        <f>MIN(Calculations!Z27,'Assumptions &amp; Results'!$C$9)</f>
        <v>0</v>
      </c>
      <c r="AA28" s="51">
        <f>MIN(Calculations!AA27,'Assumptions &amp; Results'!$C$9)</f>
        <v>0</v>
      </c>
      <c r="AB28" s="51">
        <f>MIN(Calculations!AB27,'Assumptions &amp; Results'!$C$9)</f>
        <v>0</v>
      </c>
      <c r="AC28" s="51">
        <f>MIN(Calculations!AC27,'Assumptions &amp; Results'!$C$9)</f>
        <v>0</v>
      </c>
      <c r="AD28" s="51">
        <f>MIN(Calculations!AD27,'Assumptions &amp; Results'!$C$9)</f>
        <v>0</v>
      </c>
      <c r="AE28" s="51">
        <f>MIN(Calculations!AE27,'Assumptions &amp; Results'!$C$9)</f>
        <v>0</v>
      </c>
      <c r="AF28" s="51">
        <f>MIN(Calculations!AF27,'Assumptions &amp; Results'!$C$9)</f>
        <v>0</v>
      </c>
      <c r="AG28" s="51">
        <f>MIN(Calculations!AG27,'Assumptions &amp; Results'!$C$9)</f>
        <v>0</v>
      </c>
      <c r="AH28" s="51">
        <f>MIN(Calculations!AH27,'Assumptions &amp; Results'!$C$9)</f>
        <v>0</v>
      </c>
      <c r="AI28" s="51">
        <f>MIN(Calculations!AI27,'Assumptions &amp; Results'!$C$9)</f>
        <v>0</v>
      </c>
      <c r="AJ28" s="51">
        <f>MIN(Calculations!AJ27,'Assumptions &amp; Results'!$C$9)</f>
        <v>0</v>
      </c>
      <c r="AK28" s="51">
        <f>MIN(Calculations!AK27,'Assumptions &amp; Results'!$C$9)</f>
        <v>0</v>
      </c>
      <c r="AL28" s="51">
        <f>MIN(Calculations!AL27,'Assumptions &amp; Results'!$C$9)</f>
        <v>0</v>
      </c>
      <c r="AM28" s="51">
        <f>MIN(Calculations!AM27,'Assumptions &amp; Results'!$C$9)</f>
        <v>0</v>
      </c>
      <c r="AN28" s="51">
        <f>MIN(Calculations!AN27,'Assumptions &amp; Results'!$C$9)</f>
        <v>0</v>
      </c>
      <c r="AO28" s="51">
        <f>MIN(Calculations!AO27,'Assumptions &amp; Results'!$C$9)</f>
        <v>0</v>
      </c>
      <c r="AP28" s="51">
        <f>MIN(Calculations!AP27,'Assumptions &amp; Results'!$C$9)</f>
        <v>0</v>
      </c>
      <c r="AQ28" s="51">
        <f>MIN(Calculations!AQ27,'Assumptions &amp; Results'!$C$9)</f>
        <v>0</v>
      </c>
      <c r="AR28" s="51">
        <f>MIN(Calculations!AR27,'Assumptions &amp; Results'!$C$9)</f>
        <v>0</v>
      </c>
      <c r="AS28" s="51">
        <f>MIN(Calculations!AS27,'Assumptions &amp; Results'!$C$9)</f>
        <v>0</v>
      </c>
      <c r="AT28" s="51">
        <f>MIN(Calculations!AT27,'Assumptions &amp; Results'!$C$9)</f>
        <v>0</v>
      </c>
      <c r="AU28" s="51">
        <f>MIN(Calculations!AU27,'Assumptions &amp; Results'!$C$9)</f>
        <v>0</v>
      </c>
      <c r="AV28" s="51">
        <f>MIN(Calculations!AV27,'Assumptions &amp; Results'!$C$9)</f>
        <v>0</v>
      </c>
      <c r="AW28" s="51">
        <f>MIN(Calculations!AW27,'Assumptions &amp; Results'!$C$9)</f>
        <v>0</v>
      </c>
      <c r="AX28" s="51">
        <f>MIN(Calculations!AX27,'Assumptions &amp; Results'!$C$9)</f>
        <v>0</v>
      </c>
      <c r="AY28" s="51">
        <f>MIN(Calculations!AY27,'Assumptions &amp; Results'!$C$9)</f>
        <v>0</v>
      </c>
      <c r="AZ28" s="51">
        <f>MIN(Calculations!AZ27,'Assumptions &amp; Results'!$C$9)</f>
        <v>0</v>
      </c>
      <c r="BA28" s="51">
        <f>MIN(Calculations!BA27,'Assumptions &amp; Results'!$C$9)</f>
        <v>0</v>
      </c>
      <c r="BB28" s="51">
        <f>MIN(Calculations!BB27,'Assumptions &amp; Results'!$C$9)</f>
        <v>0</v>
      </c>
      <c r="BC28" s="38"/>
      <c r="BD28" s="38"/>
    </row>
    <row r="29" spans="1:56" x14ac:dyDescent="0.2">
      <c r="A29" s="37"/>
      <c r="B29" s="37"/>
      <c r="C29" s="98" t="s">
        <v>201</v>
      </c>
      <c r="D29" s="36" t="s">
        <v>75</v>
      </c>
      <c r="E29" s="51">
        <f>(E$27&gt;'Assumptions &amp; Results'!$C9)*(E$27-'Assumptions &amp; Results'!$C9-E30-E31-E32-E33-E34-E35)</f>
        <v>0</v>
      </c>
      <c r="F29" s="51">
        <f>(F$27&gt;'Assumptions &amp; Results'!$C9)*(F$27-'Assumptions &amp; Results'!$C9-F30-F31-F32-F33-F34-F35)</f>
        <v>0</v>
      </c>
      <c r="G29" s="51">
        <f>(G$27&gt;'Assumptions &amp; Results'!$C9)*(G$27-'Assumptions &amp; Results'!$C9-G30-G31-G32-G33-G34-G35)</f>
        <v>0</v>
      </c>
      <c r="H29" s="51">
        <f>(H$27&gt;'Assumptions &amp; Results'!$C9)*(H$27-'Assumptions &amp; Results'!$C9-H30-H31-H32-H33-H34-H35)</f>
        <v>0</v>
      </c>
      <c r="I29" s="51">
        <f>(I$27&gt;'Assumptions &amp; Results'!$C9)*(I$27-'Assumptions &amp; Results'!$C9-I30-I31-I32-I33-I34-I35)</f>
        <v>0</v>
      </c>
      <c r="J29" s="51">
        <f>(J$27&gt;'Assumptions &amp; Results'!$C9)*(J$27-'Assumptions &amp; Results'!$C9-J30-J31-J32-J33-J34-J35)</f>
        <v>0</v>
      </c>
      <c r="K29" s="51">
        <f>(K$27&gt;'Assumptions &amp; Results'!$C9)*(K$27-'Assumptions &amp; Results'!$C9-K30-K31-K32-K33-K34-K35)</f>
        <v>0</v>
      </c>
      <c r="L29" s="51">
        <f>(L$27&gt;'Assumptions &amp; Results'!$C9)*(L$27-'Assumptions &amp; Results'!$C9-L30-L31-L32-L33-L34-L35)</f>
        <v>0</v>
      </c>
      <c r="M29" s="51">
        <f>(M$27&gt;'Assumptions &amp; Results'!$C9)*(M$27-'Assumptions &amp; Results'!$C9-M30-M31-M32-M33-M34-M35)</f>
        <v>0</v>
      </c>
      <c r="N29" s="51">
        <f>(N$27&gt;'Assumptions &amp; Results'!$C9)*(N$27-'Assumptions &amp; Results'!$C9-N30-N31-N32-N33-N34-N35)</f>
        <v>0</v>
      </c>
      <c r="O29" s="51">
        <f>(O$27&gt;'Assumptions &amp; Results'!$C9)*(O$27-'Assumptions &amp; Results'!$C9-O30-O31-O32-O33-O34-O35)</f>
        <v>0</v>
      </c>
      <c r="P29" s="51">
        <f>(P$27&gt;'Assumptions &amp; Results'!$C9)*(P$27-'Assumptions &amp; Results'!$C9-P30-P31-P32-P33-P34-P35)</f>
        <v>0</v>
      </c>
      <c r="Q29" s="51">
        <f>(Q$27&gt;'Assumptions &amp; Results'!$C9)*(Q$27-'Assumptions &amp; Results'!$C9-Q30-Q31-Q32-Q33-Q34-Q35)</f>
        <v>0</v>
      </c>
      <c r="R29" s="51">
        <f>(R$27&gt;'Assumptions &amp; Results'!$C9)*(R$27-'Assumptions &amp; Results'!$C9-R30-R31-R32-R33-R34-R35)</f>
        <v>0</v>
      </c>
      <c r="S29" s="51">
        <f>(S$27&gt;'Assumptions &amp; Results'!$C9)*(S$27-'Assumptions &amp; Results'!$C9-S30-S31-S32-S33-S34-S35)</f>
        <v>0</v>
      </c>
      <c r="T29" s="51">
        <f>(T$27&gt;'Assumptions &amp; Results'!$C9)*(T$27-'Assumptions &amp; Results'!$C9-T30-T31-T32-T33-T34-T35)</f>
        <v>0</v>
      </c>
      <c r="U29" s="51">
        <f>(U$27&gt;'Assumptions &amp; Results'!$C9)*(U$27-'Assumptions &amp; Results'!$C9-U30-U31-U32-U33-U34-U35)</f>
        <v>0</v>
      </c>
      <c r="V29" s="51">
        <f>(V$27&gt;'Assumptions &amp; Results'!$C9)*(V$27-'Assumptions &amp; Results'!$C9-V30-V31-V32-V33-V34-V35)</f>
        <v>0</v>
      </c>
      <c r="W29" s="51">
        <f>(W$27&gt;'Assumptions &amp; Results'!$C9)*(W$27-'Assumptions &amp; Results'!$C9-W30-W31-W32-W33-W34-W35)</f>
        <v>0</v>
      </c>
      <c r="X29" s="51">
        <f>(X$27&gt;'Assumptions &amp; Results'!$C9)*(X$27-'Assumptions &amp; Results'!$C9-X30-X31-X32-X33-X34-X35)</f>
        <v>0</v>
      </c>
      <c r="Y29" s="51">
        <f>(Y$27&gt;'Assumptions &amp; Results'!$C9)*(Y$27-'Assumptions &amp; Results'!$C9-Y30-Y31-Y32-Y33-Y34-Y35)</f>
        <v>0</v>
      </c>
      <c r="Z29" s="51">
        <f>(Z$27&gt;'Assumptions &amp; Results'!$C9)*(Z$27-'Assumptions &amp; Results'!$C9-Z30-Z31-Z32-Z33-Z34-Z35)</f>
        <v>0</v>
      </c>
      <c r="AA29" s="51">
        <f>(AA$27&gt;'Assumptions &amp; Results'!$C9)*(AA$27-'Assumptions &amp; Results'!$C9-AA30-AA31-AA32-AA33-AA34-AA35)</f>
        <v>0</v>
      </c>
      <c r="AB29" s="51">
        <f>(AB$27&gt;'Assumptions &amp; Results'!$C9)*(AB$27-'Assumptions &amp; Results'!$C9-AB30-AB31-AB32-AB33-AB34-AB35)</f>
        <v>0</v>
      </c>
      <c r="AC29" s="51">
        <f>(AC$27&gt;'Assumptions &amp; Results'!$C9)*(AC$27-'Assumptions &amp; Results'!$C9-AC30-AC31-AC32-AC33-AC34-AC35)</f>
        <v>0</v>
      </c>
      <c r="AD29" s="51">
        <f>(AD$27&gt;'Assumptions &amp; Results'!$C9)*(AD$27-'Assumptions &amp; Results'!$C9-AD30-AD31-AD32-AD33-AD34-AD35)</f>
        <v>0</v>
      </c>
      <c r="AE29" s="51">
        <f>(AE$27&gt;'Assumptions &amp; Results'!$C9)*(AE$27-'Assumptions &amp; Results'!$C9-AE30-AE31-AE32-AE33-AE34-AE35)</f>
        <v>0</v>
      </c>
      <c r="AF29" s="51">
        <f>(AF$27&gt;'Assumptions &amp; Results'!$C9)*(AF$27-'Assumptions &amp; Results'!$C9-AF30-AF31-AF32-AF33-AF34-AF35)</f>
        <v>0</v>
      </c>
      <c r="AG29" s="51">
        <f>(AG$27&gt;'Assumptions &amp; Results'!$C9)*(AG$27-'Assumptions &amp; Results'!$C9-AG30-AG31-AG32-AG33-AG34-AG35)</f>
        <v>0</v>
      </c>
      <c r="AH29" s="51">
        <f>(AH$27&gt;'Assumptions &amp; Results'!$C9)*(AH$27-'Assumptions &amp; Results'!$C9-AH30-AH31-AH32-AH33-AH34-AH35)</f>
        <v>0</v>
      </c>
      <c r="AI29" s="51">
        <f>(AI$27&gt;'Assumptions &amp; Results'!$C9)*(AI$27-'Assumptions &amp; Results'!$C9-AI30-AI31-AI32-AI33-AI34-AI35)</f>
        <v>0</v>
      </c>
      <c r="AJ29" s="51">
        <f>(AJ$27&gt;'Assumptions &amp; Results'!$C9)*(AJ$27-'Assumptions &amp; Results'!$C9-AJ30-AJ31-AJ32-AJ33-AJ34-AJ35)</f>
        <v>0</v>
      </c>
      <c r="AK29" s="51">
        <f>(AK$27&gt;'Assumptions &amp; Results'!$C9)*(AK$27-'Assumptions &amp; Results'!$C9-AK30-AK31-AK32-AK33-AK34-AK35)</f>
        <v>0</v>
      </c>
      <c r="AL29" s="51">
        <f>(AL$27&gt;'Assumptions &amp; Results'!$C9)*(AL$27-'Assumptions &amp; Results'!$C9-AL30-AL31-AL32-AL33-AL34-AL35)</f>
        <v>0</v>
      </c>
      <c r="AM29" s="51">
        <f>(AM$27&gt;'Assumptions &amp; Results'!$C9)*(AM$27-'Assumptions &amp; Results'!$C9-AM30-AM31-AM32-AM33-AM34-AM35)</f>
        <v>0</v>
      </c>
      <c r="AN29" s="51">
        <f>(AN$27&gt;'Assumptions &amp; Results'!$C9)*(AN$27-'Assumptions &amp; Results'!$C9-AN30-AN31-AN32-AN33-AN34-AN35)</f>
        <v>0</v>
      </c>
      <c r="AO29" s="51">
        <f>(AO$27&gt;'Assumptions &amp; Results'!$C9)*(AO$27-'Assumptions &amp; Results'!$C9-AO30-AO31-AO32-AO33-AO34-AO35)</f>
        <v>0</v>
      </c>
      <c r="AP29" s="51">
        <f>(AP$27&gt;'Assumptions &amp; Results'!$C9)*(AP$27-'Assumptions &amp; Results'!$C9-AP30-AP31-AP32-AP33-AP34-AP35)</f>
        <v>0</v>
      </c>
      <c r="AQ29" s="51">
        <f>(AQ$27&gt;'Assumptions &amp; Results'!$C9)*(AQ$27-'Assumptions &amp; Results'!$C9-AQ30-AQ31-AQ32-AQ33-AQ34-AQ35)</f>
        <v>0</v>
      </c>
      <c r="AR29" s="51">
        <f>(AR$27&gt;'Assumptions &amp; Results'!$C9)*(AR$27-'Assumptions &amp; Results'!$C9-AR30-AR31-AR32-AR33-AR34-AR35)</f>
        <v>0</v>
      </c>
      <c r="AS29" s="51">
        <f>(AS$27&gt;'Assumptions &amp; Results'!$C9)*(AS$27-'Assumptions &amp; Results'!$C9-AS30-AS31-AS32-AS33-AS34-AS35)</f>
        <v>0</v>
      </c>
      <c r="AT29" s="51">
        <f>(AT$27&gt;'Assumptions &amp; Results'!$C9)*(AT$27-'Assumptions &amp; Results'!$C9-AT30-AT31-AT32-AT33-AT34-AT35)</f>
        <v>0</v>
      </c>
      <c r="AU29" s="51">
        <f>(AU$27&gt;'Assumptions &amp; Results'!$C9)*(AU$27-'Assumptions &amp; Results'!$C9-AU30-AU31-AU32-AU33-AU34-AU35)</f>
        <v>0</v>
      </c>
      <c r="AV29" s="51">
        <f>(AV$27&gt;'Assumptions &amp; Results'!$C9)*(AV$27-'Assumptions &amp; Results'!$C9-AV30-AV31-AV32-AV33-AV34-AV35)</f>
        <v>0</v>
      </c>
      <c r="AW29" s="51">
        <f>(AW$27&gt;'Assumptions &amp; Results'!$C9)*(AW$27-'Assumptions &amp; Results'!$C9-AW30-AW31-AW32-AW33-AW34-AW35)</f>
        <v>0</v>
      </c>
      <c r="AX29" s="51">
        <f>(AX$27&gt;'Assumptions &amp; Results'!$C9)*(AX$27-'Assumptions &amp; Results'!$C9-AX30-AX31-AX32-AX33-AX34-AX35)</f>
        <v>0</v>
      </c>
      <c r="AY29" s="51">
        <f>(AY$27&gt;'Assumptions &amp; Results'!$C9)*(AY$27-'Assumptions &amp; Results'!$C9-AY30-AY31-AY32-AY33-AY34-AY35)</f>
        <v>0</v>
      </c>
      <c r="AZ29" s="51">
        <f>(AZ$27&gt;'Assumptions &amp; Results'!$C9)*(AZ$27-'Assumptions &amp; Results'!$C9-AZ30-AZ31-AZ32-AZ33-AZ34-AZ35)</f>
        <v>0</v>
      </c>
      <c r="BA29" s="51">
        <f>(BA$27&gt;'Assumptions &amp; Results'!$C9)*(BA$27-'Assumptions &amp; Results'!$C9-BA30-BA31-BA32-BA33-BA34-BA35)</f>
        <v>0</v>
      </c>
      <c r="BB29" s="51">
        <f>(BB$27&gt;'Assumptions &amp; Results'!$C9)*(BB$27-'Assumptions &amp; Results'!$C9-BB30-BB31-BB32-BB33-BB34-BB35)</f>
        <v>0</v>
      </c>
      <c r="BC29" s="38"/>
      <c r="BD29" s="38"/>
    </row>
    <row r="30" spans="1:56" x14ac:dyDescent="0.2">
      <c r="A30" s="37"/>
      <c r="B30" s="37"/>
      <c r="C30" s="98" t="s">
        <v>202</v>
      </c>
      <c r="D30" s="36" t="s">
        <v>75</v>
      </c>
      <c r="E30" s="51">
        <f>(E$27&gt;'Assumptions &amp; Results'!$C10)*(E$27-'Assumptions &amp; Results'!$C10-E31-E32-E33-E34-E35)</f>
        <v>0</v>
      </c>
      <c r="F30" s="51">
        <f>(F$27&gt;'Assumptions &amp; Results'!$C10)*(F$27-'Assumptions &amp; Results'!$C10-F31-F32-F33-F34-F35)</f>
        <v>0</v>
      </c>
      <c r="G30" s="51">
        <f>(G$27&gt;'Assumptions &amp; Results'!$C10)*(G$27-'Assumptions &amp; Results'!$C10-G31-G32-G33-G34-G35)</f>
        <v>0</v>
      </c>
      <c r="H30" s="51">
        <f>(H$27&gt;'Assumptions &amp; Results'!$C10)*(H$27-'Assumptions &amp; Results'!$C10-H31-H32-H33-H34-H35)</f>
        <v>0</v>
      </c>
      <c r="I30" s="51">
        <f>(I$27&gt;'Assumptions &amp; Results'!$C10)*(I$27-'Assumptions &amp; Results'!$C10-I31-I32-I33-I34-I35)</f>
        <v>0</v>
      </c>
      <c r="J30" s="51">
        <f>(J$27&gt;'Assumptions &amp; Results'!$C10)*(J$27-'Assumptions &amp; Results'!$C10-J31-J32-J33-J34-J35)</f>
        <v>0</v>
      </c>
      <c r="K30" s="51">
        <f>(K$27&gt;'Assumptions &amp; Results'!$C10)*(K$27-'Assumptions &amp; Results'!$C10-K31-K32-K33-K34-K35)</f>
        <v>0</v>
      </c>
      <c r="L30" s="51">
        <f>(L$27&gt;'Assumptions &amp; Results'!$C10)*(L$27-'Assumptions &amp; Results'!$C10-L31-L32-L33-L34-L35)</f>
        <v>0</v>
      </c>
      <c r="M30" s="51">
        <f>(M$27&gt;'Assumptions &amp; Results'!$C10)*(M$27-'Assumptions &amp; Results'!$C10-M31-M32-M33-M34-M35)</f>
        <v>0</v>
      </c>
      <c r="N30" s="51">
        <f>(N$27&gt;'Assumptions &amp; Results'!$C10)*(N$27-'Assumptions &amp; Results'!$C10-N31-N32-N33-N34-N35)</f>
        <v>0</v>
      </c>
      <c r="O30" s="51">
        <f>(O$27&gt;'Assumptions &amp; Results'!$C10)*(O$27-'Assumptions &amp; Results'!$C10-O31-O32-O33-O34-O35)</f>
        <v>0</v>
      </c>
      <c r="P30" s="51">
        <f>(P$27&gt;'Assumptions &amp; Results'!$C10)*(P$27-'Assumptions &amp; Results'!$C10-P31-P32-P33-P34-P35)</f>
        <v>0</v>
      </c>
      <c r="Q30" s="51">
        <f>(Q$27&gt;'Assumptions &amp; Results'!$C10)*(Q$27-'Assumptions &amp; Results'!$C10-Q31-Q32-Q33-Q34-Q35)</f>
        <v>0</v>
      </c>
      <c r="R30" s="51">
        <f>(R$27&gt;'Assumptions &amp; Results'!$C10)*(R$27-'Assumptions &amp; Results'!$C10-R31-R32-R33-R34-R35)</f>
        <v>0</v>
      </c>
      <c r="S30" s="51">
        <f>(S$27&gt;'Assumptions &amp; Results'!$C10)*(S$27-'Assumptions &amp; Results'!$C10-S31-S32-S33-S34-S35)</f>
        <v>0</v>
      </c>
      <c r="T30" s="51">
        <f>(T$27&gt;'Assumptions &amp; Results'!$C10)*(T$27-'Assumptions &amp; Results'!$C10-T31-T32-T33-T34-T35)</f>
        <v>0</v>
      </c>
      <c r="U30" s="51">
        <f>(U$27&gt;'Assumptions &amp; Results'!$C10)*(U$27-'Assumptions &amp; Results'!$C10-U31-U32-U33-U34-U35)</f>
        <v>0</v>
      </c>
      <c r="V30" s="51">
        <f>(V$27&gt;'Assumptions &amp; Results'!$C10)*(V$27-'Assumptions &amp; Results'!$C10-V31-V32-V33-V34-V35)</f>
        <v>0</v>
      </c>
      <c r="W30" s="51">
        <f>(W$27&gt;'Assumptions &amp; Results'!$C10)*(W$27-'Assumptions &amp; Results'!$C10-W31-W32-W33-W34-W35)</f>
        <v>0</v>
      </c>
      <c r="X30" s="51">
        <f>(X$27&gt;'Assumptions &amp; Results'!$C10)*(X$27-'Assumptions &amp; Results'!$C10-X31-X32-X33-X34-X35)</f>
        <v>0</v>
      </c>
      <c r="Y30" s="51">
        <f>(Y$27&gt;'Assumptions &amp; Results'!$C10)*(Y$27-'Assumptions &amp; Results'!$C10-Y31-Y32-Y33-Y34-Y35)</f>
        <v>0</v>
      </c>
      <c r="Z30" s="51">
        <f>(Z$27&gt;'Assumptions &amp; Results'!$C10)*(Z$27-'Assumptions &amp; Results'!$C10-Z31-Z32-Z33-Z34-Z35)</f>
        <v>0</v>
      </c>
      <c r="AA30" s="51">
        <f>(AA$27&gt;'Assumptions &amp; Results'!$C10)*(AA$27-'Assumptions &amp; Results'!$C10-AA31-AA32-AA33-AA34-AA35)</f>
        <v>0</v>
      </c>
      <c r="AB30" s="51">
        <f>(AB$27&gt;'Assumptions &amp; Results'!$C10)*(AB$27-'Assumptions &amp; Results'!$C10-AB31-AB32-AB33-AB34-AB35)</f>
        <v>0</v>
      </c>
      <c r="AC30" s="51">
        <f>(AC$27&gt;'Assumptions &amp; Results'!$C10)*(AC$27-'Assumptions &amp; Results'!$C10-AC31-AC32-AC33-AC34-AC35)</f>
        <v>0</v>
      </c>
      <c r="AD30" s="51">
        <f>(AD$27&gt;'Assumptions &amp; Results'!$C10)*(AD$27-'Assumptions &amp; Results'!$C10-AD31-AD32-AD33-AD34-AD35)</f>
        <v>0</v>
      </c>
      <c r="AE30" s="51">
        <f>(AE$27&gt;'Assumptions &amp; Results'!$C10)*(AE$27-'Assumptions &amp; Results'!$C10-AE31-AE32-AE33-AE34-AE35)</f>
        <v>0</v>
      </c>
      <c r="AF30" s="51">
        <f>(AF$27&gt;'Assumptions &amp; Results'!$C10)*(AF$27-'Assumptions &amp; Results'!$C10-AF31-AF32-AF33-AF34-AF35)</f>
        <v>0</v>
      </c>
      <c r="AG30" s="51">
        <f>(AG$27&gt;'Assumptions &amp; Results'!$C10)*(AG$27-'Assumptions &amp; Results'!$C10-AG31-AG32-AG33-AG34-AG35)</f>
        <v>0</v>
      </c>
      <c r="AH30" s="51">
        <f>(AH$27&gt;'Assumptions &amp; Results'!$C10)*(AH$27-'Assumptions &amp; Results'!$C10-AH31-AH32-AH33-AH34-AH35)</f>
        <v>0</v>
      </c>
      <c r="AI30" s="51">
        <f>(AI$27&gt;'Assumptions &amp; Results'!$C10)*(AI$27-'Assumptions &amp; Results'!$C10-AI31-AI32-AI33-AI34-AI35)</f>
        <v>0</v>
      </c>
      <c r="AJ30" s="51">
        <f>(AJ$27&gt;'Assumptions &amp; Results'!$C10)*(AJ$27-'Assumptions &amp; Results'!$C10-AJ31-AJ32-AJ33-AJ34-AJ35)</f>
        <v>0</v>
      </c>
      <c r="AK30" s="51">
        <f>(AK$27&gt;'Assumptions &amp; Results'!$C10)*(AK$27-'Assumptions &amp; Results'!$C10-AK31-AK32-AK33-AK34-AK35)</f>
        <v>0</v>
      </c>
      <c r="AL30" s="51">
        <f>(AL$27&gt;'Assumptions &amp; Results'!$C10)*(AL$27-'Assumptions &amp; Results'!$C10-AL31-AL32-AL33-AL34-AL35)</f>
        <v>0</v>
      </c>
      <c r="AM30" s="51">
        <f>(AM$27&gt;'Assumptions &amp; Results'!$C10)*(AM$27-'Assumptions &amp; Results'!$C10-AM31-AM32-AM33-AM34-AM35)</f>
        <v>0</v>
      </c>
      <c r="AN30" s="51">
        <f>(AN$27&gt;'Assumptions &amp; Results'!$C10)*(AN$27-'Assumptions &amp; Results'!$C10-AN31-AN32-AN33-AN34-AN35)</f>
        <v>0</v>
      </c>
      <c r="AO30" s="51">
        <f>(AO$27&gt;'Assumptions &amp; Results'!$C10)*(AO$27-'Assumptions &amp; Results'!$C10-AO31-AO32-AO33-AO34-AO35)</f>
        <v>0</v>
      </c>
      <c r="AP30" s="51">
        <f>(AP$27&gt;'Assumptions &amp; Results'!$C10)*(AP$27-'Assumptions &amp; Results'!$C10-AP31-AP32-AP33-AP34-AP35)</f>
        <v>0</v>
      </c>
      <c r="AQ30" s="51">
        <f>(AQ$27&gt;'Assumptions &amp; Results'!$C10)*(AQ$27-'Assumptions &amp; Results'!$C10-AQ31-AQ32-AQ33-AQ34-AQ35)</f>
        <v>0</v>
      </c>
      <c r="AR30" s="51">
        <f>(AR$27&gt;'Assumptions &amp; Results'!$C10)*(AR$27-'Assumptions &amp; Results'!$C10-AR31-AR32-AR33-AR34-AR35)</f>
        <v>0</v>
      </c>
      <c r="AS30" s="51">
        <f>(AS$27&gt;'Assumptions &amp; Results'!$C10)*(AS$27-'Assumptions &amp; Results'!$C10-AS31-AS32-AS33-AS34-AS35)</f>
        <v>0</v>
      </c>
      <c r="AT30" s="51">
        <f>(AT$27&gt;'Assumptions &amp; Results'!$C10)*(AT$27-'Assumptions &amp; Results'!$C10-AT31-AT32-AT33-AT34-AT35)</f>
        <v>0</v>
      </c>
      <c r="AU30" s="51">
        <f>(AU$27&gt;'Assumptions &amp; Results'!$C10)*(AU$27-'Assumptions &amp; Results'!$C10-AU31-AU32-AU33-AU34-AU35)</f>
        <v>0</v>
      </c>
      <c r="AV30" s="51">
        <f>(AV$27&gt;'Assumptions &amp; Results'!$C10)*(AV$27-'Assumptions &amp; Results'!$C10-AV31-AV32-AV33-AV34-AV35)</f>
        <v>0</v>
      </c>
      <c r="AW30" s="51">
        <f>(AW$27&gt;'Assumptions &amp; Results'!$C10)*(AW$27-'Assumptions &amp; Results'!$C10-AW31-AW32-AW33-AW34-AW35)</f>
        <v>0</v>
      </c>
      <c r="AX30" s="51">
        <f>(AX$27&gt;'Assumptions &amp; Results'!$C10)*(AX$27-'Assumptions &amp; Results'!$C10-AX31-AX32-AX33-AX34-AX35)</f>
        <v>0</v>
      </c>
      <c r="AY30" s="51">
        <f>(AY$27&gt;'Assumptions &amp; Results'!$C10)*(AY$27-'Assumptions &amp; Results'!$C10-AY31-AY32-AY33-AY34-AY35)</f>
        <v>0</v>
      </c>
      <c r="AZ30" s="51">
        <f>(AZ$27&gt;'Assumptions &amp; Results'!$C10)*(AZ$27-'Assumptions &amp; Results'!$C10-AZ31-AZ32-AZ33-AZ34-AZ35)</f>
        <v>0</v>
      </c>
      <c r="BA30" s="51">
        <f>(BA$27&gt;'Assumptions &amp; Results'!$C10)*(BA$27-'Assumptions &amp; Results'!$C10-BA31-BA32-BA33-BA34-BA35)</f>
        <v>0</v>
      </c>
      <c r="BB30" s="51">
        <f>(BB$27&gt;'Assumptions &amp; Results'!$C10)*(BB$27-'Assumptions &amp; Results'!$C10-BB31-BB32-BB33-BB34-BB35)</f>
        <v>0</v>
      </c>
      <c r="BC30" s="38"/>
      <c r="BD30" s="38"/>
    </row>
    <row r="31" spans="1:56" x14ac:dyDescent="0.2">
      <c r="A31" s="37"/>
      <c r="B31" s="37"/>
      <c r="C31" s="98" t="s">
        <v>203</v>
      </c>
      <c r="D31" s="36" t="s">
        <v>75</v>
      </c>
      <c r="E31" s="51">
        <f>(E$27&gt;'Assumptions &amp; Results'!$C11)*(E$27-'Assumptions &amp; Results'!$C11-E32-E33-E34-E35)</f>
        <v>0</v>
      </c>
      <c r="F31" s="51">
        <f>(F$27&gt;'Assumptions &amp; Results'!$C11)*(F$27-'Assumptions &amp; Results'!$C11-F32-F33-F34-F35)</f>
        <v>0</v>
      </c>
      <c r="G31" s="51">
        <f>(G$27&gt;'Assumptions &amp; Results'!$C11)*(G$27-'Assumptions &amp; Results'!$C11-G32-G33-G34-G35)</f>
        <v>0</v>
      </c>
      <c r="H31" s="51">
        <f>(H$27&gt;'Assumptions &amp; Results'!$C11)*(H$27-'Assumptions &amp; Results'!$C11-H32-H33-H34-H35)</f>
        <v>0</v>
      </c>
      <c r="I31" s="51">
        <f>(I$27&gt;'Assumptions &amp; Results'!$C11)*(I$27-'Assumptions &amp; Results'!$C11-I32-I33-I34-I35)</f>
        <v>0</v>
      </c>
      <c r="J31" s="51">
        <f>(J$27&gt;'Assumptions &amp; Results'!$C11)*(J$27-'Assumptions &amp; Results'!$C11-J32-J33-J34-J35)</f>
        <v>0</v>
      </c>
      <c r="K31" s="51">
        <f>(K$27&gt;'Assumptions &amp; Results'!$C11)*(K$27-'Assumptions &amp; Results'!$C11-K32-K33-K34-K35)</f>
        <v>0</v>
      </c>
      <c r="L31" s="51">
        <f>(L$27&gt;'Assumptions &amp; Results'!$C11)*(L$27-'Assumptions &amp; Results'!$C11-L32-L33-L34-L35)</f>
        <v>0</v>
      </c>
      <c r="M31" s="51">
        <f>(M$27&gt;'Assumptions &amp; Results'!$C11)*(M$27-'Assumptions &amp; Results'!$C11-M32-M33-M34-M35)</f>
        <v>0</v>
      </c>
      <c r="N31" s="51">
        <f>(N$27&gt;'Assumptions &amp; Results'!$C11)*(N$27-'Assumptions &amp; Results'!$C11-N32-N33-N34-N35)</f>
        <v>0</v>
      </c>
      <c r="O31" s="51">
        <f>(O$27&gt;'Assumptions &amp; Results'!$C11)*(O$27-'Assumptions &amp; Results'!$C11-O32-O33-O34-O35)</f>
        <v>0</v>
      </c>
      <c r="P31" s="51">
        <f>(P$27&gt;'Assumptions &amp; Results'!$C11)*(P$27-'Assumptions &amp; Results'!$C11-P32-P33-P34-P35)</f>
        <v>0</v>
      </c>
      <c r="Q31" s="51">
        <f>(Q$27&gt;'Assumptions &amp; Results'!$C11)*(Q$27-'Assumptions &amp; Results'!$C11-Q32-Q33-Q34-Q35)</f>
        <v>0</v>
      </c>
      <c r="R31" s="51">
        <f>(R$27&gt;'Assumptions &amp; Results'!$C11)*(R$27-'Assumptions &amp; Results'!$C11-R32-R33-R34-R35)</f>
        <v>0</v>
      </c>
      <c r="S31" s="51">
        <f>(S$27&gt;'Assumptions &amp; Results'!$C11)*(S$27-'Assumptions &amp; Results'!$C11-S32-S33-S34-S35)</f>
        <v>0</v>
      </c>
      <c r="T31" s="51">
        <f>(T$27&gt;'Assumptions &amp; Results'!$C11)*(T$27-'Assumptions &amp; Results'!$C11-T32-T33-T34-T35)</f>
        <v>0</v>
      </c>
      <c r="U31" s="51">
        <f>(U$27&gt;'Assumptions &amp; Results'!$C11)*(U$27-'Assumptions &amp; Results'!$C11-U32-U33-U34-U35)</f>
        <v>0</v>
      </c>
      <c r="V31" s="51">
        <f>(V$27&gt;'Assumptions &amp; Results'!$C11)*(V$27-'Assumptions &amp; Results'!$C11-V32-V33-V34-V35)</f>
        <v>0</v>
      </c>
      <c r="W31" s="51">
        <f>(W$27&gt;'Assumptions &amp; Results'!$C11)*(W$27-'Assumptions &amp; Results'!$C11-W32-W33-W34-W35)</f>
        <v>0</v>
      </c>
      <c r="X31" s="51">
        <f>(X$27&gt;'Assumptions &amp; Results'!$C11)*(X$27-'Assumptions &amp; Results'!$C11-X32-X33-X34-X35)</f>
        <v>0</v>
      </c>
      <c r="Y31" s="51">
        <f>(Y$27&gt;'Assumptions &amp; Results'!$C11)*(Y$27-'Assumptions &amp; Results'!$C11-Y32-Y33-Y34-Y35)</f>
        <v>0</v>
      </c>
      <c r="Z31" s="51">
        <f>(Z$27&gt;'Assumptions &amp; Results'!$C11)*(Z$27-'Assumptions &amp; Results'!$C11-Z32-Z33-Z34-Z35)</f>
        <v>0</v>
      </c>
      <c r="AA31" s="51">
        <f>(AA$27&gt;'Assumptions &amp; Results'!$C11)*(AA$27-'Assumptions &amp; Results'!$C11-AA32-AA33-AA34-AA35)</f>
        <v>0</v>
      </c>
      <c r="AB31" s="51">
        <f>(AB$27&gt;'Assumptions &amp; Results'!$C11)*(AB$27-'Assumptions &amp; Results'!$C11-AB32-AB33-AB34-AB35)</f>
        <v>0</v>
      </c>
      <c r="AC31" s="51">
        <f>(AC$27&gt;'Assumptions &amp; Results'!$C11)*(AC$27-'Assumptions &amp; Results'!$C11-AC32-AC33-AC34-AC35)</f>
        <v>0</v>
      </c>
      <c r="AD31" s="51">
        <f>(AD$27&gt;'Assumptions &amp; Results'!$C11)*(AD$27-'Assumptions &amp; Results'!$C11-AD32-AD33-AD34-AD35)</f>
        <v>0</v>
      </c>
      <c r="AE31" s="51">
        <f>(AE$27&gt;'Assumptions &amp; Results'!$C11)*(AE$27-'Assumptions &amp; Results'!$C11-AE32-AE33-AE34-AE35)</f>
        <v>0</v>
      </c>
      <c r="AF31" s="51">
        <f>(AF$27&gt;'Assumptions &amp; Results'!$C11)*(AF$27-'Assumptions &amp; Results'!$C11-AF32-AF33-AF34-AF35)</f>
        <v>0</v>
      </c>
      <c r="AG31" s="51">
        <f>(AG$27&gt;'Assumptions &amp; Results'!$C11)*(AG$27-'Assumptions &amp; Results'!$C11-AG32-AG33-AG34-AG35)</f>
        <v>0</v>
      </c>
      <c r="AH31" s="51">
        <f>(AH$27&gt;'Assumptions &amp; Results'!$C11)*(AH$27-'Assumptions &amp; Results'!$C11-AH32-AH33-AH34-AH35)</f>
        <v>0</v>
      </c>
      <c r="AI31" s="51">
        <f>(AI$27&gt;'Assumptions &amp; Results'!$C11)*(AI$27-'Assumptions &amp; Results'!$C11-AI32-AI33-AI34-AI35)</f>
        <v>0</v>
      </c>
      <c r="AJ31" s="51">
        <f>(AJ$27&gt;'Assumptions &amp; Results'!$C11)*(AJ$27-'Assumptions &amp; Results'!$C11-AJ32-AJ33-AJ34-AJ35)</f>
        <v>0</v>
      </c>
      <c r="AK31" s="51">
        <f>(AK$27&gt;'Assumptions &amp; Results'!$C11)*(AK$27-'Assumptions &amp; Results'!$C11-AK32-AK33-AK34-AK35)</f>
        <v>0</v>
      </c>
      <c r="AL31" s="51">
        <f>(AL$27&gt;'Assumptions &amp; Results'!$C11)*(AL$27-'Assumptions &amp; Results'!$C11-AL32-AL33-AL34-AL35)</f>
        <v>0</v>
      </c>
      <c r="AM31" s="51">
        <f>(AM$27&gt;'Assumptions &amp; Results'!$C11)*(AM$27-'Assumptions &amp; Results'!$C11-AM32-AM33-AM34-AM35)</f>
        <v>0</v>
      </c>
      <c r="AN31" s="51">
        <f>(AN$27&gt;'Assumptions &amp; Results'!$C11)*(AN$27-'Assumptions &amp; Results'!$C11-AN32-AN33-AN34-AN35)</f>
        <v>0</v>
      </c>
      <c r="AO31" s="51">
        <f>(AO$27&gt;'Assumptions &amp; Results'!$C11)*(AO$27-'Assumptions &amp; Results'!$C11-AO32-AO33-AO34-AO35)</f>
        <v>0</v>
      </c>
      <c r="AP31" s="51">
        <f>(AP$27&gt;'Assumptions &amp; Results'!$C11)*(AP$27-'Assumptions &amp; Results'!$C11-AP32-AP33-AP34-AP35)</f>
        <v>0</v>
      </c>
      <c r="AQ31" s="51">
        <f>(AQ$27&gt;'Assumptions &amp; Results'!$C11)*(AQ$27-'Assumptions &amp; Results'!$C11-AQ32-AQ33-AQ34-AQ35)</f>
        <v>0</v>
      </c>
      <c r="AR31" s="51">
        <f>(AR$27&gt;'Assumptions &amp; Results'!$C11)*(AR$27-'Assumptions &amp; Results'!$C11-AR32-AR33-AR34-AR35)</f>
        <v>0</v>
      </c>
      <c r="AS31" s="51">
        <f>(AS$27&gt;'Assumptions &amp; Results'!$C11)*(AS$27-'Assumptions &amp; Results'!$C11-AS32-AS33-AS34-AS35)</f>
        <v>0</v>
      </c>
      <c r="AT31" s="51">
        <f>(AT$27&gt;'Assumptions &amp; Results'!$C11)*(AT$27-'Assumptions &amp; Results'!$C11-AT32-AT33-AT34-AT35)</f>
        <v>0</v>
      </c>
      <c r="AU31" s="51">
        <f>(AU$27&gt;'Assumptions &amp; Results'!$C11)*(AU$27-'Assumptions &amp; Results'!$C11-AU32-AU33-AU34-AU35)</f>
        <v>0</v>
      </c>
      <c r="AV31" s="51">
        <f>(AV$27&gt;'Assumptions &amp; Results'!$C11)*(AV$27-'Assumptions &amp; Results'!$C11-AV32-AV33-AV34-AV35)</f>
        <v>0</v>
      </c>
      <c r="AW31" s="51">
        <f>(AW$27&gt;'Assumptions &amp; Results'!$C11)*(AW$27-'Assumptions &amp; Results'!$C11-AW32-AW33-AW34-AW35)</f>
        <v>0</v>
      </c>
      <c r="AX31" s="51">
        <f>(AX$27&gt;'Assumptions &amp; Results'!$C11)*(AX$27-'Assumptions &amp; Results'!$C11-AX32-AX33-AX34-AX35)</f>
        <v>0</v>
      </c>
      <c r="AY31" s="51">
        <f>(AY$27&gt;'Assumptions &amp; Results'!$C11)*(AY$27-'Assumptions &amp; Results'!$C11-AY32-AY33-AY34-AY35)</f>
        <v>0</v>
      </c>
      <c r="AZ31" s="51">
        <f>(AZ$27&gt;'Assumptions &amp; Results'!$C11)*(AZ$27-'Assumptions &amp; Results'!$C11-AZ32-AZ33-AZ34-AZ35)</f>
        <v>0</v>
      </c>
      <c r="BA31" s="51">
        <f>(BA$27&gt;'Assumptions &amp; Results'!$C11)*(BA$27-'Assumptions &amp; Results'!$C11-BA32-BA33-BA34-BA35)</f>
        <v>0</v>
      </c>
      <c r="BB31" s="51">
        <f>(BB$27&gt;'Assumptions &amp; Results'!$C11)*(BB$27-'Assumptions &amp; Results'!$C11-BB32-BB33-BB34-BB35)</f>
        <v>0</v>
      </c>
      <c r="BC31" s="38"/>
      <c r="BD31" s="38"/>
    </row>
    <row r="32" spans="1:56" x14ac:dyDescent="0.2">
      <c r="A32" s="37"/>
      <c r="B32" s="37"/>
      <c r="C32" s="98" t="s">
        <v>294</v>
      </c>
      <c r="D32" s="36" t="s">
        <v>75</v>
      </c>
      <c r="E32" s="51">
        <f>(E$27&gt;'Assumptions &amp; Results'!$C12)*(E$27-'Assumptions &amp; Results'!$C12-E33-E34-E35)</f>
        <v>0</v>
      </c>
      <c r="F32" s="51">
        <f>(F$27&gt;'Assumptions &amp; Results'!$C12)*(F$27-'Assumptions &amp; Results'!$C12-F33-F34-F35)</f>
        <v>0</v>
      </c>
      <c r="G32" s="51">
        <f>(G$27&gt;'Assumptions &amp; Results'!$C12)*(G$27-'Assumptions &amp; Results'!$C12-G33-G34-G35)</f>
        <v>0</v>
      </c>
      <c r="H32" s="51">
        <f>(H$27&gt;'Assumptions &amp; Results'!$C12)*(H$27-'Assumptions &amp; Results'!$C12-H33-H34-H35)</f>
        <v>0</v>
      </c>
      <c r="I32" s="51">
        <f>(I$27&gt;'Assumptions &amp; Results'!$C12)*(I$27-'Assumptions &amp; Results'!$C12-I33-I34-I35)</f>
        <v>0</v>
      </c>
      <c r="J32" s="51">
        <f>(J$27&gt;'Assumptions &amp; Results'!$C12)*(J$27-'Assumptions &amp; Results'!$C12-J33-J34-J35)</f>
        <v>0</v>
      </c>
      <c r="K32" s="51">
        <f>(K$27&gt;'Assumptions &amp; Results'!$C12)*(K$27-'Assumptions &amp; Results'!$C12-K33-K34-K35)</f>
        <v>0</v>
      </c>
      <c r="L32" s="51">
        <f>(L$27&gt;'Assumptions &amp; Results'!$C12)*(L$27-'Assumptions &amp; Results'!$C12-L33-L34-L35)</f>
        <v>0</v>
      </c>
      <c r="M32" s="51">
        <f>(M$27&gt;'Assumptions &amp; Results'!$C12)*(M$27-'Assumptions &amp; Results'!$C12-M33-M34-M35)</f>
        <v>0</v>
      </c>
      <c r="N32" s="51">
        <f>(N$27&gt;'Assumptions &amp; Results'!$C12)*(N$27-'Assumptions &amp; Results'!$C12-N33-N34-N35)</f>
        <v>0</v>
      </c>
      <c r="O32" s="51">
        <f>(O$27&gt;'Assumptions &amp; Results'!$C12)*(O$27-'Assumptions &amp; Results'!$C12-O33-O34-O35)</f>
        <v>0</v>
      </c>
      <c r="P32" s="51">
        <f>(P$27&gt;'Assumptions &amp; Results'!$C12)*(P$27-'Assumptions &amp; Results'!$C12-P33-P34-P35)</f>
        <v>0</v>
      </c>
      <c r="Q32" s="51">
        <f>(Q$27&gt;'Assumptions &amp; Results'!$C12)*(Q$27-'Assumptions &amp; Results'!$C12-Q33-Q34-Q35)</f>
        <v>0</v>
      </c>
      <c r="R32" s="51">
        <f>(R$27&gt;'Assumptions &amp; Results'!$C12)*(R$27-'Assumptions &amp; Results'!$C12-R33-R34-R35)</f>
        <v>0</v>
      </c>
      <c r="S32" s="51">
        <f>(S$27&gt;'Assumptions &amp; Results'!$C12)*(S$27-'Assumptions &amp; Results'!$C12-S33-S34-S35)</f>
        <v>0</v>
      </c>
      <c r="T32" s="51">
        <f>(T$27&gt;'Assumptions &amp; Results'!$C12)*(T$27-'Assumptions &amp; Results'!$C12-T33-T34-T35)</f>
        <v>0</v>
      </c>
      <c r="U32" s="51">
        <f>(U$27&gt;'Assumptions &amp; Results'!$C12)*(U$27-'Assumptions &amp; Results'!$C12-U33-U34-U35)</f>
        <v>0</v>
      </c>
      <c r="V32" s="51">
        <f>(V$27&gt;'Assumptions &amp; Results'!$C12)*(V$27-'Assumptions &amp; Results'!$C12-V33-V34-V35)</f>
        <v>0</v>
      </c>
      <c r="W32" s="51">
        <f>(W$27&gt;'Assumptions &amp; Results'!$C12)*(W$27-'Assumptions &amp; Results'!$C12-W33-W34-W35)</f>
        <v>0</v>
      </c>
      <c r="X32" s="51">
        <f>(X$27&gt;'Assumptions &amp; Results'!$C12)*(X$27-'Assumptions &amp; Results'!$C12-X33-X34-X35)</f>
        <v>0</v>
      </c>
      <c r="Y32" s="51">
        <f>(Y$27&gt;'Assumptions &amp; Results'!$C12)*(Y$27-'Assumptions &amp; Results'!$C12-Y33-Y34-Y35)</f>
        <v>0</v>
      </c>
      <c r="Z32" s="51">
        <f>(Z$27&gt;'Assumptions &amp; Results'!$C12)*(Z$27-'Assumptions &amp; Results'!$C12-Z33-Z34-Z35)</f>
        <v>0</v>
      </c>
      <c r="AA32" s="51">
        <f>(AA$27&gt;'Assumptions &amp; Results'!$C12)*(AA$27-'Assumptions &amp; Results'!$C12-AA33-AA34-AA35)</f>
        <v>0</v>
      </c>
      <c r="AB32" s="51">
        <f>(AB$27&gt;'Assumptions &amp; Results'!$C12)*(AB$27-'Assumptions &amp; Results'!$C12-AB33-AB34-AB35)</f>
        <v>0</v>
      </c>
      <c r="AC32" s="51">
        <f>(AC$27&gt;'Assumptions &amp; Results'!$C12)*(AC$27-'Assumptions &amp; Results'!$C12-AC33-AC34-AC35)</f>
        <v>0</v>
      </c>
      <c r="AD32" s="51">
        <f>(AD$27&gt;'Assumptions &amp; Results'!$C12)*(AD$27-'Assumptions &amp; Results'!$C12-AD33-AD34-AD35)</f>
        <v>0</v>
      </c>
      <c r="AE32" s="51">
        <f>(AE$27&gt;'Assumptions &amp; Results'!$C12)*(AE$27-'Assumptions &amp; Results'!$C12-AE33-AE34-AE35)</f>
        <v>0</v>
      </c>
      <c r="AF32" s="51">
        <f>(AF$27&gt;'Assumptions &amp; Results'!$C12)*(AF$27-'Assumptions &amp; Results'!$C12-AF33-AF34-AF35)</f>
        <v>0</v>
      </c>
      <c r="AG32" s="51">
        <f>(AG$27&gt;'Assumptions &amp; Results'!$C12)*(AG$27-'Assumptions &amp; Results'!$C12-AG33-AG34-AG35)</f>
        <v>0</v>
      </c>
      <c r="AH32" s="51">
        <f>(AH$27&gt;'Assumptions &amp; Results'!$C12)*(AH$27-'Assumptions &amp; Results'!$C12-AH33-AH34-AH35)</f>
        <v>0</v>
      </c>
      <c r="AI32" s="51">
        <f>(AI$27&gt;'Assumptions &amp; Results'!$C12)*(AI$27-'Assumptions &amp; Results'!$C12-AI33-AI34-AI35)</f>
        <v>0</v>
      </c>
      <c r="AJ32" s="51">
        <f>(AJ$27&gt;'Assumptions &amp; Results'!$C12)*(AJ$27-'Assumptions &amp; Results'!$C12-AJ33-AJ34-AJ35)</f>
        <v>0</v>
      </c>
      <c r="AK32" s="51">
        <f>(AK$27&gt;'Assumptions &amp; Results'!$C12)*(AK$27-'Assumptions &amp; Results'!$C12-AK33-AK34-AK35)</f>
        <v>0</v>
      </c>
      <c r="AL32" s="51">
        <f>(AL$27&gt;'Assumptions &amp; Results'!$C12)*(AL$27-'Assumptions &amp; Results'!$C12-AL33-AL34-AL35)</f>
        <v>0</v>
      </c>
      <c r="AM32" s="51">
        <f>(AM$27&gt;'Assumptions &amp; Results'!$C12)*(AM$27-'Assumptions &amp; Results'!$C12-AM33-AM34-AM35)</f>
        <v>0</v>
      </c>
      <c r="AN32" s="51">
        <f>(AN$27&gt;'Assumptions &amp; Results'!$C12)*(AN$27-'Assumptions &amp; Results'!$C12-AN33-AN34-AN35)</f>
        <v>0</v>
      </c>
      <c r="AO32" s="51">
        <f>(AO$27&gt;'Assumptions &amp; Results'!$C12)*(AO$27-'Assumptions &amp; Results'!$C12-AO33-AO34-AO35)</f>
        <v>0</v>
      </c>
      <c r="AP32" s="51">
        <f>(AP$27&gt;'Assumptions &amp; Results'!$C12)*(AP$27-'Assumptions &amp; Results'!$C12-AP33-AP34-AP35)</f>
        <v>0</v>
      </c>
      <c r="AQ32" s="51">
        <f>(AQ$27&gt;'Assumptions &amp; Results'!$C12)*(AQ$27-'Assumptions &amp; Results'!$C12-AQ33-AQ34-AQ35)</f>
        <v>0</v>
      </c>
      <c r="AR32" s="51">
        <f>(AR$27&gt;'Assumptions &amp; Results'!$C12)*(AR$27-'Assumptions &amp; Results'!$C12-AR33-AR34-AR35)</f>
        <v>0</v>
      </c>
      <c r="AS32" s="51">
        <f>(AS$27&gt;'Assumptions &amp; Results'!$C12)*(AS$27-'Assumptions &amp; Results'!$C12-AS33-AS34-AS35)</f>
        <v>0</v>
      </c>
      <c r="AT32" s="51">
        <f>(AT$27&gt;'Assumptions &amp; Results'!$C12)*(AT$27-'Assumptions &amp; Results'!$C12-AT33-AT34-AT35)</f>
        <v>0</v>
      </c>
      <c r="AU32" s="51">
        <f>(AU$27&gt;'Assumptions &amp; Results'!$C12)*(AU$27-'Assumptions &amp; Results'!$C12-AU33-AU34-AU35)</f>
        <v>0</v>
      </c>
      <c r="AV32" s="51">
        <f>(AV$27&gt;'Assumptions &amp; Results'!$C12)*(AV$27-'Assumptions &amp; Results'!$C12-AV33-AV34-AV35)</f>
        <v>0</v>
      </c>
      <c r="AW32" s="51">
        <f>(AW$27&gt;'Assumptions &amp; Results'!$C12)*(AW$27-'Assumptions &amp; Results'!$C12-AW33-AW34-AW35)</f>
        <v>0</v>
      </c>
      <c r="AX32" s="51">
        <f>(AX$27&gt;'Assumptions &amp; Results'!$C12)*(AX$27-'Assumptions &amp; Results'!$C12-AX33-AX34-AX35)</f>
        <v>0</v>
      </c>
      <c r="AY32" s="51">
        <f>(AY$27&gt;'Assumptions &amp; Results'!$C12)*(AY$27-'Assumptions &amp; Results'!$C12-AY33-AY34-AY35)</f>
        <v>0</v>
      </c>
      <c r="AZ32" s="51">
        <f>(AZ$27&gt;'Assumptions &amp; Results'!$C12)*(AZ$27-'Assumptions &amp; Results'!$C12-AZ33-AZ34-AZ35)</f>
        <v>0</v>
      </c>
      <c r="BA32" s="51">
        <f>(BA$27&gt;'Assumptions &amp; Results'!$C12)*(BA$27-'Assumptions &amp; Results'!$C12-BA33-BA34-BA35)</f>
        <v>0</v>
      </c>
      <c r="BB32" s="51">
        <f>(BB$27&gt;'Assumptions &amp; Results'!$C12)*(BB$27-'Assumptions &amp; Results'!$C12-BB33-BB34-BB35)</f>
        <v>0</v>
      </c>
      <c r="BC32" s="38"/>
      <c r="BD32" s="38"/>
    </row>
    <row r="33" spans="1:56" x14ac:dyDescent="0.2">
      <c r="A33" s="37"/>
      <c r="B33" s="37"/>
      <c r="C33" s="98" t="s">
        <v>295</v>
      </c>
      <c r="D33" s="36" t="s">
        <v>75</v>
      </c>
      <c r="E33" s="51">
        <f>(E$27&gt;'Assumptions &amp; Results'!$C13)*(E$27-'Assumptions &amp; Results'!$C13-E34-E35)</f>
        <v>0</v>
      </c>
      <c r="F33" s="51">
        <f>(F$27&gt;'Assumptions &amp; Results'!$C13)*(F$27-'Assumptions &amp; Results'!$C13-F34-F35)</f>
        <v>0</v>
      </c>
      <c r="G33" s="51">
        <f>(G$27&gt;'Assumptions &amp; Results'!$C13)*(G$27-'Assumptions &amp; Results'!$C13-G34-G35)</f>
        <v>0</v>
      </c>
      <c r="H33" s="51">
        <f>(H$27&gt;'Assumptions &amp; Results'!$C13)*(H$27-'Assumptions &amp; Results'!$C13-H34-H35)</f>
        <v>0</v>
      </c>
      <c r="I33" s="51">
        <f>(I$27&gt;'Assumptions &amp; Results'!$C13)*(I$27-'Assumptions &amp; Results'!$C13-I34-I35)</f>
        <v>0</v>
      </c>
      <c r="J33" s="51">
        <f>(J$27&gt;'Assumptions &amp; Results'!$C13)*(J$27-'Assumptions &amp; Results'!$C13-J34-J35)</f>
        <v>0</v>
      </c>
      <c r="K33" s="51">
        <f>(K$27&gt;'Assumptions &amp; Results'!$C13)*(K$27-'Assumptions &amp; Results'!$C13-K34-K35)</f>
        <v>0</v>
      </c>
      <c r="L33" s="51">
        <f>(L$27&gt;'Assumptions &amp; Results'!$C13)*(L$27-'Assumptions &amp; Results'!$C13-L34-L35)</f>
        <v>0</v>
      </c>
      <c r="M33" s="51">
        <f>(M$27&gt;'Assumptions &amp; Results'!$C13)*(M$27-'Assumptions &amp; Results'!$C13-M34-M35)</f>
        <v>0</v>
      </c>
      <c r="N33" s="51">
        <f>(N$27&gt;'Assumptions &amp; Results'!$C13)*(N$27-'Assumptions &amp; Results'!$C13-N34-N35)</f>
        <v>0</v>
      </c>
      <c r="O33" s="51">
        <f>(O$27&gt;'Assumptions &amp; Results'!$C13)*(O$27-'Assumptions &amp; Results'!$C13-O34-O35)</f>
        <v>0</v>
      </c>
      <c r="P33" s="51">
        <f>(P$27&gt;'Assumptions &amp; Results'!$C13)*(P$27-'Assumptions &amp; Results'!$C13-P34-P35)</f>
        <v>0</v>
      </c>
      <c r="Q33" s="51">
        <f>(Q$27&gt;'Assumptions &amp; Results'!$C13)*(Q$27-'Assumptions &amp; Results'!$C13-Q34-Q35)</f>
        <v>0</v>
      </c>
      <c r="R33" s="51">
        <f>(R$27&gt;'Assumptions &amp; Results'!$C13)*(R$27-'Assumptions &amp; Results'!$C13-R34-R35)</f>
        <v>0</v>
      </c>
      <c r="S33" s="51">
        <f>(S$27&gt;'Assumptions &amp; Results'!$C13)*(S$27-'Assumptions &amp; Results'!$C13-S34-S35)</f>
        <v>0</v>
      </c>
      <c r="T33" s="51">
        <f>(T$27&gt;'Assumptions &amp; Results'!$C13)*(T$27-'Assumptions &amp; Results'!$C13-T34-T35)</f>
        <v>0</v>
      </c>
      <c r="U33" s="51">
        <f>(U$27&gt;'Assumptions &amp; Results'!$C13)*(U$27-'Assumptions &amp; Results'!$C13-U34-U35)</f>
        <v>0</v>
      </c>
      <c r="V33" s="51">
        <f>(V$27&gt;'Assumptions &amp; Results'!$C13)*(V$27-'Assumptions &amp; Results'!$C13-V34-V35)</f>
        <v>0</v>
      </c>
      <c r="W33" s="51">
        <f>(W$27&gt;'Assumptions &amp; Results'!$C13)*(W$27-'Assumptions &amp; Results'!$C13-W34-W35)</f>
        <v>0</v>
      </c>
      <c r="X33" s="51">
        <f>(X$27&gt;'Assumptions &amp; Results'!$C13)*(X$27-'Assumptions &amp; Results'!$C13-X34-X35)</f>
        <v>0</v>
      </c>
      <c r="Y33" s="51">
        <f>(Y$27&gt;'Assumptions &amp; Results'!$C13)*(Y$27-'Assumptions &amp; Results'!$C13-Y34-Y35)</f>
        <v>0</v>
      </c>
      <c r="Z33" s="51">
        <f>(Z$27&gt;'Assumptions &amp; Results'!$C13)*(Z$27-'Assumptions &amp; Results'!$C13-Z34-Z35)</f>
        <v>0</v>
      </c>
      <c r="AA33" s="51">
        <f>(AA$27&gt;'Assumptions &amp; Results'!$C13)*(AA$27-'Assumptions &amp; Results'!$C13-AA34-AA35)</f>
        <v>0</v>
      </c>
      <c r="AB33" s="51">
        <f>(AB$27&gt;'Assumptions &amp; Results'!$C13)*(AB$27-'Assumptions &amp; Results'!$C13-AB34-AB35)</f>
        <v>0</v>
      </c>
      <c r="AC33" s="51">
        <f>(AC$27&gt;'Assumptions &amp; Results'!$C13)*(AC$27-'Assumptions &amp; Results'!$C13-AC34-AC35)</f>
        <v>0</v>
      </c>
      <c r="AD33" s="51">
        <f>(AD$27&gt;'Assumptions &amp; Results'!$C13)*(AD$27-'Assumptions &amp; Results'!$C13-AD34-AD35)</f>
        <v>0</v>
      </c>
      <c r="AE33" s="51">
        <f>(AE$27&gt;'Assumptions &amp; Results'!$C13)*(AE$27-'Assumptions &amp; Results'!$C13-AE34-AE35)</f>
        <v>0</v>
      </c>
      <c r="AF33" s="51">
        <f>(AF$27&gt;'Assumptions &amp; Results'!$C13)*(AF$27-'Assumptions &amp; Results'!$C13-AF34-AF35)</f>
        <v>0</v>
      </c>
      <c r="AG33" s="51">
        <f>(AG$27&gt;'Assumptions &amp; Results'!$C13)*(AG$27-'Assumptions &amp; Results'!$C13-AG34-AG35)</f>
        <v>0</v>
      </c>
      <c r="AH33" s="51">
        <f>(AH$27&gt;'Assumptions &amp; Results'!$C13)*(AH$27-'Assumptions &amp; Results'!$C13-AH34-AH35)</f>
        <v>0</v>
      </c>
      <c r="AI33" s="51">
        <f>(AI$27&gt;'Assumptions &amp; Results'!$C13)*(AI$27-'Assumptions &amp; Results'!$C13-AI34-AI35)</f>
        <v>0</v>
      </c>
      <c r="AJ33" s="51">
        <f>(AJ$27&gt;'Assumptions &amp; Results'!$C13)*(AJ$27-'Assumptions &amp; Results'!$C13-AJ34-AJ35)</f>
        <v>0</v>
      </c>
      <c r="AK33" s="51">
        <f>(AK$27&gt;'Assumptions &amp; Results'!$C13)*(AK$27-'Assumptions &amp; Results'!$C13-AK34-AK35)</f>
        <v>0</v>
      </c>
      <c r="AL33" s="51">
        <f>(AL$27&gt;'Assumptions &amp; Results'!$C13)*(AL$27-'Assumptions &amp; Results'!$C13-AL34-AL35)</f>
        <v>0</v>
      </c>
      <c r="AM33" s="51">
        <f>(AM$27&gt;'Assumptions &amp; Results'!$C13)*(AM$27-'Assumptions &amp; Results'!$C13-AM34-AM35)</f>
        <v>0</v>
      </c>
      <c r="AN33" s="51">
        <f>(AN$27&gt;'Assumptions &amp; Results'!$C13)*(AN$27-'Assumptions &amp; Results'!$C13-AN34-AN35)</f>
        <v>0</v>
      </c>
      <c r="AO33" s="51">
        <f>(AO$27&gt;'Assumptions &amp; Results'!$C13)*(AO$27-'Assumptions &amp; Results'!$C13-AO34-AO35)</f>
        <v>0</v>
      </c>
      <c r="AP33" s="51">
        <f>(AP$27&gt;'Assumptions &amp; Results'!$C13)*(AP$27-'Assumptions &amp; Results'!$C13-AP34-AP35)</f>
        <v>0</v>
      </c>
      <c r="AQ33" s="51">
        <f>(AQ$27&gt;'Assumptions &amp; Results'!$C13)*(AQ$27-'Assumptions &amp; Results'!$C13-AQ34-AQ35)</f>
        <v>0</v>
      </c>
      <c r="AR33" s="51">
        <f>(AR$27&gt;'Assumptions &amp; Results'!$C13)*(AR$27-'Assumptions &amp; Results'!$C13-AR34-AR35)</f>
        <v>0</v>
      </c>
      <c r="AS33" s="51">
        <f>(AS$27&gt;'Assumptions &amp; Results'!$C13)*(AS$27-'Assumptions &amp; Results'!$C13-AS34-AS35)</f>
        <v>0</v>
      </c>
      <c r="AT33" s="51">
        <f>(AT$27&gt;'Assumptions &amp; Results'!$C13)*(AT$27-'Assumptions &amp; Results'!$C13-AT34-AT35)</f>
        <v>0</v>
      </c>
      <c r="AU33" s="51">
        <f>(AU$27&gt;'Assumptions &amp; Results'!$C13)*(AU$27-'Assumptions &amp; Results'!$C13-AU34-AU35)</f>
        <v>0</v>
      </c>
      <c r="AV33" s="51">
        <f>(AV$27&gt;'Assumptions &amp; Results'!$C13)*(AV$27-'Assumptions &amp; Results'!$C13-AV34-AV35)</f>
        <v>0</v>
      </c>
      <c r="AW33" s="51">
        <f>(AW$27&gt;'Assumptions &amp; Results'!$C13)*(AW$27-'Assumptions &amp; Results'!$C13-AW34-AW35)</f>
        <v>0</v>
      </c>
      <c r="AX33" s="51">
        <f>(AX$27&gt;'Assumptions &amp; Results'!$C13)*(AX$27-'Assumptions &amp; Results'!$C13-AX34-AX35)</f>
        <v>0</v>
      </c>
      <c r="AY33" s="51">
        <f>(AY$27&gt;'Assumptions &amp; Results'!$C13)*(AY$27-'Assumptions &amp; Results'!$C13-AY34-AY35)</f>
        <v>0</v>
      </c>
      <c r="AZ33" s="51">
        <f>(AZ$27&gt;'Assumptions &amp; Results'!$C13)*(AZ$27-'Assumptions &amp; Results'!$C13-AZ34-AZ35)</f>
        <v>0</v>
      </c>
      <c r="BA33" s="51">
        <f>(BA$27&gt;'Assumptions &amp; Results'!$C13)*(BA$27-'Assumptions &amp; Results'!$C13-BA34-BA35)</f>
        <v>0</v>
      </c>
      <c r="BB33" s="51">
        <f>(BB$27&gt;'Assumptions &amp; Results'!$C13)*(BB$27-'Assumptions &amp; Results'!$C13-BB34-BB35)</f>
        <v>0</v>
      </c>
      <c r="BC33" s="38"/>
      <c r="BD33" s="38"/>
    </row>
    <row r="34" spans="1:56" x14ac:dyDescent="0.2">
      <c r="A34" s="37"/>
      <c r="B34" s="37"/>
      <c r="C34" s="98" t="s">
        <v>296</v>
      </c>
      <c r="D34" s="36" t="s">
        <v>75</v>
      </c>
      <c r="E34" s="51">
        <f>(E$27&gt;'Assumptions &amp; Results'!$C14)*(E$27-'Assumptions &amp; Results'!$C14-E35)</f>
        <v>0</v>
      </c>
      <c r="F34" s="51">
        <f>(F$27&gt;'Assumptions &amp; Results'!$C14)*(F$27-'Assumptions &amp; Results'!$C14-F35)</f>
        <v>0</v>
      </c>
      <c r="G34" s="51">
        <f>(G$27&gt;'Assumptions &amp; Results'!$C14)*(G$27-'Assumptions &amp; Results'!$C14-G35)</f>
        <v>0</v>
      </c>
      <c r="H34" s="51">
        <f>(H$27&gt;'Assumptions &amp; Results'!$C14)*(H$27-'Assumptions &amp; Results'!$C14-H35)</f>
        <v>0</v>
      </c>
      <c r="I34" s="51">
        <f>(I$27&gt;'Assumptions &amp; Results'!$C14)*(I$27-'Assumptions &amp; Results'!$C14-I35)</f>
        <v>0</v>
      </c>
      <c r="J34" s="51">
        <f>(J$27&gt;'Assumptions &amp; Results'!$C14)*(J$27-'Assumptions &amp; Results'!$C14-J35)</f>
        <v>0</v>
      </c>
      <c r="K34" s="51">
        <f>(K$27&gt;'Assumptions &amp; Results'!$C14)*(K$27-'Assumptions &amp; Results'!$C14-K35)</f>
        <v>0</v>
      </c>
      <c r="L34" s="51">
        <f>(L$27&gt;'Assumptions &amp; Results'!$C14)*(L$27-'Assumptions &amp; Results'!$C14-L35)</f>
        <v>0</v>
      </c>
      <c r="M34" s="51">
        <f>(M$27&gt;'Assumptions &amp; Results'!$C14)*(M$27-'Assumptions &amp; Results'!$C14-M35)</f>
        <v>0</v>
      </c>
      <c r="N34" s="51">
        <f>(N$27&gt;'Assumptions &amp; Results'!$C14)*(N$27-'Assumptions &amp; Results'!$C14-N35)</f>
        <v>0</v>
      </c>
      <c r="O34" s="51">
        <f>(O$27&gt;'Assumptions &amp; Results'!$C14)*(O$27-'Assumptions &amp; Results'!$C14-O35)</f>
        <v>0</v>
      </c>
      <c r="P34" s="51">
        <f>(P$27&gt;'Assumptions &amp; Results'!$C14)*(P$27-'Assumptions &amp; Results'!$C14-P35)</f>
        <v>0</v>
      </c>
      <c r="Q34" s="51">
        <f>(Q$27&gt;'Assumptions &amp; Results'!$C14)*(Q$27-'Assumptions &amp; Results'!$C14-Q35)</f>
        <v>0</v>
      </c>
      <c r="R34" s="51">
        <f>(R$27&gt;'Assumptions &amp; Results'!$C14)*(R$27-'Assumptions &amp; Results'!$C14-R35)</f>
        <v>0</v>
      </c>
      <c r="S34" s="51">
        <f>(S$27&gt;'Assumptions &amp; Results'!$C14)*(S$27-'Assumptions &amp; Results'!$C14-S35)</f>
        <v>0</v>
      </c>
      <c r="T34" s="51">
        <f>(T$27&gt;'Assumptions &amp; Results'!$C14)*(T$27-'Assumptions &amp; Results'!$C14-T35)</f>
        <v>0</v>
      </c>
      <c r="U34" s="51">
        <f>(U$27&gt;'Assumptions &amp; Results'!$C14)*(U$27-'Assumptions &amp; Results'!$C14-U35)</f>
        <v>0</v>
      </c>
      <c r="V34" s="51">
        <f>(V$27&gt;'Assumptions &amp; Results'!$C14)*(V$27-'Assumptions &amp; Results'!$C14-V35)</f>
        <v>0</v>
      </c>
      <c r="W34" s="51">
        <f>(W$27&gt;'Assumptions &amp; Results'!$C14)*(W$27-'Assumptions &amp; Results'!$C14-W35)</f>
        <v>0</v>
      </c>
      <c r="X34" s="51">
        <f>(X$27&gt;'Assumptions &amp; Results'!$C14)*(X$27-'Assumptions &amp; Results'!$C14-X35)</f>
        <v>0</v>
      </c>
      <c r="Y34" s="51">
        <f>(Y$27&gt;'Assumptions &amp; Results'!$C14)*(Y$27-'Assumptions &amp; Results'!$C14-Y35)</f>
        <v>0</v>
      </c>
      <c r="Z34" s="51">
        <f>(Z$27&gt;'Assumptions &amp; Results'!$C14)*(Z$27-'Assumptions &amp; Results'!$C14-Z35)</f>
        <v>0</v>
      </c>
      <c r="AA34" s="51">
        <f>(AA$27&gt;'Assumptions &amp; Results'!$C14)*(AA$27-'Assumptions &amp; Results'!$C14-AA35)</f>
        <v>0</v>
      </c>
      <c r="AB34" s="51">
        <f>(AB$27&gt;'Assumptions &amp; Results'!$C14)*(AB$27-'Assumptions &amp; Results'!$C14-AB35)</f>
        <v>0</v>
      </c>
      <c r="AC34" s="51">
        <f>(AC$27&gt;'Assumptions &amp; Results'!$C14)*(AC$27-'Assumptions &amp; Results'!$C14-AC35)</f>
        <v>0</v>
      </c>
      <c r="AD34" s="51">
        <f>(AD$27&gt;'Assumptions &amp; Results'!$C14)*(AD$27-'Assumptions &amp; Results'!$C14-AD35)</f>
        <v>0</v>
      </c>
      <c r="AE34" s="51">
        <f>(AE$27&gt;'Assumptions &amp; Results'!$C14)*(AE$27-'Assumptions &amp; Results'!$C14-AE35)</f>
        <v>0</v>
      </c>
      <c r="AF34" s="51">
        <f>(AF$27&gt;'Assumptions &amp; Results'!$C14)*(AF$27-'Assumptions &amp; Results'!$C14-AF35)</f>
        <v>0</v>
      </c>
      <c r="AG34" s="51">
        <f>(AG$27&gt;'Assumptions &amp; Results'!$C14)*(AG$27-'Assumptions &amp; Results'!$C14-AG35)</f>
        <v>0</v>
      </c>
      <c r="AH34" s="51">
        <f>(AH$27&gt;'Assumptions &amp; Results'!$C14)*(AH$27-'Assumptions &amp; Results'!$C14-AH35)</f>
        <v>0</v>
      </c>
      <c r="AI34" s="51">
        <f>(AI$27&gt;'Assumptions &amp; Results'!$C14)*(AI$27-'Assumptions &amp; Results'!$C14-AI35)</f>
        <v>0</v>
      </c>
      <c r="AJ34" s="51">
        <f>(AJ$27&gt;'Assumptions &amp; Results'!$C14)*(AJ$27-'Assumptions &amp; Results'!$C14-AJ35)</f>
        <v>0</v>
      </c>
      <c r="AK34" s="51">
        <f>(AK$27&gt;'Assumptions &amp; Results'!$C14)*(AK$27-'Assumptions &amp; Results'!$C14-AK35)</f>
        <v>0</v>
      </c>
      <c r="AL34" s="51">
        <f>(AL$27&gt;'Assumptions &amp; Results'!$C14)*(AL$27-'Assumptions &amp; Results'!$C14-AL35)</f>
        <v>0</v>
      </c>
      <c r="AM34" s="51">
        <f>(AM$27&gt;'Assumptions &amp; Results'!$C14)*(AM$27-'Assumptions &amp; Results'!$C14-AM35)</f>
        <v>0</v>
      </c>
      <c r="AN34" s="51">
        <f>(AN$27&gt;'Assumptions &amp; Results'!$C14)*(AN$27-'Assumptions &amp; Results'!$C14-AN35)</f>
        <v>0</v>
      </c>
      <c r="AO34" s="51">
        <f>(AO$27&gt;'Assumptions &amp; Results'!$C14)*(AO$27-'Assumptions &amp; Results'!$C14-AO35)</f>
        <v>0</v>
      </c>
      <c r="AP34" s="51">
        <f>(AP$27&gt;'Assumptions &amp; Results'!$C14)*(AP$27-'Assumptions &amp; Results'!$C14-AP35)</f>
        <v>0</v>
      </c>
      <c r="AQ34" s="51">
        <f>(AQ$27&gt;'Assumptions &amp; Results'!$C14)*(AQ$27-'Assumptions &amp; Results'!$C14-AQ35)</f>
        <v>0</v>
      </c>
      <c r="AR34" s="51">
        <f>(AR$27&gt;'Assumptions &amp; Results'!$C14)*(AR$27-'Assumptions &amp; Results'!$C14-AR35)</f>
        <v>0</v>
      </c>
      <c r="AS34" s="51">
        <f>(AS$27&gt;'Assumptions &amp; Results'!$C14)*(AS$27-'Assumptions &amp; Results'!$C14-AS35)</f>
        <v>0</v>
      </c>
      <c r="AT34" s="51">
        <f>(AT$27&gt;'Assumptions &amp; Results'!$C14)*(AT$27-'Assumptions &amp; Results'!$C14-AT35)</f>
        <v>0</v>
      </c>
      <c r="AU34" s="51">
        <f>(AU$27&gt;'Assumptions &amp; Results'!$C14)*(AU$27-'Assumptions &amp; Results'!$C14-AU35)</f>
        <v>0</v>
      </c>
      <c r="AV34" s="51">
        <f>(AV$27&gt;'Assumptions &amp; Results'!$C14)*(AV$27-'Assumptions &amp; Results'!$C14-AV35)</f>
        <v>0</v>
      </c>
      <c r="AW34" s="51">
        <f>(AW$27&gt;'Assumptions &amp; Results'!$C14)*(AW$27-'Assumptions &amp; Results'!$C14-AW35)</f>
        <v>0</v>
      </c>
      <c r="AX34" s="51">
        <f>(AX$27&gt;'Assumptions &amp; Results'!$C14)*(AX$27-'Assumptions &amp; Results'!$C14-AX35)</f>
        <v>0</v>
      </c>
      <c r="AY34" s="51">
        <f>(AY$27&gt;'Assumptions &amp; Results'!$C14)*(AY$27-'Assumptions &amp; Results'!$C14-AY35)</f>
        <v>0</v>
      </c>
      <c r="AZ34" s="51">
        <f>(AZ$27&gt;'Assumptions &amp; Results'!$C14)*(AZ$27-'Assumptions &amp; Results'!$C14-AZ35)</f>
        <v>0</v>
      </c>
      <c r="BA34" s="51">
        <f>(BA$27&gt;'Assumptions &amp; Results'!$C14)*(BA$27-'Assumptions &amp; Results'!$C14-BA35)</f>
        <v>0</v>
      </c>
      <c r="BB34" s="51">
        <f>(BB$27&gt;'Assumptions &amp; Results'!$C14)*(BB$27-'Assumptions &amp; Results'!$C14-BB35)</f>
        <v>0</v>
      </c>
      <c r="BC34" s="38"/>
      <c r="BD34" s="38"/>
    </row>
    <row r="35" spans="1:56" x14ac:dyDescent="0.2">
      <c r="A35" s="37"/>
      <c r="B35" s="37"/>
      <c r="C35" s="98" t="s">
        <v>297</v>
      </c>
      <c r="D35" s="36" t="s">
        <v>75</v>
      </c>
      <c r="E35" s="51">
        <f>IF(E27&gt;'Assumptions &amp; Results'!$C$15,Calculations!E27-'Assumptions &amp; Results'!$C$15,0)</f>
        <v>0</v>
      </c>
      <c r="F35" s="51">
        <f>IF(F27&gt;'Assumptions &amp; Results'!$C$15,Calculations!F27-'Assumptions &amp; Results'!$C$15,0)</f>
        <v>0</v>
      </c>
      <c r="G35" s="51">
        <f>IF(G27&gt;'Assumptions &amp; Results'!$C$15,Calculations!G27-'Assumptions &amp; Results'!$C$15,0)</f>
        <v>0</v>
      </c>
      <c r="H35" s="51">
        <f>IF(H27&gt;'Assumptions &amp; Results'!$C$15,Calculations!H27-'Assumptions &amp; Results'!$C$15,0)</f>
        <v>0</v>
      </c>
      <c r="I35" s="51">
        <f>IF(I27&gt;'Assumptions &amp; Results'!$C$15,Calculations!I27-'Assumptions &amp; Results'!$C$15,0)</f>
        <v>0</v>
      </c>
      <c r="J35" s="51">
        <f>IF(J27&gt;'Assumptions &amp; Results'!$C$15,Calculations!J27-'Assumptions &amp; Results'!$C$15,0)</f>
        <v>0</v>
      </c>
      <c r="K35" s="51">
        <f>IF(K27&gt;'Assumptions &amp; Results'!$C$15,Calculations!K27-'Assumptions &amp; Results'!$C$15,0)</f>
        <v>0</v>
      </c>
      <c r="L35" s="51">
        <f>IF(L27&gt;'Assumptions &amp; Results'!$C$15,Calculations!L27-'Assumptions &amp; Results'!$C$15,0)</f>
        <v>0</v>
      </c>
      <c r="M35" s="51">
        <f>IF(M27&gt;'Assumptions &amp; Results'!$C$15,Calculations!M27-'Assumptions &amp; Results'!$C$15,0)</f>
        <v>0</v>
      </c>
      <c r="N35" s="51">
        <f>IF(N27&gt;'Assumptions &amp; Results'!$C$15,Calculations!N27-'Assumptions &amp; Results'!$C$15,0)</f>
        <v>0</v>
      </c>
      <c r="O35" s="51">
        <f>IF(O27&gt;'Assumptions &amp; Results'!$C$15,Calculations!O27-'Assumptions &amp; Results'!$C$15,0)</f>
        <v>0</v>
      </c>
      <c r="P35" s="51">
        <f>IF(P27&gt;'Assumptions &amp; Results'!$C$15,Calculations!P27-'Assumptions &amp; Results'!$C$15,0)</f>
        <v>0</v>
      </c>
      <c r="Q35" s="51">
        <f>IF(Q27&gt;'Assumptions &amp; Results'!$C$15,Calculations!Q27-'Assumptions &amp; Results'!$C$15,0)</f>
        <v>0</v>
      </c>
      <c r="R35" s="51">
        <f>IF(R27&gt;'Assumptions &amp; Results'!$C$15,Calculations!R27-'Assumptions &amp; Results'!$C$15,0)</f>
        <v>0</v>
      </c>
      <c r="S35" s="51">
        <f>IF(S27&gt;'Assumptions &amp; Results'!$C$15,Calculations!S27-'Assumptions &amp; Results'!$C$15,0)</f>
        <v>0</v>
      </c>
      <c r="T35" s="51">
        <f>IF(T27&gt;'Assumptions &amp; Results'!$C$15,Calculations!T27-'Assumptions &amp; Results'!$C$15,0)</f>
        <v>0</v>
      </c>
      <c r="U35" s="51">
        <f>IF(U27&gt;'Assumptions &amp; Results'!$C$15,Calculations!U27-'Assumptions &amp; Results'!$C$15,0)</f>
        <v>0</v>
      </c>
      <c r="V35" s="51">
        <f>IF(V27&gt;'Assumptions &amp; Results'!$C$15,Calculations!V27-'Assumptions &amp; Results'!$C$15,0)</f>
        <v>0</v>
      </c>
      <c r="W35" s="51">
        <f>IF(W27&gt;'Assumptions &amp; Results'!$C$15,Calculations!W27-'Assumptions &amp; Results'!$C$15,0)</f>
        <v>0</v>
      </c>
      <c r="X35" s="51">
        <f>IF(X27&gt;'Assumptions &amp; Results'!$C$15,Calculations!X27-'Assumptions &amp; Results'!$C$15,0)</f>
        <v>0</v>
      </c>
      <c r="Y35" s="51">
        <f>IF(Y27&gt;'Assumptions &amp; Results'!$C$15,Calculations!Y27-'Assumptions &amp; Results'!$C$15,0)</f>
        <v>0</v>
      </c>
      <c r="Z35" s="51">
        <f>IF(Z27&gt;'Assumptions &amp; Results'!$C$15,Calculations!Z27-'Assumptions &amp; Results'!$C$15,0)</f>
        <v>0</v>
      </c>
      <c r="AA35" s="51">
        <f>IF(AA27&gt;'Assumptions &amp; Results'!$C$15,Calculations!AA27-'Assumptions &amp; Results'!$C$15,0)</f>
        <v>0</v>
      </c>
      <c r="AB35" s="51">
        <f>IF(AB27&gt;'Assumptions &amp; Results'!$C$15,Calculations!AB27-'Assumptions &amp; Results'!$C$15,0)</f>
        <v>0</v>
      </c>
      <c r="AC35" s="51">
        <f>IF(AC27&gt;'Assumptions &amp; Results'!$C$15,Calculations!AC27-'Assumptions &amp; Results'!$C$15,0)</f>
        <v>0</v>
      </c>
      <c r="AD35" s="51">
        <f>IF(AD27&gt;'Assumptions &amp; Results'!$C$15,Calculations!AD27-'Assumptions &amp; Results'!$C$15,0)</f>
        <v>0</v>
      </c>
      <c r="AE35" s="51">
        <f>IF(AE27&gt;'Assumptions &amp; Results'!$C$15,Calculations!AE27-'Assumptions &amp; Results'!$C$15,0)</f>
        <v>0</v>
      </c>
      <c r="AF35" s="51">
        <f>IF(AF27&gt;'Assumptions &amp; Results'!$C$15,Calculations!AF27-'Assumptions &amp; Results'!$C$15,0)</f>
        <v>0</v>
      </c>
      <c r="AG35" s="51">
        <f>IF(AG27&gt;'Assumptions &amp; Results'!$C$15,Calculations!AG27-'Assumptions &amp; Results'!$C$15,0)</f>
        <v>0</v>
      </c>
      <c r="AH35" s="51">
        <f>IF(AH27&gt;'Assumptions &amp; Results'!$C$15,Calculations!AH27-'Assumptions &amp; Results'!$C$15,0)</f>
        <v>0</v>
      </c>
      <c r="AI35" s="51">
        <f>IF(AI27&gt;'Assumptions &amp; Results'!$C$15,Calculations!AI27-'Assumptions &amp; Results'!$C$15,0)</f>
        <v>0</v>
      </c>
      <c r="AJ35" s="51">
        <f>IF(AJ27&gt;'Assumptions &amp; Results'!$C$15,Calculations!AJ27-'Assumptions &amp; Results'!$C$15,0)</f>
        <v>0</v>
      </c>
      <c r="AK35" s="51">
        <f>IF(AK27&gt;'Assumptions &amp; Results'!$C$15,Calculations!AK27-'Assumptions &amp; Results'!$C$15,0)</f>
        <v>0</v>
      </c>
      <c r="AL35" s="51">
        <f>IF(AL27&gt;'Assumptions &amp; Results'!$C$15,Calculations!AL27-'Assumptions &amp; Results'!$C$15,0)</f>
        <v>0</v>
      </c>
      <c r="AM35" s="51">
        <f>IF(AM27&gt;'Assumptions &amp; Results'!$C$15,Calculations!AM27-'Assumptions &amp; Results'!$C$15,0)</f>
        <v>0</v>
      </c>
      <c r="AN35" s="51">
        <f>IF(AN27&gt;'Assumptions &amp; Results'!$C$15,Calculations!AN27-'Assumptions &amp; Results'!$C$15,0)</f>
        <v>0</v>
      </c>
      <c r="AO35" s="51">
        <f>IF(AO27&gt;'Assumptions &amp; Results'!$C$15,Calculations!AO27-'Assumptions &amp; Results'!$C$15,0)</f>
        <v>0</v>
      </c>
      <c r="AP35" s="51">
        <f>IF(AP27&gt;'Assumptions &amp; Results'!$C$15,Calculations!AP27-'Assumptions &amp; Results'!$C$15,0)</f>
        <v>0</v>
      </c>
      <c r="AQ35" s="51">
        <f>IF(AQ27&gt;'Assumptions &amp; Results'!$C$15,Calculations!AQ27-'Assumptions &amp; Results'!$C$15,0)</f>
        <v>0</v>
      </c>
      <c r="AR35" s="51">
        <f>IF(AR27&gt;'Assumptions &amp; Results'!$C$15,Calculations!AR27-'Assumptions &amp; Results'!$C$15,0)</f>
        <v>0</v>
      </c>
      <c r="AS35" s="51">
        <f>IF(AS27&gt;'Assumptions &amp; Results'!$C$15,Calculations!AS27-'Assumptions &amp; Results'!$C$15,0)</f>
        <v>0</v>
      </c>
      <c r="AT35" s="51">
        <f>IF(AT27&gt;'Assumptions &amp; Results'!$C$15,Calculations!AT27-'Assumptions &amp; Results'!$C$15,0)</f>
        <v>0</v>
      </c>
      <c r="AU35" s="51">
        <f>IF(AU27&gt;'Assumptions &amp; Results'!$C$15,Calculations!AU27-'Assumptions &amp; Results'!$C$15,0)</f>
        <v>0</v>
      </c>
      <c r="AV35" s="51">
        <f>IF(AV27&gt;'Assumptions &amp; Results'!$C$15,Calculations!AV27-'Assumptions &amp; Results'!$C$15,0)</f>
        <v>0</v>
      </c>
      <c r="AW35" s="51">
        <f>IF(AW27&gt;'Assumptions &amp; Results'!$C$15,Calculations!AW27-'Assumptions &amp; Results'!$C$15,0)</f>
        <v>0</v>
      </c>
      <c r="AX35" s="51">
        <f>IF(AX27&gt;'Assumptions &amp; Results'!$C$15,Calculations!AX27-'Assumptions &amp; Results'!$C$15,0)</f>
        <v>0</v>
      </c>
      <c r="AY35" s="51">
        <f>IF(AY27&gt;'Assumptions &amp; Results'!$C$15,Calculations!AY27-'Assumptions &amp; Results'!$C$15,0)</f>
        <v>0</v>
      </c>
      <c r="AZ35" s="51">
        <f>IF(AZ27&gt;'Assumptions &amp; Results'!$C$15,Calculations!AZ27-'Assumptions &amp; Results'!$C$15,0)</f>
        <v>0</v>
      </c>
      <c r="BA35" s="51">
        <f>IF(BA27&gt;'Assumptions &amp; Results'!$C$15,Calculations!BA27-'Assumptions &amp; Results'!$C$15,0)</f>
        <v>0</v>
      </c>
      <c r="BB35" s="51">
        <f>IF(BB27&gt;'Assumptions &amp; Results'!$C$15,Calculations!BB27-'Assumptions &amp; Results'!$C$15,0)</f>
        <v>0</v>
      </c>
      <c r="BC35" s="38"/>
      <c r="BD35" s="38"/>
    </row>
    <row r="36" spans="1:56" x14ac:dyDescent="0.2">
      <c r="A36" s="37"/>
      <c r="B36" s="37"/>
      <c r="C36" s="98"/>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38"/>
      <c r="BD36" s="38"/>
    </row>
    <row r="37" spans="1:56" x14ac:dyDescent="0.2">
      <c r="A37" s="37">
        <f t="shared" si="2"/>
        <v>0</v>
      </c>
      <c r="B37" s="37">
        <f>NPV('Assumptions &amp; Results'!$C$129,Calculations!E37:BB37)</f>
        <v>0</v>
      </c>
      <c r="C37" s="98" t="s">
        <v>204</v>
      </c>
      <c r="D37" s="36" t="s">
        <v>75</v>
      </c>
      <c r="E37" s="51">
        <f t="shared" ref="E37:AJ37" si="5">SUM(E28:E35)</f>
        <v>0</v>
      </c>
      <c r="F37" s="51">
        <f t="shared" si="5"/>
        <v>0</v>
      </c>
      <c r="G37" s="51">
        <f t="shared" si="5"/>
        <v>0</v>
      </c>
      <c r="H37" s="51">
        <f t="shared" si="5"/>
        <v>0</v>
      </c>
      <c r="I37" s="51">
        <f t="shared" si="5"/>
        <v>0</v>
      </c>
      <c r="J37" s="51">
        <f t="shared" si="5"/>
        <v>0</v>
      </c>
      <c r="K37" s="51">
        <f t="shared" si="5"/>
        <v>0</v>
      </c>
      <c r="L37" s="51">
        <f t="shared" si="5"/>
        <v>0</v>
      </c>
      <c r="M37" s="51">
        <f t="shared" si="5"/>
        <v>0</v>
      </c>
      <c r="N37" s="51">
        <f t="shared" si="5"/>
        <v>0</v>
      </c>
      <c r="O37" s="51">
        <f t="shared" si="5"/>
        <v>0</v>
      </c>
      <c r="P37" s="51">
        <f t="shared" si="5"/>
        <v>0</v>
      </c>
      <c r="Q37" s="51">
        <f t="shared" si="5"/>
        <v>0</v>
      </c>
      <c r="R37" s="51">
        <f t="shared" si="5"/>
        <v>0</v>
      </c>
      <c r="S37" s="51">
        <f t="shared" si="5"/>
        <v>0</v>
      </c>
      <c r="T37" s="51">
        <f t="shared" si="5"/>
        <v>0</v>
      </c>
      <c r="U37" s="51">
        <f t="shared" si="5"/>
        <v>0</v>
      </c>
      <c r="V37" s="51">
        <f t="shared" si="5"/>
        <v>0</v>
      </c>
      <c r="W37" s="51">
        <f t="shared" si="5"/>
        <v>0</v>
      </c>
      <c r="X37" s="51">
        <f t="shared" si="5"/>
        <v>0</v>
      </c>
      <c r="Y37" s="51">
        <f t="shared" si="5"/>
        <v>0</v>
      </c>
      <c r="Z37" s="51">
        <f t="shared" si="5"/>
        <v>0</v>
      </c>
      <c r="AA37" s="51">
        <f t="shared" si="5"/>
        <v>0</v>
      </c>
      <c r="AB37" s="51">
        <f t="shared" si="5"/>
        <v>0</v>
      </c>
      <c r="AC37" s="51">
        <f t="shared" si="5"/>
        <v>0</v>
      </c>
      <c r="AD37" s="51">
        <f t="shared" si="5"/>
        <v>0</v>
      </c>
      <c r="AE37" s="51">
        <f t="shared" si="5"/>
        <v>0</v>
      </c>
      <c r="AF37" s="51">
        <f t="shared" si="5"/>
        <v>0</v>
      </c>
      <c r="AG37" s="51">
        <f t="shared" si="5"/>
        <v>0</v>
      </c>
      <c r="AH37" s="51">
        <f t="shared" si="5"/>
        <v>0</v>
      </c>
      <c r="AI37" s="51">
        <f t="shared" si="5"/>
        <v>0</v>
      </c>
      <c r="AJ37" s="51">
        <f t="shared" si="5"/>
        <v>0</v>
      </c>
      <c r="AK37" s="51">
        <f t="shared" ref="AK37:BB37" si="6">SUM(AK28:AK35)</f>
        <v>0</v>
      </c>
      <c r="AL37" s="51">
        <f t="shared" si="6"/>
        <v>0</v>
      </c>
      <c r="AM37" s="51">
        <f t="shared" si="6"/>
        <v>0</v>
      </c>
      <c r="AN37" s="51">
        <f t="shared" si="6"/>
        <v>0</v>
      </c>
      <c r="AO37" s="51">
        <f t="shared" si="6"/>
        <v>0</v>
      </c>
      <c r="AP37" s="51">
        <f t="shared" si="6"/>
        <v>0</v>
      </c>
      <c r="AQ37" s="51">
        <f t="shared" si="6"/>
        <v>0</v>
      </c>
      <c r="AR37" s="51">
        <f t="shared" si="6"/>
        <v>0</v>
      </c>
      <c r="AS37" s="51">
        <f t="shared" si="6"/>
        <v>0</v>
      </c>
      <c r="AT37" s="51">
        <f t="shared" si="6"/>
        <v>0</v>
      </c>
      <c r="AU37" s="51">
        <f t="shared" si="6"/>
        <v>0</v>
      </c>
      <c r="AV37" s="51">
        <f t="shared" si="6"/>
        <v>0</v>
      </c>
      <c r="AW37" s="51">
        <f t="shared" si="6"/>
        <v>0</v>
      </c>
      <c r="AX37" s="51">
        <f t="shared" si="6"/>
        <v>0</v>
      </c>
      <c r="AY37" s="51">
        <f t="shared" si="6"/>
        <v>0</v>
      </c>
      <c r="AZ37" s="51">
        <f t="shared" si="6"/>
        <v>0</v>
      </c>
      <c r="BA37" s="51">
        <f t="shared" si="6"/>
        <v>0</v>
      </c>
      <c r="BB37" s="51">
        <f t="shared" si="6"/>
        <v>0</v>
      </c>
      <c r="BC37" s="38"/>
      <c r="BD37" s="38"/>
    </row>
    <row r="38" spans="1:56" x14ac:dyDescent="0.2">
      <c r="A38" s="37"/>
      <c r="B38" s="37"/>
      <c r="C38" s="98"/>
      <c r="D38" s="98"/>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38"/>
      <c r="BD38" s="38"/>
    </row>
    <row r="39" spans="1:56" s="146" customFormat="1" x14ac:dyDescent="0.2">
      <c r="A39" s="37"/>
      <c r="B39" s="37"/>
      <c r="C39" s="147" t="s">
        <v>205</v>
      </c>
      <c r="D39" s="153" t="s">
        <v>33</v>
      </c>
      <c r="E39" s="186">
        <f>SUMPRODUCT(E28:E35*'Assumptions &amp; Results'!$C$24:$C$31)/IF(E27&gt;0,E27,1)</f>
        <v>0</v>
      </c>
      <c r="F39" s="186">
        <f>SUMPRODUCT(F28:F35*'Assumptions &amp; Results'!$C$24:$C$31)/IF(F27&gt;0,F27,1)</f>
        <v>0</v>
      </c>
      <c r="G39" s="186">
        <f>SUMPRODUCT(G28:G35*'Assumptions &amp; Results'!$C$24:$C$31)/IF(G27&gt;0,G27,1)</f>
        <v>0</v>
      </c>
      <c r="H39" s="186">
        <f>SUMPRODUCT(H28:H35*'Assumptions &amp; Results'!$C$24:$C$31)/IF(H27&gt;0,H27,1)</f>
        <v>0</v>
      </c>
      <c r="I39" s="186">
        <f>SUMPRODUCT(I28:I35*'Assumptions &amp; Results'!$C$24:$C$31)/IF(I27&gt;0,I27,1)</f>
        <v>0</v>
      </c>
      <c r="J39" s="186">
        <f>SUMPRODUCT(J28:J35*'Assumptions &amp; Results'!$C$24:$C$31)/IF(J27&gt;0,J27,1)</f>
        <v>0</v>
      </c>
      <c r="K39" s="186">
        <f>SUMPRODUCT(K28:K35*'Assumptions &amp; Results'!$C$24:$C$31)/IF(K27&gt;0,K27,1)</f>
        <v>0</v>
      </c>
      <c r="L39" s="186">
        <f>SUMPRODUCT(L28:L35*'Assumptions &amp; Results'!$C$24:$C$31)/IF(L27&gt;0,L27,1)</f>
        <v>0</v>
      </c>
      <c r="M39" s="186">
        <f>SUMPRODUCT(M28:M35*'Assumptions &amp; Results'!$C$24:$C$31)/IF(M27&gt;0,M27,1)</f>
        <v>0</v>
      </c>
      <c r="N39" s="186">
        <f>SUMPRODUCT(N28:N35*'Assumptions &amp; Results'!$C$24:$C$31)/IF(N27&gt;0,N27,1)</f>
        <v>0</v>
      </c>
      <c r="O39" s="186">
        <f>SUMPRODUCT(O28:O35*'Assumptions &amp; Results'!$C$24:$C$31)/IF(O27&gt;0,O27,1)</f>
        <v>0</v>
      </c>
      <c r="P39" s="186">
        <f>SUMPRODUCT(P28:P35*'Assumptions &amp; Results'!$C$24:$C$31)/IF(P27&gt;0,P27,1)</f>
        <v>0</v>
      </c>
      <c r="Q39" s="186">
        <f>SUMPRODUCT(Q28:Q35*'Assumptions &amp; Results'!$C$24:$C$31)/IF(Q27&gt;0,Q27,1)</f>
        <v>0</v>
      </c>
      <c r="R39" s="186">
        <f>SUMPRODUCT(R28:R35*'Assumptions &amp; Results'!$C$24:$C$31)/IF(R27&gt;0,R27,1)</f>
        <v>0</v>
      </c>
      <c r="S39" s="186">
        <f>SUMPRODUCT(S28:S35*'Assumptions &amp; Results'!$C$24:$C$31)/IF(S27&gt;0,S27,1)</f>
        <v>0</v>
      </c>
      <c r="T39" s="186">
        <f>SUMPRODUCT(T28:T35*'Assumptions &amp; Results'!$C$24:$C$31)/IF(T27&gt;0,T27,1)</f>
        <v>0</v>
      </c>
      <c r="U39" s="186">
        <f>SUMPRODUCT(U28:U35*'Assumptions &amp; Results'!$C$24:$C$31)/IF(U27&gt;0,U27,1)</f>
        <v>0</v>
      </c>
      <c r="V39" s="186">
        <f>SUMPRODUCT(V28:V35*'Assumptions &amp; Results'!$C$24:$C$31)/IF(V27&gt;0,V27,1)</f>
        <v>0</v>
      </c>
      <c r="W39" s="186">
        <f>SUMPRODUCT(W28:W35*'Assumptions &amp; Results'!$C$24:$C$31)/IF(W27&gt;0,W27,1)</f>
        <v>0</v>
      </c>
      <c r="X39" s="186">
        <f>SUMPRODUCT(X28:X35*'Assumptions &amp; Results'!$C$24:$C$31)/IF(X27&gt;0,X27,1)</f>
        <v>0</v>
      </c>
      <c r="Y39" s="186">
        <f>SUMPRODUCT(Y28:Y35*'Assumptions &amp; Results'!$C$24:$C$31)/IF(Y27&gt;0,Y27,1)</f>
        <v>0</v>
      </c>
      <c r="Z39" s="186">
        <f>SUMPRODUCT(Z28:Z35*'Assumptions &amp; Results'!$C$24:$C$31)/IF(Z27&gt;0,Z27,1)</f>
        <v>0</v>
      </c>
      <c r="AA39" s="186">
        <f>SUMPRODUCT(AA28:AA35*'Assumptions &amp; Results'!$C$24:$C$31)/IF(AA27&gt;0,AA27,1)</f>
        <v>0</v>
      </c>
      <c r="AB39" s="186">
        <f>SUMPRODUCT(AB28:AB35*'Assumptions &amp; Results'!$C$24:$C$31)/IF(AB27&gt;0,AB27,1)</f>
        <v>0</v>
      </c>
      <c r="AC39" s="186">
        <f>SUMPRODUCT(AC28:AC35*'Assumptions &amp; Results'!$C$24:$C$31)/IF(AC27&gt;0,AC27,1)</f>
        <v>0</v>
      </c>
      <c r="AD39" s="186">
        <f>SUMPRODUCT(AD28:AD35*'Assumptions &amp; Results'!$C$24:$C$31)/IF(AD27&gt;0,AD27,1)</f>
        <v>0</v>
      </c>
      <c r="AE39" s="186">
        <f>SUMPRODUCT(AE28:AE35*'Assumptions &amp; Results'!$C$24:$C$31)/IF(AE27&gt;0,AE27,1)</f>
        <v>0</v>
      </c>
      <c r="AF39" s="186">
        <f>SUMPRODUCT(AF28:AF35*'Assumptions &amp; Results'!$C$24:$C$31)/IF(AF27&gt;0,AF27,1)</f>
        <v>0</v>
      </c>
      <c r="AG39" s="186">
        <f>SUMPRODUCT(AG28:AG35*'Assumptions &amp; Results'!$C$24:$C$31)/IF(AG27&gt;0,AG27,1)</f>
        <v>0</v>
      </c>
      <c r="AH39" s="186">
        <f>SUMPRODUCT(AH28:AH35*'Assumptions &amp; Results'!$C$24:$C$31)/IF(AH27&gt;0,AH27,1)</f>
        <v>0</v>
      </c>
      <c r="AI39" s="186">
        <f>SUMPRODUCT(AI28:AI35*'Assumptions &amp; Results'!$C$24:$C$31)/IF(AI27&gt;0,AI27,1)</f>
        <v>0</v>
      </c>
      <c r="AJ39" s="186">
        <f>SUMPRODUCT(AJ28:AJ35*'Assumptions &amp; Results'!$C$24:$C$31)/IF(AJ27&gt;0,AJ27,1)</f>
        <v>0</v>
      </c>
      <c r="AK39" s="186">
        <f>SUMPRODUCT(AK28:AK35*'Assumptions &amp; Results'!$C$24:$C$31)/IF(AK27&gt;0,AK27,1)</f>
        <v>0</v>
      </c>
      <c r="AL39" s="186">
        <f>SUMPRODUCT(AL28:AL35*'Assumptions &amp; Results'!$C$24:$C$31)/IF(AL27&gt;0,AL27,1)</f>
        <v>0</v>
      </c>
      <c r="AM39" s="186">
        <f>SUMPRODUCT(AM28:AM35*'Assumptions &amp; Results'!$C$24:$C$31)/IF(AM27&gt;0,AM27,1)</f>
        <v>0</v>
      </c>
      <c r="AN39" s="186">
        <f>SUMPRODUCT(AN28:AN35*'Assumptions &amp; Results'!$C$24:$C$31)/IF(AN27&gt;0,AN27,1)</f>
        <v>0</v>
      </c>
      <c r="AO39" s="186">
        <f>SUMPRODUCT(AO28:AO35*'Assumptions &amp; Results'!$C$24:$C$31)/IF(AO27&gt;0,AO27,1)</f>
        <v>0</v>
      </c>
      <c r="AP39" s="186">
        <f>SUMPRODUCT(AP28:AP35*'Assumptions &amp; Results'!$C$24:$C$31)/IF(AP27&gt;0,AP27,1)</f>
        <v>0</v>
      </c>
      <c r="AQ39" s="186">
        <f>SUMPRODUCT(AQ28:AQ35*'Assumptions &amp; Results'!$C$24:$C$31)/IF(AQ27&gt;0,AQ27,1)</f>
        <v>0</v>
      </c>
      <c r="AR39" s="186">
        <f>SUMPRODUCT(AR28:AR35*'Assumptions &amp; Results'!$C$24:$C$31)/IF(AR27&gt;0,AR27,1)</f>
        <v>0</v>
      </c>
      <c r="AS39" s="186">
        <f>SUMPRODUCT(AS28:AS35*'Assumptions &amp; Results'!$C$24:$C$31)/IF(AS27&gt;0,AS27,1)</f>
        <v>0</v>
      </c>
      <c r="AT39" s="186">
        <f>SUMPRODUCT(AT28:AT35*'Assumptions &amp; Results'!$C$24:$C$31)/IF(AT27&gt;0,AT27,1)</f>
        <v>0</v>
      </c>
      <c r="AU39" s="186">
        <f>SUMPRODUCT(AU28:AU35*'Assumptions &amp; Results'!$C$24:$C$31)/IF(AU27&gt;0,AU27,1)</f>
        <v>0</v>
      </c>
      <c r="AV39" s="186">
        <f>SUMPRODUCT(AV28:AV35*'Assumptions &amp; Results'!$C$24:$C$31)/IF(AV27&gt;0,AV27,1)</f>
        <v>0</v>
      </c>
      <c r="AW39" s="186">
        <f>SUMPRODUCT(AW28:AW35*'Assumptions &amp; Results'!$C$24:$C$31)/IF(AW27&gt;0,AW27,1)</f>
        <v>0</v>
      </c>
      <c r="AX39" s="186">
        <f>SUMPRODUCT(AX28:AX35*'Assumptions &amp; Results'!$C$24:$C$31)/IF(AX27&gt;0,AX27,1)</f>
        <v>0</v>
      </c>
      <c r="AY39" s="186">
        <f>SUMPRODUCT(AY28:AY35*'Assumptions &amp; Results'!$C$24:$C$31)/IF(AY27&gt;0,AY27,1)</f>
        <v>0</v>
      </c>
      <c r="AZ39" s="186">
        <f>SUMPRODUCT(AZ28:AZ35*'Assumptions &amp; Results'!$C$24:$C$31)/IF(AZ27&gt;0,AZ27,1)</f>
        <v>0</v>
      </c>
      <c r="BA39" s="186">
        <f>SUMPRODUCT(BA28:BA35*'Assumptions &amp; Results'!$C$24:$C$31)/IF(BA27&gt;0,BA27,1)</f>
        <v>0</v>
      </c>
      <c r="BB39" s="186">
        <f>SUMPRODUCT(BB28:BB35*'Assumptions &amp; Results'!$C$24:$C$31)/IF(BB27&gt;0,BB27,1)</f>
        <v>0</v>
      </c>
    </row>
    <row r="40" spans="1:56" x14ac:dyDescent="0.2">
      <c r="A40" s="37">
        <f t="shared" si="2"/>
        <v>0</v>
      </c>
      <c r="B40" s="37">
        <f>NPV('Assumptions &amp; Results'!$C$129,Calculations!E40:BB40)</f>
        <v>0</v>
      </c>
      <c r="C40" s="78" t="s">
        <v>331</v>
      </c>
      <c r="D40" s="36" t="s">
        <v>206</v>
      </c>
      <c r="E40" s="51">
        <f t="shared" ref="E40:K40" si="7">E39*E20</f>
        <v>0</v>
      </c>
      <c r="F40" s="51">
        <f t="shared" si="7"/>
        <v>0</v>
      </c>
      <c r="G40" s="51">
        <f t="shared" si="7"/>
        <v>0</v>
      </c>
      <c r="H40" s="51">
        <f t="shared" si="7"/>
        <v>0</v>
      </c>
      <c r="I40" s="51">
        <f t="shared" si="7"/>
        <v>0</v>
      </c>
      <c r="J40" s="51">
        <f t="shared" si="7"/>
        <v>0</v>
      </c>
      <c r="K40" s="51">
        <f t="shared" si="7"/>
        <v>0</v>
      </c>
      <c r="L40" s="51">
        <f>L39*L20</f>
        <v>0</v>
      </c>
      <c r="M40" s="51">
        <f t="shared" ref="M40:BB40" si="8">M39*M20</f>
        <v>0</v>
      </c>
      <c r="N40" s="51">
        <f t="shared" si="8"/>
        <v>0</v>
      </c>
      <c r="O40" s="51">
        <f t="shared" si="8"/>
        <v>0</v>
      </c>
      <c r="P40" s="51">
        <f t="shared" si="8"/>
        <v>0</v>
      </c>
      <c r="Q40" s="51">
        <f t="shared" si="8"/>
        <v>0</v>
      </c>
      <c r="R40" s="51">
        <f t="shared" si="8"/>
        <v>0</v>
      </c>
      <c r="S40" s="51">
        <f t="shared" si="8"/>
        <v>0</v>
      </c>
      <c r="T40" s="51">
        <f t="shared" si="8"/>
        <v>0</v>
      </c>
      <c r="U40" s="51">
        <f t="shared" si="8"/>
        <v>0</v>
      </c>
      <c r="V40" s="51">
        <f t="shared" si="8"/>
        <v>0</v>
      </c>
      <c r="W40" s="51">
        <f t="shared" si="8"/>
        <v>0</v>
      </c>
      <c r="X40" s="51">
        <f t="shared" si="8"/>
        <v>0</v>
      </c>
      <c r="Y40" s="51">
        <f t="shared" si="8"/>
        <v>0</v>
      </c>
      <c r="Z40" s="51">
        <f t="shared" si="8"/>
        <v>0</v>
      </c>
      <c r="AA40" s="51">
        <f t="shared" si="8"/>
        <v>0</v>
      </c>
      <c r="AB40" s="51">
        <f t="shared" si="8"/>
        <v>0</v>
      </c>
      <c r="AC40" s="51">
        <f t="shared" si="8"/>
        <v>0</v>
      </c>
      <c r="AD40" s="51">
        <f t="shared" si="8"/>
        <v>0</v>
      </c>
      <c r="AE40" s="51">
        <f t="shared" si="8"/>
        <v>0</v>
      </c>
      <c r="AF40" s="51">
        <f t="shared" si="8"/>
        <v>0</v>
      </c>
      <c r="AG40" s="51">
        <f t="shared" si="8"/>
        <v>0</v>
      </c>
      <c r="AH40" s="51">
        <f t="shared" si="8"/>
        <v>0</v>
      </c>
      <c r="AI40" s="51">
        <f t="shared" si="8"/>
        <v>0</v>
      </c>
      <c r="AJ40" s="51">
        <f t="shared" si="8"/>
        <v>0</v>
      </c>
      <c r="AK40" s="51">
        <f t="shared" si="8"/>
        <v>0</v>
      </c>
      <c r="AL40" s="51">
        <f t="shared" si="8"/>
        <v>0</v>
      </c>
      <c r="AM40" s="51">
        <f t="shared" si="8"/>
        <v>0</v>
      </c>
      <c r="AN40" s="51">
        <f t="shared" si="8"/>
        <v>0</v>
      </c>
      <c r="AO40" s="51">
        <f t="shared" si="8"/>
        <v>0</v>
      </c>
      <c r="AP40" s="51">
        <f t="shared" si="8"/>
        <v>0</v>
      </c>
      <c r="AQ40" s="51">
        <f t="shared" si="8"/>
        <v>0</v>
      </c>
      <c r="AR40" s="51">
        <f t="shared" si="8"/>
        <v>0</v>
      </c>
      <c r="AS40" s="51">
        <f t="shared" si="8"/>
        <v>0</v>
      </c>
      <c r="AT40" s="51">
        <f t="shared" si="8"/>
        <v>0</v>
      </c>
      <c r="AU40" s="51">
        <f t="shared" si="8"/>
        <v>0</v>
      </c>
      <c r="AV40" s="51">
        <f t="shared" si="8"/>
        <v>0</v>
      </c>
      <c r="AW40" s="51">
        <f t="shared" si="8"/>
        <v>0</v>
      </c>
      <c r="AX40" s="51">
        <f t="shared" si="8"/>
        <v>0</v>
      </c>
      <c r="AY40" s="51">
        <f t="shared" si="8"/>
        <v>0</v>
      </c>
      <c r="AZ40" s="51">
        <f t="shared" si="8"/>
        <v>0</v>
      </c>
      <c r="BA40" s="51">
        <f t="shared" si="8"/>
        <v>0</v>
      </c>
      <c r="BB40" s="51">
        <f t="shared" si="8"/>
        <v>0</v>
      </c>
      <c r="BC40" s="38"/>
      <c r="BD40" s="38"/>
    </row>
    <row r="41" spans="1:56" x14ac:dyDescent="0.2">
      <c r="A41" s="37"/>
      <c r="B41" s="37"/>
      <c r="C41" s="99"/>
      <c r="D41" s="154"/>
      <c r="E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38"/>
      <c r="BD41" s="38"/>
    </row>
    <row r="42" spans="1:56" x14ac:dyDescent="0.2">
      <c r="A42" s="37">
        <f t="shared" si="2"/>
        <v>8451.8728038449353</v>
      </c>
      <c r="B42" s="37">
        <f>NPV('Assumptions &amp; Results'!$C$129,Calculations!E42:BB42)</f>
        <v>1376.7180040925944</v>
      </c>
      <c r="C42" s="78" t="s">
        <v>332</v>
      </c>
      <c r="D42" s="36" t="s">
        <v>75</v>
      </c>
      <c r="E42" s="51">
        <f>E24-E40</f>
        <v>0</v>
      </c>
      <c r="F42" s="51">
        <f t="shared" ref="F42:BB42" si="9">F24-F40</f>
        <v>0</v>
      </c>
      <c r="G42" s="51">
        <f t="shared" si="9"/>
        <v>0</v>
      </c>
      <c r="H42" s="51">
        <f t="shared" si="9"/>
        <v>0</v>
      </c>
      <c r="I42" s="51">
        <f t="shared" si="9"/>
        <v>112.68898136755202</v>
      </c>
      <c r="J42" s="51">
        <f t="shared" si="9"/>
        <v>280.03022227722238</v>
      </c>
      <c r="K42" s="51">
        <f t="shared" si="9"/>
        <v>278.15761290853095</v>
      </c>
      <c r="L42" s="51">
        <f t="shared" si="9"/>
        <v>276.09808707618095</v>
      </c>
      <c r="M42" s="51">
        <f t="shared" si="9"/>
        <v>274.40028371196865</v>
      </c>
      <c r="N42" s="51">
        <f t="shared" si="9"/>
        <v>271.95765510083044</v>
      </c>
      <c r="O42" s="51">
        <f t="shared" si="9"/>
        <v>269.88536458683927</v>
      </c>
      <c r="P42" s="51">
        <f t="shared" si="9"/>
        <v>275.28307187857604</v>
      </c>
      <c r="Q42" s="51">
        <f t="shared" si="9"/>
        <v>280.78873331614756</v>
      </c>
      <c r="R42" s="51">
        <f t="shared" si="9"/>
        <v>286.40450798247048</v>
      </c>
      <c r="S42" s="51">
        <f t="shared" si="9"/>
        <v>292.13259814211989</v>
      </c>
      <c r="T42" s="51">
        <f t="shared" si="9"/>
        <v>297.97525010496236</v>
      </c>
      <c r="U42" s="51">
        <f t="shared" si="9"/>
        <v>303.93475510706162</v>
      </c>
      <c r="V42" s="51">
        <f t="shared" si="9"/>
        <v>310.01345020920286</v>
      </c>
      <c r="W42" s="51">
        <f t="shared" si="9"/>
        <v>316.21371921338692</v>
      </c>
      <c r="X42" s="51">
        <f t="shared" si="9"/>
        <v>322.53799359765469</v>
      </c>
      <c r="Y42" s="51">
        <f t="shared" si="9"/>
        <v>328.98875346960784</v>
      </c>
      <c r="Z42" s="51">
        <f t="shared" si="9"/>
        <v>335.568528539</v>
      </c>
      <c r="AA42" s="51">
        <f t="shared" si="9"/>
        <v>342.27989910977988</v>
      </c>
      <c r="AB42" s="51">
        <f t="shared" si="9"/>
        <v>349.12549709197555</v>
      </c>
      <c r="AC42" s="51">
        <f t="shared" si="9"/>
        <v>356.10800703381506</v>
      </c>
      <c r="AD42" s="51">
        <f t="shared" si="9"/>
        <v>363.23016717449144</v>
      </c>
      <c r="AE42" s="51">
        <f t="shared" si="9"/>
        <v>370.49477051798124</v>
      </c>
      <c r="AF42" s="51">
        <f t="shared" si="9"/>
        <v>377.90466592834076</v>
      </c>
      <c r="AG42" s="51">
        <f t="shared" si="9"/>
        <v>385.46275924690769</v>
      </c>
      <c r="AH42" s="51">
        <f t="shared" si="9"/>
        <v>393.17201443184581</v>
      </c>
      <c r="AI42" s="51">
        <f t="shared" si="9"/>
        <v>401.03545472048273</v>
      </c>
      <c r="AJ42" s="51">
        <f t="shared" si="9"/>
        <v>0</v>
      </c>
      <c r="AK42" s="51">
        <f t="shared" si="9"/>
        <v>0</v>
      </c>
      <c r="AL42" s="51">
        <f t="shared" si="9"/>
        <v>0</v>
      </c>
      <c r="AM42" s="51">
        <f t="shared" si="9"/>
        <v>0</v>
      </c>
      <c r="AN42" s="51">
        <f t="shared" si="9"/>
        <v>0</v>
      </c>
      <c r="AO42" s="51">
        <f t="shared" si="9"/>
        <v>0</v>
      </c>
      <c r="AP42" s="51">
        <f t="shared" si="9"/>
        <v>0</v>
      </c>
      <c r="AQ42" s="51">
        <f t="shared" si="9"/>
        <v>0</v>
      </c>
      <c r="AR42" s="51">
        <f t="shared" si="9"/>
        <v>0</v>
      </c>
      <c r="AS42" s="51">
        <f t="shared" si="9"/>
        <v>0</v>
      </c>
      <c r="AT42" s="51">
        <f t="shared" si="9"/>
        <v>0</v>
      </c>
      <c r="AU42" s="51">
        <f t="shared" si="9"/>
        <v>0</v>
      </c>
      <c r="AV42" s="51">
        <f t="shared" si="9"/>
        <v>0</v>
      </c>
      <c r="AW42" s="51">
        <f t="shared" si="9"/>
        <v>0</v>
      </c>
      <c r="AX42" s="51">
        <f t="shared" si="9"/>
        <v>0</v>
      </c>
      <c r="AY42" s="51">
        <f t="shared" si="9"/>
        <v>0</v>
      </c>
      <c r="AZ42" s="51">
        <f t="shared" si="9"/>
        <v>0</v>
      </c>
      <c r="BA42" s="51">
        <f t="shared" si="9"/>
        <v>0</v>
      </c>
      <c r="BB42" s="51">
        <f t="shared" si="9"/>
        <v>0</v>
      </c>
      <c r="BC42" s="38"/>
      <c r="BD42" s="38"/>
    </row>
    <row r="43" spans="1:56" x14ac:dyDescent="0.2">
      <c r="A43" s="37"/>
      <c r="B43" s="37"/>
      <c r="C43" s="78"/>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38"/>
      <c r="BD43" s="38"/>
    </row>
    <row r="44" spans="1:56" x14ac:dyDescent="0.2">
      <c r="A44" s="37"/>
      <c r="B44" s="37"/>
      <c r="C44" s="11" t="s">
        <v>347</v>
      </c>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38"/>
      <c r="BD44" s="38"/>
    </row>
    <row r="45" spans="1:56" x14ac:dyDescent="0.2">
      <c r="A45" s="37"/>
      <c r="B45" s="37"/>
      <c r="C45" s="98" t="s">
        <v>330</v>
      </c>
      <c r="D45" s="36" t="s">
        <v>33</v>
      </c>
      <c r="E45" s="146">
        <f>IF(IFERROR(Calculations!E24/Calculations!E6,0),Calculations!E24/Calculations!E6,0)</f>
        <v>0</v>
      </c>
      <c r="F45" s="146">
        <f>IF(IFERROR(Calculations!F24/Calculations!F6,0),Calculations!F24/Calculations!F6,0)</f>
        <v>0</v>
      </c>
      <c r="G45" s="146">
        <f>IF(IFERROR(Calculations!G24/Calculations!G6,0),Calculations!G24/Calculations!G6,0)</f>
        <v>0</v>
      </c>
      <c r="H45" s="146">
        <f>IF(IFERROR(Calculations!H24/Calculations!H6,0),Calculations!H24/Calculations!H6,0)</f>
        <v>0</v>
      </c>
      <c r="I45" s="146">
        <f>IF(IFERROR(Calculations!I24/Calculations!I6,0),Calculations!I24/Calculations!I6,0)</f>
        <v>0.4403857868020305</v>
      </c>
      <c r="J45" s="146">
        <f>IF(IFERROR(Calculations!J24/Calculations!J6,0),Calculations!J24/Calculations!J6,0)</f>
        <v>0.43430136986301371</v>
      </c>
      <c r="K45" s="146">
        <f>IF(IFERROR(Calculations!K24/Calculations!K6,0),Calculations!K24/Calculations!K6,0)</f>
        <v>0.42806932409012127</v>
      </c>
      <c r="L45" s="146">
        <f>IF(IFERROR(Calculations!L24/Calculations!L6,0),Calculations!L24/Calculations!L6,0)</f>
        <v>0.42168421052631577</v>
      </c>
      <c r="M45" s="146">
        <f>IF(IFERROR(Calculations!M24/Calculations!M6,0),Calculations!M24/Calculations!M6,0)</f>
        <v>0.41561313220940549</v>
      </c>
      <c r="N45" s="146">
        <f>IF(IFERROR(Calculations!N24/Calculations!N6,0),Calculations!N24/Calculations!N6,0)</f>
        <v>0.40891644204851763</v>
      </c>
      <c r="O45" s="146">
        <f>IF(IFERROR(Calculations!O24/Calculations!O6,0),Calculations!O24/Calculations!O6,0)</f>
        <v>0.40254545454545454</v>
      </c>
      <c r="P45" s="146">
        <f>IF(IFERROR(Calculations!P24/Calculations!P6,0),Calculations!P24/Calculations!P6,0)</f>
        <v>0.40254545454545454</v>
      </c>
      <c r="Q45" s="146">
        <f>IF(IFERROR(Calculations!Q24/Calculations!Q6,0),Calculations!Q24/Calculations!Q6,0)</f>
        <v>0.40254545454545454</v>
      </c>
      <c r="R45" s="146">
        <f>IF(IFERROR(Calculations!R24/Calculations!R6,0),Calculations!R24/Calculations!R6,0)</f>
        <v>0.40254545454545454</v>
      </c>
      <c r="S45" s="146">
        <f>IF(IFERROR(Calculations!S24/Calculations!S6,0),Calculations!S24/Calculations!S6,0)</f>
        <v>0.40254545454545448</v>
      </c>
      <c r="T45" s="146">
        <f>IF(IFERROR(Calculations!T24/Calculations!T6,0),Calculations!T24/Calculations!T6,0)</f>
        <v>0.40254545454545454</v>
      </c>
      <c r="U45" s="146">
        <f>IF(IFERROR(Calculations!U24/Calculations!U6,0),Calculations!U24/Calculations!U6,0)</f>
        <v>0.4025454545454546</v>
      </c>
      <c r="V45" s="146">
        <f>IF(IFERROR(Calculations!V24/Calculations!V6,0),Calculations!V24/Calculations!V6,0)</f>
        <v>0.40254545454545454</v>
      </c>
      <c r="W45" s="146">
        <f>IF(IFERROR(Calculations!W24/Calculations!W6,0),Calculations!W24/Calculations!W6,0)</f>
        <v>0.40254545454545454</v>
      </c>
      <c r="X45" s="146">
        <f>IF(IFERROR(Calculations!X24/Calculations!X6,0),Calculations!X24/Calculations!X6,0)</f>
        <v>0.4025454545454546</v>
      </c>
      <c r="Y45" s="146">
        <f>IF(IFERROR(Calculations!Y24/Calculations!Y6,0),Calculations!Y24/Calculations!Y6,0)</f>
        <v>0.4025454545454546</v>
      </c>
      <c r="Z45" s="146">
        <f>IF(IFERROR(Calculations!Z24/Calculations!Z6,0),Calculations!Z24/Calculations!Z6,0)</f>
        <v>0.4025454545454546</v>
      </c>
      <c r="AA45" s="146">
        <f>IF(IFERROR(Calculations!AA24/Calculations!AA6,0),Calculations!AA24/Calculations!AA6,0)</f>
        <v>0.40254545454545448</v>
      </c>
      <c r="AB45" s="146">
        <f>IF(IFERROR(Calculations!AB24/Calculations!AB6,0),Calculations!AB24/Calculations!AB6,0)</f>
        <v>0.40254545454545454</v>
      </c>
      <c r="AC45" s="146">
        <f>IF(IFERROR(Calculations!AC24/Calculations!AC6,0),Calculations!AC24/Calculations!AC6,0)</f>
        <v>0.40254545454545454</v>
      </c>
      <c r="AD45" s="146">
        <f>IF(IFERROR(Calculations!AD24/Calculations!AD6,0),Calculations!AD24/Calculations!AD6,0)</f>
        <v>0.4025454545454546</v>
      </c>
      <c r="AE45" s="146">
        <f>IF(IFERROR(Calculations!AE24/Calculations!AE6,0),Calculations!AE24/Calculations!AE6,0)</f>
        <v>0.4025454545454546</v>
      </c>
      <c r="AF45" s="146">
        <f>IF(IFERROR(Calculations!AF24/Calculations!AF6,0),Calculations!AF24/Calculations!AF6,0)</f>
        <v>0.40254545454545448</v>
      </c>
      <c r="AG45" s="146">
        <f>IF(IFERROR(Calculations!AG24/Calculations!AG6,0),Calculations!AG24/Calculations!AG6,0)</f>
        <v>0.4025454545454546</v>
      </c>
      <c r="AH45" s="146">
        <f>IF(IFERROR(Calculations!AH24/Calculations!AH6,0),Calculations!AH24/Calculations!AH6,0)</f>
        <v>0.4025454545454546</v>
      </c>
      <c r="AI45" s="146">
        <f>IF(IFERROR(Calculations!AI24/Calculations!AI6,0),Calculations!AI24/Calculations!AI6,0)</f>
        <v>0.40254545454545448</v>
      </c>
      <c r="AJ45" s="146">
        <f>IF(IFERROR(Calculations!AJ24/Calculations!AJ6,0),Calculations!AJ24/Calculations!AJ6,0)</f>
        <v>0</v>
      </c>
      <c r="AK45" s="146">
        <f>IF(IFERROR(Calculations!AK24/Calculations!AK6,0),Calculations!AK24/Calculations!AK6,0)</f>
        <v>0</v>
      </c>
      <c r="AL45" s="146">
        <f>IF(IFERROR(Calculations!AL24/Calculations!AL6,0),Calculations!AL24/Calculations!AL6,0)</f>
        <v>0</v>
      </c>
      <c r="AM45" s="146">
        <f>IF(IFERROR(Calculations!AM24/Calculations!AM6,0),Calculations!AM24/Calculations!AM6,0)</f>
        <v>0</v>
      </c>
      <c r="AN45" s="146">
        <f>IF(IFERROR(Calculations!AN24/Calculations!AN6,0),Calculations!AN24/Calculations!AN6,0)</f>
        <v>0</v>
      </c>
      <c r="AO45" s="146">
        <f>IF(IFERROR(Calculations!AO24/Calculations!AO6,0),Calculations!AO24/Calculations!AO6,0)</f>
        <v>0</v>
      </c>
      <c r="AP45" s="146">
        <f>IF(IFERROR(Calculations!AP24/Calculations!AP6,0),Calculations!AP24/Calculations!AP6,0)</f>
        <v>0</v>
      </c>
      <c r="AQ45" s="146">
        <f>IF(IFERROR(Calculations!AQ24/Calculations!AQ6,0),Calculations!AQ24/Calculations!AQ6,0)</f>
        <v>0</v>
      </c>
      <c r="AR45" s="146">
        <f>IF(IFERROR(Calculations!AR24/Calculations!AR6,0),Calculations!AR24/Calculations!AR6,0)</f>
        <v>0</v>
      </c>
      <c r="AS45" s="146">
        <f>IF(IFERROR(Calculations!AS24/Calculations!AS6,0),Calculations!AS24/Calculations!AS6,0)</f>
        <v>0</v>
      </c>
      <c r="AT45" s="146">
        <f>IF(IFERROR(Calculations!AT24/Calculations!AT6,0),Calculations!AT24/Calculations!AT6,0)</f>
        <v>0</v>
      </c>
      <c r="AU45" s="146">
        <f>IF(IFERROR(Calculations!AU24/Calculations!AU6,0),Calculations!AU24/Calculations!AU6,0)</f>
        <v>0</v>
      </c>
      <c r="AV45" s="146">
        <f>IF(IFERROR(Calculations!AV24/Calculations!AV6,0),Calculations!AV24/Calculations!AV6,0)</f>
        <v>0</v>
      </c>
      <c r="AW45" s="146">
        <f>IF(IFERROR(Calculations!AW24/Calculations!AW6,0),Calculations!AW24/Calculations!AW6,0)</f>
        <v>0</v>
      </c>
      <c r="AX45" s="146">
        <f>IF(IFERROR(Calculations!AX24/Calculations!AX6,0),Calculations!AX24/Calculations!AX6,0)</f>
        <v>0</v>
      </c>
      <c r="AY45" s="146">
        <f>IF(IFERROR(Calculations!AY24/Calculations!AY6,0),Calculations!AY24/Calculations!AY6,0)</f>
        <v>0</v>
      </c>
      <c r="AZ45" s="146">
        <f>IF(IFERROR(Calculations!AZ24/Calculations!AZ6,0),Calculations!AZ24/Calculations!AZ6,0)</f>
        <v>0</v>
      </c>
      <c r="BA45" s="146">
        <f>IF(IFERROR(Calculations!BA24/Calculations!BA6,0),Calculations!BA24/Calculations!BA6,0)</f>
        <v>0</v>
      </c>
      <c r="BB45" s="146">
        <f>IF(IFERROR(Calculations!BB24/Calculations!BB6,0),Calculations!BB24/Calculations!BB6,0)</f>
        <v>0</v>
      </c>
      <c r="BC45" s="38"/>
      <c r="BD45" s="38"/>
    </row>
    <row r="46" spans="1:56" x14ac:dyDescent="0.2">
      <c r="A46" s="37"/>
      <c r="B46" s="37"/>
      <c r="C46" s="98" t="s">
        <v>200</v>
      </c>
      <c r="D46" s="36" t="s">
        <v>33</v>
      </c>
      <c r="E46" s="146">
        <f>MIN(Calculations!E45,'Assumptions &amp; Results'!$C$41)</f>
        <v>0</v>
      </c>
      <c r="F46" s="146">
        <f>MIN(Calculations!F45,'Assumptions &amp; Results'!$C$41)</f>
        <v>0</v>
      </c>
      <c r="G46" s="146">
        <f>MIN(Calculations!G45,'Assumptions &amp; Results'!$C$41)</f>
        <v>0</v>
      </c>
      <c r="H46" s="146">
        <f>MIN(Calculations!H45,'Assumptions &amp; Results'!$C$41)</f>
        <v>0</v>
      </c>
      <c r="I46" s="146">
        <f>MIN(Calculations!I45,'Assumptions &amp; Results'!$C$41)</f>
        <v>0</v>
      </c>
      <c r="J46" s="146">
        <f>MIN(Calculations!J45,'Assumptions &amp; Results'!$C$41)</f>
        <v>0</v>
      </c>
      <c r="K46" s="146">
        <f>MIN(Calculations!K45,'Assumptions &amp; Results'!$C$41)</f>
        <v>0</v>
      </c>
      <c r="L46" s="146">
        <f>MIN(Calculations!L45,'Assumptions &amp; Results'!$C$41)</f>
        <v>0</v>
      </c>
      <c r="M46" s="146">
        <f>MIN(Calculations!M45,'Assumptions &amp; Results'!$C$41)</f>
        <v>0</v>
      </c>
      <c r="N46" s="146">
        <f>MIN(Calculations!N45,'Assumptions &amp; Results'!$C$41)</f>
        <v>0</v>
      </c>
      <c r="O46" s="146">
        <f>MIN(Calculations!O45,'Assumptions &amp; Results'!$C$41)</f>
        <v>0</v>
      </c>
      <c r="P46" s="146">
        <f>MIN(Calculations!P45,'Assumptions &amp; Results'!$C$41)</f>
        <v>0</v>
      </c>
      <c r="Q46" s="146">
        <f>MIN(Calculations!Q45,'Assumptions &amp; Results'!$C$41)</f>
        <v>0</v>
      </c>
      <c r="R46" s="146">
        <f>MIN(Calculations!R45,'Assumptions &amp; Results'!$C$41)</f>
        <v>0</v>
      </c>
      <c r="S46" s="146">
        <f>MIN(Calculations!S45,'Assumptions &amp; Results'!$C$41)</f>
        <v>0</v>
      </c>
      <c r="T46" s="146">
        <f>MIN(Calculations!T45,'Assumptions &amp; Results'!$C$41)</f>
        <v>0</v>
      </c>
      <c r="U46" s="146">
        <f>MIN(Calculations!U45,'Assumptions &amp; Results'!$C$41)</f>
        <v>0</v>
      </c>
      <c r="V46" s="146">
        <f>MIN(Calculations!V45,'Assumptions &amp; Results'!$C$41)</f>
        <v>0</v>
      </c>
      <c r="W46" s="146">
        <f>MIN(Calculations!W45,'Assumptions &amp; Results'!$C$41)</f>
        <v>0</v>
      </c>
      <c r="X46" s="146">
        <f>MIN(Calculations!X45,'Assumptions &amp; Results'!$C$41)</f>
        <v>0</v>
      </c>
      <c r="Y46" s="146">
        <f>MIN(Calculations!Y45,'Assumptions &amp; Results'!$C$41)</f>
        <v>0</v>
      </c>
      <c r="Z46" s="146">
        <f>MIN(Calculations!Z45,'Assumptions &amp; Results'!$C$41)</f>
        <v>0</v>
      </c>
      <c r="AA46" s="146">
        <f>MIN(Calculations!AA45,'Assumptions &amp; Results'!$C$41)</f>
        <v>0</v>
      </c>
      <c r="AB46" s="146">
        <f>MIN(Calculations!AB45,'Assumptions &amp; Results'!$C$41)</f>
        <v>0</v>
      </c>
      <c r="AC46" s="146">
        <f>MIN(Calculations!AC45,'Assumptions &amp; Results'!$C$41)</f>
        <v>0</v>
      </c>
      <c r="AD46" s="146">
        <f>MIN(Calculations!AD45,'Assumptions &amp; Results'!$C$41)</f>
        <v>0</v>
      </c>
      <c r="AE46" s="146">
        <f>MIN(Calculations!AE45,'Assumptions &amp; Results'!$C$41)</f>
        <v>0</v>
      </c>
      <c r="AF46" s="146">
        <f>MIN(Calculations!AF45,'Assumptions &amp; Results'!$C$41)</f>
        <v>0</v>
      </c>
      <c r="AG46" s="146">
        <f>MIN(Calculations!AG45,'Assumptions &amp; Results'!$C$41)</f>
        <v>0</v>
      </c>
      <c r="AH46" s="146">
        <f>MIN(Calculations!AH45,'Assumptions &amp; Results'!$C$41)</f>
        <v>0</v>
      </c>
      <c r="AI46" s="146">
        <f>MIN(Calculations!AI45,'Assumptions &amp; Results'!$C$41)</f>
        <v>0</v>
      </c>
      <c r="AJ46" s="146">
        <f>MIN(Calculations!AJ45,'Assumptions &amp; Results'!$C$41)</f>
        <v>0</v>
      </c>
      <c r="AK46" s="146">
        <f>MIN(Calculations!AK45,'Assumptions &amp; Results'!$C$41)</f>
        <v>0</v>
      </c>
      <c r="AL46" s="146">
        <f>MIN(Calculations!AL45,'Assumptions &amp; Results'!$C$41)</f>
        <v>0</v>
      </c>
      <c r="AM46" s="146">
        <f>MIN(Calculations!AM45,'Assumptions &amp; Results'!$C$41)</f>
        <v>0</v>
      </c>
      <c r="AN46" s="146">
        <f>MIN(Calculations!AN45,'Assumptions &amp; Results'!$C$41)</f>
        <v>0</v>
      </c>
      <c r="AO46" s="146">
        <f>MIN(Calculations!AO45,'Assumptions &amp; Results'!$C$41)</f>
        <v>0</v>
      </c>
      <c r="AP46" s="146">
        <f>MIN(Calculations!AP45,'Assumptions &amp; Results'!$C$41)</f>
        <v>0</v>
      </c>
      <c r="AQ46" s="146">
        <f>MIN(Calculations!AQ45,'Assumptions &amp; Results'!$C$41)</f>
        <v>0</v>
      </c>
      <c r="AR46" s="146">
        <f>MIN(Calculations!AR45,'Assumptions &amp; Results'!$C$41)</f>
        <v>0</v>
      </c>
      <c r="AS46" s="146">
        <f>MIN(Calculations!AS45,'Assumptions &amp; Results'!$C$41)</f>
        <v>0</v>
      </c>
      <c r="AT46" s="146">
        <f>MIN(Calculations!AT45,'Assumptions &amp; Results'!$C$41)</f>
        <v>0</v>
      </c>
      <c r="AU46" s="146">
        <f>MIN(Calculations!AU45,'Assumptions &amp; Results'!$C$41)</f>
        <v>0</v>
      </c>
      <c r="AV46" s="146">
        <f>MIN(Calculations!AV45,'Assumptions &amp; Results'!$C$41)</f>
        <v>0</v>
      </c>
      <c r="AW46" s="146">
        <f>MIN(Calculations!AW45,'Assumptions &amp; Results'!$C$41)</f>
        <v>0</v>
      </c>
      <c r="AX46" s="146">
        <f>MIN(Calculations!AX45,'Assumptions &amp; Results'!$C$41)</f>
        <v>0</v>
      </c>
      <c r="AY46" s="146">
        <f>MIN(Calculations!AY45,'Assumptions &amp; Results'!$C$41)</f>
        <v>0</v>
      </c>
      <c r="AZ46" s="146">
        <f>MIN(Calculations!AZ45,'Assumptions &amp; Results'!$C$41)</f>
        <v>0</v>
      </c>
      <c r="BA46" s="146">
        <f>MIN(Calculations!BA45,'Assumptions &amp; Results'!$C$41)</f>
        <v>0</v>
      </c>
      <c r="BB46" s="146">
        <f>MIN(Calculations!BB45,'Assumptions &amp; Results'!$C$41)</f>
        <v>0</v>
      </c>
      <c r="BC46" s="38"/>
      <c r="BD46" s="38"/>
    </row>
    <row r="47" spans="1:56" x14ac:dyDescent="0.2">
      <c r="A47" s="37"/>
      <c r="B47" s="37"/>
      <c r="C47" s="98" t="s">
        <v>201</v>
      </c>
      <c r="D47" s="36" t="s">
        <v>33</v>
      </c>
      <c r="E47" s="146">
        <f>('Assumptions &amp; Results'!$C41&gt;0)*(E$45&gt;'Assumptions &amp; Results'!$C41)*(E$45-'Assumptions &amp; Results'!$C41-E48-E49-E50-E51-E52-E53-E54-E55-E56-E57-E58-E59-E60-E61-E62)</f>
        <v>0</v>
      </c>
      <c r="F47" s="146">
        <f>('Assumptions &amp; Results'!$C41&gt;0)*(F$45&gt;'Assumptions &amp; Results'!$C41)*(F$45-'Assumptions &amp; Results'!$C41-F48-F49-F50-F51-F52-F53-F54-F55-F56-F57-F58-F59-F60-F61-F62)</f>
        <v>0</v>
      </c>
      <c r="G47" s="146">
        <f>('Assumptions &amp; Results'!$C41&gt;0)*(G$45&gt;'Assumptions &amp; Results'!$C41)*(G$45-'Assumptions &amp; Results'!$C41-G48-G49-G50-G51-G52-G53-G54-G55-G56-G57-G58-G59-G60-G61-G62)</f>
        <v>0</v>
      </c>
      <c r="H47" s="146">
        <f>('Assumptions &amp; Results'!$C41&gt;0)*(H$45&gt;'Assumptions &amp; Results'!$C41)*(H$45-'Assumptions &amp; Results'!$C41-H48-H49-H50-H51-H52-H53-H54-H55-H56-H57-H58-H59-H60-H61-H62)</f>
        <v>0</v>
      </c>
      <c r="I47" s="146">
        <f>('Assumptions &amp; Results'!$C41&gt;0)*(I$45&gt;'Assumptions &amp; Results'!$C41)*(I$45-'Assumptions &amp; Results'!$C41-I48-I49-I50-I51-I52-I53-I54-I55-I56-I57-I58-I59-I60-I61-I62)</f>
        <v>0</v>
      </c>
      <c r="J47" s="146">
        <f>('Assumptions &amp; Results'!$C41&gt;0)*(J$45&gt;'Assumptions &amp; Results'!$C41)*(J$45-'Assumptions &amp; Results'!$C41-J48-J49-J50-J51-J52-J53-J54-J55-J56-J57-J58-J59-J60-J61-J62)</f>
        <v>0</v>
      </c>
      <c r="K47" s="146">
        <f>('Assumptions &amp; Results'!$C41&gt;0)*(K$45&gt;'Assumptions &amp; Results'!$C41)*(K$45-'Assumptions &amp; Results'!$C41-K48-K49-K50-K51-K52-K53-K54-K55-K56-K57-K58-K59-K60-K61-K62)</f>
        <v>0</v>
      </c>
      <c r="L47" s="146">
        <f>('Assumptions &amp; Results'!$C41&gt;0)*(L$45&gt;'Assumptions &amp; Results'!$C41)*(L$45-'Assumptions &amp; Results'!$C41-L48-L49-L50-L51-L52-L53-L54-L55-L56-L57-L58-L59-L60-L61-L62)</f>
        <v>0</v>
      </c>
      <c r="M47" s="146">
        <f>('Assumptions &amp; Results'!$C41&gt;0)*(M$45&gt;'Assumptions &amp; Results'!$C41)*(M$45-'Assumptions &amp; Results'!$C41-M48-M49-M50-M51-M52-M53-M54-M55-M56-M57-M58-M59-M60-M61-M62)</f>
        <v>0</v>
      </c>
      <c r="N47" s="146">
        <f>('Assumptions &amp; Results'!$C41&gt;0)*(N$45&gt;'Assumptions &amp; Results'!$C41)*(N$45-'Assumptions &amp; Results'!$C41-N48-N49-N50-N51-N52-N53-N54-N55-N56-N57-N58-N59-N60-N61-N62)</f>
        <v>0</v>
      </c>
      <c r="O47" s="146">
        <f>('Assumptions &amp; Results'!$C41&gt;0)*(O$45&gt;'Assumptions &amp; Results'!$C41)*(O$45-'Assumptions &amp; Results'!$C41-O48-O49-O50-O51-O52-O53-O54-O55-O56-O57-O58-O59-O60-O61-O62)</f>
        <v>0</v>
      </c>
      <c r="P47" s="146">
        <f>('Assumptions &amp; Results'!$C41&gt;0)*(P$45&gt;'Assumptions &amp; Results'!$C41)*(P$45-'Assumptions &amp; Results'!$C41-P48-P49-P50-P51-P52-P53-P54-P55-P56-P57-P58-P59-P60-P61-P62)</f>
        <v>0</v>
      </c>
      <c r="Q47" s="146">
        <f>('Assumptions &amp; Results'!$C41&gt;0)*(Q$45&gt;'Assumptions &amp; Results'!$C41)*(Q$45-'Assumptions &amp; Results'!$C41-Q48-Q49-Q50-Q51-Q52-Q53-Q54-Q55-Q56-Q57-Q58-Q59-Q60-Q61-Q62)</f>
        <v>0</v>
      </c>
      <c r="R47" s="146">
        <f>('Assumptions &amp; Results'!$C41&gt;0)*(R$45&gt;'Assumptions &amp; Results'!$C41)*(R$45-'Assumptions &amp; Results'!$C41-R48-R49-R50-R51-R52-R53-R54-R55-R56-R57-R58-R59-R60-R61-R62)</f>
        <v>0</v>
      </c>
      <c r="S47" s="146">
        <f>('Assumptions &amp; Results'!$C41&gt;0)*(S$45&gt;'Assumptions &amp; Results'!$C41)*(S$45-'Assumptions &amp; Results'!$C41-S48-S49-S50-S51-S52-S53-S54-S55-S56-S57-S58-S59-S60-S61-S62)</f>
        <v>0</v>
      </c>
      <c r="T47" s="146">
        <f>('Assumptions &amp; Results'!$C41&gt;0)*(T$45&gt;'Assumptions &amp; Results'!$C41)*(T$45-'Assumptions &amp; Results'!$C41-T48-T49-T50-T51-T52-T53-T54-T55-T56-T57-T58-T59-T60-T61-T62)</f>
        <v>0</v>
      </c>
      <c r="U47" s="146">
        <f>('Assumptions &amp; Results'!$C41&gt;0)*(U$45&gt;'Assumptions &amp; Results'!$C41)*(U$45-'Assumptions &amp; Results'!$C41-U48-U49-U50-U51-U52-U53-U54-U55-U56-U57-U58-U59-U60-U61-U62)</f>
        <v>0</v>
      </c>
      <c r="V47" s="146">
        <f>('Assumptions &amp; Results'!$C41&gt;0)*(V$45&gt;'Assumptions &amp; Results'!$C41)*(V$45-'Assumptions &amp; Results'!$C41-V48-V49-V50-V51-V52-V53-V54-V55-V56-V57-V58-V59-V60-V61-V62)</f>
        <v>0</v>
      </c>
      <c r="W47" s="146">
        <f>('Assumptions &amp; Results'!$C41&gt;0)*(W$45&gt;'Assumptions &amp; Results'!$C41)*(W$45-'Assumptions &amp; Results'!$C41-W48-W49-W50-W51-W52-W53-W54-W55-W56-W57-W58-W59-W60-W61-W62)</f>
        <v>0</v>
      </c>
      <c r="X47" s="146">
        <f>('Assumptions &amp; Results'!$C41&gt;0)*(X$45&gt;'Assumptions &amp; Results'!$C41)*(X$45-'Assumptions &amp; Results'!$C41-X48-X49-X50-X51-X52-X53-X54-X55-X56-X57-X58-X59-X60-X61-X62)</f>
        <v>0</v>
      </c>
      <c r="Y47" s="146">
        <f>('Assumptions &amp; Results'!$C41&gt;0)*(Y$45&gt;'Assumptions &amp; Results'!$C41)*(Y$45-'Assumptions &amp; Results'!$C41-Y48-Y49-Y50-Y51-Y52-Y53-Y54-Y55-Y56-Y57-Y58-Y59-Y60-Y61-Y62)</f>
        <v>0</v>
      </c>
      <c r="Z47" s="146">
        <f>('Assumptions &amp; Results'!$C41&gt;0)*(Z$45&gt;'Assumptions &amp; Results'!$C41)*(Z$45-'Assumptions &amp; Results'!$C41-Z48-Z49-Z50-Z51-Z52-Z53-Z54-Z55-Z56-Z57-Z58-Z59-Z60-Z61-Z62)</f>
        <v>0</v>
      </c>
      <c r="AA47" s="146">
        <f>('Assumptions &amp; Results'!$C41&gt;0)*(AA$45&gt;'Assumptions &amp; Results'!$C41)*(AA$45-'Assumptions &amp; Results'!$C41-AA48-AA49-AA50-AA51-AA52-AA53-AA54-AA55-AA56-AA57-AA58-AA59-AA60-AA61-AA62)</f>
        <v>0</v>
      </c>
      <c r="AB47" s="146">
        <f>('Assumptions &amp; Results'!$C41&gt;0)*(AB$45&gt;'Assumptions &amp; Results'!$C41)*(AB$45-'Assumptions &amp; Results'!$C41-AB48-AB49-AB50-AB51-AB52-AB53-AB54-AB55-AB56-AB57-AB58-AB59-AB60-AB61-AB62)</f>
        <v>0</v>
      </c>
      <c r="AC47" s="146">
        <f>('Assumptions &amp; Results'!$C41&gt;0)*(AC$45&gt;'Assumptions &amp; Results'!$C41)*(AC$45-'Assumptions &amp; Results'!$C41-AC48-AC49-AC50-AC51-AC52-AC53-AC54-AC55-AC56-AC57-AC58-AC59-AC60-AC61-AC62)</f>
        <v>0</v>
      </c>
      <c r="AD47" s="146">
        <f>('Assumptions &amp; Results'!$C41&gt;0)*(AD$45&gt;'Assumptions &amp; Results'!$C41)*(AD$45-'Assumptions &amp; Results'!$C41-AD48-AD49-AD50-AD51-AD52-AD53-AD54-AD55-AD56-AD57-AD58-AD59-AD60-AD61-AD62)</f>
        <v>0</v>
      </c>
      <c r="AE47" s="146">
        <f>('Assumptions &amp; Results'!$C41&gt;0)*(AE$45&gt;'Assumptions &amp; Results'!$C41)*(AE$45-'Assumptions &amp; Results'!$C41-AE48-AE49-AE50-AE51-AE52-AE53-AE54-AE55-AE56-AE57-AE58-AE59-AE60-AE61-AE62)</f>
        <v>0</v>
      </c>
      <c r="AF47" s="146">
        <f>('Assumptions &amp; Results'!$C41&gt;0)*(AF$45&gt;'Assumptions &amp; Results'!$C41)*(AF$45-'Assumptions &amp; Results'!$C41-AF48-AF49-AF50-AF51-AF52-AF53-AF54-AF55-AF56-AF57-AF58-AF59-AF60-AF61-AF62)</f>
        <v>0</v>
      </c>
      <c r="AG47" s="146">
        <f>('Assumptions &amp; Results'!$C41&gt;0)*(AG$45&gt;'Assumptions &amp; Results'!$C41)*(AG$45-'Assumptions &amp; Results'!$C41-AG48-AG49-AG50-AG51-AG52-AG53-AG54-AG55-AG56-AG57-AG58-AG59-AG60-AG61-AG62)</f>
        <v>0</v>
      </c>
      <c r="AH47" s="146">
        <f>('Assumptions &amp; Results'!$C41&gt;0)*(AH$45&gt;'Assumptions &amp; Results'!$C41)*(AH$45-'Assumptions &amp; Results'!$C41-AH48-AH49-AH50-AH51-AH52-AH53-AH54-AH55-AH56-AH57-AH58-AH59-AH60-AH61-AH62)</f>
        <v>0</v>
      </c>
      <c r="AI47" s="146">
        <f>('Assumptions &amp; Results'!$C41&gt;0)*(AI$45&gt;'Assumptions &amp; Results'!$C41)*(AI$45-'Assumptions &amp; Results'!$C41-AI48-AI49-AI50-AI51-AI52-AI53-AI54-AI55-AI56-AI57-AI58-AI59-AI60-AI61-AI62)</f>
        <v>0</v>
      </c>
      <c r="AJ47" s="146">
        <f>('Assumptions &amp; Results'!$C41&gt;0)*(AJ$45&gt;'Assumptions &amp; Results'!$C41)*(AJ$45-'Assumptions &amp; Results'!$C41-AJ48-AJ49-AJ50-AJ51-AJ52-AJ53-AJ54-AJ55-AJ56-AJ57-AJ58-AJ59-AJ60-AJ61-AJ62)</f>
        <v>0</v>
      </c>
      <c r="AK47" s="146">
        <f>('Assumptions &amp; Results'!$C41&gt;0)*(AK$45&gt;'Assumptions &amp; Results'!$C41)*(AK$45-'Assumptions &amp; Results'!$C41-AK48-AK49-AK50-AK51-AK52-AK53-AK54-AK55-AK56-AK57-AK58-AK59-AK60-AK61-AK62)</f>
        <v>0</v>
      </c>
      <c r="AL47" s="146">
        <f>('Assumptions &amp; Results'!$C41&gt;0)*(AL$45&gt;'Assumptions &amp; Results'!$C41)*(AL$45-'Assumptions &amp; Results'!$C41-AL48-AL49-AL50-AL51-AL52-AL53-AL54-AL55-AL56-AL57-AL58-AL59-AL60-AL61-AL62)</f>
        <v>0</v>
      </c>
      <c r="AM47" s="146">
        <f>('Assumptions &amp; Results'!$C41&gt;0)*(AM$45&gt;'Assumptions &amp; Results'!$C41)*(AM$45-'Assumptions &amp; Results'!$C41-AM48-AM49-AM50-AM51-AM52-AM53-AM54-AM55-AM56-AM57-AM58-AM59-AM60-AM61-AM62)</f>
        <v>0</v>
      </c>
      <c r="AN47" s="146">
        <f>('Assumptions &amp; Results'!$C41&gt;0)*(AN$45&gt;'Assumptions &amp; Results'!$C41)*(AN$45-'Assumptions &amp; Results'!$C41-AN48-AN49-AN50-AN51-AN52-AN53-AN54-AN55-AN56-AN57-AN58-AN59-AN60-AN61-AN62)</f>
        <v>0</v>
      </c>
      <c r="AO47" s="146">
        <f>('Assumptions &amp; Results'!$C41&gt;0)*(AO$45&gt;'Assumptions &amp; Results'!$C41)*(AO$45-'Assumptions &amp; Results'!$C41-AO48-AO49-AO50-AO51-AO52-AO53-AO54-AO55-AO56-AO57-AO58-AO59-AO60-AO61-AO62)</f>
        <v>0</v>
      </c>
      <c r="AP47" s="146">
        <f>('Assumptions &amp; Results'!$C41&gt;0)*(AP$45&gt;'Assumptions &amp; Results'!$C41)*(AP$45-'Assumptions &amp; Results'!$C41-AP48-AP49-AP50-AP51-AP52-AP53-AP54-AP55-AP56-AP57-AP58-AP59-AP60-AP61-AP62)</f>
        <v>0</v>
      </c>
      <c r="AQ47" s="146">
        <f>('Assumptions &amp; Results'!$C41&gt;0)*(AQ$45&gt;'Assumptions &amp; Results'!$C41)*(AQ$45-'Assumptions &amp; Results'!$C41-AQ48-AQ49-AQ50-AQ51-AQ52-AQ53-AQ54-AQ55-AQ56-AQ57-AQ58-AQ59-AQ60-AQ61-AQ62)</f>
        <v>0</v>
      </c>
      <c r="AR47" s="146">
        <f>('Assumptions &amp; Results'!$C41&gt;0)*(AR$45&gt;'Assumptions &amp; Results'!$C41)*(AR$45-'Assumptions &amp; Results'!$C41-AR48-AR49-AR50-AR51-AR52-AR53-AR54-AR55-AR56-AR57-AR58-AR59-AR60-AR61-AR62)</f>
        <v>0</v>
      </c>
      <c r="AS47" s="146">
        <f>('Assumptions &amp; Results'!$C41&gt;0)*(AS$45&gt;'Assumptions &amp; Results'!$C41)*(AS$45-'Assumptions &amp; Results'!$C41-AS48-AS49-AS50-AS51-AS52-AS53-AS54-AS55-AS56-AS57-AS58-AS59-AS60-AS61-AS62)</f>
        <v>0</v>
      </c>
      <c r="AT47" s="146">
        <f>('Assumptions &amp; Results'!$C41&gt;0)*(AT$45&gt;'Assumptions &amp; Results'!$C41)*(AT$45-'Assumptions &amp; Results'!$C41-AT48-AT49-AT50-AT51-AT52-AT53-AT54-AT55-AT56-AT57-AT58-AT59-AT60-AT61-AT62)</f>
        <v>0</v>
      </c>
      <c r="AU47" s="146">
        <f>('Assumptions &amp; Results'!$C41&gt;0)*(AU$45&gt;'Assumptions &amp; Results'!$C41)*(AU$45-'Assumptions &amp; Results'!$C41-AU48-AU49-AU50-AU51-AU52-AU53-AU54-AU55-AU56-AU57-AU58-AU59-AU60-AU61-AU62)</f>
        <v>0</v>
      </c>
      <c r="AV47" s="146">
        <f>('Assumptions &amp; Results'!$C41&gt;0)*(AV$45&gt;'Assumptions &amp; Results'!$C41)*(AV$45-'Assumptions &amp; Results'!$C41-AV48-AV49-AV50-AV51-AV52-AV53-AV54-AV55-AV56-AV57-AV58-AV59-AV60-AV61-AV62)</f>
        <v>0</v>
      </c>
      <c r="AW47" s="146">
        <f>('Assumptions &amp; Results'!$C41&gt;0)*(AW$45&gt;'Assumptions &amp; Results'!$C41)*(AW$45-'Assumptions &amp; Results'!$C41-AW48-AW49-AW50-AW51-AW52-AW53-AW54-AW55-AW56-AW57-AW58-AW59-AW60-AW61-AW62)</f>
        <v>0</v>
      </c>
      <c r="AX47" s="146">
        <f>('Assumptions &amp; Results'!$C41&gt;0)*(AX$45&gt;'Assumptions &amp; Results'!$C41)*(AX$45-'Assumptions &amp; Results'!$C41-AX48-AX49-AX50-AX51-AX52-AX53-AX54-AX55-AX56-AX57-AX58-AX59-AX60-AX61-AX62)</f>
        <v>0</v>
      </c>
      <c r="AY47" s="146">
        <f>('Assumptions &amp; Results'!$C41&gt;0)*(AY$45&gt;'Assumptions &amp; Results'!$C41)*(AY$45-'Assumptions &amp; Results'!$C41-AY48-AY49-AY50-AY51-AY52-AY53-AY54-AY55-AY56-AY57-AY58-AY59-AY60-AY61-AY62)</f>
        <v>0</v>
      </c>
      <c r="AZ47" s="146">
        <f>('Assumptions &amp; Results'!$C41&gt;0)*(AZ$45&gt;'Assumptions &amp; Results'!$C41)*(AZ$45-'Assumptions &amp; Results'!$C41-AZ48-AZ49-AZ50-AZ51-AZ52-AZ53-AZ54-AZ55-AZ56-AZ57-AZ58-AZ59-AZ60-AZ61-AZ62)</f>
        <v>0</v>
      </c>
      <c r="BA47" s="146">
        <f>('Assumptions &amp; Results'!$C41&gt;0)*(BA$45&gt;'Assumptions &amp; Results'!$C41)*(BA$45-'Assumptions &amp; Results'!$C41-BA48-BA49-BA50-BA51-BA52-BA53-BA54-BA55-BA56-BA57-BA58-BA59-BA60-BA61-BA62)</f>
        <v>0</v>
      </c>
      <c r="BB47" s="146">
        <f>('Assumptions &amp; Results'!$C41&gt;0)*(BB$45&gt;'Assumptions &amp; Results'!$C41)*(BB$45-'Assumptions &amp; Results'!$C41-BB48-BB49-BB50-BB51-BB52-BB53-BB54-BB55-BB56-BB57-BB58-BB59-BB60-BB61-BB62)</f>
        <v>0</v>
      </c>
      <c r="BC47" s="38"/>
      <c r="BD47" s="38"/>
    </row>
    <row r="48" spans="1:56" x14ac:dyDescent="0.2">
      <c r="A48" s="37"/>
      <c r="B48" s="37"/>
      <c r="C48" s="98" t="s">
        <v>202</v>
      </c>
      <c r="D48" s="36" t="s">
        <v>33</v>
      </c>
      <c r="E48" s="146">
        <f>('Assumptions &amp; Results'!$C42&gt;0)*(E$45&gt;'Assumptions &amp; Results'!$C42)*(E$45-'Assumptions &amp; Results'!$C42-E49-E50-E51-E52-E53-E54-E55-E56-E57-E58-E59-E60-E61-E62)</f>
        <v>0</v>
      </c>
      <c r="F48" s="146">
        <f>('Assumptions &amp; Results'!$C42&gt;0)*(F$45&gt;'Assumptions &amp; Results'!$C42)*(F$45-'Assumptions &amp; Results'!$C42-F49-F50-F51-F52-F53-F54-F55-F56-F57-F58-F59-F60-F61-F62)</f>
        <v>0</v>
      </c>
      <c r="G48" s="146">
        <f>('Assumptions &amp; Results'!$C42&gt;0)*(G$45&gt;'Assumptions &amp; Results'!$C42)*(G$45-'Assumptions &amp; Results'!$C42-G49-G50-G51-G52-G53-G54-G55-G56-G57-G58-G59-G60-G61-G62)</f>
        <v>0</v>
      </c>
      <c r="H48" s="146">
        <f>('Assumptions &amp; Results'!$C42&gt;0)*(H$45&gt;'Assumptions &amp; Results'!$C42)*(H$45-'Assumptions &amp; Results'!$C42-H49-H50-H51-H52-H53-H54-H55-H56-H57-H58-H59-H60-H61-H62)</f>
        <v>0</v>
      </c>
      <c r="I48" s="146">
        <f>('Assumptions &amp; Results'!$C42&gt;0)*(I$45&gt;'Assumptions &amp; Results'!$C42)*(I$45-'Assumptions &amp; Results'!$C42-I49-I50-I51-I52-I53-I54-I55-I56-I57-I58-I59-I60-I61-I62)</f>
        <v>0</v>
      </c>
      <c r="J48" s="146">
        <f>('Assumptions &amp; Results'!$C42&gt;0)*(J$45&gt;'Assumptions &amp; Results'!$C42)*(J$45-'Assumptions &amp; Results'!$C42-J49-J50-J51-J52-J53-J54-J55-J56-J57-J58-J59-J60-J61-J62)</f>
        <v>0</v>
      </c>
      <c r="K48" s="146">
        <f>('Assumptions &amp; Results'!$C42&gt;0)*(K$45&gt;'Assumptions &amp; Results'!$C42)*(K$45-'Assumptions &amp; Results'!$C42-K49-K50-K51-K52-K53-K54-K55-K56-K57-K58-K59-K60-K61-K62)</f>
        <v>0</v>
      </c>
      <c r="L48" s="146">
        <f>('Assumptions &amp; Results'!$C42&gt;0)*(L$45&gt;'Assumptions &amp; Results'!$C42)*(L$45-'Assumptions &amp; Results'!$C42-L49-L50-L51-L52-L53-L54-L55-L56-L57-L58-L59-L60-L61-L62)</f>
        <v>0</v>
      </c>
      <c r="M48" s="146">
        <f>('Assumptions &amp; Results'!$C42&gt;0)*(M$45&gt;'Assumptions &amp; Results'!$C42)*(M$45-'Assumptions &amp; Results'!$C42-M49-M50-M51-M52-M53-M54-M55-M56-M57-M58-M59-M60-M61-M62)</f>
        <v>0</v>
      </c>
      <c r="N48" s="146">
        <f>('Assumptions &amp; Results'!$C42&gt;0)*(N$45&gt;'Assumptions &amp; Results'!$C42)*(N$45-'Assumptions &amp; Results'!$C42-N49-N50-N51-N52-N53-N54-N55-N56-N57-N58-N59-N60-N61-N62)</f>
        <v>0</v>
      </c>
      <c r="O48" s="146">
        <f>('Assumptions &amp; Results'!$C42&gt;0)*(O$45&gt;'Assumptions &amp; Results'!$C42)*(O$45-'Assumptions &amp; Results'!$C42-O49-O50-O51-O52-O53-O54-O55-O56-O57-O58-O59-O60-O61-O62)</f>
        <v>0</v>
      </c>
      <c r="P48" s="146">
        <f>('Assumptions &amp; Results'!$C42&gt;0)*(P$45&gt;'Assumptions &amp; Results'!$C42)*(P$45-'Assumptions &amp; Results'!$C42-P49-P50-P51-P52-P53-P54-P55-P56-P57-P58-P59-P60-P61-P62)</f>
        <v>0</v>
      </c>
      <c r="Q48" s="146">
        <f>('Assumptions &amp; Results'!$C42&gt;0)*(Q$45&gt;'Assumptions &amp; Results'!$C42)*(Q$45-'Assumptions &amp; Results'!$C42-Q49-Q50-Q51-Q52-Q53-Q54-Q55-Q56-Q57-Q58-Q59-Q60-Q61-Q62)</f>
        <v>0</v>
      </c>
      <c r="R48" s="146">
        <f>('Assumptions &amp; Results'!$C42&gt;0)*(R$45&gt;'Assumptions &amp; Results'!$C42)*(R$45-'Assumptions &amp; Results'!$C42-R49-R50-R51-R52-R53-R54-R55-R56-R57-R58-R59-R60-R61-R62)</f>
        <v>0</v>
      </c>
      <c r="S48" s="146">
        <f>('Assumptions &amp; Results'!$C42&gt;0)*(S$45&gt;'Assumptions &amp; Results'!$C42)*(S$45-'Assumptions &amp; Results'!$C42-S49-S50-S51-S52-S53-S54-S55-S56-S57-S58-S59-S60-S61-S62)</f>
        <v>0</v>
      </c>
      <c r="T48" s="146">
        <f>('Assumptions &amp; Results'!$C42&gt;0)*(T$45&gt;'Assumptions &amp; Results'!$C42)*(T$45-'Assumptions &amp; Results'!$C42-T49-T50-T51-T52-T53-T54-T55-T56-T57-T58-T59-T60-T61-T62)</f>
        <v>0</v>
      </c>
      <c r="U48" s="146">
        <f>('Assumptions &amp; Results'!$C42&gt;0)*(U$45&gt;'Assumptions &amp; Results'!$C42)*(U$45-'Assumptions &amp; Results'!$C42-U49-U50-U51-U52-U53-U54-U55-U56-U57-U58-U59-U60-U61-U62)</f>
        <v>0</v>
      </c>
      <c r="V48" s="146">
        <f>('Assumptions &amp; Results'!$C42&gt;0)*(V$45&gt;'Assumptions &amp; Results'!$C42)*(V$45-'Assumptions &amp; Results'!$C42-V49-V50-V51-V52-V53-V54-V55-V56-V57-V58-V59-V60-V61-V62)</f>
        <v>0</v>
      </c>
      <c r="W48" s="146">
        <f>('Assumptions &amp; Results'!$C42&gt;0)*(W$45&gt;'Assumptions &amp; Results'!$C42)*(W$45-'Assumptions &amp; Results'!$C42-W49-W50-W51-W52-W53-W54-W55-W56-W57-W58-W59-W60-W61-W62)</f>
        <v>0</v>
      </c>
      <c r="X48" s="146">
        <f>('Assumptions &amp; Results'!$C42&gt;0)*(X$45&gt;'Assumptions &amp; Results'!$C42)*(X$45-'Assumptions &amp; Results'!$C42-X49-X50-X51-X52-X53-X54-X55-X56-X57-X58-X59-X60-X61-X62)</f>
        <v>0</v>
      </c>
      <c r="Y48" s="146">
        <f>('Assumptions &amp; Results'!$C42&gt;0)*(Y$45&gt;'Assumptions &amp; Results'!$C42)*(Y$45-'Assumptions &amp; Results'!$C42-Y49-Y50-Y51-Y52-Y53-Y54-Y55-Y56-Y57-Y58-Y59-Y60-Y61-Y62)</f>
        <v>0</v>
      </c>
      <c r="Z48" s="146">
        <f>('Assumptions &amp; Results'!$C42&gt;0)*(Z$45&gt;'Assumptions &amp; Results'!$C42)*(Z$45-'Assumptions &amp; Results'!$C42-Z49-Z50-Z51-Z52-Z53-Z54-Z55-Z56-Z57-Z58-Z59-Z60-Z61-Z62)</f>
        <v>0</v>
      </c>
      <c r="AA48" s="146">
        <f>('Assumptions &amp; Results'!$C42&gt;0)*(AA$45&gt;'Assumptions &amp; Results'!$C42)*(AA$45-'Assumptions &amp; Results'!$C42-AA49-AA50-AA51-AA52-AA53-AA54-AA55-AA56-AA57-AA58-AA59-AA60-AA61-AA62)</f>
        <v>0</v>
      </c>
      <c r="AB48" s="146">
        <f>('Assumptions &amp; Results'!$C42&gt;0)*(AB$45&gt;'Assumptions &amp; Results'!$C42)*(AB$45-'Assumptions &amp; Results'!$C42-AB49-AB50-AB51-AB52-AB53-AB54-AB55-AB56-AB57-AB58-AB59-AB60-AB61-AB62)</f>
        <v>0</v>
      </c>
      <c r="AC48" s="146">
        <f>('Assumptions &amp; Results'!$C42&gt;0)*(AC$45&gt;'Assumptions &amp; Results'!$C42)*(AC$45-'Assumptions &amp; Results'!$C42-AC49-AC50-AC51-AC52-AC53-AC54-AC55-AC56-AC57-AC58-AC59-AC60-AC61-AC62)</f>
        <v>0</v>
      </c>
      <c r="AD48" s="146">
        <f>('Assumptions &amp; Results'!$C42&gt;0)*(AD$45&gt;'Assumptions &amp; Results'!$C42)*(AD$45-'Assumptions &amp; Results'!$C42-AD49-AD50-AD51-AD52-AD53-AD54-AD55-AD56-AD57-AD58-AD59-AD60-AD61-AD62)</f>
        <v>0</v>
      </c>
      <c r="AE48" s="146">
        <f>('Assumptions &amp; Results'!$C42&gt;0)*(AE$45&gt;'Assumptions &amp; Results'!$C42)*(AE$45-'Assumptions &amp; Results'!$C42-AE49-AE50-AE51-AE52-AE53-AE54-AE55-AE56-AE57-AE58-AE59-AE60-AE61-AE62)</f>
        <v>0</v>
      </c>
      <c r="AF48" s="146">
        <f>('Assumptions &amp; Results'!$C42&gt;0)*(AF$45&gt;'Assumptions &amp; Results'!$C42)*(AF$45-'Assumptions &amp; Results'!$C42-AF49-AF50-AF51-AF52-AF53-AF54-AF55-AF56-AF57-AF58-AF59-AF60-AF61-AF62)</f>
        <v>0</v>
      </c>
      <c r="AG48" s="146">
        <f>('Assumptions &amp; Results'!$C42&gt;0)*(AG$45&gt;'Assumptions &amp; Results'!$C42)*(AG$45-'Assumptions &amp; Results'!$C42-AG49-AG50-AG51-AG52-AG53-AG54-AG55-AG56-AG57-AG58-AG59-AG60-AG61-AG62)</f>
        <v>0</v>
      </c>
      <c r="AH48" s="146">
        <f>('Assumptions &amp; Results'!$C42&gt;0)*(AH$45&gt;'Assumptions &amp; Results'!$C42)*(AH$45-'Assumptions &amp; Results'!$C42-AH49-AH50-AH51-AH52-AH53-AH54-AH55-AH56-AH57-AH58-AH59-AH60-AH61-AH62)</f>
        <v>0</v>
      </c>
      <c r="AI48" s="146">
        <f>('Assumptions &amp; Results'!$C42&gt;0)*(AI$45&gt;'Assumptions &amp; Results'!$C42)*(AI$45-'Assumptions &amp; Results'!$C42-AI49-AI50-AI51-AI52-AI53-AI54-AI55-AI56-AI57-AI58-AI59-AI60-AI61-AI62)</f>
        <v>0</v>
      </c>
      <c r="AJ48" s="146">
        <f>('Assumptions &amp; Results'!$C42&gt;0)*(AJ$45&gt;'Assumptions &amp; Results'!$C42)*(AJ$45-'Assumptions &amp; Results'!$C42-AJ49-AJ50-AJ51-AJ52-AJ53-AJ54-AJ55-AJ56-AJ57-AJ58-AJ59-AJ60-AJ61-AJ62)</f>
        <v>0</v>
      </c>
      <c r="AK48" s="146">
        <f>('Assumptions &amp; Results'!$C42&gt;0)*(AK$45&gt;'Assumptions &amp; Results'!$C42)*(AK$45-'Assumptions &amp; Results'!$C42-AK49-AK50-AK51-AK52-AK53-AK54-AK55-AK56-AK57-AK58-AK59-AK60-AK61-AK62)</f>
        <v>0</v>
      </c>
      <c r="AL48" s="146">
        <f>('Assumptions &amp; Results'!$C42&gt;0)*(AL$45&gt;'Assumptions &amp; Results'!$C42)*(AL$45-'Assumptions &amp; Results'!$C42-AL49-AL50-AL51-AL52-AL53-AL54-AL55-AL56-AL57-AL58-AL59-AL60-AL61-AL62)</f>
        <v>0</v>
      </c>
      <c r="AM48" s="146">
        <f>('Assumptions &amp; Results'!$C42&gt;0)*(AM$45&gt;'Assumptions &amp; Results'!$C42)*(AM$45-'Assumptions &amp; Results'!$C42-AM49-AM50-AM51-AM52-AM53-AM54-AM55-AM56-AM57-AM58-AM59-AM60-AM61-AM62)</f>
        <v>0</v>
      </c>
      <c r="AN48" s="146">
        <f>('Assumptions &amp; Results'!$C42&gt;0)*(AN$45&gt;'Assumptions &amp; Results'!$C42)*(AN$45-'Assumptions &amp; Results'!$C42-AN49-AN50-AN51-AN52-AN53-AN54-AN55-AN56-AN57-AN58-AN59-AN60-AN61-AN62)</f>
        <v>0</v>
      </c>
      <c r="AO48" s="146">
        <f>('Assumptions &amp; Results'!$C42&gt;0)*(AO$45&gt;'Assumptions &amp; Results'!$C42)*(AO$45-'Assumptions &amp; Results'!$C42-AO49-AO50-AO51-AO52-AO53-AO54-AO55-AO56-AO57-AO58-AO59-AO60-AO61-AO62)</f>
        <v>0</v>
      </c>
      <c r="AP48" s="146">
        <f>('Assumptions &amp; Results'!$C42&gt;0)*(AP$45&gt;'Assumptions &amp; Results'!$C42)*(AP$45-'Assumptions &amp; Results'!$C42-AP49-AP50-AP51-AP52-AP53-AP54-AP55-AP56-AP57-AP58-AP59-AP60-AP61-AP62)</f>
        <v>0</v>
      </c>
      <c r="AQ48" s="146">
        <f>('Assumptions &amp; Results'!$C42&gt;0)*(AQ$45&gt;'Assumptions &amp; Results'!$C42)*(AQ$45-'Assumptions &amp; Results'!$C42-AQ49-AQ50-AQ51-AQ52-AQ53-AQ54-AQ55-AQ56-AQ57-AQ58-AQ59-AQ60-AQ61-AQ62)</f>
        <v>0</v>
      </c>
      <c r="AR48" s="146">
        <f>('Assumptions &amp; Results'!$C42&gt;0)*(AR$45&gt;'Assumptions &amp; Results'!$C42)*(AR$45-'Assumptions &amp; Results'!$C42-AR49-AR50-AR51-AR52-AR53-AR54-AR55-AR56-AR57-AR58-AR59-AR60-AR61-AR62)</f>
        <v>0</v>
      </c>
      <c r="AS48" s="146">
        <f>('Assumptions &amp; Results'!$C42&gt;0)*(AS$45&gt;'Assumptions &amp; Results'!$C42)*(AS$45-'Assumptions &amp; Results'!$C42-AS49-AS50-AS51-AS52-AS53-AS54-AS55-AS56-AS57-AS58-AS59-AS60-AS61-AS62)</f>
        <v>0</v>
      </c>
      <c r="AT48" s="146">
        <f>('Assumptions &amp; Results'!$C42&gt;0)*(AT$45&gt;'Assumptions &amp; Results'!$C42)*(AT$45-'Assumptions &amp; Results'!$C42-AT49-AT50-AT51-AT52-AT53-AT54-AT55-AT56-AT57-AT58-AT59-AT60-AT61-AT62)</f>
        <v>0</v>
      </c>
      <c r="AU48" s="146">
        <f>('Assumptions &amp; Results'!$C42&gt;0)*(AU$45&gt;'Assumptions &amp; Results'!$C42)*(AU$45-'Assumptions &amp; Results'!$C42-AU49-AU50-AU51-AU52-AU53-AU54-AU55-AU56-AU57-AU58-AU59-AU60-AU61-AU62)</f>
        <v>0</v>
      </c>
      <c r="AV48" s="146">
        <f>('Assumptions &amp; Results'!$C42&gt;0)*(AV$45&gt;'Assumptions &amp; Results'!$C42)*(AV$45-'Assumptions &amp; Results'!$C42-AV49-AV50-AV51-AV52-AV53-AV54-AV55-AV56-AV57-AV58-AV59-AV60-AV61-AV62)</f>
        <v>0</v>
      </c>
      <c r="AW48" s="146">
        <f>('Assumptions &amp; Results'!$C42&gt;0)*(AW$45&gt;'Assumptions &amp; Results'!$C42)*(AW$45-'Assumptions &amp; Results'!$C42-AW49-AW50-AW51-AW52-AW53-AW54-AW55-AW56-AW57-AW58-AW59-AW60-AW61-AW62)</f>
        <v>0</v>
      </c>
      <c r="AX48" s="146">
        <f>('Assumptions &amp; Results'!$C42&gt;0)*(AX$45&gt;'Assumptions &amp; Results'!$C42)*(AX$45-'Assumptions &amp; Results'!$C42-AX49-AX50-AX51-AX52-AX53-AX54-AX55-AX56-AX57-AX58-AX59-AX60-AX61-AX62)</f>
        <v>0</v>
      </c>
      <c r="AY48" s="146">
        <f>('Assumptions &amp; Results'!$C42&gt;0)*(AY$45&gt;'Assumptions &amp; Results'!$C42)*(AY$45-'Assumptions &amp; Results'!$C42-AY49-AY50-AY51-AY52-AY53-AY54-AY55-AY56-AY57-AY58-AY59-AY60-AY61-AY62)</f>
        <v>0</v>
      </c>
      <c r="AZ48" s="146">
        <f>('Assumptions &amp; Results'!$C42&gt;0)*(AZ$45&gt;'Assumptions &amp; Results'!$C42)*(AZ$45-'Assumptions &amp; Results'!$C42-AZ49-AZ50-AZ51-AZ52-AZ53-AZ54-AZ55-AZ56-AZ57-AZ58-AZ59-AZ60-AZ61-AZ62)</f>
        <v>0</v>
      </c>
      <c r="BA48" s="146">
        <f>('Assumptions &amp; Results'!$C42&gt;0)*(BA$45&gt;'Assumptions &amp; Results'!$C42)*(BA$45-'Assumptions &amp; Results'!$C42-BA49-BA50-BA51-BA52-BA53-BA54-BA55-BA56-BA57-BA58-BA59-BA60-BA61-BA62)</f>
        <v>0</v>
      </c>
      <c r="BB48" s="146">
        <f>('Assumptions &amp; Results'!$C42&gt;0)*(BB$45&gt;'Assumptions &amp; Results'!$C42)*(BB$45-'Assumptions &amp; Results'!$C42-BB49-BB50-BB51-BB52-BB53-BB54-BB55-BB56-BB57-BB58-BB59-BB60-BB61-BB62)</f>
        <v>0</v>
      </c>
      <c r="BC48" s="38"/>
      <c r="BD48" s="38"/>
    </row>
    <row r="49" spans="1:56" x14ac:dyDescent="0.2">
      <c r="A49" s="37"/>
      <c r="B49" s="37"/>
      <c r="C49" s="98" t="s">
        <v>203</v>
      </c>
      <c r="D49" s="36" t="s">
        <v>33</v>
      </c>
      <c r="E49" s="146">
        <f>('Assumptions &amp; Results'!$C43&gt;0)*(E$45&gt;'Assumptions &amp; Results'!$C43)*(E$45-'Assumptions &amp; Results'!$C43-E50-E51-E52-E53-E54-E55-E56-E57-E58-E59-E60-E61-E62)</f>
        <v>0</v>
      </c>
      <c r="F49" s="146">
        <f>('Assumptions &amp; Results'!$C43&gt;0)*(F$45&gt;'Assumptions &amp; Results'!$C43)*(F$45-'Assumptions &amp; Results'!$C43-F50-F51-F52-F53-F54-F55-F56-F57-F58-F59-F60-F61-F62)</f>
        <v>0</v>
      </c>
      <c r="G49" s="146">
        <f>('Assumptions &amp; Results'!$C43&gt;0)*(G$45&gt;'Assumptions &amp; Results'!$C43)*(G$45-'Assumptions &amp; Results'!$C43-G50-G51-G52-G53-G54-G55-G56-G57-G58-G59-G60-G61-G62)</f>
        <v>0</v>
      </c>
      <c r="H49" s="146">
        <f>('Assumptions &amp; Results'!$C43&gt;0)*(H$45&gt;'Assumptions &amp; Results'!$C43)*(H$45-'Assumptions &amp; Results'!$C43-H50-H51-H52-H53-H54-H55-H56-H57-H58-H59-H60-H61-H62)</f>
        <v>0</v>
      </c>
      <c r="I49" s="146">
        <f>('Assumptions &amp; Results'!$C43&gt;0)*(I$45&gt;'Assumptions &amp; Results'!$C43)*(I$45-'Assumptions &amp; Results'!$C43-I50-I51-I52-I53-I54-I55-I56-I57-I58-I59-I60-I61-I62)</f>
        <v>0</v>
      </c>
      <c r="J49" s="146">
        <f>('Assumptions &amp; Results'!$C43&gt;0)*(J$45&gt;'Assumptions &amp; Results'!$C43)*(J$45-'Assumptions &amp; Results'!$C43-J50-J51-J52-J53-J54-J55-J56-J57-J58-J59-J60-J61-J62)</f>
        <v>0</v>
      </c>
      <c r="K49" s="146">
        <f>('Assumptions &amp; Results'!$C43&gt;0)*(K$45&gt;'Assumptions &amp; Results'!$C43)*(K$45-'Assumptions &amp; Results'!$C43-K50-K51-K52-K53-K54-K55-K56-K57-K58-K59-K60-K61-K62)</f>
        <v>0</v>
      </c>
      <c r="L49" s="146">
        <f>('Assumptions &amp; Results'!$C43&gt;0)*(L$45&gt;'Assumptions &amp; Results'!$C43)*(L$45-'Assumptions &amp; Results'!$C43-L50-L51-L52-L53-L54-L55-L56-L57-L58-L59-L60-L61-L62)</f>
        <v>0</v>
      </c>
      <c r="M49" s="146">
        <f>('Assumptions &amp; Results'!$C43&gt;0)*(M$45&gt;'Assumptions &amp; Results'!$C43)*(M$45-'Assumptions &amp; Results'!$C43-M50-M51-M52-M53-M54-M55-M56-M57-M58-M59-M60-M61-M62)</f>
        <v>0</v>
      </c>
      <c r="N49" s="146">
        <f>('Assumptions &amp; Results'!$C43&gt;0)*(N$45&gt;'Assumptions &amp; Results'!$C43)*(N$45-'Assumptions &amp; Results'!$C43-N50-N51-N52-N53-N54-N55-N56-N57-N58-N59-N60-N61-N62)</f>
        <v>0</v>
      </c>
      <c r="O49" s="146">
        <f>('Assumptions &amp; Results'!$C43&gt;0)*(O$45&gt;'Assumptions &amp; Results'!$C43)*(O$45-'Assumptions &amp; Results'!$C43-O50-O51-O52-O53-O54-O55-O56-O57-O58-O59-O60-O61-O62)</f>
        <v>0</v>
      </c>
      <c r="P49" s="146">
        <f>('Assumptions &amp; Results'!$C43&gt;0)*(P$45&gt;'Assumptions &amp; Results'!$C43)*(P$45-'Assumptions &amp; Results'!$C43-P50-P51-P52-P53-P54-P55-P56-P57-P58-P59-P60-P61-P62)</f>
        <v>0</v>
      </c>
      <c r="Q49" s="146">
        <f>('Assumptions &amp; Results'!$C43&gt;0)*(Q$45&gt;'Assumptions &amp; Results'!$C43)*(Q$45-'Assumptions &amp; Results'!$C43-Q50-Q51-Q52-Q53-Q54-Q55-Q56-Q57-Q58-Q59-Q60-Q61-Q62)</f>
        <v>0</v>
      </c>
      <c r="R49" s="146">
        <f>('Assumptions &amp; Results'!$C43&gt;0)*(R$45&gt;'Assumptions &amp; Results'!$C43)*(R$45-'Assumptions &amp; Results'!$C43-R50-R51-R52-R53-R54-R55-R56-R57-R58-R59-R60-R61-R62)</f>
        <v>0</v>
      </c>
      <c r="S49" s="146">
        <f>('Assumptions &amp; Results'!$C43&gt;0)*(S$45&gt;'Assumptions &amp; Results'!$C43)*(S$45-'Assumptions &amp; Results'!$C43-S50-S51-S52-S53-S54-S55-S56-S57-S58-S59-S60-S61-S62)</f>
        <v>0</v>
      </c>
      <c r="T49" s="146">
        <f>('Assumptions &amp; Results'!$C43&gt;0)*(T$45&gt;'Assumptions &amp; Results'!$C43)*(T$45-'Assumptions &amp; Results'!$C43-T50-T51-T52-T53-T54-T55-T56-T57-T58-T59-T60-T61-T62)</f>
        <v>0</v>
      </c>
      <c r="U49" s="146">
        <f>('Assumptions &amp; Results'!$C43&gt;0)*(U$45&gt;'Assumptions &amp; Results'!$C43)*(U$45-'Assumptions &amp; Results'!$C43-U50-U51-U52-U53-U54-U55-U56-U57-U58-U59-U60-U61-U62)</f>
        <v>0</v>
      </c>
      <c r="V49" s="146">
        <f>('Assumptions &amp; Results'!$C43&gt;0)*(V$45&gt;'Assumptions &amp; Results'!$C43)*(V$45-'Assumptions &amp; Results'!$C43-V50-V51-V52-V53-V54-V55-V56-V57-V58-V59-V60-V61-V62)</f>
        <v>0</v>
      </c>
      <c r="W49" s="146">
        <f>('Assumptions &amp; Results'!$C43&gt;0)*(W$45&gt;'Assumptions &amp; Results'!$C43)*(W$45-'Assumptions &amp; Results'!$C43-W50-W51-W52-W53-W54-W55-W56-W57-W58-W59-W60-W61-W62)</f>
        <v>0</v>
      </c>
      <c r="X49" s="146">
        <f>('Assumptions &amp; Results'!$C43&gt;0)*(X$45&gt;'Assumptions &amp; Results'!$C43)*(X$45-'Assumptions &amp; Results'!$C43-X50-X51-X52-X53-X54-X55-X56-X57-X58-X59-X60-X61-X62)</f>
        <v>0</v>
      </c>
      <c r="Y49" s="146">
        <f>('Assumptions &amp; Results'!$C43&gt;0)*(Y$45&gt;'Assumptions &amp; Results'!$C43)*(Y$45-'Assumptions &amp; Results'!$C43-Y50-Y51-Y52-Y53-Y54-Y55-Y56-Y57-Y58-Y59-Y60-Y61-Y62)</f>
        <v>0</v>
      </c>
      <c r="Z49" s="146">
        <f>('Assumptions &amp; Results'!$C43&gt;0)*(Z$45&gt;'Assumptions &amp; Results'!$C43)*(Z$45-'Assumptions &amp; Results'!$C43-Z50-Z51-Z52-Z53-Z54-Z55-Z56-Z57-Z58-Z59-Z60-Z61-Z62)</f>
        <v>0</v>
      </c>
      <c r="AA49" s="146">
        <f>('Assumptions &amp; Results'!$C43&gt;0)*(AA$45&gt;'Assumptions &amp; Results'!$C43)*(AA$45-'Assumptions &amp; Results'!$C43-AA50-AA51-AA52-AA53-AA54-AA55-AA56-AA57-AA58-AA59-AA60-AA61-AA62)</f>
        <v>0</v>
      </c>
      <c r="AB49" s="146">
        <f>('Assumptions &amp; Results'!$C43&gt;0)*(AB$45&gt;'Assumptions &amp; Results'!$C43)*(AB$45-'Assumptions &amp; Results'!$C43-AB50-AB51-AB52-AB53-AB54-AB55-AB56-AB57-AB58-AB59-AB60-AB61-AB62)</f>
        <v>0</v>
      </c>
      <c r="AC49" s="146">
        <f>('Assumptions &amp; Results'!$C43&gt;0)*(AC$45&gt;'Assumptions &amp; Results'!$C43)*(AC$45-'Assumptions &amp; Results'!$C43-AC50-AC51-AC52-AC53-AC54-AC55-AC56-AC57-AC58-AC59-AC60-AC61-AC62)</f>
        <v>0</v>
      </c>
      <c r="AD49" s="146">
        <f>('Assumptions &amp; Results'!$C43&gt;0)*(AD$45&gt;'Assumptions &amp; Results'!$C43)*(AD$45-'Assumptions &amp; Results'!$C43-AD50-AD51-AD52-AD53-AD54-AD55-AD56-AD57-AD58-AD59-AD60-AD61-AD62)</f>
        <v>0</v>
      </c>
      <c r="AE49" s="146">
        <f>('Assumptions &amp; Results'!$C43&gt;0)*(AE$45&gt;'Assumptions &amp; Results'!$C43)*(AE$45-'Assumptions &amp; Results'!$C43-AE50-AE51-AE52-AE53-AE54-AE55-AE56-AE57-AE58-AE59-AE60-AE61-AE62)</f>
        <v>0</v>
      </c>
      <c r="AF49" s="146">
        <f>('Assumptions &amp; Results'!$C43&gt;0)*(AF$45&gt;'Assumptions &amp; Results'!$C43)*(AF$45-'Assumptions &amp; Results'!$C43-AF50-AF51-AF52-AF53-AF54-AF55-AF56-AF57-AF58-AF59-AF60-AF61-AF62)</f>
        <v>0</v>
      </c>
      <c r="AG49" s="146">
        <f>('Assumptions &amp; Results'!$C43&gt;0)*(AG$45&gt;'Assumptions &amp; Results'!$C43)*(AG$45-'Assumptions &amp; Results'!$C43-AG50-AG51-AG52-AG53-AG54-AG55-AG56-AG57-AG58-AG59-AG60-AG61-AG62)</f>
        <v>0</v>
      </c>
      <c r="AH49" s="146">
        <f>('Assumptions &amp; Results'!$C43&gt;0)*(AH$45&gt;'Assumptions &amp; Results'!$C43)*(AH$45-'Assumptions &amp; Results'!$C43-AH50-AH51-AH52-AH53-AH54-AH55-AH56-AH57-AH58-AH59-AH60-AH61-AH62)</f>
        <v>0</v>
      </c>
      <c r="AI49" s="146">
        <f>('Assumptions &amp; Results'!$C43&gt;0)*(AI$45&gt;'Assumptions &amp; Results'!$C43)*(AI$45-'Assumptions &amp; Results'!$C43-AI50-AI51-AI52-AI53-AI54-AI55-AI56-AI57-AI58-AI59-AI60-AI61-AI62)</f>
        <v>0</v>
      </c>
      <c r="AJ49" s="146">
        <f>('Assumptions &amp; Results'!$C43&gt;0)*(AJ$45&gt;'Assumptions &amp; Results'!$C43)*(AJ$45-'Assumptions &amp; Results'!$C43-AJ50-AJ51-AJ52-AJ53-AJ54-AJ55-AJ56-AJ57-AJ58-AJ59-AJ60-AJ61-AJ62)</f>
        <v>0</v>
      </c>
      <c r="AK49" s="146">
        <f>('Assumptions &amp; Results'!$C43&gt;0)*(AK$45&gt;'Assumptions &amp; Results'!$C43)*(AK$45-'Assumptions &amp; Results'!$C43-AK50-AK51-AK52-AK53-AK54-AK55-AK56-AK57-AK58-AK59-AK60-AK61-AK62)</f>
        <v>0</v>
      </c>
      <c r="AL49" s="146">
        <f>('Assumptions &amp; Results'!$C43&gt;0)*(AL$45&gt;'Assumptions &amp; Results'!$C43)*(AL$45-'Assumptions &amp; Results'!$C43-AL50-AL51-AL52-AL53-AL54-AL55-AL56-AL57-AL58-AL59-AL60-AL61-AL62)</f>
        <v>0</v>
      </c>
      <c r="AM49" s="146">
        <f>('Assumptions &amp; Results'!$C43&gt;0)*(AM$45&gt;'Assumptions &amp; Results'!$C43)*(AM$45-'Assumptions &amp; Results'!$C43-AM50-AM51-AM52-AM53-AM54-AM55-AM56-AM57-AM58-AM59-AM60-AM61-AM62)</f>
        <v>0</v>
      </c>
      <c r="AN49" s="146">
        <f>('Assumptions &amp; Results'!$C43&gt;0)*(AN$45&gt;'Assumptions &amp; Results'!$C43)*(AN$45-'Assumptions &amp; Results'!$C43-AN50-AN51-AN52-AN53-AN54-AN55-AN56-AN57-AN58-AN59-AN60-AN61-AN62)</f>
        <v>0</v>
      </c>
      <c r="AO49" s="146">
        <f>('Assumptions &amp; Results'!$C43&gt;0)*(AO$45&gt;'Assumptions &amp; Results'!$C43)*(AO$45-'Assumptions &amp; Results'!$C43-AO50-AO51-AO52-AO53-AO54-AO55-AO56-AO57-AO58-AO59-AO60-AO61-AO62)</f>
        <v>0</v>
      </c>
      <c r="AP49" s="146">
        <f>('Assumptions &amp; Results'!$C43&gt;0)*(AP$45&gt;'Assumptions &amp; Results'!$C43)*(AP$45-'Assumptions &amp; Results'!$C43-AP50-AP51-AP52-AP53-AP54-AP55-AP56-AP57-AP58-AP59-AP60-AP61-AP62)</f>
        <v>0</v>
      </c>
      <c r="AQ49" s="146">
        <f>('Assumptions &amp; Results'!$C43&gt;0)*(AQ$45&gt;'Assumptions &amp; Results'!$C43)*(AQ$45-'Assumptions &amp; Results'!$C43-AQ50-AQ51-AQ52-AQ53-AQ54-AQ55-AQ56-AQ57-AQ58-AQ59-AQ60-AQ61-AQ62)</f>
        <v>0</v>
      </c>
      <c r="AR49" s="146">
        <f>('Assumptions &amp; Results'!$C43&gt;0)*(AR$45&gt;'Assumptions &amp; Results'!$C43)*(AR$45-'Assumptions &amp; Results'!$C43-AR50-AR51-AR52-AR53-AR54-AR55-AR56-AR57-AR58-AR59-AR60-AR61-AR62)</f>
        <v>0</v>
      </c>
      <c r="AS49" s="146">
        <f>('Assumptions &amp; Results'!$C43&gt;0)*(AS$45&gt;'Assumptions &amp; Results'!$C43)*(AS$45-'Assumptions &amp; Results'!$C43-AS50-AS51-AS52-AS53-AS54-AS55-AS56-AS57-AS58-AS59-AS60-AS61-AS62)</f>
        <v>0</v>
      </c>
      <c r="AT49" s="146">
        <f>('Assumptions &amp; Results'!$C43&gt;0)*(AT$45&gt;'Assumptions &amp; Results'!$C43)*(AT$45-'Assumptions &amp; Results'!$C43-AT50-AT51-AT52-AT53-AT54-AT55-AT56-AT57-AT58-AT59-AT60-AT61-AT62)</f>
        <v>0</v>
      </c>
      <c r="AU49" s="146">
        <f>('Assumptions &amp; Results'!$C43&gt;0)*(AU$45&gt;'Assumptions &amp; Results'!$C43)*(AU$45-'Assumptions &amp; Results'!$C43-AU50-AU51-AU52-AU53-AU54-AU55-AU56-AU57-AU58-AU59-AU60-AU61-AU62)</f>
        <v>0</v>
      </c>
      <c r="AV49" s="146">
        <f>('Assumptions &amp; Results'!$C43&gt;0)*(AV$45&gt;'Assumptions &amp; Results'!$C43)*(AV$45-'Assumptions &amp; Results'!$C43-AV50-AV51-AV52-AV53-AV54-AV55-AV56-AV57-AV58-AV59-AV60-AV61-AV62)</f>
        <v>0</v>
      </c>
      <c r="AW49" s="146">
        <f>('Assumptions &amp; Results'!$C43&gt;0)*(AW$45&gt;'Assumptions &amp; Results'!$C43)*(AW$45-'Assumptions &amp; Results'!$C43-AW50-AW51-AW52-AW53-AW54-AW55-AW56-AW57-AW58-AW59-AW60-AW61-AW62)</f>
        <v>0</v>
      </c>
      <c r="AX49" s="146">
        <f>('Assumptions &amp; Results'!$C43&gt;0)*(AX$45&gt;'Assumptions &amp; Results'!$C43)*(AX$45-'Assumptions &amp; Results'!$C43-AX50-AX51-AX52-AX53-AX54-AX55-AX56-AX57-AX58-AX59-AX60-AX61-AX62)</f>
        <v>0</v>
      </c>
      <c r="AY49" s="146">
        <f>('Assumptions &amp; Results'!$C43&gt;0)*(AY$45&gt;'Assumptions &amp; Results'!$C43)*(AY$45-'Assumptions &amp; Results'!$C43-AY50-AY51-AY52-AY53-AY54-AY55-AY56-AY57-AY58-AY59-AY60-AY61-AY62)</f>
        <v>0</v>
      </c>
      <c r="AZ49" s="146">
        <f>('Assumptions &amp; Results'!$C43&gt;0)*(AZ$45&gt;'Assumptions &amp; Results'!$C43)*(AZ$45-'Assumptions &amp; Results'!$C43-AZ50-AZ51-AZ52-AZ53-AZ54-AZ55-AZ56-AZ57-AZ58-AZ59-AZ60-AZ61-AZ62)</f>
        <v>0</v>
      </c>
      <c r="BA49" s="146">
        <f>('Assumptions &amp; Results'!$C43&gt;0)*(BA$45&gt;'Assumptions &amp; Results'!$C43)*(BA$45-'Assumptions &amp; Results'!$C43-BA50-BA51-BA52-BA53-BA54-BA55-BA56-BA57-BA58-BA59-BA60-BA61-BA62)</f>
        <v>0</v>
      </c>
      <c r="BB49" s="146">
        <f>('Assumptions &amp; Results'!$C43&gt;0)*(BB$45&gt;'Assumptions &amp; Results'!$C43)*(BB$45-'Assumptions &amp; Results'!$C43-BB50-BB51-BB52-BB53-BB54-BB55-BB56-BB57-BB58-BB59-BB60-BB61-BB62)</f>
        <v>0</v>
      </c>
      <c r="BC49" s="38"/>
      <c r="BD49" s="38"/>
    </row>
    <row r="50" spans="1:56" x14ac:dyDescent="0.2">
      <c r="A50" s="37"/>
      <c r="B50" s="37"/>
      <c r="C50" s="98" t="s">
        <v>294</v>
      </c>
      <c r="D50" s="36" t="s">
        <v>33</v>
      </c>
      <c r="E50" s="146">
        <f>('Assumptions &amp; Results'!$C44&gt;0)*(E$45&gt;'Assumptions &amp; Results'!$C44)*(E$45-'Assumptions &amp; Results'!$C44-E51-E52-E53-E54-E55-E56-E57-E58-E59-E60-E61-E62)</f>
        <v>0</v>
      </c>
      <c r="F50" s="146">
        <f>('Assumptions &amp; Results'!$C44&gt;0)*(F$45&gt;'Assumptions &amp; Results'!$C44)*(F$45-'Assumptions &amp; Results'!$C44-F51-F52-F53-F54-F55-F56-F57-F58-F59-F60-F61-F62)</f>
        <v>0</v>
      </c>
      <c r="G50" s="146">
        <f>('Assumptions &amp; Results'!$C44&gt;0)*(G$45&gt;'Assumptions &amp; Results'!$C44)*(G$45-'Assumptions &amp; Results'!$C44-G51-G52-G53-G54-G55-G56-G57-G58-G59-G60-G61-G62)</f>
        <v>0</v>
      </c>
      <c r="H50" s="146">
        <f>('Assumptions &amp; Results'!$C44&gt;0)*(H$45&gt;'Assumptions &amp; Results'!$C44)*(H$45-'Assumptions &amp; Results'!$C44-H51-H52-H53-H54-H55-H56-H57-H58-H59-H60-H61-H62)</f>
        <v>0</v>
      </c>
      <c r="I50" s="146">
        <f>('Assumptions &amp; Results'!$C44&gt;0)*(I$45&gt;'Assumptions &amp; Results'!$C44)*(I$45-'Assumptions &amp; Results'!$C44-I51-I52-I53-I54-I55-I56-I57-I58-I59-I60-I61-I62)</f>
        <v>0</v>
      </c>
      <c r="J50" s="146">
        <f>('Assumptions &amp; Results'!$C44&gt;0)*(J$45&gt;'Assumptions &amp; Results'!$C44)*(J$45-'Assumptions &amp; Results'!$C44-J51-J52-J53-J54-J55-J56-J57-J58-J59-J60-J61-J62)</f>
        <v>0</v>
      </c>
      <c r="K50" s="146">
        <f>('Assumptions &amp; Results'!$C44&gt;0)*(K$45&gt;'Assumptions &amp; Results'!$C44)*(K$45-'Assumptions &amp; Results'!$C44-K51-K52-K53-K54-K55-K56-K57-K58-K59-K60-K61-K62)</f>
        <v>0</v>
      </c>
      <c r="L50" s="146">
        <f>('Assumptions &amp; Results'!$C44&gt;0)*(L$45&gt;'Assumptions &amp; Results'!$C44)*(L$45-'Assumptions &amp; Results'!$C44-L51-L52-L53-L54-L55-L56-L57-L58-L59-L60-L61-L62)</f>
        <v>0</v>
      </c>
      <c r="M50" s="146">
        <f>('Assumptions &amp; Results'!$C44&gt;0)*(M$45&gt;'Assumptions &amp; Results'!$C44)*(M$45-'Assumptions &amp; Results'!$C44-M51-M52-M53-M54-M55-M56-M57-M58-M59-M60-M61-M62)</f>
        <v>0</v>
      </c>
      <c r="N50" s="146">
        <f>('Assumptions &amp; Results'!$C44&gt;0)*(N$45&gt;'Assumptions &amp; Results'!$C44)*(N$45-'Assumptions &amp; Results'!$C44-N51-N52-N53-N54-N55-N56-N57-N58-N59-N60-N61-N62)</f>
        <v>0</v>
      </c>
      <c r="O50" s="146">
        <f>('Assumptions &amp; Results'!$C44&gt;0)*(O$45&gt;'Assumptions &amp; Results'!$C44)*(O$45-'Assumptions &amp; Results'!$C44-O51-O52-O53-O54-O55-O56-O57-O58-O59-O60-O61-O62)</f>
        <v>0</v>
      </c>
      <c r="P50" s="146">
        <f>('Assumptions &amp; Results'!$C44&gt;0)*(P$45&gt;'Assumptions &amp; Results'!$C44)*(P$45-'Assumptions &amp; Results'!$C44-P51-P52-P53-P54-P55-P56-P57-P58-P59-P60-P61-P62)</f>
        <v>0</v>
      </c>
      <c r="Q50" s="146">
        <f>('Assumptions &amp; Results'!$C44&gt;0)*(Q$45&gt;'Assumptions &amp; Results'!$C44)*(Q$45-'Assumptions &amp; Results'!$C44-Q51-Q52-Q53-Q54-Q55-Q56-Q57-Q58-Q59-Q60-Q61-Q62)</f>
        <v>0</v>
      </c>
      <c r="R50" s="146">
        <f>('Assumptions &amp; Results'!$C44&gt;0)*(R$45&gt;'Assumptions &amp; Results'!$C44)*(R$45-'Assumptions &amp; Results'!$C44-R51-R52-R53-R54-R55-R56-R57-R58-R59-R60-R61-R62)</f>
        <v>0</v>
      </c>
      <c r="S50" s="146">
        <f>('Assumptions &amp; Results'!$C44&gt;0)*(S$45&gt;'Assumptions &amp; Results'!$C44)*(S$45-'Assumptions &amp; Results'!$C44-S51-S52-S53-S54-S55-S56-S57-S58-S59-S60-S61-S62)</f>
        <v>0</v>
      </c>
      <c r="T50" s="146">
        <f>('Assumptions &amp; Results'!$C44&gt;0)*(T$45&gt;'Assumptions &amp; Results'!$C44)*(T$45-'Assumptions &amp; Results'!$C44-T51-T52-T53-T54-T55-T56-T57-T58-T59-T60-T61-T62)</f>
        <v>0</v>
      </c>
      <c r="U50" s="146">
        <f>('Assumptions &amp; Results'!$C44&gt;0)*(U$45&gt;'Assumptions &amp; Results'!$C44)*(U$45-'Assumptions &amp; Results'!$C44-U51-U52-U53-U54-U55-U56-U57-U58-U59-U60-U61-U62)</f>
        <v>0</v>
      </c>
      <c r="V50" s="146">
        <f>('Assumptions &amp; Results'!$C44&gt;0)*(V$45&gt;'Assumptions &amp; Results'!$C44)*(V$45-'Assumptions &amp; Results'!$C44-V51-V52-V53-V54-V55-V56-V57-V58-V59-V60-V61-V62)</f>
        <v>0</v>
      </c>
      <c r="W50" s="146">
        <f>('Assumptions &amp; Results'!$C44&gt;0)*(W$45&gt;'Assumptions &amp; Results'!$C44)*(W$45-'Assumptions &amp; Results'!$C44-W51-W52-W53-W54-W55-W56-W57-W58-W59-W60-W61-W62)</f>
        <v>0</v>
      </c>
      <c r="X50" s="146">
        <f>('Assumptions &amp; Results'!$C44&gt;0)*(X$45&gt;'Assumptions &amp; Results'!$C44)*(X$45-'Assumptions &amp; Results'!$C44-X51-X52-X53-X54-X55-X56-X57-X58-X59-X60-X61-X62)</f>
        <v>0</v>
      </c>
      <c r="Y50" s="146">
        <f>('Assumptions &amp; Results'!$C44&gt;0)*(Y$45&gt;'Assumptions &amp; Results'!$C44)*(Y$45-'Assumptions &amp; Results'!$C44-Y51-Y52-Y53-Y54-Y55-Y56-Y57-Y58-Y59-Y60-Y61-Y62)</f>
        <v>0</v>
      </c>
      <c r="Z50" s="146">
        <f>('Assumptions &amp; Results'!$C44&gt;0)*(Z$45&gt;'Assumptions &amp; Results'!$C44)*(Z$45-'Assumptions &amp; Results'!$C44-Z51-Z52-Z53-Z54-Z55-Z56-Z57-Z58-Z59-Z60-Z61-Z62)</f>
        <v>0</v>
      </c>
      <c r="AA50" s="146">
        <f>('Assumptions &amp; Results'!$C44&gt;0)*(AA$45&gt;'Assumptions &amp; Results'!$C44)*(AA$45-'Assumptions &amp; Results'!$C44-AA51-AA52-AA53-AA54-AA55-AA56-AA57-AA58-AA59-AA60-AA61-AA62)</f>
        <v>0</v>
      </c>
      <c r="AB50" s="146">
        <f>('Assumptions &amp; Results'!$C44&gt;0)*(AB$45&gt;'Assumptions &amp; Results'!$C44)*(AB$45-'Assumptions &amp; Results'!$C44-AB51-AB52-AB53-AB54-AB55-AB56-AB57-AB58-AB59-AB60-AB61-AB62)</f>
        <v>0</v>
      </c>
      <c r="AC50" s="146">
        <f>('Assumptions &amp; Results'!$C44&gt;0)*(AC$45&gt;'Assumptions &amp; Results'!$C44)*(AC$45-'Assumptions &amp; Results'!$C44-AC51-AC52-AC53-AC54-AC55-AC56-AC57-AC58-AC59-AC60-AC61-AC62)</f>
        <v>0</v>
      </c>
      <c r="AD50" s="146">
        <f>('Assumptions &amp; Results'!$C44&gt;0)*(AD$45&gt;'Assumptions &amp; Results'!$C44)*(AD$45-'Assumptions &amp; Results'!$C44-AD51-AD52-AD53-AD54-AD55-AD56-AD57-AD58-AD59-AD60-AD61-AD62)</f>
        <v>0</v>
      </c>
      <c r="AE50" s="146">
        <f>('Assumptions &amp; Results'!$C44&gt;0)*(AE$45&gt;'Assumptions &amp; Results'!$C44)*(AE$45-'Assumptions &amp; Results'!$C44-AE51-AE52-AE53-AE54-AE55-AE56-AE57-AE58-AE59-AE60-AE61-AE62)</f>
        <v>0</v>
      </c>
      <c r="AF50" s="146">
        <f>('Assumptions &amp; Results'!$C44&gt;0)*(AF$45&gt;'Assumptions &amp; Results'!$C44)*(AF$45-'Assumptions &amp; Results'!$C44-AF51-AF52-AF53-AF54-AF55-AF56-AF57-AF58-AF59-AF60-AF61-AF62)</f>
        <v>0</v>
      </c>
      <c r="AG50" s="146">
        <f>('Assumptions &amp; Results'!$C44&gt;0)*(AG$45&gt;'Assumptions &amp; Results'!$C44)*(AG$45-'Assumptions &amp; Results'!$C44-AG51-AG52-AG53-AG54-AG55-AG56-AG57-AG58-AG59-AG60-AG61-AG62)</f>
        <v>0</v>
      </c>
      <c r="AH50" s="146">
        <f>('Assumptions &amp; Results'!$C44&gt;0)*(AH$45&gt;'Assumptions &amp; Results'!$C44)*(AH$45-'Assumptions &amp; Results'!$C44-AH51-AH52-AH53-AH54-AH55-AH56-AH57-AH58-AH59-AH60-AH61-AH62)</f>
        <v>0</v>
      </c>
      <c r="AI50" s="146">
        <f>('Assumptions &amp; Results'!$C44&gt;0)*(AI$45&gt;'Assumptions &amp; Results'!$C44)*(AI$45-'Assumptions &amp; Results'!$C44-AI51-AI52-AI53-AI54-AI55-AI56-AI57-AI58-AI59-AI60-AI61-AI62)</f>
        <v>0</v>
      </c>
      <c r="AJ50" s="146">
        <f>('Assumptions &amp; Results'!$C44&gt;0)*(AJ$45&gt;'Assumptions &amp; Results'!$C44)*(AJ$45-'Assumptions &amp; Results'!$C44-AJ51-AJ52-AJ53-AJ54-AJ55-AJ56-AJ57-AJ58-AJ59-AJ60-AJ61-AJ62)</f>
        <v>0</v>
      </c>
      <c r="AK50" s="146">
        <f>('Assumptions &amp; Results'!$C44&gt;0)*(AK$45&gt;'Assumptions &amp; Results'!$C44)*(AK$45-'Assumptions &amp; Results'!$C44-AK51-AK52-AK53-AK54-AK55-AK56-AK57-AK58-AK59-AK60-AK61-AK62)</f>
        <v>0</v>
      </c>
      <c r="AL50" s="146">
        <f>('Assumptions &amp; Results'!$C44&gt;0)*(AL$45&gt;'Assumptions &amp; Results'!$C44)*(AL$45-'Assumptions &amp; Results'!$C44-AL51-AL52-AL53-AL54-AL55-AL56-AL57-AL58-AL59-AL60-AL61-AL62)</f>
        <v>0</v>
      </c>
      <c r="AM50" s="146">
        <f>('Assumptions &amp; Results'!$C44&gt;0)*(AM$45&gt;'Assumptions &amp; Results'!$C44)*(AM$45-'Assumptions &amp; Results'!$C44-AM51-AM52-AM53-AM54-AM55-AM56-AM57-AM58-AM59-AM60-AM61-AM62)</f>
        <v>0</v>
      </c>
      <c r="AN50" s="146">
        <f>('Assumptions &amp; Results'!$C44&gt;0)*(AN$45&gt;'Assumptions &amp; Results'!$C44)*(AN$45-'Assumptions &amp; Results'!$C44-AN51-AN52-AN53-AN54-AN55-AN56-AN57-AN58-AN59-AN60-AN61-AN62)</f>
        <v>0</v>
      </c>
      <c r="AO50" s="146">
        <f>('Assumptions &amp; Results'!$C44&gt;0)*(AO$45&gt;'Assumptions &amp; Results'!$C44)*(AO$45-'Assumptions &amp; Results'!$C44-AO51-AO52-AO53-AO54-AO55-AO56-AO57-AO58-AO59-AO60-AO61-AO62)</f>
        <v>0</v>
      </c>
      <c r="AP50" s="146">
        <f>('Assumptions &amp; Results'!$C44&gt;0)*(AP$45&gt;'Assumptions &amp; Results'!$C44)*(AP$45-'Assumptions &amp; Results'!$C44-AP51-AP52-AP53-AP54-AP55-AP56-AP57-AP58-AP59-AP60-AP61-AP62)</f>
        <v>0</v>
      </c>
      <c r="AQ50" s="146">
        <f>('Assumptions &amp; Results'!$C44&gt;0)*(AQ$45&gt;'Assumptions &amp; Results'!$C44)*(AQ$45-'Assumptions &amp; Results'!$C44-AQ51-AQ52-AQ53-AQ54-AQ55-AQ56-AQ57-AQ58-AQ59-AQ60-AQ61-AQ62)</f>
        <v>0</v>
      </c>
      <c r="AR50" s="146">
        <f>('Assumptions &amp; Results'!$C44&gt;0)*(AR$45&gt;'Assumptions &amp; Results'!$C44)*(AR$45-'Assumptions &amp; Results'!$C44-AR51-AR52-AR53-AR54-AR55-AR56-AR57-AR58-AR59-AR60-AR61-AR62)</f>
        <v>0</v>
      </c>
      <c r="AS50" s="146">
        <f>('Assumptions &amp; Results'!$C44&gt;0)*(AS$45&gt;'Assumptions &amp; Results'!$C44)*(AS$45-'Assumptions &amp; Results'!$C44-AS51-AS52-AS53-AS54-AS55-AS56-AS57-AS58-AS59-AS60-AS61-AS62)</f>
        <v>0</v>
      </c>
      <c r="AT50" s="146">
        <f>('Assumptions &amp; Results'!$C44&gt;0)*(AT$45&gt;'Assumptions &amp; Results'!$C44)*(AT$45-'Assumptions &amp; Results'!$C44-AT51-AT52-AT53-AT54-AT55-AT56-AT57-AT58-AT59-AT60-AT61-AT62)</f>
        <v>0</v>
      </c>
      <c r="AU50" s="146">
        <f>('Assumptions &amp; Results'!$C44&gt;0)*(AU$45&gt;'Assumptions &amp; Results'!$C44)*(AU$45-'Assumptions &amp; Results'!$C44-AU51-AU52-AU53-AU54-AU55-AU56-AU57-AU58-AU59-AU60-AU61-AU62)</f>
        <v>0</v>
      </c>
      <c r="AV50" s="146">
        <f>('Assumptions &amp; Results'!$C44&gt;0)*(AV$45&gt;'Assumptions &amp; Results'!$C44)*(AV$45-'Assumptions &amp; Results'!$C44-AV51-AV52-AV53-AV54-AV55-AV56-AV57-AV58-AV59-AV60-AV61-AV62)</f>
        <v>0</v>
      </c>
      <c r="AW50" s="146">
        <f>('Assumptions &amp; Results'!$C44&gt;0)*(AW$45&gt;'Assumptions &amp; Results'!$C44)*(AW$45-'Assumptions &amp; Results'!$C44-AW51-AW52-AW53-AW54-AW55-AW56-AW57-AW58-AW59-AW60-AW61-AW62)</f>
        <v>0</v>
      </c>
      <c r="AX50" s="146">
        <f>('Assumptions &amp; Results'!$C44&gt;0)*(AX$45&gt;'Assumptions &amp; Results'!$C44)*(AX$45-'Assumptions &amp; Results'!$C44-AX51-AX52-AX53-AX54-AX55-AX56-AX57-AX58-AX59-AX60-AX61-AX62)</f>
        <v>0</v>
      </c>
      <c r="AY50" s="146">
        <f>('Assumptions &amp; Results'!$C44&gt;0)*(AY$45&gt;'Assumptions &amp; Results'!$C44)*(AY$45-'Assumptions &amp; Results'!$C44-AY51-AY52-AY53-AY54-AY55-AY56-AY57-AY58-AY59-AY60-AY61-AY62)</f>
        <v>0</v>
      </c>
      <c r="AZ50" s="146">
        <f>('Assumptions &amp; Results'!$C44&gt;0)*(AZ$45&gt;'Assumptions &amp; Results'!$C44)*(AZ$45-'Assumptions &amp; Results'!$C44-AZ51-AZ52-AZ53-AZ54-AZ55-AZ56-AZ57-AZ58-AZ59-AZ60-AZ61-AZ62)</f>
        <v>0</v>
      </c>
      <c r="BA50" s="146">
        <f>('Assumptions &amp; Results'!$C44&gt;0)*(BA$45&gt;'Assumptions &amp; Results'!$C44)*(BA$45-'Assumptions &amp; Results'!$C44-BA51-BA52-BA53-BA54-BA55-BA56-BA57-BA58-BA59-BA60-BA61-BA62)</f>
        <v>0</v>
      </c>
      <c r="BB50" s="146">
        <f>('Assumptions &amp; Results'!$C44&gt;0)*(BB$45&gt;'Assumptions &amp; Results'!$C44)*(BB$45-'Assumptions &amp; Results'!$C44-BB51-BB52-BB53-BB54-BB55-BB56-BB57-BB58-BB59-BB60-BB61-BB62)</f>
        <v>0</v>
      </c>
      <c r="BC50" s="38"/>
      <c r="BD50" s="38"/>
    </row>
    <row r="51" spans="1:56" x14ac:dyDescent="0.2">
      <c r="A51" s="37"/>
      <c r="B51" s="37"/>
      <c r="C51" s="98" t="s">
        <v>295</v>
      </c>
      <c r="D51" s="36" t="s">
        <v>33</v>
      </c>
      <c r="E51" s="146">
        <f>('Assumptions &amp; Results'!$C45&gt;0)*(E$45&gt;'Assumptions &amp; Results'!$C45)*(E$45-'Assumptions &amp; Results'!$C45-E52-E53-E54-E55-E56-E57-E58-E59-E60-E61-E62)</f>
        <v>0</v>
      </c>
      <c r="F51" s="146">
        <f>('Assumptions &amp; Results'!$C45&gt;0)*(F$45&gt;'Assumptions &amp; Results'!$C45)*(F$45-'Assumptions &amp; Results'!$C45-F52-F53-F54-F55-F56-F57-F58-F59-F60-F61-F62)</f>
        <v>0</v>
      </c>
      <c r="G51" s="146">
        <f>('Assumptions &amp; Results'!$C45&gt;0)*(G$45&gt;'Assumptions &amp; Results'!$C45)*(G$45-'Assumptions &amp; Results'!$C45-G52-G53-G54-G55-G56-G57-G58-G59-G60-G61-G62)</f>
        <v>0</v>
      </c>
      <c r="H51" s="146">
        <f>('Assumptions &amp; Results'!$C45&gt;0)*(H$45&gt;'Assumptions &amp; Results'!$C45)*(H$45-'Assumptions &amp; Results'!$C45-H52-H53-H54-H55-H56-H57-H58-H59-H60-H61-H62)</f>
        <v>0</v>
      </c>
      <c r="I51" s="146">
        <f>('Assumptions &amp; Results'!$C45&gt;0)*(I$45&gt;'Assumptions &amp; Results'!$C45)*(I$45-'Assumptions &amp; Results'!$C45-I52-I53-I54-I55-I56-I57-I58-I59-I60-I61-I62)</f>
        <v>0</v>
      </c>
      <c r="J51" s="146">
        <f>('Assumptions &amp; Results'!$C45&gt;0)*(J$45&gt;'Assumptions &amp; Results'!$C45)*(J$45-'Assumptions &amp; Results'!$C45-J52-J53-J54-J55-J56-J57-J58-J59-J60-J61-J62)</f>
        <v>0</v>
      </c>
      <c r="K51" s="146">
        <f>('Assumptions &amp; Results'!$C45&gt;0)*(K$45&gt;'Assumptions &amp; Results'!$C45)*(K$45-'Assumptions &amp; Results'!$C45-K52-K53-K54-K55-K56-K57-K58-K59-K60-K61-K62)</f>
        <v>0</v>
      </c>
      <c r="L51" s="146">
        <f>('Assumptions &amp; Results'!$C45&gt;0)*(L$45&gt;'Assumptions &amp; Results'!$C45)*(L$45-'Assumptions &amp; Results'!$C45-L52-L53-L54-L55-L56-L57-L58-L59-L60-L61-L62)</f>
        <v>0</v>
      </c>
      <c r="M51" s="146">
        <f>('Assumptions &amp; Results'!$C45&gt;0)*(M$45&gt;'Assumptions &amp; Results'!$C45)*(M$45-'Assumptions &amp; Results'!$C45-M52-M53-M54-M55-M56-M57-M58-M59-M60-M61-M62)</f>
        <v>0</v>
      </c>
      <c r="N51" s="146">
        <f>('Assumptions &amp; Results'!$C45&gt;0)*(N$45&gt;'Assumptions &amp; Results'!$C45)*(N$45-'Assumptions &amp; Results'!$C45-N52-N53-N54-N55-N56-N57-N58-N59-N60-N61-N62)</f>
        <v>0</v>
      </c>
      <c r="O51" s="146">
        <f>('Assumptions &amp; Results'!$C45&gt;0)*(O$45&gt;'Assumptions &amp; Results'!$C45)*(O$45-'Assumptions &amp; Results'!$C45-O52-O53-O54-O55-O56-O57-O58-O59-O60-O61-O62)</f>
        <v>0</v>
      </c>
      <c r="P51" s="146">
        <f>('Assumptions &amp; Results'!$C45&gt;0)*(P$45&gt;'Assumptions &amp; Results'!$C45)*(P$45-'Assumptions &amp; Results'!$C45-P52-P53-P54-P55-P56-P57-P58-P59-P60-P61-P62)</f>
        <v>0</v>
      </c>
      <c r="Q51" s="146">
        <f>('Assumptions &amp; Results'!$C45&gt;0)*(Q$45&gt;'Assumptions &amp; Results'!$C45)*(Q$45-'Assumptions &amp; Results'!$C45-Q52-Q53-Q54-Q55-Q56-Q57-Q58-Q59-Q60-Q61-Q62)</f>
        <v>0</v>
      </c>
      <c r="R51" s="146">
        <f>('Assumptions &amp; Results'!$C45&gt;0)*(R$45&gt;'Assumptions &amp; Results'!$C45)*(R$45-'Assumptions &amp; Results'!$C45-R52-R53-R54-R55-R56-R57-R58-R59-R60-R61-R62)</f>
        <v>0</v>
      </c>
      <c r="S51" s="146">
        <f>('Assumptions &amp; Results'!$C45&gt;0)*(S$45&gt;'Assumptions &amp; Results'!$C45)*(S$45-'Assumptions &amp; Results'!$C45-S52-S53-S54-S55-S56-S57-S58-S59-S60-S61-S62)</f>
        <v>0</v>
      </c>
      <c r="T51" s="146">
        <f>('Assumptions &amp; Results'!$C45&gt;0)*(T$45&gt;'Assumptions &amp; Results'!$C45)*(T$45-'Assumptions &amp; Results'!$C45-T52-T53-T54-T55-T56-T57-T58-T59-T60-T61-T62)</f>
        <v>0</v>
      </c>
      <c r="U51" s="146">
        <f>('Assumptions &amp; Results'!$C45&gt;0)*(U$45&gt;'Assumptions &amp; Results'!$C45)*(U$45-'Assumptions &amp; Results'!$C45-U52-U53-U54-U55-U56-U57-U58-U59-U60-U61-U62)</f>
        <v>0</v>
      </c>
      <c r="V51" s="146">
        <f>('Assumptions &amp; Results'!$C45&gt;0)*(V$45&gt;'Assumptions &amp; Results'!$C45)*(V$45-'Assumptions &amp; Results'!$C45-V52-V53-V54-V55-V56-V57-V58-V59-V60-V61-V62)</f>
        <v>0</v>
      </c>
      <c r="W51" s="146">
        <f>('Assumptions &amp; Results'!$C45&gt;0)*(W$45&gt;'Assumptions &amp; Results'!$C45)*(W$45-'Assumptions &amp; Results'!$C45-W52-W53-W54-W55-W56-W57-W58-W59-W60-W61-W62)</f>
        <v>0</v>
      </c>
      <c r="X51" s="146">
        <f>('Assumptions &amp; Results'!$C45&gt;0)*(X$45&gt;'Assumptions &amp; Results'!$C45)*(X$45-'Assumptions &amp; Results'!$C45-X52-X53-X54-X55-X56-X57-X58-X59-X60-X61-X62)</f>
        <v>0</v>
      </c>
      <c r="Y51" s="146">
        <f>('Assumptions &amp; Results'!$C45&gt;0)*(Y$45&gt;'Assumptions &amp; Results'!$C45)*(Y$45-'Assumptions &amp; Results'!$C45-Y52-Y53-Y54-Y55-Y56-Y57-Y58-Y59-Y60-Y61-Y62)</f>
        <v>0</v>
      </c>
      <c r="Z51" s="146">
        <f>('Assumptions &amp; Results'!$C45&gt;0)*(Z$45&gt;'Assumptions &amp; Results'!$C45)*(Z$45-'Assumptions &amp; Results'!$C45-Z52-Z53-Z54-Z55-Z56-Z57-Z58-Z59-Z60-Z61-Z62)</f>
        <v>0</v>
      </c>
      <c r="AA51" s="146">
        <f>('Assumptions &amp; Results'!$C45&gt;0)*(AA$45&gt;'Assumptions &amp; Results'!$C45)*(AA$45-'Assumptions &amp; Results'!$C45-AA52-AA53-AA54-AA55-AA56-AA57-AA58-AA59-AA60-AA61-AA62)</f>
        <v>0</v>
      </c>
      <c r="AB51" s="146">
        <f>('Assumptions &amp; Results'!$C45&gt;0)*(AB$45&gt;'Assumptions &amp; Results'!$C45)*(AB$45-'Assumptions &amp; Results'!$C45-AB52-AB53-AB54-AB55-AB56-AB57-AB58-AB59-AB60-AB61-AB62)</f>
        <v>0</v>
      </c>
      <c r="AC51" s="146">
        <f>('Assumptions &amp; Results'!$C45&gt;0)*(AC$45&gt;'Assumptions &amp; Results'!$C45)*(AC$45-'Assumptions &amp; Results'!$C45-AC52-AC53-AC54-AC55-AC56-AC57-AC58-AC59-AC60-AC61-AC62)</f>
        <v>0</v>
      </c>
      <c r="AD51" s="146">
        <f>('Assumptions &amp; Results'!$C45&gt;0)*(AD$45&gt;'Assumptions &amp; Results'!$C45)*(AD$45-'Assumptions &amp; Results'!$C45-AD52-AD53-AD54-AD55-AD56-AD57-AD58-AD59-AD60-AD61-AD62)</f>
        <v>0</v>
      </c>
      <c r="AE51" s="146">
        <f>('Assumptions &amp; Results'!$C45&gt;0)*(AE$45&gt;'Assumptions &amp; Results'!$C45)*(AE$45-'Assumptions &amp; Results'!$C45-AE52-AE53-AE54-AE55-AE56-AE57-AE58-AE59-AE60-AE61-AE62)</f>
        <v>0</v>
      </c>
      <c r="AF51" s="146">
        <f>('Assumptions &amp; Results'!$C45&gt;0)*(AF$45&gt;'Assumptions &amp; Results'!$C45)*(AF$45-'Assumptions &amp; Results'!$C45-AF52-AF53-AF54-AF55-AF56-AF57-AF58-AF59-AF60-AF61-AF62)</f>
        <v>0</v>
      </c>
      <c r="AG51" s="146">
        <f>('Assumptions &amp; Results'!$C45&gt;0)*(AG$45&gt;'Assumptions &amp; Results'!$C45)*(AG$45-'Assumptions &amp; Results'!$C45-AG52-AG53-AG54-AG55-AG56-AG57-AG58-AG59-AG60-AG61-AG62)</f>
        <v>0</v>
      </c>
      <c r="AH51" s="146">
        <f>('Assumptions &amp; Results'!$C45&gt;0)*(AH$45&gt;'Assumptions &amp; Results'!$C45)*(AH$45-'Assumptions &amp; Results'!$C45-AH52-AH53-AH54-AH55-AH56-AH57-AH58-AH59-AH60-AH61-AH62)</f>
        <v>0</v>
      </c>
      <c r="AI51" s="146">
        <f>('Assumptions &amp; Results'!$C45&gt;0)*(AI$45&gt;'Assumptions &amp; Results'!$C45)*(AI$45-'Assumptions &amp; Results'!$C45-AI52-AI53-AI54-AI55-AI56-AI57-AI58-AI59-AI60-AI61-AI62)</f>
        <v>0</v>
      </c>
      <c r="AJ51" s="146">
        <f>('Assumptions &amp; Results'!$C45&gt;0)*(AJ$45&gt;'Assumptions &amp; Results'!$C45)*(AJ$45-'Assumptions &amp; Results'!$C45-AJ52-AJ53-AJ54-AJ55-AJ56-AJ57-AJ58-AJ59-AJ60-AJ61-AJ62)</f>
        <v>0</v>
      </c>
      <c r="AK51" s="146">
        <f>('Assumptions &amp; Results'!$C45&gt;0)*(AK$45&gt;'Assumptions &amp; Results'!$C45)*(AK$45-'Assumptions &amp; Results'!$C45-AK52-AK53-AK54-AK55-AK56-AK57-AK58-AK59-AK60-AK61-AK62)</f>
        <v>0</v>
      </c>
      <c r="AL51" s="146">
        <f>('Assumptions &amp; Results'!$C45&gt;0)*(AL$45&gt;'Assumptions &amp; Results'!$C45)*(AL$45-'Assumptions &amp; Results'!$C45-AL52-AL53-AL54-AL55-AL56-AL57-AL58-AL59-AL60-AL61-AL62)</f>
        <v>0</v>
      </c>
      <c r="AM51" s="146">
        <f>('Assumptions &amp; Results'!$C45&gt;0)*(AM$45&gt;'Assumptions &amp; Results'!$C45)*(AM$45-'Assumptions &amp; Results'!$C45-AM52-AM53-AM54-AM55-AM56-AM57-AM58-AM59-AM60-AM61-AM62)</f>
        <v>0</v>
      </c>
      <c r="AN51" s="146">
        <f>('Assumptions &amp; Results'!$C45&gt;0)*(AN$45&gt;'Assumptions &amp; Results'!$C45)*(AN$45-'Assumptions &amp; Results'!$C45-AN52-AN53-AN54-AN55-AN56-AN57-AN58-AN59-AN60-AN61-AN62)</f>
        <v>0</v>
      </c>
      <c r="AO51" s="146">
        <f>('Assumptions &amp; Results'!$C45&gt;0)*(AO$45&gt;'Assumptions &amp; Results'!$C45)*(AO$45-'Assumptions &amp; Results'!$C45-AO52-AO53-AO54-AO55-AO56-AO57-AO58-AO59-AO60-AO61-AO62)</f>
        <v>0</v>
      </c>
      <c r="AP51" s="146">
        <f>('Assumptions &amp; Results'!$C45&gt;0)*(AP$45&gt;'Assumptions &amp; Results'!$C45)*(AP$45-'Assumptions &amp; Results'!$C45-AP52-AP53-AP54-AP55-AP56-AP57-AP58-AP59-AP60-AP61-AP62)</f>
        <v>0</v>
      </c>
      <c r="AQ51" s="146">
        <f>('Assumptions &amp; Results'!$C45&gt;0)*(AQ$45&gt;'Assumptions &amp; Results'!$C45)*(AQ$45-'Assumptions &amp; Results'!$C45-AQ52-AQ53-AQ54-AQ55-AQ56-AQ57-AQ58-AQ59-AQ60-AQ61-AQ62)</f>
        <v>0</v>
      </c>
      <c r="AR51" s="146">
        <f>('Assumptions &amp; Results'!$C45&gt;0)*(AR$45&gt;'Assumptions &amp; Results'!$C45)*(AR$45-'Assumptions &amp; Results'!$C45-AR52-AR53-AR54-AR55-AR56-AR57-AR58-AR59-AR60-AR61-AR62)</f>
        <v>0</v>
      </c>
      <c r="AS51" s="146">
        <f>('Assumptions &amp; Results'!$C45&gt;0)*(AS$45&gt;'Assumptions &amp; Results'!$C45)*(AS$45-'Assumptions &amp; Results'!$C45-AS52-AS53-AS54-AS55-AS56-AS57-AS58-AS59-AS60-AS61-AS62)</f>
        <v>0</v>
      </c>
      <c r="AT51" s="146">
        <f>('Assumptions &amp; Results'!$C45&gt;0)*(AT$45&gt;'Assumptions &amp; Results'!$C45)*(AT$45-'Assumptions &amp; Results'!$C45-AT52-AT53-AT54-AT55-AT56-AT57-AT58-AT59-AT60-AT61-AT62)</f>
        <v>0</v>
      </c>
      <c r="AU51" s="146">
        <f>('Assumptions &amp; Results'!$C45&gt;0)*(AU$45&gt;'Assumptions &amp; Results'!$C45)*(AU$45-'Assumptions &amp; Results'!$C45-AU52-AU53-AU54-AU55-AU56-AU57-AU58-AU59-AU60-AU61-AU62)</f>
        <v>0</v>
      </c>
      <c r="AV51" s="146">
        <f>('Assumptions &amp; Results'!$C45&gt;0)*(AV$45&gt;'Assumptions &amp; Results'!$C45)*(AV$45-'Assumptions &amp; Results'!$C45-AV52-AV53-AV54-AV55-AV56-AV57-AV58-AV59-AV60-AV61-AV62)</f>
        <v>0</v>
      </c>
      <c r="AW51" s="146">
        <f>('Assumptions &amp; Results'!$C45&gt;0)*(AW$45&gt;'Assumptions &amp; Results'!$C45)*(AW$45-'Assumptions &amp; Results'!$C45-AW52-AW53-AW54-AW55-AW56-AW57-AW58-AW59-AW60-AW61-AW62)</f>
        <v>0</v>
      </c>
      <c r="AX51" s="146">
        <f>('Assumptions &amp; Results'!$C45&gt;0)*(AX$45&gt;'Assumptions &amp; Results'!$C45)*(AX$45-'Assumptions &amp; Results'!$C45-AX52-AX53-AX54-AX55-AX56-AX57-AX58-AX59-AX60-AX61-AX62)</f>
        <v>0</v>
      </c>
      <c r="AY51" s="146">
        <f>('Assumptions &amp; Results'!$C45&gt;0)*(AY$45&gt;'Assumptions &amp; Results'!$C45)*(AY$45-'Assumptions &amp; Results'!$C45-AY52-AY53-AY54-AY55-AY56-AY57-AY58-AY59-AY60-AY61-AY62)</f>
        <v>0</v>
      </c>
      <c r="AZ51" s="146">
        <f>('Assumptions &amp; Results'!$C45&gt;0)*(AZ$45&gt;'Assumptions &amp; Results'!$C45)*(AZ$45-'Assumptions &amp; Results'!$C45-AZ52-AZ53-AZ54-AZ55-AZ56-AZ57-AZ58-AZ59-AZ60-AZ61-AZ62)</f>
        <v>0</v>
      </c>
      <c r="BA51" s="146">
        <f>('Assumptions &amp; Results'!$C45&gt;0)*(BA$45&gt;'Assumptions &amp; Results'!$C45)*(BA$45-'Assumptions &amp; Results'!$C45-BA52-BA53-BA54-BA55-BA56-BA57-BA58-BA59-BA60-BA61-BA62)</f>
        <v>0</v>
      </c>
      <c r="BB51" s="146">
        <f>('Assumptions &amp; Results'!$C45&gt;0)*(BB$45&gt;'Assumptions &amp; Results'!$C45)*(BB$45-'Assumptions &amp; Results'!$C45-BB52-BB53-BB54-BB55-BB56-BB57-BB58-BB59-BB60-BB61-BB62)</f>
        <v>0</v>
      </c>
      <c r="BC51" s="38"/>
      <c r="BD51" s="38"/>
    </row>
    <row r="52" spans="1:56" x14ac:dyDescent="0.2">
      <c r="A52" s="37"/>
      <c r="B52" s="37"/>
      <c r="C52" s="98" t="s">
        <v>296</v>
      </c>
      <c r="D52" s="36" t="s">
        <v>33</v>
      </c>
      <c r="E52" s="146">
        <f>('Assumptions &amp; Results'!$C46&gt;0)*(E$45&gt;'Assumptions &amp; Results'!$C46)*(E$45-'Assumptions &amp; Results'!$C46-E53-E54-E55-E56-E57-E58-E59-E60-E61-E62)</f>
        <v>0</v>
      </c>
      <c r="F52" s="146">
        <f>('Assumptions &amp; Results'!$C46&gt;0)*(F$45&gt;'Assumptions &amp; Results'!$C46)*(F$45-'Assumptions &amp; Results'!$C46-F53-F54-F55-F56-F57-F58-F59-F60-F61-F62)</f>
        <v>0</v>
      </c>
      <c r="G52" s="146">
        <f>('Assumptions &amp; Results'!$C46&gt;0)*(G$45&gt;'Assumptions &amp; Results'!$C46)*(G$45-'Assumptions &amp; Results'!$C46-G53-G54-G55-G56-G57-G58-G59-G60-G61-G62)</f>
        <v>0</v>
      </c>
      <c r="H52" s="146">
        <f>('Assumptions &amp; Results'!$C46&gt;0)*(H$45&gt;'Assumptions &amp; Results'!$C46)*(H$45-'Assumptions &amp; Results'!$C46-H53-H54-H55-H56-H57-H58-H59-H60-H61-H62)</f>
        <v>0</v>
      </c>
      <c r="I52" s="146">
        <f>('Assumptions &amp; Results'!$C46&gt;0)*(I$45&gt;'Assumptions &amp; Results'!$C46)*(I$45-'Assumptions &amp; Results'!$C46-I53-I54-I55-I56-I57-I58-I59-I60-I61-I62)</f>
        <v>0</v>
      </c>
      <c r="J52" s="146">
        <f>('Assumptions &amp; Results'!$C46&gt;0)*(J$45&gt;'Assumptions &amp; Results'!$C46)*(J$45-'Assumptions &amp; Results'!$C46-J53-J54-J55-J56-J57-J58-J59-J60-J61-J62)</f>
        <v>0</v>
      </c>
      <c r="K52" s="146">
        <f>('Assumptions &amp; Results'!$C46&gt;0)*(K$45&gt;'Assumptions &amp; Results'!$C46)*(K$45-'Assumptions &amp; Results'!$C46-K53-K54-K55-K56-K57-K58-K59-K60-K61-K62)</f>
        <v>0</v>
      </c>
      <c r="L52" s="146">
        <f>('Assumptions &amp; Results'!$C46&gt;0)*(L$45&gt;'Assumptions &amp; Results'!$C46)*(L$45-'Assumptions &amp; Results'!$C46-L53-L54-L55-L56-L57-L58-L59-L60-L61-L62)</f>
        <v>0</v>
      </c>
      <c r="M52" s="146">
        <f>('Assumptions &amp; Results'!$C46&gt;0)*(M$45&gt;'Assumptions &amp; Results'!$C46)*(M$45-'Assumptions &amp; Results'!$C46-M53-M54-M55-M56-M57-M58-M59-M60-M61-M62)</f>
        <v>0</v>
      </c>
      <c r="N52" s="146">
        <f>('Assumptions &amp; Results'!$C46&gt;0)*(N$45&gt;'Assumptions &amp; Results'!$C46)*(N$45-'Assumptions &amp; Results'!$C46-N53-N54-N55-N56-N57-N58-N59-N60-N61-N62)</f>
        <v>0</v>
      </c>
      <c r="O52" s="146">
        <f>('Assumptions &amp; Results'!$C46&gt;0)*(O$45&gt;'Assumptions &amp; Results'!$C46)*(O$45-'Assumptions &amp; Results'!$C46-O53-O54-O55-O56-O57-O58-O59-O60-O61-O62)</f>
        <v>0</v>
      </c>
      <c r="P52" s="146">
        <f>('Assumptions &amp; Results'!$C46&gt;0)*(P$45&gt;'Assumptions &amp; Results'!$C46)*(P$45-'Assumptions &amp; Results'!$C46-P53-P54-P55-P56-P57-P58-P59-P60-P61-P62)</f>
        <v>0</v>
      </c>
      <c r="Q52" s="146">
        <f>('Assumptions &amp; Results'!$C46&gt;0)*(Q$45&gt;'Assumptions &amp; Results'!$C46)*(Q$45-'Assumptions &amp; Results'!$C46-Q53-Q54-Q55-Q56-Q57-Q58-Q59-Q60-Q61-Q62)</f>
        <v>0</v>
      </c>
      <c r="R52" s="146">
        <f>('Assumptions &amp; Results'!$C46&gt;0)*(R$45&gt;'Assumptions &amp; Results'!$C46)*(R$45-'Assumptions &amp; Results'!$C46-R53-R54-R55-R56-R57-R58-R59-R60-R61-R62)</f>
        <v>0</v>
      </c>
      <c r="S52" s="146">
        <f>('Assumptions &amp; Results'!$C46&gt;0)*(S$45&gt;'Assumptions &amp; Results'!$C46)*(S$45-'Assumptions &amp; Results'!$C46-S53-S54-S55-S56-S57-S58-S59-S60-S61-S62)</f>
        <v>0</v>
      </c>
      <c r="T52" s="146">
        <f>('Assumptions &amp; Results'!$C46&gt;0)*(T$45&gt;'Assumptions &amp; Results'!$C46)*(T$45-'Assumptions &amp; Results'!$C46-T53-T54-T55-T56-T57-T58-T59-T60-T61-T62)</f>
        <v>0</v>
      </c>
      <c r="U52" s="146">
        <f>('Assumptions &amp; Results'!$C46&gt;0)*(U$45&gt;'Assumptions &amp; Results'!$C46)*(U$45-'Assumptions &amp; Results'!$C46-U53-U54-U55-U56-U57-U58-U59-U60-U61-U62)</f>
        <v>0</v>
      </c>
      <c r="V52" s="146">
        <f>('Assumptions &amp; Results'!$C46&gt;0)*(V$45&gt;'Assumptions &amp; Results'!$C46)*(V$45-'Assumptions &amp; Results'!$C46-V53-V54-V55-V56-V57-V58-V59-V60-V61-V62)</f>
        <v>0</v>
      </c>
      <c r="W52" s="146">
        <f>('Assumptions &amp; Results'!$C46&gt;0)*(W$45&gt;'Assumptions &amp; Results'!$C46)*(W$45-'Assumptions &amp; Results'!$C46-W53-W54-W55-W56-W57-W58-W59-W60-W61-W62)</f>
        <v>0</v>
      </c>
      <c r="X52" s="146">
        <f>('Assumptions &amp; Results'!$C46&gt;0)*(X$45&gt;'Assumptions &amp; Results'!$C46)*(X$45-'Assumptions &amp; Results'!$C46-X53-X54-X55-X56-X57-X58-X59-X60-X61-X62)</f>
        <v>0</v>
      </c>
      <c r="Y52" s="146">
        <f>('Assumptions &amp; Results'!$C46&gt;0)*(Y$45&gt;'Assumptions &amp; Results'!$C46)*(Y$45-'Assumptions &amp; Results'!$C46-Y53-Y54-Y55-Y56-Y57-Y58-Y59-Y60-Y61-Y62)</f>
        <v>0</v>
      </c>
      <c r="Z52" s="146">
        <f>('Assumptions &amp; Results'!$C46&gt;0)*(Z$45&gt;'Assumptions &amp; Results'!$C46)*(Z$45-'Assumptions &amp; Results'!$C46-Z53-Z54-Z55-Z56-Z57-Z58-Z59-Z60-Z61-Z62)</f>
        <v>0</v>
      </c>
      <c r="AA52" s="146">
        <f>('Assumptions &amp; Results'!$C46&gt;0)*(AA$45&gt;'Assumptions &amp; Results'!$C46)*(AA$45-'Assumptions &amp; Results'!$C46-AA53-AA54-AA55-AA56-AA57-AA58-AA59-AA60-AA61-AA62)</f>
        <v>0</v>
      </c>
      <c r="AB52" s="146">
        <f>('Assumptions &amp; Results'!$C46&gt;0)*(AB$45&gt;'Assumptions &amp; Results'!$C46)*(AB$45-'Assumptions &amp; Results'!$C46-AB53-AB54-AB55-AB56-AB57-AB58-AB59-AB60-AB61-AB62)</f>
        <v>0</v>
      </c>
      <c r="AC52" s="146">
        <f>('Assumptions &amp; Results'!$C46&gt;0)*(AC$45&gt;'Assumptions &amp; Results'!$C46)*(AC$45-'Assumptions &amp; Results'!$C46-AC53-AC54-AC55-AC56-AC57-AC58-AC59-AC60-AC61-AC62)</f>
        <v>0</v>
      </c>
      <c r="AD52" s="146">
        <f>('Assumptions &amp; Results'!$C46&gt;0)*(AD$45&gt;'Assumptions &amp; Results'!$C46)*(AD$45-'Assumptions &amp; Results'!$C46-AD53-AD54-AD55-AD56-AD57-AD58-AD59-AD60-AD61-AD62)</f>
        <v>0</v>
      </c>
      <c r="AE52" s="146">
        <f>('Assumptions &amp; Results'!$C46&gt;0)*(AE$45&gt;'Assumptions &amp; Results'!$C46)*(AE$45-'Assumptions &amp; Results'!$C46-AE53-AE54-AE55-AE56-AE57-AE58-AE59-AE60-AE61-AE62)</f>
        <v>0</v>
      </c>
      <c r="AF52" s="146">
        <f>('Assumptions &amp; Results'!$C46&gt;0)*(AF$45&gt;'Assumptions &amp; Results'!$C46)*(AF$45-'Assumptions &amp; Results'!$C46-AF53-AF54-AF55-AF56-AF57-AF58-AF59-AF60-AF61-AF62)</f>
        <v>0</v>
      </c>
      <c r="AG52" s="146">
        <f>('Assumptions &amp; Results'!$C46&gt;0)*(AG$45&gt;'Assumptions &amp; Results'!$C46)*(AG$45-'Assumptions &amp; Results'!$C46-AG53-AG54-AG55-AG56-AG57-AG58-AG59-AG60-AG61-AG62)</f>
        <v>0</v>
      </c>
      <c r="AH52" s="146">
        <f>('Assumptions &amp; Results'!$C46&gt;0)*(AH$45&gt;'Assumptions &amp; Results'!$C46)*(AH$45-'Assumptions &amp; Results'!$C46-AH53-AH54-AH55-AH56-AH57-AH58-AH59-AH60-AH61-AH62)</f>
        <v>0</v>
      </c>
      <c r="AI52" s="146">
        <f>('Assumptions &amp; Results'!$C46&gt;0)*(AI$45&gt;'Assumptions &amp; Results'!$C46)*(AI$45-'Assumptions &amp; Results'!$C46-AI53-AI54-AI55-AI56-AI57-AI58-AI59-AI60-AI61-AI62)</f>
        <v>0</v>
      </c>
      <c r="AJ52" s="146">
        <f>('Assumptions &amp; Results'!$C46&gt;0)*(AJ$45&gt;'Assumptions &amp; Results'!$C46)*(AJ$45-'Assumptions &amp; Results'!$C46-AJ53-AJ54-AJ55-AJ56-AJ57-AJ58-AJ59-AJ60-AJ61-AJ62)</f>
        <v>0</v>
      </c>
      <c r="AK52" s="146">
        <f>('Assumptions &amp; Results'!$C46&gt;0)*(AK$45&gt;'Assumptions &amp; Results'!$C46)*(AK$45-'Assumptions &amp; Results'!$C46-AK53-AK54-AK55-AK56-AK57-AK58-AK59-AK60-AK61-AK62)</f>
        <v>0</v>
      </c>
      <c r="AL52" s="146">
        <f>('Assumptions &amp; Results'!$C46&gt;0)*(AL$45&gt;'Assumptions &amp; Results'!$C46)*(AL$45-'Assumptions &amp; Results'!$C46-AL53-AL54-AL55-AL56-AL57-AL58-AL59-AL60-AL61-AL62)</f>
        <v>0</v>
      </c>
      <c r="AM52" s="146">
        <f>('Assumptions &amp; Results'!$C46&gt;0)*(AM$45&gt;'Assumptions &amp; Results'!$C46)*(AM$45-'Assumptions &amp; Results'!$C46-AM53-AM54-AM55-AM56-AM57-AM58-AM59-AM60-AM61-AM62)</f>
        <v>0</v>
      </c>
      <c r="AN52" s="146">
        <f>('Assumptions &amp; Results'!$C46&gt;0)*(AN$45&gt;'Assumptions &amp; Results'!$C46)*(AN$45-'Assumptions &amp; Results'!$C46-AN53-AN54-AN55-AN56-AN57-AN58-AN59-AN60-AN61-AN62)</f>
        <v>0</v>
      </c>
      <c r="AO52" s="146">
        <f>('Assumptions &amp; Results'!$C46&gt;0)*(AO$45&gt;'Assumptions &amp; Results'!$C46)*(AO$45-'Assumptions &amp; Results'!$C46-AO53-AO54-AO55-AO56-AO57-AO58-AO59-AO60-AO61-AO62)</f>
        <v>0</v>
      </c>
      <c r="AP52" s="146">
        <f>('Assumptions &amp; Results'!$C46&gt;0)*(AP$45&gt;'Assumptions &amp; Results'!$C46)*(AP$45-'Assumptions &amp; Results'!$C46-AP53-AP54-AP55-AP56-AP57-AP58-AP59-AP60-AP61-AP62)</f>
        <v>0</v>
      </c>
      <c r="AQ52" s="146">
        <f>('Assumptions &amp; Results'!$C46&gt;0)*(AQ$45&gt;'Assumptions &amp; Results'!$C46)*(AQ$45-'Assumptions &amp; Results'!$C46-AQ53-AQ54-AQ55-AQ56-AQ57-AQ58-AQ59-AQ60-AQ61-AQ62)</f>
        <v>0</v>
      </c>
      <c r="AR52" s="146">
        <f>('Assumptions &amp; Results'!$C46&gt;0)*(AR$45&gt;'Assumptions &amp; Results'!$C46)*(AR$45-'Assumptions &amp; Results'!$C46-AR53-AR54-AR55-AR56-AR57-AR58-AR59-AR60-AR61-AR62)</f>
        <v>0</v>
      </c>
      <c r="AS52" s="146">
        <f>('Assumptions &amp; Results'!$C46&gt;0)*(AS$45&gt;'Assumptions &amp; Results'!$C46)*(AS$45-'Assumptions &amp; Results'!$C46-AS53-AS54-AS55-AS56-AS57-AS58-AS59-AS60-AS61-AS62)</f>
        <v>0</v>
      </c>
      <c r="AT52" s="146">
        <f>('Assumptions &amp; Results'!$C46&gt;0)*(AT$45&gt;'Assumptions &amp; Results'!$C46)*(AT$45-'Assumptions &amp; Results'!$C46-AT53-AT54-AT55-AT56-AT57-AT58-AT59-AT60-AT61-AT62)</f>
        <v>0</v>
      </c>
      <c r="AU52" s="146">
        <f>('Assumptions &amp; Results'!$C46&gt;0)*(AU$45&gt;'Assumptions &amp; Results'!$C46)*(AU$45-'Assumptions &amp; Results'!$C46-AU53-AU54-AU55-AU56-AU57-AU58-AU59-AU60-AU61-AU62)</f>
        <v>0</v>
      </c>
      <c r="AV52" s="146">
        <f>('Assumptions &amp; Results'!$C46&gt;0)*(AV$45&gt;'Assumptions &amp; Results'!$C46)*(AV$45-'Assumptions &amp; Results'!$C46-AV53-AV54-AV55-AV56-AV57-AV58-AV59-AV60-AV61-AV62)</f>
        <v>0</v>
      </c>
      <c r="AW52" s="146">
        <f>('Assumptions &amp; Results'!$C46&gt;0)*(AW$45&gt;'Assumptions &amp; Results'!$C46)*(AW$45-'Assumptions &amp; Results'!$C46-AW53-AW54-AW55-AW56-AW57-AW58-AW59-AW60-AW61-AW62)</f>
        <v>0</v>
      </c>
      <c r="AX52" s="146">
        <f>('Assumptions &amp; Results'!$C46&gt;0)*(AX$45&gt;'Assumptions &amp; Results'!$C46)*(AX$45-'Assumptions &amp; Results'!$C46-AX53-AX54-AX55-AX56-AX57-AX58-AX59-AX60-AX61-AX62)</f>
        <v>0</v>
      </c>
      <c r="AY52" s="146">
        <f>('Assumptions &amp; Results'!$C46&gt;0)*(AY$45&gt;'Assumptions &amp; Results'!$C46)*(AY$45-'Assumptions &amp; Results'!$C46-AY53-AY54-AY55-AY56-AY57-AY58-AY59-AY60-AY61-AY62)</f>
        <v>0</v>
      </c>
      <c r="AZ52" s="146">
        <f>('Assumptions &amp; Results'!$C46&gt;0)*(AZ$45&gt;'Assumptions &amp; Results'!$C46)*(AZ$45-'Assumptions &amp; Results'!$C46-AZ53-AZ54-AZ55-AZ56-AZ57-AZ58-AZ59-AZ60-AZ61-AZ62)</f>
        <v>0</v>
      </c>
      <c r="BA52" s="146">
        <f>('Assumptions &amp; Results'!$C46&gt;0)*(BA$45&gt;'Assumptions &amp; Results'!$C46)*(BA$45-'Assumptions &amp; Results'!$C46-BA53-BA54-BA55-BA56-BA57-BA58-BA59-BA60-BA61-BA62)</f>
        <v>0</v>
      </c>
      <c r="BB52" s="146">
        <f>('Assumptions &amp; Results'!$C46&gt;0)*(BB$45&gt;'Assumptions &amp; Results'!$C46)*(BB$45-'Assumptions &amp; Results'!$C46-BB53-BB54-BB55-BB56-BB57-BB58-BB59-BB60-BB61-BB62)</f>
        <v>0</v>
      </c>
      <c r="BC52" s="38"/>
      <c r="BD52" s="38"/>
    </row>
    <row r="53" spans="1:56" x14ac:dyDescent="0.2">
      <c r="A53" s="37"/>
      <c r="B53" s="37"/>
      <c r="C53" s="98" t="s">
        <v>297</v>
      </c>
      <c r="D53" s="36" t="s">
        <v>33</v>
      </c>
      <c r="E53" s="146">
        <f>('Assumptions &amp; Results'!$C47&gt;0)*(E$45&gt;'Assumptions &amp; Results'!$C47)*(E$45-'Assumptions &amp; Results'!$C47-E54-E55-E56-E57-E58-E59-E60-E61-E62)</f>
        <v>0</v>
      </c>
      <c r="F53" s="146">
        <f>('Assumptions &amp; Results'!$C47&gt;0)*(F$45&gt;'Assumptions &amp; Results'!$C47)*(F$45-'Assumptions &amp; Results'!$C47-F54-F55-F56-F57-F58-F59-F60-F61-F62)</f>
        <v>0</v>
      </c>
      <c r="G53" s="146">
        <f>('Assumptions &amp; Results'!$C47&gt;0)*(G$45&gt;'Assumptions &amp; Results'!$C47)*(G$45-'Assumptions &amp; Results'!$C47-G54-G55-G56-G57-G58-G59-G60-G61-G62)</f>
        <v>0</v>
      </c>
      <c r="H53" s="146">
        <f>('Assumptions &amp; Results'!$C47&gt;0)*(H$45&gt;'Assumptions &amp; Results'!$C47)*(H$45-'Assumptions &amp; Results'!$C47-H54-H55-H56-H57-H58-H59-H60-H61-H62)</f>
        <v>0</v>
      </c>
      <c r="I53" s="146">
        <f>('Assumptions &amp; Results'!$C47&gt;0)*(I$45&gt;'Assumptions &amp; Results'!$C47)*(I$45-'Assumptions &amp; Results'!$C47-I54-I55-I56-I57-I58-I59-I60-I61-I62)</f>
        <v>0</v>
      </c>
      <c r="J53" s="146">
        <f>('Assumptions &amp; Results'!$C47&gt;0)*(J$45&gt;'Assumptions &amp; Results'!$C47)*(J$45-'Assumptions &amp; Results'!$C47-J54-J55-J56-J57-J58-J59-J60-J61-J62)</f>
        <v>0</v>
      </c>
      <c r="K53" s="146">
        <f>('Assumptions &amp; Results'!$C47&gt;0)*(K$45&gt;'Assumptions &amp; Results'!$C47)*(K$45-'Assumptions &amp; Results'!$C47-K54-K55-K56-K57-K58-K59-K60-K61-K62)</f>
        <v>0</v>
      </c>
      <c r="L53" s="146">
        <f>('Assumptions &amp; Results'!$C47&gt;0)*(L$45&gt;'Assumptions &amp; Results'!$C47)*(L$45-'Assumptions &amp; Results'!$C47-L54-L55-L56-L57-L58-L59-L60-L61-L62)</f>
        <v>0</v>
      </c>
      <c r="M53" s="146">
        <f>('Assumptions &amp; Results'!$C47&gt;0)*(M$45&gt;'Assumptions &amp; Results'!$C47)*(M$45-'Assumptions &amp; Results'!$C47-M54-M55-M56-M57-M58-M59-M60-M61-M62)</f>
        <v>0</v>
      </c>
      <c r="N53" s="146">
        <f>('Assumptions &amp; Results'!$C47&gt;0)*(N$45&gt;'Assumptions &amp; Results'!$C47)*(N$45-'Assumptions &amp; Results'!$C47-N54-N55-N56-N57-N58-N59-N60-N61-N62)</f>
        <v>0</v>
      </c>
      <c r="O53" s="146">
        <f>('Assumptions &amp; Results'!$C47&gt;0)*(O$45&gt;'Assumptions &amp; Results'!$C47)*(O$45-'Assumptions &amp; Results'!$C47-O54-O55-O56-O57-O58-O59-O60-O61-O62)</f>
        <v>0</v>
      </c>
      <c r="P53" s="146">
        <f>('Assumptions &amp; Results'!$C47&gt;0)*(P$45&gt;'Assumptions &amp; Results'!$C47)*(P$45-'Assumptions &amp; Results'!$C47-P54-P55-P56-P57-P58-P59-P60-P61-P62)</f>
        <v>0</v>
      </c>
      <c r="Q53" s="146">
        <f>('Assumptions &amp; Results'!$C47&gt;0)*(Q$45&gt;'Assumptions &amp; Results'!$C47)*(Q$45-'Assumptions &amp; Results'!$C47-Q54-Q55-Q56-Q57-Q58-Q59-Q60-Q61-Q62)</f>
        <v>0</v>
      </c>
      <c r="R53" s="146">
        <f>('Assumptions &amp; Results'!$C47&gt;0)*(R$45&gt;'Assumptions &amp; Results'!$C47)*(R$45-'Assumptions &amp; Results'!$C47-R54-R55-R56-R57-R58-R59-R60-R61-R62)</f>
        <v>0</v>
      </c>
      <c r="S53" s="146">
        <f>('Assumptions &amp; Results'!$C47&gt;0)*(S$45&gt;'Assumptions &amp; Results'!$C47)*(S$45-'Assumptions &amp; Results'!$C47-S54-S55-S56-S57-S58-S59-S60-S61-S62)</f>
        <v>0</v>
      </c>
      <c r="T53" s="146">
        <f>('Assumptions &amp; Results'!$C47&gt;0)*(T$45&gt;'Assumptions &amp; Results'!$C47)*(T$45-'Assumptions &amp; Results'!$C47-T54-T55-T56-T57-T58-T59-T60-T61-T62)</f>
        <v>0</v>
      </c>
      <c r="U53" s="146">
        <f>('Assumptions &amp; Results'!$C47&gt;0)*(U$45&gt;'Assumptions &amp; Results'!$C47)*(U$45-'Assumptions &amp; Results'!$C47-U54-U55-U56-U57-U58-U59-U60-U61-U62)</f>
        <v>0</v>
      </c>
      <c r="V53" s="146">
        <f>('Assumptions &amp; Results'!$C47&gt;0)*(V$45&gt;'Assumptions &amp; Results'!$C47)*(V$45-'Assumptions &amp; Results'!$C47-V54-V55-V56-V57-V58-V59-V60-V61-V62)</f>
        <v>0</v>
      </c>
      <c r="W53" s="146">
        <f>('Assumptions &amp; Results'!$C47&gt;0)*(W$45&gt;'Assumptions &amp; Results'!$C47)*(W$45-'Assumptions &amp; Results'!$C47-W54-W55-W56-W57-W58-W59-W60-W61-W62)</f>
        <v>0</v>
      </c>
      <c r="X53" s="146">
        <f>('Assumptions &amp; Results'!$C47&gt;0)*(X$45&gt;'Assumptions &amp; Results'!$C47)*(X$45-'Assumptions &amp; Results'!$C47-X54-X55-X56-X57-X58-X59-X60-X61-X62)</f>
        <v>0</v>
      </c>
      <c r="Y53" s="146">
        <f>('Assumptions &amp; Results'!$C47&gt;0)*(Y$45&gt;'Assumptions &amp; Results'!$C47)*(Y$45-'Assumptions &amp; Results'!$C47-Y54-Y55-Y56-Y57-Y58-Y59-Y60-Y61-Y62)</f>
        <v>0</v>
      </c>
      <c r="Z53" s="146">
        <f>('Assumptions &amp; Results'!$C47&gt;0)*(Z$45&gt;'Assumptions &amp; Results'!$C47)*(Z$45-'Assumptions &amp; Results'!$C47-Z54-Z55-Z56-Z57-Z58-Z59-Z60-Z61-Z62)</f>
        <v>0</v>
      </c>
      <c r="AA53" s="146">
        <f>('Assumptions &amp; Results'!$C47&gt;0)*(AA$45&gt;'Assumptions &amp; Results'!$C47)*(AA$45-'Assumptions &amp; Results'!$C47-AA54-AA55-AA56-AA57-AA58-AA59-AA60-AA61-AA62)</f>
        <v>0</v>
      </c>
      <c r="AB53" s="146">
        <f>('Assumptions &amp; Results'!$C47&gt;0)*(AB$45&gt;'Assumptions &amp; Results'!$C47)*(AB$45-'Assumptions &amp; Results'!$C47-AB54-AB55-AB56-AB57-AB58-AB59-AB60-AB61-AB62)</f>
        <v>0</v>
      </c>
      <c r="AC53" s="146">
        <f>('Assumptions &amp; Results'!$C47&gt;0)*(AC$45&gt;'Assumptions &amp; Results'!$C47)*(AC$45-'Assumptions &amp; Results'!$C47-AC54-AC55-AC56-AC57-AC58-AC59-AC60-AC61-AC62)</f>
        <v>0</v>
      </c>
      <c r="AD53" s="146">
        <f>('Assumptions &amp; Results'!$C47&gt;0)*(AD$45&gt;'Assumptions &amp; Results'!$C47)*(AD$45-'Assumptions &amp; Results'!$C47-AD54-AD55-AD56-AD57-AD58-AD59-AD60-AD61-AD62)</f>
        <v>0</v>
      </c>
      <c r="AE53" s="146">
        <f>('Assumptions &amp; Results'!$C47&gt;0)*(AE$45&gt;'Assumptions &amp; Results'!$C47)*(AE$45-'Assumptions &amp; Results'!$C47-AE54-AE55-AE56-AE57-AE58-AE59-AE60-AE61-AE62)</f>
        <v>0</v>
      </c>
      <c r="AF53" s="146">
        <f>('Assumptions &amp; Results'!$C47&gt;0)*(AF$45&gt;'Assumptions &amp; Results'!$C47)*(AF$45-'Assumptions &amp; Results'!$C47-AF54-AF55-AF56-AF57-AF58-AF59-AF60-AF61-AF62)</f>
        <v>0</v>
      </c>
      <c r="AG53" s="146">
        <f>('Assumptions &amp; Results'!$C47&gt;0)*(AG$45&gt;'Assumptions &amp; Results'!$C47)*(AG$45-'Assumptions &amp; Results'!$C47-AG54-AG55-AG56-AG57-AG58-AG59-AG60-AG61-AG62)</f>
        <v>0</v>
      </c>
      <c r="AH53" s="146">
        <f>('Assumptions &amp; Results'!$C47&gt;0)*(AH$45&gt;'Assumptions &amp; Results'!$C47)*(AH$45-'Assumptions &amp; Results'!$C47-AH54-AH55-AH56-AH57-AH58-AH59-AH60-AH61-AH62)</f>
        <v>0</v>
      </c>
      <c r="AI53" s="146">
        <f>('Assumptions &amp; Results'!$C47&gt;0)*(AI$45&gt;'Assumptions &amp; Results'!$C47)*(AI$45-'Assumptions &amp; Results'!$C47-AI54-AI55-AI56-AI57-AI58-AI59-AI60-AI61-AI62)</f>
        <v>0</v>
      </c>
      <c r="AJ53" s="146">
        <f>('Assumptions &amp; Results'!$C47&gt;0)*(AJ$45&gt;'Assumptions &amp; Results'!$C47)*(AJ$45-'Assumptions &amp; Results'!$C47-AJ54-AJ55-AJ56-AJ57-AJ58-AJ59-AJ60-AJ61-AJ62)</f>
        <v>0</v>
      </c>
      <c r="AK53" s="146">
        <f>('Assumptions &amp; Results'!$C47&gt;0)*(AK$45&gt;'Assumptions &amp; Results'!$C47)*(AK$45-'Assumptions &amp; Results'!$C47-AK54-AK55-AK56-AK57-AK58-AK59-AK60-AK61-AK62)</f>
        <v>0</v>
      </c>
      <c r="AL53" s="146">
        <f>('Assumptions &amp; Results'!$C47&gt;0)*(AL$45&gt;'Assumptions &amp; Results'!$C47)*(AL$45-'Assumptions &amp; Results'!$C47-AL54-AL55-AL56-AL57-AL58-AL59-AL60-AL61-AL62)</f>
        <v>0</v>
      </c>
      <c r="AM53" s="146">
        <f>('Assumptions &amp; Results'!$C47&gt;0)*(AM$45&gt;'Assumptions &amp; Results'!$C47)*(AM$45-'Assumptions &amp; Results'!$C47-AM54-AM55-AM56-AM57-AM58-AM59-AM60-AM61-AM62)</f>
        <v>0</v>
      </c>
      <c r="AN53" s="146">
        <f>('Assumptions &amp; Results'!$C47&gt;0)*(AN$45&gt;'Assumptions &amp; Results'!$C47)*(AN$45-'Assumptions &amp; Results'!$C47-AN54-AN55-AN56-AN57-AN58-AN59-AN60-AN61-AN62)</f>
        <v>0</v>
      </c>
      <c r="AO53" s="146">
        <f>('Assumptions &amp; Results'!$C47&gt;0)*(AO$45&gt;'Assumptions &amp; Results'!$C47)*(AO$45-'Assumptions &amp; Results'!$C47-AO54-AO55-AO56-AO57-AO58-AO59-AO60-AO61-AO62)</f>
        <v>0</v>
      </c>
      <c r="AP53" s="146">
        <f>('Assumptions &amp; Results'!$C47&gt;0)*(AP$45&gt;'Assumptions &amp; Results'!$C47)*(AP$45-'Assumptions &amp; Results'!$C47-AP54-AP55-AP56-AP57-AP58-AP59-AP60-AP61-AP62)</f>
        <v>0</v>
      </c>
      <c r="AQ53" s="146">
        <f>('Assumptions &amp; Results'!$C47&gt;0)*(AQ$45&gt;'Assumptions &amp; Results'!$C47)*(AQ$45-'Assumptions &amp; Results'!$C47-AQ54-AQ55-AQ56-AQ57-AQ58-AQ59-AQ60-AQ61-AQ62)</f>
        <v>0</v>
      </c>
      <c r="AR53" s="146">
        <f>('Assumptions &amp; Results'!$C47&gt;0)*(AR$45&gt;'Assumptions &amp; Results'!$C47)*(AR$45-'Assumptions &amp; Results'!$C47-AR54-AR55-AR56-AR57-AR58-AR59-AR60-AR61-AR62)</f>
        <v>0</v>
      </c>
      <c r="AS53" s="146">
        <f>('Assumptions &amp; Results'!$C47&gt;0)*(AS$45&gt;'Assumptions &amp; Results'!$C47)*(AS$45-'Assumptions &amp; Results'!$C47-AS54-AS55-AS56-AS57-AS58-AS59-AS60-AS61-AS62)</f>
        <v>0</v>
      </c>
      <c r="AT53" s="146">
        <f>('Assumptions &amp; Results'!$C47&gt;0)*(AT$45&gt;'Assumptions &amp; Results'!$C47)*(AT$45-'Assumptions &amp; Results'!$C47-AT54-AT55-AT56-AT57-AT58-AT59-AT60-AT61-AT62)</f>
        <v>0</v>
      </c>
      <c r="AU53" s="146">
        <f>('Assumptions &amp; Results'!$C47&gt;0)*(AU$45&gt;'Assumptions &amp; Results'!$C47)*(AU$45-'Assumptions &amp; Results'!$C47-AU54-AU55-AU56-AU57-AU58-AU59-AU60-AU61-AU62)</f>
        <v>0</v>
      </c>
      <c r="AV53" s="146">
        <f>('Assumptions &amp; Results'!$C47&gt;0)*(AV$45&gt;'Assumptions &amp; Results'!$C47)*(AV$45-'Assumptions &amp; Results'!$C47-AV54-AV55-AV56-AV57-AV58-AV59-AV60-AV61-AV62)</f>
        <v>0</v>
      </c>
      <c r="AW53" s="146">
        <f>('Assumptions &amp; Results'!$C47&gt;0)*(AW$45&gt;'Assumptions &amp; Results'!$C47)*(AW$45-'Assumptions &amp; Results'!$C47-AW54-AW55-AW56-AW57-AW58-AW59-AW60-AW61-AW62)</f>
        <v>0</v>
      </c>
      <c r="AX53" s="146">
        <f>('Assumptions &amp; Results'!$C47&gt;0)*(AX$45&gt;'Assumptions &amp; Results'!$C47)*(AX$45-'Assumptions &amp; Results'!$C47-AX54-AX55-AX56-AX57-AX58-AX59-AX60-AX61-AX62)</f>
        <v>0</v>
      </c>
      <c r="AY53" s="146">
        <f>('Assumptions &amp; Results'!$C47&gt;0)*(AY$45&gt;'Assumptions &amp; Results'!$C47)*(AY$45-'Assumptions &amp; Results'!$C47-AY54-AY55-AY56-AY57-AY58-AY59-AY60-AY61-AY62)</f>
        <v>0</v>
      </c>
      <c r="AZ53" s="146">
        <f>('Assumptions &amp; Results'!$C47&gt;0)*(AZ$45&gt;'Assumptions &amp; Results'!$C47)*(AZ$45-'Assumptions &amp; Results'!$C47-AZ54-AZ55-AZ56-AZ57-AZ58-AZ59-AZ60-AZ61-AZ62)</f>
        <v>0</v>
      </c>
      <c r="BA53" s="146">
        <f>('Assumptions &amp; Results'!$C47&gt;0)*(BA$45&gt;'Assumptions &amp; Results'!$C47)*(BA$45-'Assumptions &amp; Results'!$C47-BA54-BA55-BA56-BA57-BA58-BA59-BA60-BA61-BA62)</f>
        <v>0</v>
      </c>
      <c r="BB53" s="146">
        <f>('Assumptions &amp; Results'!$C47&gt;0)*(BB$45&gt;'Assumptions &amp; Results'!$C47)*(BB$45-'Assumptions &amp; Results'!$C47-BB54-BB55-BB56-BB57-BB58-BB59-BB60-BB61-BB62)</f>
        <v>0</v>
      </c>
      <c r="BC53" s="38"/>
      <c r="BD53" s="38"/>
    </row>
    <row r="54" spans="1:56" x14ac:dyDescent="0.2">
      <c r="A54" s="37"/>
      <c r="B54" s="37"/>
      <c r="C54" s="98" t="s">
        <v>318</v>
      </c>
      <c r="D54" s="36" t="s">
        <v>33</v>
      </c>
      <c r="E54" s="146">
        <f>('Assumptions &amp; Results'!$C48&gt;0)*(E$45&gt;'Assumptions &amp; Results'!$C48)*(E$45-'Assumptions &amp; Results'!$C48-E55-E56-E57-E58-E59-E60-E61-E62)</f>
        <v>0</v>
      </c>
      <c r="F54" s="146">
        <f>('Assumptions &amp; Results'!$C48&gt;0)*(F$45&gt;'Assumptions &amp; Results'!$C48)*(F$45-'Assumptions &amp; Results'!$C48-F55-F56-F57-F58-F59-F60-F61-F62)</f>
        <v>0</v>
      </c>
      <c r="G54" s="146">
        <f>('Assumptions &amp; Results'!$C48&gt;0)*(G$45&gt;'Assumptions &amp; Results'!$C48)*(G$45-'Assumptions &amp; Results'!$C48-G55-G56-G57-G58-G59-G60-G61-G62)</f>
        <v>0</v>
      </c>
      <c r="H54" s="146">
        <f>('Assumptions &amp; Results'!$C48&gt;0)*(H$45&gt;'Assumptions &amp; Results'!$C48)*(H$45-'Assumptions &amp; Results'!$C48-H55-H56-H57-H58-H59-H60-H61-H62)</f>
        <v>0</v>
      </c>
      <c r="I54" s="146">
        <f>('Assumptions &amp; Results'!$C48&gt;0)*(I$45&gt;'Assumptions &amp; Results'!$C48)*(I$45-'Assumptions &amp; Results'!$C48-I55-I56-I57-I58-I59-I60-I61-I62)</f>
        <v>0</v>
      </c>
      <c r="J54" s="146">
        <f>('Assumptions &amp; Results'!$C48&gt;0)*(J$45&gt;'Assumptions &amp; Results'!$C48)*(J$45-'Assumptions &amp; Results'!$C48-J55-J56-J57-J58-J59-J60-J61-J62)</f>
        <v>0</v>
      </c>
      <c r="K54" s="146">
        <f>('Assumptions &amp; Results'!$C48&gt;0)*(K$45&gt;'Assumptions &amp; Results'!$C48)*(K$45-'Assumptions &amp; Results'!$C48-K55-K56-K57-K58-K59-K60-K61-K62)</f>
        <v>0</v>
      </c>
      <c r="L54" s="146">
        <f>('Assumptions &amp; Results'!$C48&gt;0)*(L$45&gt;'Assumptions &amp; Results'!$C48)*(L$45-'Assumptions &amp; Results'!$C48-L55-L56-L57-L58-L59-L60-L61-L62)</f>
        <v>0</v>
      </c>
      <c r="M54" s="146">
        <f>('Assumptions &amp; Results'!$C48&gt;0)*(M$45&gt;'Assumptions &amp; Results'!$C48)*(M$45-'Assumptions &amp; Results'!$C48-M55-M56-M57-M58-M59-M60-M61-M62)</f>
        <v>0</v>
      </c>
      <c r="N54" s="146">
        <f>('Assumptions &amp; Results'!$C48&gt;0)*(N$45&gt;'Assumptions &amp; Results'!$C48)*(N$45-'Assumptions &amp; Results'!$C48-N55-N56-N57-N58-N59-N60-N61-N62)</f>
        <v>0</v>
      </c>
      <c r="O54" s="146">
        <f>('Assumptions &amp; Results'!$C48&gt;0)*(O$45&gt;'Assumptions &amp; Results'!$C48)*(O$45-'Assumptions &amp; Results'!$C48-O55-O56-O57-O58-O59-O60-O61-O62)</f>
        <v>0</v>
      </c>
      <c r="P54" s="146">
        <f>('Assumptions &amp; Results'!$C48&gt;0)*(P$45&gt;'Assumptions &amp; Results'!$C48)*(P$45-'Assumptions &amp; Results'!$C48-P55-P56-P57-P58-P59-P60-P61-P62)</f>
        <v>0</v>
      </c>
      <c r="Q54" s="146">
        <f>('Assumptions &amp; Results'!$C48&gt;0)*(Q$45&gt;'Assumptions &amp; Results'!$C48)*(Q$45-'Assumptions &amp; Results'!$C48-Q55-Q56-Q57-Q58-Q59-Q60-Q61-Q62)</f>
        <v>0</v>
      </c>
      <c r="R54" s="146">
        <f>('Assumptions &amp; Results'!$C48&gt;0)*(R$45&gt;'Assumptions &amp; Results'!$C48)*(R$45-'Assumptions &amp; Results'!$C48-R55-R56-R57-R58-R59-R60-R61-R62)</f>
        <v>0</v>
      </c>
      <c r="S54" s="146">
        <f>('Assumptions &amp; Results'!$C48&gt;0)*(S$45&gt;'Assumptions &amp; Results'!$C48)*(S$45-'Assumptions &amp; Results'!$C48-S55-S56-S57-S58-S59-S60-S61-S62)</f>
        <v>0</v>
      </c>
      <c r="T54" s="146">
        <f>('Assumptions &amp; Results'!$C48&gt;0)*(T$45&gt;'Assumptions &amp; Results'!$C48)*(T$45-'Assumptions &amp; Results'!$C48-T55-T56-T57-T58-T59-T60-T61-T62)</f>
        <v>0</v>
      </c>
      <c r="U54" s="146">
        <f>('Assumptions &amp; Results'!$C48&gt;0)*(U$45&gt;'Assumptions &amp; Results'!$C48)*(U$45-'Assumptions &amp; Results'!$C48-U55-U56-U57-U58-U59-U60-U61-U62)</f>
        <v>0</v>
      </c>
      <c r="V54" s="146">
        <f>('Assumptions &amp; Results'!$C48&gt;0)*(V$45&gt;'Assumptions &amp; Results'!$C48)*(V$45-'Assumptions &amp; Results'!$C48-V55-V56-V57-V58-V59-V60-V61-V62)</f>
        <v>0</v>
      </c>
      <c r="W54" s="146">
        <f>('Assumptions &amp; Results'!$C48&gt;0)*(W$45&gt;'Assumptions &amp; Results'!$C48)*(W$45-'Assumptions &amp; Results'!$C48-W55-W56-W57-W58-W59-W60-W61-W62)</f>
        <v>0</v>
      </c>
      <c r="X54" s="146">
        <f>('Assumptions &amp; Results'!$C48&gt;0)*(X$45&gt;'Assumptions &amp; Results'!$C48)*(X$45-'Assumptions &amp; Results'!$C48-X55-X56-X57-X58-X59-X60-X61-X62)</f>
        <v>0</v>
      </c>
      <c r="Y54" s="146">
        <f>('Assumptions &amp; Results'!$C48&gt;0)*(Y$45&gt;'Assumptions &amp; Results'!$C48)*(Y$45-'Assumptions &amp; Results'!$C48-Y55-Y56-Y57-Y58-Y59-Y60-Y61-Y62)</f>
        <v>0</v>
      </c>
      <c r="Z54" s="146">
        <f>('Assumptions &amp; Results'!$C48&gt;0)*(Z$45&gt;'Assumptions &amp; Results'!$C48)*(Z$45-'Assumptions &amp; Results'!$C48-Z55-Z56-Z57-Z58-Z59-Z60-Z61-Z62)</f>
        <v>0</v>
      </c>
      <c r="AA54" s="146">
        <f>('Assumptions &amp; Results'!$C48&gt;0)*(AA$45&gt;'Assumptions &amp; Results'!$C48)*(AA$45-'Assumptions &amp; Results'!$C48-AA55-AA56-AA57-AA58-AA59-AA60-AA61-AA62)</f>
        <v>0</v>
      </c>
      <c r="AB54" s="146">
        <f>('Assumptions &amp; Results'!$C48&gt;0)*(AB$45&gt;'Assumptions &amp; Results'!$C48)*(AB$45-'Assumptions &amp; Results'!$C48-AB55-AB56-AB57-AB58-AB59-AB60-AB61-AB62)</f>
        <v>0</v>
      </c>
      <c r="AC54" s="146">
        <f>('Assumptions &amp; Results'!$C48&gt;0)*(AC$45&gt;'Assumptions &amp; Results'!$C48)*(AC$45-'Assumptions &amp; Results'!$C48-AC55-AC56-AC57-AC58-AC59-AC60-AC61-AC62)</f>
        <v>0</v>
      </c>
      <c r="AD54" s="146">
        <f>('Assumptions &amp; Results'!$C48&gt;0)*(AD$45&gt;'Assumptions &amp; Results'!$C48)*(AD$45-'Assumptions &amp; Results'!$C48-AD55-AD56-AD57-AD58-AD59-AD60-AD61-AD62)</f>
        <v>0</v>
      </c>
      <c r="AE54" s="146">
        <f>('Assumptions &amp; Results'!$C48&gt;0)*(AE$45&gt;'Assumptions &amp; Results'!$C48)*(AE$45-'Assumptions &amp; Results'!$C48-AE55-AE56-AE57-AE58-AE59-AE60-AE61-AE62)</f>
        <v>0</v>
      </c>
      <c r="AF54" s="146">
        <f>('Assumptions &amp; Results'!$C48&gt;0)*(AF$45&gt;'Assumptions &amp; Results'!$C48)*(AF$45-'Assumptions &amp; Results'!$C48-AF55-AF56-AF57-AF58-AF59-AF60-AF61-AF62)</f>
        <v>0</v>
      </c>
      <c r="AG54" s="146">
        <f>('Assumptions &amp; Results'!$C48&gt;0)*(AG$45&gt;'Assumptions &amp; Results'!$C48)*(AG$45-'Assumptions &amp; Results'!$C48-AG55-AG56-AG57-AG58-AG59-AG60-AG61-AG62)</f>
        <v>0</v>
      </c>
      <c r="AH54" s="146">
        <f>('Assumptions &amp; Results'!$C48&gt;0)*(AH$45&gt;'Assumptions &amp; Results'!$C48)*(AH$45-'Assumptions &amp; Results'!$C48-AH55-AH56-AH57-AH58-AH59-AH60-AH61-AH62)</f>
        <v>0</v>
      </c>
      <c r="AI54" s="146">
        <f>('Assumptions &amp; Results'!$C48&gt;0)*(AI$45&gt;'Assumptions &amp; Results'!$C48)*(AI$45-'Assumptions &amp; Results'!$C48-AI55-AI56-AI57-AI58-AI59-AI60-AI61-AI62)</f>
        <v>0</v>
      </c>
      <c r="AJ54" s="146">
        <f>('Assumptions &amp; Results'!$C48&gt;0)*(AJ$45&gt;'Assumptions &amp; Results'!$C48)*(AJ$45-'Assumptions &amp; Results'!$C48-AJ55-AJ56-AJ57-AJ58-AJ59-AJ60-AJ61-AJ62)</f>
        <v>0</v>
      </c>
      <c r="AK54" s="146">
        <f>('Assumptions &amp; Results'!$C48&gt;0)*(AK$45&gt;'Assumptions &amp; Results'!$C48)*(AK$45-'Assumptions &amp; Results'!$C48-AK55-AK56-AK57-AK58-AK59-AK60-AK61-AK62)</f>
        <v>0</v>
      </c>
      <c r="AL54" s="146">
        <f>('Assumptions &amp; Results'!$C48&gt;0)*(AL$45&gt;'Assumptions &amp; Results'!$C48)*(AL$45-'Assumptions &amp; Results'!$C48-AL55-AL56-AL57-AL58-AL59-AL60-AL61-AL62)</f>
        <v>0</v>
      </c>
      <c r="AM54" s="146">
        <f>('Assumptions &amp; Results'!$C48&gt;0)*(AM$45&gt;'Assumptions &amp; Results'!$C48)*(AM$45-'Assumptions &amp; Results'!$C48-AM55-AM56-AM57-AM58-AM59-AM60-AM61-AM62)</f>
        <v>0</v>
      </c>
      <c r="AN54" s="146">
        <f>('Assumptions &amp; Results'!$C48&gt;0)*(AN$45&gt;'Assumptions &amp; Results'!$C48)*(AN$45-'Assumptions &amp; Results'!$C48-AN55-AN56-AN57-AN58-AN59-AN60-AN61-AN62)</f>
        <v>0</v>
      </c>
      <c r="AO54" s="146">
        <f>('Assumptions &amp; Results'!$C48&gt;0)*(AO$45&gt;'Assumptions &amp; Results'!$C48)*(AO$45-'Assumptions &amp; Results'!$C48-AO55-AO56-AO57-AO58-AO59-AO60-AO61-AO62)</f>
        <v>0</v>
      </c>
      <c r="AP54" s="146">
        <f>('Assumptions &amp; Results'!$C48&gt;0)*(AP$45&gt;'Assumptions &amp; Results'!$C48)*(AP$45-'Assumptions &amp; Results'!$C48-AP55-AP56-AP57-AP58-AP59-AP60-AP61-AP62)</f>
        <v>0</v>
      </c>
      <c r="AQ54" s="146">
        <f>('Assumptions &amp; Results'!$C48&gt;0)*(AQ$45&gt;'Assumptions &amp; Results'!$C48)*(AQ$45-'Assumptions &amp; Results'!$C48-AQ55-AQ56-AQ57-AQ58-AQ59-AQ60-AQ61-AQ62)</f>
        <v>0</v>
      </c>
      <c r="AR54" s="146">
        <f>('Assumptions &amp; Results'!$C48&gt;0)*(AR$45&gt;'Assumptions &amp; Results'!$C48)*(AR$45-'Assumptions &amp; Results'!$C48-AR55-AR56-AR57-AR58-AR59-AR60-AR61-AR62)</f>
        <v>0</v>
      </c>
      <c r="AS54" s="146">
        <f>('Assumptions &amp; Results'!$C48&gt;0)*(AS$45&gt;'Assumptions &amp; Results'!$C48)*(AS$45-'Assumptions &amp; Results'!$C48-AS55-AS56-AS57-AS58-AS59-AS60-AS61-AS62)</f>
        <v>0</v>
      </c>
      <c r="AT54" s="146">
        <f>('Assumptions &amp; Results'!$C48&gt;0)*(AT$45&gt;'Assumptions &amp; Results'!$C48)*(AT$45-'Assumptions &amp; Results'!$C48-AT55-AT56-AT57-AT58-AT59-AT60-AT61-AT62)</f>
        <v>0</v>
      </c>
      <c r="AU54" s="146">
        <f>('Assumptions &amp; Results'!$C48&gt;0)*(AU$45&gt;'Assumptions &amp; Results'!$C48)*(AU$45-'Assumptions &amp; Results'!$C48-AU55-AU56-AU57-AU58-AU59-AU60-AU61-AU62)</f>
        <v>0</v>
      </c>
      <c r="AV54" s="146">
        <f>('Assumptions &amp; Results'!$C48&gt;0)*(AV$45&gt;'Assumptions &amp; Results'!$C48)*(AV$45-'Assumptions &amp; Results'!$C48-AV55-AV56-AV57-AV58-AV59-AV60-AV61-AV62)</f>
        <v>0</v>
      </c>
      <c r="AW54" s="146">
        <f>('Assumptions &amp; Results'!$C48&gt;0)*(AW$45&gt;'Assumptions &amp; Results'!$C48)*(AW$45-'Assumptions &amp; Results'!$C48-AW55-AW56-AW57-AW58-AW59-AW60-AW61-AW62)</f>
        <v>0</v>
      </c>
      <c r="AX54" s="146">
        <f>('Assumptions &amp; Results'!$C48&gt;0)*(AX$45&gt;'Assumptions &amp; Results'!$C48)*(AX$45-'Assumptions &amp; Results'!$C48-AX55-AX56-AX57-AX58-AX59-AX60-AX61-AX62)</f>
        <v>0</v>
      </c>
      <c r="AY54" s="146">
        <f>('Assumptions &amp; Results'!$C48&gt;0)*(AY$45&gt;'Assumptions &amp; Results'!$C48)*(AY$45-'Assumptions &amp; Results'!$C48-AY55-AY56-AY57-AY58-AY59-AY60-AY61-AY62)</f>
        <v>0</v>
      </c>
      <c r="AZ54" s="146">
        <f>('Assumptions &amp; Results'!$C48&gt;0)*(AZ$45&gt;'Assumptions &amp; Results'!$C48)*(AZ$45-'Assumptions &amp; Results'!$C48-AZ55-AZ56-AZ57-AZ58-AZ59-AZ60-AZ61-AZ62)</f>
        <v>0</v>
      </c>
      <c r="BA54" s="146">
        <f>('Assumptions &amp; Results'!$C48&gt;0)*(BA$45&gt;'Assumptions &amp; Results'!$C48)*(BA$45-'Assumptions &amp; Results'!$C48-BA55-BA56-BA57-BA58-BA59-BA60-BA61-BA62)</f>
        <v>0</v>
      </c>
      <c r="BB54" s="146">
        <f>('Assumptions &amp; Results'!$C48&gt;0)*(BB$45&gt;'Assumptions &amp; Results'!$C48)*(BB$45-'Assumptions &amp; Results'!$C48-BB55-BB56-BB57-BB58-BB59-BB60-BB61-BB62)</f>
        <v>0</v>
      </c>
      <c r="BC54" s="38"/>
      <c r="BD54" s="38"/>
    </row>
    <row r="55" spans="1:56" x14ac:dyDescent="0.2">
      <c r="A55" s="37"/>
      <c r="B55" s="37"/>
      <c r="C55" s="98" t="s">
        <v>319</v>
      </c>
      <c r="D55" s="36" t="s">
        <v>33</v>
      </c>
      <c r="E55" s="146">
        <f>('Assumptions &amp; Results'!$C49&gt;0)*(E$45&gt;'Assumptions &amp; Results'!$C49)*(E$45-'Assumptions &amp; Results'!$C49-E56-E57-E58-E59-E60-E61-E62)</f>
        <v>0</v>
      </c>
      <c r="F55" s="146">
        <f>('Assumptions &amp; Results'!$C49&gt;0)*(F$45&gt;'Assumptions &amp; Results'!$C49)*(F$45-'Assumptions &amp; Results'!$C49-F56-F57-F58-F59-F60-F61-F62)</f>
        <v>0</v>
      </c>
      <c r="G55" s="146">
        <f>('Assumptions &amp; Results'!$C49&gt;0)*(G$45&gt;'Assumptions &amp; Results'!$C49)*(G$45-'Assumptions &amp; Results'!$C49-G56-G57-G58-G59-G60-G61-G62)</f>
        <v>0</v>
      </c>
      <c r="H55" s="146">
        <f>('Assumptions &amp; Results'!$C49&gt;0)*(H$45&gt;'Assumptions &amp; Results'!$C49)*(H$45-'Assumptions &amp; Results'!$C49-H56-H57-H58-H59-H60-H61-H62)</f>
        <v>0</v>
      </c>
      <c r="I55" s="146">
        <f>('Assumptions &amp; Results'!$C49&gt;0)*(I$45&gt;'Assumptions &amp; Results'!$C49)*(I$45-'Assumptions &amp; Results'!$C49-I56-I57-I58-I59-I60-I61-I62)</f>
        <v>0</v>
      </c>
      <c r="J55" s="146">
        <f>('Assumptions &amp; Results'!$C49&gt;0)*(J$45&gt;'Assumptions &amp; Results'!$C49)*(J$45-'Assumptions &amp; Results'!$C49-J56-J57-J58-J59-J60-J61-J62)</f>
        <v>0</v>
      </c>
      <c r="K55" s="146">
        <f>('Assumptions &amp; Results'!$C49&gt;0)*(K$45&gt;'Assumptions &amp; Results'!$C49)*(K$45-'Assumptions &amp; Results'!$C49-K56-K57-K58-K59-K60-K61-K62)</f>
        <v>0</v>
      </c>
      <c r="L55" s="146">
        <f>('Assumptions &amp; Results'!$C49&gt;0)*(L$45&gt;'Assumptions &amp; Results'!$C49)*(L$45-'Assumptions &amp; Results'!$C49-L56-L57-L58-L59-L60-L61-L62)</f>
        <v>0</v>
      </c>
      <c r="M55" s="146">
        <f>('Assumptions &amp; Results'!$C49&gt;0)*(M$45&gt;'Assumptions &amp; Results'!$C49)*(M$45-'Assumptions &amp; Results'!$C49-M56-M57-M58-M59-M60-M61-M62)</f>
        <v>0</v>
      </c>
      <c r="N55" s="146">
        <f>('Assumptions &amp; Results'!$C49&gt;0)*(N$45&gt;'Assumptions &amp; Results'!$C49)*(N$45-'Assumptions &amp; Results'!$C49-N56-N57-N58-N59-N60-N61-N62)</f>
        <v>0</v>
      </c>
      <c r="O55" s="146">
        <f>('Assumptions &amp; Results'!$C49&gt;0)*(O$45&gt;'Assumptions &amp; Results'!$C49)*(O$45-'Assumptions &amp; Results'!$C49-O56-O57-O58-O59-O60-O61-O62)</f>
        <v>0</v>
      </c>
      <c r="P55" s="146">
        <f>('Assumptions &amp; Results'!$C49&gt;0)*(P$45&gt;'Assumptions &amp; Results'!$C49)*(P$45-'Assumptions &amp; Results'!$C49-P56-P57-P58-P59-P60-P61-P62)</f>
        <v>0</v>
      </c>
      <c r="Q55" s="146">
        <f>('Assumptions &amp; Results'!$C49&gt;0)*(Q$45&gt;'Assumptions &amp; Results'!$C49)*(Q$45-'Assumptions &amp; Results'!$C49-Q56-Q57-Q58-Q59-Q60-Q61-Q62)</f>
        <v>0</v>
      </c>
      <c r="R55" s="146">
        <f>('Assumptions &amp; Results'!$C49&gt;0)*(R$45&gt;'Assumptions &amp; Results'!$C49)*(R$45-'Assumptions &amp; Results'!$C49-R56-R57-R58-R59-R60-R61-R62)</f>
        <v>0</v>
      </c>
      <c r="S55" s="146">
        <f>('Assumptions &amp; Results'!$C49&gt;0)*(S$45&gt;'Assumptions &amp; Results'!$C49)*(S$45-'Assumptions &amp; Results'!$C49-S56-S57-S58-S59-S60-S61-S62)</f>
        <v>0</v>
      </c>
      <c r="T55" s="146">
        <f>('Assumptions &amp; Results'!$C49&gt;0)*(T$45&gt;'Assumptions &amp; Results'!$C49)*(T$45-'Assumptions &amp; Results'!$C49-T56-T57-T58-T59-T60-T61-T62)</f>
        <v>0</v>
      </c>
      <c r="U55" s="146">
        <f>('Assumptions &amp; Results'!$C49&gt;0)*(U$45&gt;'Assumptions &amp; Results'!$C49)*(U$45-'Assumptions &amp; Results'!$C49-U56-U57-U58-U59-U60-U61-U62)</f>
        <v>0</v>
      </c>
      <c r="V55" s="146">
        <f>('Assumptions &amp; Results'!$C49&gt;0)*(V$45&gt;'Assumptions &amp; Results'!$C49)*(V$45-'Assumptions &amp; Results'!$C49-V56-V57-V58-V59-V60-V61-V62)</f>
        <v>0</v>
      </c>
      <c r="W55" s="146">
        <f>('Assumptions &amp; Results'!$C49&gt;0)*(W$45&gt;'Assumptions &amp; Results'!$C49)*(W$45-'Assumptions &amp; Results'!$C49-W56-W57-W58-W59-W60-W61-W62)</f>
        <v>0</v>
      </c>
      <c r="X55" s="146">
        <f>('Assumptions &amp; Results'!$C49&gt;0)*(X$45&gt;'Assumptions &amp; Results'!$C49)*(X$45-'Assumptions &amp; Results'!$C49-X56-X57-X58-X59-X60-X61-X62)</f>
        <v>0</v>
      </c>
      <c r="Y55" s="146">
        <f>('Assumptions &amp; Results'!$C49&gt;0)*(Y$45&gt;'Assumptions &amp; Results'!$C49)*(Y$45-'Assumptions &amp; Results'!$C49-Y56-Y57-Y58-Y59-Y60-Y61-Y62)</f>
        <v>0</v>
      </c>
      <c r="Z55" s="146">
        <f>('Assumptions &amp; Results'!$C49&gt;0)*(Z$45&gt;'Assumptions &amp; Results'!$C49)*(Z$45-'Assumptions &amp; Results'!$C49-Z56-Z57-Z58-Z59-Z60-Z61-Z62)</f>
        <v>0</v>
      </c>
      <c r="AA55" s="146">
        <f>('Assumptions &amp; Results'!$C49&gt;0)*(AA$45&gt;'Assumptions &amp; Results'!$C49)*(AA$45-'Assumptions &amp; Results'!$C49-AA56-AA57-AA58-AA59-AA60-AA61-AA62)</f>
        <v>0</v>
      </c>
      <c r="AB55" s="146">
        <f>('Assumptions &amp; Results'!$C49&gt;0)*(AB$45&gt;'Assumptions &amp; Results'!$C49)*(AB$45-'Assumptions &amp; Results'!$C49-AB56-AB57-AB58-AB59-AB60-AB61-AB62)</f>
        <v>0</v>
      </c>
      <c r="AC55" s="146">
        <f>('Assumptions &amp; Results'!$C49&gt;0)*(AC$45&gt;'Assumptions &amp; Results'!$C49)*(AC$45-'Assumptions &amp; Results'!$C49-AC56-AC57-AC58-AC59-AC60-AC61-AC62)</f>
        <v>0</v>
      </c>
      <c r="AD55" s="146">
        <f>('Assumptions &amp; Results'!$C49&gt;0)*(AD$45&gt;'Assumptions &amp; Results'!$C49)*(AD$45-'Assumptions &amp; Results'!$C49-AD56-AD57-AD58-AD59-AD60-AD61-AD62)</f>
        <v>0</v>
      </c>
      <c r="AE55" s="146">
        <f>('Assumptions &amp; Results'!$C49&gt;0)*(AE$45&gt;'Assumptions &amp; Results'!$C49)*(AE$45-'Assumptions &amp; Results'!$C49-AE56-AE57-AE58-AE59-AE60-AE61-AE62)</f>
        <v>0</v>
      </c>
      <c r="AF55" s="146">
        <f>('Assumptions &amp; Results'!$C49&gt;0)*(AF$45&gt;'Assumptions &amp; Results'!$C49)*(AF$45-'Assumptions &amp; Results'!$C49-AF56-AF57-AF58-AF59-AF60-AF61-AF62)</f>
        <v>0</v>
      </c>
      <c r="AG55" s="146">
        <f>('Assumptions &amp; Results'!$C49&gt;0)*(AG$45&gt;'Assumptions &amp; Results'!$C49)*(AG$45-'Assumptions &amp; Results'!$C49-AG56-AG57-AG58-AG59-AG60-AG61-AG62)</f>
        <v>0</v>
      </c>
      <c r="AH55" s="146">
        <f>('Assumptions &amp; Results'!$C49&gt;0)*(AH$45&gt;'Assumptions &amp; Results'!$C49)*(AH$45-'Assumptions &amp; Results'!$C49-AH56-AH57-AH58-AH59-AH60-AH61-AH62)</f>
        <v>0</v>
      </c>
      <c r="AI55" s="146">
        <f>('Assumptions &amp; Results'!$C49&gt;0)*(AI$45&gt;'Assumptions &amp; Results'!$C49)*(AI$45-'Assumptions &amp; Results'!$C49-AI56-AI57-AI58-AI59-AI60-AI61-AI62)</f>
        <v>0</v>
      </c>
      <c r="AJ55" s="146">
        <f>('Assumptions &amp; Results'!$C49&gt;0)*(AJ$45&gt;'Assumptions &amp; Results'!$C49)*(AJ$45-'Assumptions &amp; Results'!$C49-AJ56-AJ57-AJ58-AJ59-AJ60-AJ61-AJ62)</f>
        <v>0</v>
      </c>
      <c r="AK55" s="146">
        <f>('Assumptions &amp; Results'!$C49&gt;0)*(AK$45&gt;'Assumptions &amp; Results'!$C49)*(AK$45-'Assumptions &amp; Results'!$C49-AK56-AK57-AK58-AK59-AK60-AK61-AK62)</f>
        <v>0</v>
      </c>
      <c r="AL55" s="146">
        <f>('Assumptions &amp; Results'!$C49&gt;0)*(AL$45&gt;'Assumptions &amp; Results'!$C49)*(AL$45-'Assumptions &amp; Results'!$C49-AL56-AL57-AL58-AL59-AL60-AL61-AL62)</f>
        <v>0</v>
      </c>
      <c r="AM55" s="146">
        <f>('Assumptions &amp; Results'!$C49&gt;0)*(AM$45&gt;'Assumptions &amp; Results'!$C49)*(AM$45-'Assumptions &amp; Results'!$C49-AM56-AM57-AM58-AM59-AM60-AM61-AM62)</f>
        <v>0</v>
      </c>
      <c r="AN55" s="146">
        <f>('Assumptions &amp; Results'!$C49&gt;0)*(AN$45&gt;'Assumptions &amp; Results'!$C49)*(AN$45-'Assumptions &amp; Results'!$C49-AN56-AN57-AN58-AN59-AN60-AN61-AN62)</f>
        <v>0</v>
      </c>
      <c r="AO55" s="146">
        <f>('Assumptions &amp; Results'!$C49&gt;0)*(AO$45&gt;'Assumptions &amp; Results'!$C49)*(AO$45-'Assumptions &amp; Results'!$C49-AO56-AO57-AO58-AO59-AO60-AO61-AO62)</f>
        <v>0</v>
      </c>
      <c r="AP55" s="146">
        <f>('Assumptions &amp; Results'!$C49&gt;0)*(AP$45&gt;'Assumptions &amp; Results'!$C49)*(AP$45-'Assumptions &amp; Results'!$C49-AP56-AP57-AP58-AP59-AP60-AP61-AP62)</f>
        <v>0</v>
      </c>
      <c r="AQ55" s="146">
        <f>('Assumptions &amp; Results'!$C49&gt;0)*(AQ$45&gt;'Assumptions &amp; Results'!$C49)*(AQ$45-'Assumptions &amp; Results'!$C49-AQ56-AQ57-AQ58-AQ59-AQ60-AQ61-AQ62)</f>
        <v>0</v>
      </c>
      <c r="AR55" s="146">
        <f>('Assumptions &amp; Results'!$C49&gt;0)*(AR$45&gt;'Assumptions &amp; Results'!$C49)*(AR$45-'Assumptions &amp; Results'!$C49-AR56-AR57-AR58-AR59-AR60-AR61-AR62)</f>
        <v>0</v>
      </c>
      <c r="AS55" s="146">
        <f>('Assumptions &amp; Results'!$C49&gt;0)*(AS$45&gt;'Assumptions &amp; Results'!$C49)*(AS$45-'Assumptions &amp; Results'!$C49-AS56-AS57-AS58-AS59-AS60-AS61-AS62)</f>
        <v>0</v>
      </c>
      <c r="AT55" s="146">
        <f>('Assumptions &amp; Results'!$C49&gt;0)*(AT$45&gt;'Assumptions &amp; Results'!$C49)*(AT$45-'Assumptions &amp; Results'!$C49-AT56-AT57-AT58-AT59-AT60-AT61-AT62)</f>
        <v>0</v>
      </c>
      <c r="AU55" s="146">
        <f>('Assumptions &amp; Results'!$C49&gt;0)*(AU$45&gt;'Assumptions &amp; Results'!$C49)*(AU$45-'Assumptions &amp; Results'!$C49-AU56-AU57-AU58-AU59-AU60-AU61-AU62)</f>
        <v>0</v>
      </c>
      <c r="AV55" s="146">
        <f>('Assumptions &amp; Results'!$C49&gt;0)*(AV$45&gt;'Assumptions &amp; Results'!$C49)*(AV$45-'Assumptions &amp; Results'!$C49-AV56-AV57-AV58-AV59-AV60-AV61-AV62)</f>
        <v>0</v>
      </c>
      <c r="AW55" s="146">
        <f>('Assumptions &amp; Results'!$C49&gt;0)*(AW$45&gt;'Assumptions &amp; Results'!$C49)*(AW$45-'Assumptions &amp; Results'!$C49-AW56-AW57-AW58-AW59-AW60-AW61-AW62)</f>
        <v>0</v>
      </c>
      <c r="AX55" s="146">
        <f>('Assumptions &amp; Results'!$C49&gt;0)*(AX$45&gt;'Assumptions &amp; Results'!$C49)*(AX$45-'Assumptions &amp; Results'!$C49-AX56-AX57-AX58-AX59-AX60-AX61-AX62)</f>
        <v>0</v>
      </c>
      <c r="AY55" s="146">
        <f>('Assumptions &amp; Results'!$C49&gt;0)*(AY$45&gt;'Assumptions &amp; Results'!$C49)*(AY$45-'Assumptions &amp; Results'!$C49-AY56-AY57-AY58-AY59-AY60-AY61-AY62)</f>
        <v>0</v>
      </c>
      <c r="AZ55" s="146">
        <f>('Assumptions &amp; Results'!$C49&gt;0)*(AZ$45&gt;'Assumptions &amp; Results'!$C49)*(AZ$45-'Assumptions &amp; Results'!$C49-AZ56-AZ57-AZ58-AZ59-AZ60-AZ61-AZ62)</f>
        <v>0</v>
      </c>
      <c r="BA55" s="146">
        <f>('Assumptions &amp; Results'!$C49&gt;0)*(BA$45&gt;'Assumptions &amp; Results'!$C49)*(BA$45-'Assumptions &amp; Results'!$C49-BA56-BA57-BA58-BA59-BA60-BA61-BA62)</f>
        <v>0</v>
      </c>
      <c r="BB55" s="146">
        <f>('Assumptions &amp; Results'!$C49&gt;0)*(BB$45&gt;'Assumptions &amp; Results'!$C49)*(BB$45-'Assumptions &amp; Results'!$C49-BB56-BB57-BB58-BB59-BB60-BB61-BB62)</f>
        <v>0</v>
      </c>
      <c r="BC55" s="38"/>
      <c r="BD55" s="38"/>
    </row>
    <row r="56" spans="1:56" x14ac:dyDescent="0.2">
      <c r="A56" s="37"/>
      <c r="B56" s="37"/>
      <c r="C56" s="98" t="s">
        <v>320</v>
      </c>
      <c r="D56" s="36" t="s">
        <v>33</v>
      </c>
      <c r="E56" s="146">
        <f>('Assumptions &amp; Results'!$C50&gt;0)*(E$45&gt;'Assumptions &amp; Results'!$C50)*(E$45-'Assumptions &amp; Results'!$C50-E57-E58-E59-E60-E61-E62)</f>
        <v>0</v>
      </c>
      <c r="F56" s="146">
        <f>('Assumptions &amp; Results'!$C50&gt;0)*(F$45&gt;'Assumptions &amp; Results'!$C50)*(F$45-'Assumptions &amp; Results'!$C50-F57-F58-F59-F60-F61-F62)</f>
        <v>0</v>
      </c>
      <c r="G56" s="146">
        <f>('Assumptions &amp; Results'!$C50&gt;0)*(G$45&gt;'Assumptions &amp; Results'!$C50)*(G$45-'Assumptions &amp; Results'!$C50-G57-G58-G59-G60-G61-G62)</f>
        <v>0</v>
      </c>
      <c r="H56" s="146">
        <f>('Assumptions &amp; Results'!$C50&gt;0)*(H$45&gt;'Assumptions &amp; Results'!$C50)*(H$45-'Assumptions &amp; Results'!$C50-H57-H58-H59-H60-H61-H62)</f>
        <v>0</v>
      </c>
      <c r="I56" s="146">
        <f>('Assumptions &amp; Results'!$C50&gt;0)*(I$45&gt;'Assumptions &amp; Results'!$C50)*(I$45-'Assumptions &amp; Results'!$C50-I57-I58-I59-I60-I61-I62)</f>
        <v>0</v>
      </c>
      <c r="J56" s="146">
        <f>('Assumptions &amp; Results'!$C50&gt;0)*(J$45&gt;'Assumptions &amp; Results'!$C50)*(J$45-'Assumptions &amp; Results'!$C50-J57-J58-J59-J60-J61-J62)</f>
        <v>0</v>
      </c>
      <c r="K56" s="146">
        <f>('Assumptions &amp; Results'!$C50&gt;0)*(K$45&gt;'Assumptions &amp; Results'!$C50)*(K$45-'Assumptions &amp; Results'!$C50-K57-K58-K59-K60-K61-K62)</f>
        <v>0</v>
      </c>
      <c r="L56" s="146">
        <f>('Assumptions &amp; Results'!$C50&gt;0)*(L$45&gt;'Assumptions &amp; Results'!$C50)*(L$45-'Assumptions &amp; Results'!$C50-L57-L58-L59-L60-L61-L62)</f>
        <v>0</v>
      </c>
      <c r="M56" s="146">
        <f>('Assumptions &amp; Results'!$C50&gt;0)*(M$45&gt;'Assumptions &amp; Results'!$C50)*(M$45-'Assumptions &amp; Results'!$C50-M57-M58-M59-M60-M61-M62)</f>
        <v>0</v>
      </c>
      <c r="N56" s="146">
        <f>('Assumptions &amp; Results'!$C50&gt;0)*(N$45&gt;'Assumptions &amp; Results'!$C50)*(N$45-'Assumptions &amp; Results'!$C50-N57-N58-N59-N60-N61-N62)</f>
        <v>0</v>
      </c>
      <c r="O56" s="146">
        <f>('Assumptions &amp; Results'!$C50&gt;0)*(O$45&gt;'Assumptions &amp; Results'!$C50)*(O$45-'Assumptions &amp; Results'!$C50-O57-O58-O59-O60-O61-O62)</f>
        <v>0</v>
      </c>
      <c r="P56" s="146">
        <f>('Assumptions &amp; Results'!$C50&gt;0)*(P$45&gt;'Assumptions &amp; Results'!$C50)*(P$45-'Assumptions &amp; Results'!$C50-P57-P58-P59-P60-P61-P62)</f>
        <v>0</v>
      </c>
      <c r="Q56" s="146">
        <f>('Assumptions &amp; Results'!$C50&gt;0)*(Q$45&gt;'Assumptions &amp; Results'!$C50)*(Q$45-'Assumptions &amp; Results'!$C50-Q57-Q58-Q59-Q60-Q61-Q62)</f>
        <v>0</v>
      </c>
      <c r="R56" s="146">
        <f>('Assumptions &amp; Results'!$C50&gt;0)*(R$45&gt;'Assumptions &amp; Results'!$C50)*(R$45-'Assumptions &amp; Results'!$C50-R57-R58-R59-R60-R61-R62)</f>
        <v>0</v>
      </c>
      <c r="S56" s="146">
        <f>('Assumptions &amp; Results'!$C50&gt;0)*(S$45&gt;'Assumptions &amp; Results'!$C50)*(S$45-'Assumptions &amp; Results'!$C50-S57-S58-S59-S60-S61-S62)</f>
        <v>0</v>
      </c>
      <c r="T56" s="146">
        <f>('Assumptions &amp; Results'!$C50&gt;0)*(T$45&gt;'Assumptions &amp; Results'!$C50)*(T$45-'Assumptions &amp; Results'!$C50-T57-T58-T59-T60-T61-T62)</f>
        <v>0</v>
      </c>
      <c r="U56" s="146">
        <f>('Assumptions &amp; Results'!$C50&gt;0)*(U$45&gt;'Assumptions &amp; Results'!$C50)*(U$45-'Assumptions &amp; Results'!$C50-U57-U58-U59-U60-U61-U62)</f>
        <v>0</v>
      </c>
      <c r="V56" s="146">
        <f>('Assumptions &amp; Results'!$C50&gt;0)*(V$45&gt;'Assumptions &amp; Results'!$C50)*(V$45-'Assumptions &amp; Results'!$C50-V57-V58-V59-V60-V61-V62)</f>
        <v>0</v>
      </c>
      <c r="W56" s="146">
        <f>('Assumptions &amp; Results'!$C50&gt;0)*(W$45&gt;'Assumptions &amp; Results'!$C50)*(W$45-'Assumptions &amp; Results'!$C50-W57-W58-W59-W60-W61-W62)</f>
        <v>0</v>
      </c>
      <c r="X56" s="146">
        <f>('Assumptions &amp; Results'!$C50&gt;0)*(X$45&gt;'Assumptions &amp; Results'!$C50)*(X$45-'Assumptions &amp; Results'!$C50-X57-X58-X59-X60-X61-X62)</f>
        <v>0</v>
      </c>
      <c r="Y56" s="146">
        <f>('Assumptions &amp; Results'!$C50&gt;0)*(Y$45&gt;'Assumptions &amp; Results'!$C50)*(Y$45-'Assumptions &amp; Results'!$C50-Y57-Y58-Y59-Y60-Y61-Y62)</f>
        <v>0</v>
      </c>
      <c r="Z56" s="146">
        <f>('Assumptions &amp; Results'!$C50&gt;0)*(Z$45&gt;'Assumptions &amp; Results'!$C50)*(Z$45-'Assumptions &amp; Results'!$C50-Z57-Z58-Z59-Z60-Z61-Z62)</f>
        <v>0</v>
      </c>
      <c r="AA56" s="146">
        <f>('Assumptions &amp; Results'!$C50&gt;0)*(AA$45&gt;'Assumptions &amp; Results'!$C50)*(AA$45-'Assumptions &amp; Results'!$C50-AA57-AA58-AA59-AA60-AA61-AA62)</f>
        <v>0</v>
      </c>
      <c r="AB56" s="146">
        <f>('Assumptions &amp; Results'!$C50&gt;0)*(AB$45&gt;'Assumptions &amp; Results'!$C50)*(AB$45-'Assumptions &amp; Results'!$C50-AB57-AB58-AB59-AB60-AB61-AB62)</f>
        <v>0</v>
      </c>
      <c r="AC56" s="146">
        <f>('Assumptions &amp; Results'!$C50&gt;0)*(AC$45&gt;'Assumptions &amp; Results'!$C50)*(AC$45-'Assumptions &amp; Results'!$C50-AC57-AC58-AC59-AC60-AC61-AC62)</f>
        <v>0</v>
      </c>
      <c r="AD56" s="146">
        <f>('Assumptions &amp; Results'!$C50&gt;0)*(AD$45&gt;'Assumptions &amp; Results'!$C50)*(AD$45-'Assumptions &amp; Results'!$C50-AD57-AD58-AD59-AD60-AD61-AD62)</f>
        <v>0</v>
      </c>
      <c r="AE56" s="146">
        <f>('Assumptions &amp; Results'!$C50&gt;0)*(AE$45&gt;'Assumptions &amp; Results'!$C50)*(AE$45-'Assumptions &amp; Results'!$C50-AE57-AE58-AE59-AE60-AE61-AE62)</f>
        <v>0</v>
      </c>
      <c r="AF56" s="146">
        <f>('Assumptions &amp; Results'!$C50&gt;0)*(AF$45&gt;'Assumptions &amp; Results'!$C50)*(AF$45-'Assumptions &amp; Results'!$C50-AF57-AF58-AF59-AF60-AF61-AF62)</f>
        <v>0</v>
      </c>
      <c r="AG56" s="146">
        <f>('Assumptions &amp; Results'!$C50&gt;0)*(AG$45&gt;'Assumptions &amp; Results'!$C50)*(AG$45-'Assumptions &amp; Results'!$C50-AG57-AG58-AG59-AG60-AG61-AG62)</f>
        <v>0</v>
      </c>
      <c r="AH56" s="146">
        <f>('Assumptions &amp; Results'!$C50&gt;0)*(AH$45&gt;'Assumptions &amp; Results'!$C50)*(AH$45-'Assumptions &amp; Results'!$C50-AH57-AH58-AH59-AH60-AH61-AH62)</f>
        <v>0</v>
      </c>
      <c r="AI56" s="146">
        <f>('Assumptions &amp; Results'!$C50&gt;0)*(AI$45&gt;'Assumptions &amp; Results'!$C50)*(AI$45-'Assumptions &amp; Results'!$C50-AI57-AI58-AI59-AI60-AI61-AI62)</f>
        <v>0</v>
      </c>
      <c r="AJ56" s="146">
        <f>('Assumptions &amp; Results'!$C50&gt;0)*(AJ$45&gt;'Assumptions &amp; Results'!$C50)*(AJ$45-'Assumptions &amp; Results'!$C50-AJ57-AJ58-AJ59-AJ60-AJ61-AJ62)</f>
        <v>0</v>
      </c>
      <c r="AK56" s="146">
        <f>('Assumptions &amp; Results'!$C50&gt;0)*(AK$45&gt;'Assumptions &amp; Results'!$C50)*(AK$45-'Assumptions &amp; Results'!$C50-AK57-AK58-AK59-AK60-AK61-AK62)</f>
        <v>0</v>
      </c>
      <c r="AL56" s="146">
        <f>('Assumptions &amp; Results'!$C50&gt;0)*(AL$45&gt;'Assumptions &amp; Results'!$C50)*(AL$45-'Assumptions &amp; Results'!$C50-AL57-AL58-AL59-AL60-AL61-AL62)</f>
        <v>0</v>
      </c>
      <c r="AM56" s="146">
        <f>('Assumptions &amp; Results'!$C50&gt;0)*(AM$45&gt;'Assumptions &amp; Results'!$C50)*(AM$45-'Assumptions &amp; Results'!$C50-AM57-AM58-AM59-AM60-AM61-AM62)</f>
        <v>0</v>
      </c>
      <c r="AN56" s="146">
        <f>('Assumptions &amp; Results'!$C50&gt;0)*(AN$45&gt;'Assumptions &amp; Results'!$C50)*(AN$45-'Assumptions &amp; Results'!$C50-AN57-AN58-AN59-AN60-AN61-AN62)</f>
        <v>0</v>
      </c>
      <c r="AO56" s="146">
        <f>('Assumptions &amp; Results'!$C50&gt;0)*(AO$45&gt;'Assumptions &amp; Results'!$C50)*(AO$45-'Assumptions &amp; Results'!$C50-AO57-AO58-AO59-AO60-AO61-AO62)</f>
        <v>0</v>
      </c>
      <c r="AP56" s="146">
        <f>('Assumptions &amp; Results'!$C50&gt;0)*(AP$45&gt;'Assumptions &amp; Results'!$C50)*(AP$45-'Assumptions &amp; Results'!$C50-AP57-AP58-AP59-AP60-AP61-AP62)</f>
        <v>0</v>
      </c>
      <c r="AQ56" s="146">
        <f>('Assumptions &amp; Results'!$C50&gt;0)*(AQ$45&gt;'Assumptions &amp; Results'!$C50)*(AQ$45-'Assumptions &amp; Results'!$C50-AQ57-AQ58-AQ59-AQ60-AQ61-AQ62)</f>
        <v>0</v>
      </c>
      <c r="AR56" s="146">
        <f>('Assumptions &amp; Results'!$C50&gt;0)*(AR$45&gt;'Assumptions &amp; Results'!$C50)*(AR$45-'Assumptions &amp; Results'!$C50-AR57-AR58-AR59-AR60-AR61-AR62)</f>
        <v>0</v>
      </c>
      <c r="AS56" s="146">
        <f>('Assumptions &amp; Results'!$C50&gt;0)*(AS$45&gt;'Assumptions &amp; Results'!$C50)*(AS$45-'Assumptions &amp; Results'!$C50-AS57-AS58-AS59-AS60-AS61-AS62)</f>
        <v>0</v>
      </c>
      <c r="AT56" s="146">
        <f>('Assumptions &amp; Results'!$C50&gt;0)*(AT$45&gt;'Assumptions &amp; Results'!$C50)*(AT$45-'Assumptions &amp; Results'!$C50-AT57-AT58-AT59-AT60-AT61-AT62)</f>
        <v>0</v>
      </c>
      <c r="AU56" s="146">
        <f>('Assumptions &amp; Results'!$C50&gt;0)*(AU$45&gt;'Assumptions &amp; Results'!$C50)*(AU$45-'Assumptions &amp; Results'!$C50-AU57-AU58-AU59-AU60-AU61-AU62)</f>
        <v>0</v>
      </c>
      <c r="AV56" s="146">
        <f>('Assumptions &amp; Results'!$C50&gt;0)*(AV$45&gt;'Assumptions &amp; Results'!$C50)*(AV$45-'Assumptions &amp; Results'!$C50-AV57-AV58-AV59-AV60-AV61-AV62)</f>
        <v>0</v>
      </c>
      <c r="AW56" s="146">
        <f>('Assumptions &amp; Results'!$C50&gt;0)*(AW$45&gt;'Assumptions &amp; Results'!$C50)*(AW$45-'Assumptions &amp; Results'!$C50-AW57-AW58-AW59-AW60-AW61-AW62)</f>
        <v>0</v>
      </c>
      <c r="AX56" s="146">
        <f>('Assumptions &amp; Results'!$C50&gt;0)*(AX$45&gt;'Assumptions &amp; Results'!$C50)*(AX$45-'Assumptions &amp; Results'!$C50-AX57-AX58-AX59-AX60-AX61-AX62)</f>
        <v>0</v>
      </c>
      <c r="AY56" s="146">
        <f>('Assumptions &amp; Results'!$C50&gt;0)*(AY$45&gt;'Assumptions &amp; Results'!$C50)*(AY$45-'Assumptions &amp; Results'!$C50-AY57-AY58-AY59-AY60-AY61-AY62)</f>
        <v>0</v>
      </c>
      <c r="AZ56" s="146">
        <f>('Assumptions &amp; Results'!$C50&gt;0)*(AZ$45&gt;'Assumptions &amp; Results'!$C50)*(AZ$45-'Assumptions &amp; Results'!$C50-AZ57-AZ58-AZ59-AZ60-AZ61-AZ62)</f>
        <v>0</v>
      </c>
      <c r="BA56" s="146">
        <f>('Assumptions &amp; Results'!$C50&gt;0)*(BA$45&gt;'Assumptions &amp; Results'!$C50)*(BA$45-'Assumptions &amp; Results'!$C50-BA57-BA58-BA59-BA60-BA61-BA62)</f>
        <v>0</v>
      </c>
      <c r="BB56" s="146">
        <f>('Assumptions &amp; Results'!$C50&gt;0)*(BB$45&gt;'Assumptions &amp; Results'!$C50)*(BB$45-'Assumptions &amp; Results'!$C50-BB57-BB58-BB59-BB60-BB61-BB62)</f>
        <v>0</v>
      </c>
      <c r="BC56" s="38"/>
      <c r="BD56" s="38"/>
    </row>
    <row r="57" spans="1:56" x14ac:dyDescent="0.2">
      <c r="A57" s="37"/>
      <c r="B57" s="37"/>
      <c r="C57" s="98" t="s">
        <v>321</v>
      </c>
      <c r="D57" s="36" t="s">
        <v>33</v>
      </c>
      <c r="E57" s="146">
        <f>('Assumptions &amp; Results'!$C51&gt;0)*(E$45&gt;'Assumptions &amp; Results'!$C51)*(E$45-'Assumptions &amp; Results'!$C51-E58-E59-E60-E61-E62)</f>
        <v>0</v>
      </c>
      <c r="F57" s="146">
        <f>('Assumptions &amp; Results'!$C51&gt;0)*(F$45&gt;'Assumptions &amp; Results'!$C51)*(F$45-'Assumptions &amp; Results'!$C51-F58-F59-F60-F61-F62)</f>
        <v>0</v>
      </c>
      <c r="G57" s="146">
        <f>('Assumptions &amp; Results'!$C51&gt;0)*(G$45&gt;'Assumptions &amp; Results'!$C51)*(G$45-'Assumptions &amp; Results'!$C51-G58-G59-G60-G61-G62)</f>
        <v>0</v>
      </c>
      <c r="H57" s="146">
        <f>('Assumptions &amp; Results'!$C51&gt;0)*(H$45&gt;'Assumptions &amp; Results'!$C51)*(H$45-'Assumptions &amp; Results'!$C51-H58-H59-H60-H61-H62)</f>
        <v>0</v>
      </c>
      <c r="I57" s="146">
        <f>('Assumptions &amp; Results'!$C51&gt;0)*(I$45&gt;'Assumptions &amp; Results'!$C51)*(I$45-'Assumptions &amp; Results'!$C51-I58-I59-I60-I61-I62)</f>
        <v>0</v>
      </c>
      <c r="J57" s="146">
        <f>('Assumptions &amp; Results'!$C51&gt;0)*(J$45&gt;'Assumptions &amp; Results'!$C51)*(J$45-'Assumptions &amp; Results'!$C51-J58-J59-J60-J61-J62)</f>
        <v>0</v>
      </c>
      <c r="K57" s="146">
        <f>('Assumptions &amp; Results'!$C51&gt;0)*(K$45&gt;'Assumptions &amp; Results'!$C51)*(K$45-'Assumptions &amp; Results'!$C51-K58-K59-K60-K61-K62)</f>
        <v>0</v>
      </c>
      <c r="L57" s="146">
        <f>('Assumptions &amp; Results'!$C51&gt;0)*(L$45&gt;'Assumptions &amp; Results'!$C51)*(L$45-'Assumptions &amp; Results'!$C51-L58-L59-L60-L61-L62)</f>
        <v>0</v>
      </c>
      <c r="M57" s="146">
        <f>('Assumptions &amp; Results'!$C51&gt;0)*(M$45&gt;'Assumptions &amp; Results'!$C51)*(M$45-'Assumptions &amp; Results'!$C51-M58-M59-M60-M61-M62)</f>
        <v>0</v>
      </c>
      <c r="N57" s="146">
        <f>('Assumptions &amp; Results'!$C51&gt;0)*(N$45&gt;'Assumptions &amp; Results'!$C51)*(N$45-'Assumptions &amp; Results'!$C51-N58-N59-N60-N61-N62)</f>
        <v>0</v>
      </c>
      <c r="O57" s="146">
        <f>('Assumptions &amp; Results'!$C51&gt;0)*(O$45&gt;'Assumptions &amp; Results'!$C51)*(O$45-'Assumptions &amp; Results'!$C51-O58-O59-O60-O61-O62)</f>
        <v>0</v>
      </c>
      <c r="P57" s="146">
        <f>('Assumptions &amp; Results'!$C51&gt;0)*(P$45&gt;'Assumptions &amp; Results'!$C51)*(P$45-'Assumptions &amp; Results'!$C51-P58-P59-P60-P61-P62)</f>
        <v>0</v>
      </c>
      <c r="Q57" s="146">
        <f>('Assumptions &amp; Results'!$C51&gt;0)*(Q$45&gt;'Assumptions &amp; Results'!$C51)*(Q$45-'Assumptions &amp; Results'!$C51-Q58-Q59-Q60-Q61-Q62)</f>
        <v>0</v>
      </c>
      <c r="R57" s="146">
        <f>('Assumptions &amp; Results'!$C51&gt;0)*(R$45&gt;'Assumptions &amp; Results'!$C51)*(R$45-'Assumptions &amp; Results'!$C51-R58-R59-R60-R61-R62)</f>
        <v>0</v>
      </c>
      <c r="S57" s="146">
        <f>('Assumptions &amp; Results'!$C51&gt;0)*(S$45&gt;'Assumptions &amp; Results'!$C51)*(S$45-'Assumptions &amp; Results'!$C51-S58-S59-S60-S61-S62)</f>
        <v>0</v>
      </c>
      <c r="T57" s="146">
        <f>('Assumptions &amp; Results'!$C51&gt;0)*(T$45&gt;'Assumptions &amp; Results'!$C51)*(T$45-'Assumptions &amp; Results'!$C51-T58-T59-T60-T61-T62)</f>
        <v>0</v>
      </c>
      <c r="U57" s="146">
        <f>('Assumptions &amp; Results'!$C51&gt;0)*(U$45&gt;'Assumptions &amp; Results'!$C51)*(U$45-'Assumptions &amp; Results'!$C51-U58-U59-U60-U61-U62)</f>
        <v>0</v>
      </c>
      <c r="V57" s="146">
        <f>('Assumptions &amp; Results'!$C51&gt;0)*(V$45&gt;'Assumptions &amp; Results'!$C51)*(V$45-'Assumptions &amp; Results'!$C51-V58-V59-V60-V61-V62)</f>
        <v>0</v>
      </c>
      <c r="W57" s="146">
        <f>('Assumptions &amp; Results'!$C51&gt;0)*(W$45&gt;'Assumptions &amp; Results'!$C51)*(W$45-'Assumptions &amp; Results'!$C51-W58-W59-W60-W61-W62)</f>
        <v>0</v>
      </c>
      <c r="X57" s="146">
        <f>('Assumptions &amp; Results'!$C51&gt;0)*(X$45&gt;'Assumptions &amp; Results'!$C51)*(X$45-'Assumptions &amp; Results'!$C51-X58-X59-X60-X61-X62)</f>
        <v>0</v>
      </c>
      <c r="Y57" s="146">
        <f>('Assumptions &amp; Results'!$C51&gt;0)*(Y$45&gt;'Assumptions &amp; Results'!$C51)*(Y$45-'Assumptions &amp; Results'!$C51-Y58-Y59-Y60-Y61-Y62)</f>
        <v>0</v>
      </c>
      <c r="Z57" s="146">
        <f>('Assumptions &amp; Results'!$C51&gt;0)*(Z$45&gt;'Assumptions &amp; Results'!$C51)*(Z$45-'Assumptions &amp; Results'!$C51-Z58-Z59-Z60-Z61-Z62)</f>
        <v>0</v>
      </c>
      <c r="AA57" s="146">
        <f>('Assumptions &amp; Results'!$C51&gt;0)*(AA$45&gt;'Assumptions &amp; Results'!$C51)*(AA$45-'Assumptions &amp; Results'!$C51-AA58-AA59-AA60-AA61-AA62)</f>
        <v>0</v>
      </c>
      <c r="AB57" s="146">
        <f>('Assumptions &amp; Results'!$C51&gt;0)*(AB$45&gt;'Assumptions &amp; Results'!$C51)*(AB$45-'Assumptions &amp; Results'!$C51-AB58-AB59-AB60-AB61-AB62)</f>
        <v>0</v>
      </c>
      <c r="AC57" s="146">
        <f>('Assumptions &amp; Results'!$C51&gt;0)*(AC$45&gt;'Assumptions &amp; Results'!$C51)*(AC$45-'Assumptions &amp; Results'!$C51-AC58-AC59-AC60-AC61-AC62)</f>
        <v>0</v>
      </c>
      <c r="AD57" s="146">
        <f>('Assumptions &amp; Results'!$C51&gt;0)*(AD$45&gt;'Assumptions &amp; Results'!$C51)*(AD$45-'Assumptions &amp; Results'!$C51-AD58-AD59-AD60-AD61-AD62)</f>
        <v>0</v>
      </c>
      <c r="AE57" s="146">
        <f>('Assumptions &amp; Results'!$C51&gt;0)*(AE$45&gt;'Assumptions &amp; Results'!$C51)*(AE$45-'Assumptions &amp; Results'!$C51-AE58-AE59-AE60-AE61-AE62)</f>
        <v>0</v>
      </c>
      <c r="AF57" s="146">
        <f>('Assumptions &amp; Results'!$C51&gt;0)*(AF$45&gt;'Assumptions &amp; Results'!$C51)*(AF$45-'Assumptions &amp; Results'!$C51-AF58-AF59-AF60-AF61-AF62)</f>
        <v>0</v>
      </c>
      <c r="AG57" s="146">
        <f>('Assumptions &amp; Results'!$C51&gt;0)*(AG$45&gt;'Assumptions &amp; Results'!$C51)*(AG$45-'Assumptions &amp; Results'!$C51-AG58-AG59-AG60-AG61-AG62)</f>
        <v>0</v>
      </c>
      <c r="AH57" s="146">
        <f>('Assumptions &amp; Results'!$C51&gt;0)*(AH$45&gt;'Assumptions &amp; Results'!$C51)*(AH$45-'Assumptions &amp; Results'!$C51-AH58-AH59-AH60-AH61-AH62)</f>
        <v>0</v>
      </c>
      <c r="AI57" s="146">
        <f>('Assumptions &amp; Results'!$C51&gt;0)*(AI$45&gt;'Assumptions &amp; Results'!$C51)*(AI$45-'Assumptions &amp; Results'!$C51-AI58-AI59-AI60-AI61-AI62)</f>
        <v>0</v>
      </c>
      <c r="AJ57" s="146">
        <f>('Assumptions &amp; Results'!$C51&gt;0)*(AJ$45&gt;'Assumptions &amp; Results'!$C51)*(AJ$45-'Assumptions &amp; Results'!$C51-AJ58-AJ59-AJ60-AJ61-AJ62)</f>
        <v>0</v>
      </c>
      <c r="AK57" s="146">
        <f>('Assumptions &amp; Results'!$C51&gt;0)*(AK$45&gt;'Assumptions &amp; Results'!$C51)*(AK$45-'Assumptions &amp; Results'!$C51-AK58-AK59-AK60-AK61-AK62)</f>
        <v>0</v>
      </c>
      <c r="AL57" s="146">
        <f>('Assumptions &amp; Results'!$C51&gt;0)*(AL$45&gt;'Assumptions &amp; Results'!$C51)*(AL$45-'Assumptions &amp; Results'!$C51-AL58-AL59-AL60-AL61-AL62)</f>
        <v>0</v>
      </c>
      <c r="AM57" s="146">
        <f>('Assumptions &amp; Results'!$C51&gt;0)*(AM$45&gt;'Assumptions &amp; Results'!$C51)*(AM$45-'Assumptions &amp; Results'!$C51-AM58-AM59-AM60-AM61-AM62)</f>
        <v>0</v>
      </c>
      <c r="AN57" s="146">
        <f>('Assumptions &amp; Results'!$C51&gt;0)*(AN$45&gt;'Assumptions &amp; Results'!$C51)*(AN$45-'Assumptions &amp; Results'!$C51-AN58-AN59-AN60-AN61-AN62)</f>
        <v>0</v>
      </c>
      <c r="AO57" s="146">
        <f>('Assumptions &amp; Results'!$C51&gt;0)*(AO$45&gt;'Assumptions &amp; Results'!$C51)*(AO$45-'Assumptions &amp; Results'!$C51-AO58-AO59-AO60-AO61-AO62)</f>
        <v>0</v>
      </c>
      <c r="AP57" s="146">
        <f>('Assumptions &amp; Results'!$C51&gt;0)*(AP$45&gt;'Assumptions &amp; Results'!$C51)*(AP$45-'Assumptions &amp; Results'!$C51-AP58-AP59-AP60-AP61-AP62)</f>
        <v>0</v>
      </c>
      <c r="AQ57" s="146">
        <f>('Assumptions &amp; Results'!$C51&gt;0)*(AQ$45&gt;'Assumptions &amp; Results'!$C51)*(AQ$45-'Assumptions &amp; Results'!$C51-AQ58-AQ59-AQ60-AQ61-AQ62)</f>
        <v>0</v>
      </c>
      <c r="AR57" s="146">
        <f>('Assumptions &amp; Results'!$C51&gt;0)*(AR$45&gt;'Assumptions &amp; Results'!$C51)*(AR$45-'Assumptions &amp; Results'!$C51-AR58-AR59-AR60-AR61-AR62)</f>
        <v>0</v>
      </c>
      <c r="AS57" s="146">
        <f>('Assumptions &amp; Results'!$C51&gt;0)*(AS$45&gt;'Assumptions &amp; Results'!$C51)*(AS$45-'Assumptions &amp; Results'!$C51-AS58-AS59-AS60-AS61-AS62)</f>
        <v>0</v>
      </c>
      <c r="AT57" s="146">
        <f>('Assumptions &amp; Results'!$C51&gt;0)*(AT$45&gt;'Assumptions &amp; Results'!$C51)*(AT$45-'Assumptions &amp; Results'!$C51-AT58-AT59-AT60-AT61-AT62)</f>
        <v>0</v>
      </c>
      <c r="AU57" s="146">
        <f>('Assumptions &amp; Results'!$C51&gt;0)*(AU$45&gt;'Assumptions &amp; Results'!$C51)*(AU$45-'Assumptions &amp; Results'!$C51-AU58-AU59-AU60-AU61-AU62)</f>
        <v>0</v>
      </c>
      <c r="AV57" s="146">
        <f>('Assumptions &amp; Results'!$C51&gt;0)*(AV$45&gt;'Assumptions &amp; Results'!$C51)*(AV$45-'Assumptions &amp; Results'!$C51-AV58-AV59-AV60-AV61-AV62)</f>
        <v>0</v>
      </c>
      <c r="AW57" s="146">
        <f>('Assumptions &amp; Results'!$C51&gt;0)*(AW$45&gt;'Assumptions &amp; Results'!$C51)*(AW$45-'Assumptions &amp; Results'!$C51-AW58-AW59-AW60-AW61-AW62)</f>
        <v>0</v>
      </c>
      <c r="AX57" s="146">
        <f>('Assumptions &amp; Results'!$C51&gt;0)*(AX$45&gt;'Assumptions &amp; Results'!$C51)*(AX$45-'Assumptions &amp; Results'!$C51-AX58-AX59-AX60-AX61-AX62)</f>
        <v>0</v>
      </c>
      <c r="AY57" s="146">
        <f>('Assumptions &amp; Results'!$C51&gt;0)*(AY$45&gt;'Assumptions &amp; Results'!$C51)*(AY$45-'Assumptions &amp; Results'!$C51-AY58-AY59-AY60-AY61-AY62)</f>
        <v>0</v>
      </c>
      <c r="AZ57" s="146">
        <f>('Assumptions &amp; Results'!$C51&gt;0)*(AZ$45&gt;'Assumptions &amp; Results'!$C51)*(AZ$45-'Assumptions &amp; Results'!$C51-AZ58-AZ59-AZ60-AZ61-AZ62)</f>
        <v>0</v>
      </c>
      <c r="BA57" s="146">
        <f>('Assumptions &amp; Results'!$C51&gt;0)*(BA$45&gt;'Assumptions &amp; Results'!$C51)*(BA$45-'Assumptions &amp; Results'!$C51-BA58-BA59-BA60-BA61-BA62)</f>
        <v>0</v>
      </c>
      <c r="BB57" s="146">
        <f>('Assumptions &amp; Results'!$C51&gt;0)*(BB$45&gt;'Assumptions &amp; Results'!$C51)*(BB$45-'Assumptions &amp; Results'!$C51-BB58-BB59-BB60-BB61-BB62)</f>
        <v>0</v>
      </c>
      <c r="BC57" s="38"/>
      <c r="BD57" s="38"/>
    </row>
    <row r="58" spans="1:56" x14ac:dyDescent="0.2">
      <c r="A58" s="37"/>
      <c r="B58" s="37"/>
      <c r="C58" s="98" t="s">
        <v>322</v>
      </c>
      <c r="D58" s="36" t="s">
        <v>33</v>
      </c>
      <c r="E58" s="146">
        <f>('Assumptions &amp; Results'!$C52&gt;0)*(E$45&gt;'Assumptions &amp; Results'!$C52)*(E$45-'Assumptions &amp; Results'!$C52-E59-E60-E61-E62)</f>
        <v>0</v>
      </c>
      <c r="F58" s="146">
        <f>('Assumptions &amp; Results'!$C52&gt;0)*(F$45&gt;'Assumptions &amp; Results'!$C52)*(F$45-'Assumptions &amp; Results'!$C52-F59-F60-F61-F62)</f>
        <v>0</v>
      </c>
      <c r="G58" s="146">
        <f>('Assumptions &amp; Results'!$C52&gt;0)*(G$45&gt;'Assumptions &amp; Results'!$C52)*(G$45-'Assumptions &amp; Results'!$C52-G59-G60-G61-G62)</f>
        <v>0</v>
      </c>
      <c r="H58" s="146">
        <f>('Assumptions &amp; Results'!$C52&gt;0)*(H$45&gt;'Assumptions &amp; Results'!$C52)*(H$45-'Assumptions &amp; Results'!$C52-H59-H60-H61-H62)</f>
        <v>0</v>
      </c>
      <c r="I58" s="146">
        <f>('Assumptions &amp; Results'!$C52&gt;0)*(I$45&gt;'Assumptions &amp; Results'!$C52)*(I$45-'Assumptions &amp; Results'!$C52-I59-I60-I61-I62)</f>
        <v>0</v>
      </c>
      <c r="J58" s="146">
        <f>('Assumptions &amp; Results'!$C52&gt;0)*(J$45&gt;'Assumptions &amp; Results'!$C52)*(J$45-'Assumptions &amp; Results'!$C52-J59-J60-J61-J62)</f>
        <v>0</v>
      </c>
      <c r="K58" s="146">
        <f>('Assumptions &amp; Results'!$C52&gt;0)*(K$45&gt;'Assumptions &amp; Results'!$C52)*(K$45-'Assumptions &amp; Results'!$C52-K59-K60-K61-K62)</f>
        <v>0</v>
      </c>
      <c r="L58" s="146">
        <f>('Assumptions &amp; Results'!$C52&gt;0)*(L$45&gt;'Assumptions &amp; Results'!$C52)*(L$45-'Assumptions &amp; Results'!$C52-L59-L60-L61-L62)</f>
        <v>0</v>
      </c>
      <c r="M58" s="146">
        <f>('Assumptions &amp; Results'!$C52&gt;0)*(M$45&gt;'Assumptions &amp; Results'!$C52)*(M$45-'Assumptions &amp; Results'!$C52-M59-M60-M61-M62)</f>
        <v>0</v>
      </c>
      <c r="N58" s="146">
        <f>('Assumptions &amp; Results'!$C52&gt;0)*(N$45&gt;'Assumptions &amp; Results'!$C52)*(N$45-'Assumptions &amp; Results'!$C52-N59-N60-N61-N62)</f>
        <v>0</v>
      </c>
      <c r="O58" s="146">
        <f>('Assumptions &amp; Results'!$C52&gt;0)*(O$45&gt;'Assumptions &amp; Results'!$C52)*(O$45-'Assumptions &amp; Results'!$C52-O59-O60-O61-O62)</f>
        <v>0</v>
      </c>
      <c r="P58" s="146">
        <f>('Assumptions &amp; Results'!$C52&gt;0)*(P$45&gt;'Assumptions &amp; Results'!$C52)*(P$45-'Assumptions &amp; Results'!$C52-P59-P60-P61-P62)</f>
        <v>0</v>
      </c>
      <c r="Q58" s="146">
        <f>('Assumptions &amp; Results'!$C52&gt;0)*(Q$45&gt;'Assumptions &amp; Results'!$C52)*(Q$45-'Assumptions &amp; Results'!$C52-Q59-Q60-Q61-Q62)</f>
        <v>0</v>
      </c>
      <c r="R58" s="146">
        <f>('Assumptions &amp; Results'!$C52&gt;0)*(R$45&gt;'Assumptions &amp; Results'!$C52)*(R$45-'Assumptions &amp; Results'!$C52-R59-R60-R61-R62)</f>
        <v>0</v>
      </c>
      <c r="S58" s="146">
        <f>('Assumptions &amp; Results'!$C52&gt;0)*(S$45&gt;'Assumptions &amp; Results'!$C52)*(S$45-'Assumptions &amp; Results'!$C52-S59-S60-S61-S62)</f>
        <v>0</v>
      </c>
      <c r="T58" s="146">
        <f>('Assumptions &amp; Results'!$C52&gt;0)*(T$45&gt;'Assumptions &amp; Results'!$C52)*(T$45-'Assumptions &amp; Results'!$C52-T59-T60-T61-T62)</f>
        <v>0</v>
      </c>
      <c r="U58" s="146">
        <f>('Assumptions &amp; Results'!$C52&gt;0)*(U$45&gt;'Assumptions &amp; Results'!$C52)*(U$45-'Assumptions &amp; Results'!$C52-U59-U60-U61-U62)</f>
        <v>0</v>
      </c>
      <c r="V58" s="146">
        <f>('Assumptions &amp; Results'!$C52&gt;0)*(V$45&gt;'Assumptions &amp; Results'!$C52)*(V$45-'Assumptions &amp; Results'!$C52-V59-V60-V61-V62)</f>
        <v>0</v>
      </c>
      <c r="W58" s="146">
        <f>('Assumptions &amp; Results'!$C52&gt;0)*(W$45&gt;'Assumptions &amp; Results'!$C52)*(W$45-'Assumptions &amp; Results'!$C52-W59-W60-W61-W62)</f>
        <v>0</v>
      </c>
      <c r="X58" s="146">
        <f>('Assumptions &amp; Results'!$C52&gt;0)*(X$45&gt;'Assumptions &amp; Results'!$C52)*(X$45-'Assumptions &amp; Results'!$C52-X59-X60-X61-X62)</f>
        <v>0</v>
      </c>
      <c r="Y58" s="146">
        <f>('Assumptions &amp; Results'!$C52&gt;0)*(Y$45&gt;'Assumptions &amp; Results'!$C52)*(Y$45-'Assumptions &amp; Results'!$C52-Y59-Y60-Y61-Y62)</f>
        <v>0</v>
      </c>
      <c r="Z58" s="146">
        <f>('Assumptions &amp; Results'!$C52&gt;0)*(Z$45&gt;'Assumptions &amp; Results'!$C52)*(Z$45-'Assumptions &amp; Results'!$C52-Z59-Z60-Z61-Z62)</f>
        <v>0</v>
      </c>
      <c r="AA58" s="146">
        <f>('Assumptions &amp; Results'!$C52&gt;0)*(AA$45&gt;'Assumptions &amp; Results'!$C52)*(AA$45-'Assumptions &amp; Results'!$C52-AA59-AA60-AA61-AA62)</f>
        <v>0</v>
      </c>
      <c r="AB58" s="146">
        <f>('Assumptions &amp; Results'!$C52&gt;0)*(AB$45&gt;'Assumptions &amp; Results'!$C52)*(AB$45-'Assumptions &amp; Results'!$C52-AB59-AB60-AB61-AB62)</f>
        <v>0</v>
      </c>
      <c r="AC58" s="146">
        <f>('Assumptions &amp; Results'!$C52&gt;0)*(AC$45&gt;'Assumptions &amp; Results'!$C52)*(AC$45-'Assumptions &amp; Results'!$C52-AC59-AC60-AC61-AC62)</f>
        <v>0</v>
      </c>
      <c r="AD58" s="146">
        <f>('Assumptions &amp; Results'!$C52&gt;0)*(AD$45&gt;'Assumptions &amp; Results'!$C52)*(AD$45-'Assumptions &amp; Results'!$C52-AD59-AD60-AD61-AD62)</f>
        <v>0</v>
      </c>
      <c r="AE58" s="146">
        <f>('Assumptions &amp; Results'!$C52&gt;0)*(AE$45&gt;'Assumptions &amp; Results'!$C52)*(AE$45-'Assumptions &amp; Results'!$C52-AE59-AE60-AE61-AE62)</f>
        <v>0</v>
      </c>
      <c r="AF58" s="146">
        <f>('Assumptions &amp; Results'!$C52&gt;0)*(AF$45&gt;'Assumptions &amp; Results'!$C52)*(AF$45-'Assumptions &amp; Results'!$C52-AF59-AF60-AF61-AF62)</f>
        <v>0</v>
      </c>
      <c r="AG58" s="146">
        <f>('Assumptions &amp; Results'!$C52&gt;0)*(AG$45&gt;'Assumptions &amp; Results'!$C52)*(AG$45-'Assumptions &amp; Results'!$C52-AG59-AG60-AG61-AG62)</f>
        <v>0</v>
      </c>
      <c r="AH58" s="146">
        <f>('Assumptions &amp; Results'!$C52&gt;0)*(AH$45&gt;'Assumptions &amp; Results'!$C52)*(AH$45-'Assumptions &amp; Results'!$C52-AH59-AH60-AH61-AH62)</f>
        <v>0</v>
      </c>
      <c r="AI58" s="146">
        <f>('Assumptions &amp; Results'!$C52&gt;0)*(AI$45&gt;'Assumptions &amp; Results'!$C52)*(AI$45-'Assumptions &amp; Results'!$C52-AI59-AI60-AI61-AI62)</f>
        <v>0</v>
      </c>
      <c r="AJ58" s="146">
        <f>('Assumptions &amp; Results'!$C52&gt;0)*(AJ$45&gt;'Assumptions &amp; Results'!$C52)*(AJ$45-'Assumptions &amp; Results'!$C52-AJ59-AJ60-AJ61-AJ62)</f>
        <v>0</v>
      </c>
      <c r="AK58" s="146">
        <f>('Assumptions &amp; Results'!$C52&gt;0)*(AK$45&gt;'Assumptions &amp; Results'!$C52)*(AK$45-'Assumptions &amp; Results'!$C52-AK59-AK60-AK61-AK62)</f>
        <v>0</v>
      </c>
      <c r="AL58" s="146">
        <f>('Assumptions &amp; Results'!$C52&gt;0)*(AL$45&gt;'Assumptions &amp; Results'!$C52)*(AL$45-'Assumptions &amp; Results'!$C52-AL59-AL60-AL61-AL62)</f>
        <v>0</v>
      </c>
      <c r="AM58" s="146">
        <f>('Assumptions &amp; Results'!$C52&gt;0)*(AM$45&gt;'Assumptions &amp; Results'!$C52)*(AM$45-'Assumptions &amp; Results'!$C52-AM59-AM60-AM61-AM62)</f>
        <v>0</v>
      </c>
      <c r="AN58" s="146">
        <f>('Assumptions &amp; Results'!$C52&gt;0)*(AN$45&gt;'Assumptions &amp; Results'!$C52)*(AN$45-'Assumptions &amp; Results'!$C52-AN59-AN60-AN61-AN62)</f>
        <v>0</v>
      </c>
      <c r="AO58" s="146">
        <f>('Assumptions &amp; Results'!$C52&gt;0)*(AO$45&gt;'Assumptions &amp; Results'!$C52)*(AO$45-'Assumptions &amp; Results'!$C52-AO59-AO60-AO61-AO62)</f>
        <v>0</v>
      </c>
      <c r="AP58" s="146">
        <f>('Assumptions &amp; Results'!$C52&gt;0)*(AP$45&gt;'Assumptions &amp; Results'!$C52)*(AP$45-'Assumptions &amp; Results'!$C52-AP59-AP60-AP61-AP62)</f>
        <v>0</v>
      </c>
      <c r="AQ58" s="146">
        <f>('Assumptions &amp; Results'!$C52&gt;0)*(AQ$45&gt;'Assumptions &amp; Results'!$C52)*(AQ$45-'Assumptions &amp; Results'!$C52-AQ59-AQ60-AQ61-AQ62)</f>
        <v>0</v>
      </c>
      <c r="AR58" s="146">
        <f>('Assumptions &amp; Results'!$C52&gt;0)*(AR$45&gt;'Assumptions &amp; Results'!$C52)*(AR$45-'Assumptions &amp; Results'!$C52-AR59-AR60-AR61-AR62)</f>
        <v>0</v>
      </c>
      <c r="AS58" s="146">
        <f>('Assumptions &amp; Results'!$C52&gt;0)*(AS$45&gt;'Assumptions &amp; Results'!$C52)*(AS$45-'Assumptions &amp; Results'!$C52-AS59-AS60-AS61-AS62)</f>
        <v>0</v>
      </c>
      <c r="AT58" s="146">
        <f>('Assumptions &amp; Results'!$C52&gt;0)*(AT$45&gt;'Assumptions &amp; Results'!$C52)*(AT$45-'Assumptions &amp; Results'!$C52-AT59-AT60-AT61-AT62)</f>
        <v>0</v>
      </c>
      <c r="AU58" s="146">
        <f>('Assumptions &amp; Results'!$C52&gt;0)*(AU$45&gt;'Assumptions &amp; Results'!$C52)*(AU$45-'Assumptions &amp; Results'!$C52-AU59-AU60-AU61-AU62)</f>
        <v>0</v>
      </c>
      <c r="AV58" s="146">
        <f>('Assumptions &amp; Results'!$C52&gt;0)*(AV$45&gt;'Assumptions &amp; Results'!$C52)*(AV$45-'Assumptions &amp; Results'!$C52-AV59-AV60-AV61-AV62)</f>
        <v>0</v>
      </c>
      <c r="AW58" s="146">
        <f>('Assumptions &amp; Results'!$C52&gt;0)*(AW$45&gt;'Assumptions &amp; Results'!$C52)*(AW$45-'Assumptions &amp; Results'!$C52-AW59-AW60-AW61-AW62)</f>
        <v>0</v>
      </c>
      <c r="AX58" s="146">
        <f>('Assumptions &amp; Results'!$C52&gt;0)*(AX$45&gt;'Assumptions &amp; Results'!$C52)*(AX$45-'Assumptions &amp; Results'!$C52-AX59-AX60-AX61-AX62)</f>
        <v>0</v>
      </c>
      <c r="AY58" s="146">
        <f>('Assumptions &amp; Results'!$C52&gt;0)*(AY$45&gt;'Assumptions &amp; Results'!$C52)*(AY$45-'Assumptions &amp; Results'!$C52-AY59-AY60-AY61-AY62)</f>
        <v>0</v>
      </c>
      <c r="AZ58" s="146">
        <f>('Assumptions &amp; Results'!$C52&gt;0)*(AZ$45&gt;'Assumptions &amp; Results'!$C52)*(AZ$45-'Assumptions &amp; Results'!$C52-AZ59-AZ60-AZ61-AZ62)</f>
        <v>0</v>
      </c>
      <c r="BA58" s="146">
        <f>('Assumptions &amp; Results'!$C52&gt;0)*(BA$45&gt;'Assumptions &amp; Results'!$C52)*(BA$45-'Assumptions &amp; Results'!$C52-BA59-BA60-BA61-BA62)</f>
        <v>0</v>
      </c>
      <c r="BB58" s="146">
        <f>('Assumptions &amp; Results'!$C52&gt;0)*(BB$45&gt;'Assumptions &amp; Results'!$C52)*(BB$45-'Assumptions &amp; Results'!$C52-BB59-BB60-BB61-BB62)</f>
        <v>0</v>
      </c>
      <c r="BC58" s="38"/>
      <c r="BD58" s="38"/>
    </row>
    <row r="59" spans="1:56" x14ac:dyDescent="0.2">
      <c r="A59" s="37"/>
      <c r="B59" s="37"/>
      <c r="C59" s="98" t="s">
        <v>323</v>
      </c>
      <c r="D59" s="36" t="s">
        <v>33</v>
      </c>
      <c r="E59" s="146">
        <f>('Assumptions &amp; Results'!$C53&gt;0)*(E$45&gt;'Assumptions &amp; Results'!$C53)*(E$45-'Assumptions &amp; Results'!$C53-E60-E61-E62)</f>
        <v>0</v>
      </c>
      <c r="F59" s="146">
        <f>('Assumptions &amp; Results'!$C53&gt;0)*(F$45&gt;'Assumptions &amp; Results'!$C53)*(F$45-'Assumptions &amp; Results'!$C53-F60-F61-F62)</f>
        <v>0</v>
      </c>
      <c r="G59" s="146">
        <f>('Assumptions &amp; Results'!$C53&gt;0)*(G$45&gt;'Assumptions &amp; Results'!$C53)*(G$45-'Assumptions &amp; Results'!$C53-G60-G61-G62)</f>
        <v>0</v>
      </c>
      <c r="H59" s="146">
        <f>('Assumptions &amp; Results'!$C53&gt;0)*(H$45&gt;'Assumptions &amp; Results'!$C53)*(H$45-'Assumptions &amp; Results'!$C53-H60-H61-H62)</f>
        <v>0</v>
      </c>
      <c r="I59" s="146">
        <f>('Assumptions &amp; Results'!$C53&gt;0)*(I$45&gt;'Assumptions &amp; Results'!$C53)*(I$45-'Assumptions &amp; Results'!$C53-I60-I61-I62)</f>
        <v>0</v>
      </c>
      <c r="J59" s="146">
        <f>('Assumptions &amp; Results'!$C53&gt;0)*(J$45&gt;'Assumptions &amp; Results'!$C53)*(J$45-'Assumptions &amp; Results'!$C53-J60-J61-J62)</f>
        <v>0</v>
      </c>
      <c r="K59" s="146">
        <f>('Assumptions &amp; Results'!$C53&gt;0)*(K$45&gt;'Assumptions &amp; Results'!$C53)*(K$45-'Assumptions &amp; Results'!$C53-K60-K61-K62)</f>
        <v>0</v>
      </c>
      <c r="L59" s="146">
        <f>('Assumptions &amp; Results'!$C53&gt;0)*(L$45&gt;'Assumptions &amp; Results'!$C53)*(L$45-'Assumptions &amp; Results'!$C53-L60-L61-L62)</f>
        <v>0</v>
      </c>
      <c r="M59" s="146">
        <f>('Assumptions &amp; Results'!$C53&gt;0)*(M$45&gt;'Assumptions &amp; Results'!$C53)*(M$45-'Assumptions &amp; Results'!$C53-M60-M61-M62)</f>
        <v>0</v>
      </c>
      <c r="N59" s="146">
        <f>('Assumptions &amp; Results'!$C53&gt;0)*(N$45&gt;'Assumptions &amp; Results'!$C53)*(N$45-'Assumptions &amp; Results'!$C53-N60-N61-N62)</f>
        <v>0</v>
      </c>
      <c r="O59" s="146">
        <f>('Assumptions &amp; Results'!$C53&gt;0)*(O$45&gt;'Assumptions &amp; Results'!$C53)*(O$45-'Assumptions &amp; Results'!$C53-O60-O61-O62)</f>
        <v>0</v>
      </c>
      <c r="P59" s="146">
        <f>('Assumptions &amp; Results'!$C53&gt;0)*(P$45&gt;'Assumptions &amp; Results'!$C53)*(P$45-'Assumptions &amp; Results'!$C53-P60-P61-P62)</f>
        <v>0</v>
      </c>
      <c r="Q59" s="146">
        <f>('Assumptions &amp; Results'!$C53&gt;0)*(Q$45&gt;'Assumptions &amp; Results'!$C53)*(Q$45-'Assumptions &amp; Results'!$C53-Q60-Q61-Q62)</f>
        <v>0</v>
      </c>
      <c r="R59" s="146">
        <f>('Assumptions &amp; Results'!$C53&gt;0)*(R$45&gt;'Assumptions &amp; Results'!$C53)*(R$45-'Assumptions &amp; Results'!$C53-R60-R61-R62)</f>
        <v>0</v>
      </c>
      <c r="S59" s="146">
        <f>('Assumptions &amp; Results'!$C53&gt;0)*(S$45&gt;'Assumptions &amp; Results'!$C53)*(S$45-'Assumptions &amp; Results'!$C53-S60-S61-S62)</f>
        <v>0</v>
      </c>
      <c r="T59" s="146">
        <f>('Assumptions &amp; Results'!$C53&gt;0)*(T$45&gt;'Assumptions &amp; Results'!$C53)*(T$45-'Assumptions &amp; Results'!$C53-T60-T61-T62)</f>
        <v>0</v>
      </c>
      <c r="U59" s="146">
        <f>('Assumptions &amp; Results'!$C53&gt;0)*(U$45&gt;'Assumptions &amp; Results'!$C53)*(U$45-'Assumptions &amp; Results'!$C53-U60-U61-U62)</f>
        <v>0</v>
      </c>
      <c r="V59" s="146">
        <f>('Assumptions &amp; Results'!$C53&gt;0)*(V$45&gt;'Assumptions &amp; Results'!$C53)*(V$45-'Assumptions &amp; Results'!$C53-V60-V61-V62)</f>
        <v>0</v>
      </c>
      <c r="W59" s="146">
        <f>('Assumptions &amp; Results'!$C53&gt;0)*(W$45&gt;'Assumptions &amp; Results'!$C53)*(W$45-'Assumptions &amp; Results'!$C53-W60-W61-W62)</f>
        <v>0</v>
      </c>
      <c r="X59" s="146">
        <f>('Assumptions &amp; Results'!$C53&gt;0)*(X$45&gt;'Assumptions &amp; Results'!$C53)*(X$45-'Assumptions &amp; Results'!$C53-X60-X61-X62)</f>
        <v>0</v>
      </c>
      <c r="Y59" s="146">
        <f>('Assumptions &amp; Results'!$C53&gt;0)*(Y$45&gt;'Assumptions &amp; Results'!$C53)*(Y$45-'Assumptions &amp; Results'!$C53-Y60-Y61-Y62)</f>
        <v>0</v>
      </c>
      <c r="Z59" s="146">
        <f>('Assumptions &amp; Results'!$C53&gt;0)*(Z$45&gt;'Assumptions &amp; Results'!$C53)*(Z$45-'Assumptions &amp; Results'!$C53-Z60-Z61-Z62)</f>
        <v>0</v>
      </c>
      <c r="AA59" s="146">
        <f>('Assumptions &amp; Results'!$C53&gt;0)*(AA$45&gt;'Assumptions &amp; Results'!$C53)*(AA$45-'Assumptions &amp; Results'!$C53-AA60-AA61-AA62)</f>
        <v>0</v>
      </c>
      <c r="AB59" s="146">
        <f>('Assumptions &amp; Results'!$C53&gt;0)*(AB$45&gt;'Assumptions &amp; Results'!$C53)*(AB$45-'Assumptions &amp; Results'!$C53-AB60-AB61-AB62)</f>
        <v>0</v>
      </c>
      <c r="AC59" s="146">
        <f>('Assumptions &amp; Results'!$C53&gt;0)*(AC$45&gt;'Assumptions &amp; Results'!$C53)*(AC$45-'Assumptions &amp; Results'!$C53-AC60-AC61-AC62)</f>
        <v>0</v>
      </c>
      <c r="AD59" s="146">
        <f>('Assumptions &amp; Results'!$C53&gt;0)*(AD$45&gt;'Assumptions &amp; Results'!$C53)*(AD$45-'Assumptions &amp; Results'!$C53-AD60-AD61-AD62)</f>
        <v>0</v>
      </c>
      <c r="AE59" s="146">
        <f>('Assumptions &amp; Results'!$C53&gt;0)*(AE$45&gt;'Assumptions &amp; Results'!$C53)*(AE$45-'Assumptions &amp; Results'!$C53-AE60-AE61-AE62)</f>
        <v>0</v>
      </c>
      <c r="AF59" s="146">
        <f>('Assumptions &amp; Results'!$C53&gt;0)*(AF$45&gt;'Assumptions &amp; Results'!$C53)*(AF$45-'Assumptions &amp; Results'!$C53-AF60-AF61-AF62)</f>
        <v>0</v>
      </c>
      <c r="AG59" s="146">
        <f>('Assumptions &amp; Results'!$C53&gt;0)*(AG$45&gt;'Assumptions &amp; Results'!$C53)*(AG$45-'Assumptions &amp; Results'!$C53-AG60-AG61-AG62)</f>
        <v>0</v>
      </c>
      <c r="AH59" s="146">
        <f>('Assumptions &amp; Results'!$C53&gt;0)*(AH$45&gt;'Assumptions &amp; Results'!$C53)*(AH$45-'Assumptions &amp; Results'!$C53-AH60-AH61-AH62)</f>
        <v>0</v>
      </c>
      <c r="AI59" s="146">
        <f>('Assumptions &amp; Results'!$C53&gt;0)*(AI$45&gt;'Assumptions &amp; Results'!$C53)*(AI$45-'Assumptions &amp; Results'!$C53-AI60-AI61-AI62)</f>
        <v>0</v>
      </c>
      <c r="AJ59" s="146">
        <f>('Assumptions &amp; Results'!$C53&gt;0)*(AJ$45&gt;'Assumptions &amp; Results'!$C53)*(AJ$45-'Assumptions &amp; Results'!$C53-AJ60-AJ61-AJ62)</f>
        <v>0</v>
      </c>
      <c r="AK59" s="146">
        <f>('Assumptions &amp; Results'!$C53&gt;0)*(AK$45&gt;'Assumptions &amp; Results'!$C53)*(AK$45-'Assumptions &amp; Results'!$C53-AK60-AK61-AK62)</f>
        <v>0</v>
      </c>
      <c r="AL59" s="146">
        <f>('Assumptions &amp; Results'!$C53&gt;0)*(AL$45&gt;'Assumptions &amp; Results'!$C53)*(AL$45-'Assumptions &amp; Results'!$C53-AL60-AL61-AL62)</f>
        <v>0</v>
      </c>
      <c r="AM59" s="146">
        <f>('Assumptions &amp; Results'!$C53&gt;0)*(AM$45&gt;'Assumptions &amp; Results'!$C53)*(AM$45-'Assumptions &amp; Results'!$C53-AM60-AM61-AM62)</f>
        <v>0</v>
      </c>
      <c r="AN59" s="146">
        <f>('Assumptions &amp; Results'!$C53&gt;0)*(AN$45&gt;'Assumptions &amp; Results'!$C53)*(AN$45-'Assumptions &amp; Results'!$C53-AN60-AN61-AN62)</f>
        <v>0</v>
      </c>
      <c r="AO59" s="146">
        <f>('Assumptions &amp; Results'!$C53&gt;0)*(AO$45&gt;'Assumptions &amp; Results'!$C53)*(AO$45-'Assumptions &amp; Results'!$C53-AO60-AO61-AO62)</f>
        <v>0</v>
      </c>
      <c r="AP59" s="146">
        <f>('Assumptions &amp; Results'!$C53&gt;0)*(AP$45&gt;'Assumptions &amp; Results'!$C53)*(AP$45-'Assumptions &amp; Results'!$C53-AP60-AP61-AP62)</f>
        <v>0</v>
      </c>
      <c r="AQ59" s="146">
        <f>('Assumptions &amp; Results'!$C53&gt;0)*(AQ$45&gt;'Assumptions &amp; Results'!$C53)*(AQ$45-'Assumptions &amp; Results'!$C53-AQ60-AQ61-AQ62)</f>
        <v>0</v>
      </c>
      <c r="AR59" s="146">
        <f>('Assumptions &amp; Results'!$C53&gt;0)*(AR$45&gt;'Assumptions &amp; Results'!$C53)*(AR$45-'Assumptions &amp; Results'!$C53-AR60-AR61-AR62)</f>
        <v>0</v>
      </c>
      <c r="AS59" s="146">
        <f>('Assumptions &amp; Results'!$C53&gt;0)*(AS$45&gt;'Assumptions &amp; Results'!$C53)*(AS$45-'Assumptions &amp; Results'!$C53-AS60-AS61-AS62)</f>
        <v>0</v>
      </c>
      <c r="AT59" s="146">
        <f>('Assumptions &amp; Results'!$C53&gt;0)*(AT$45&gt;'Assumptions &amp; Results'!$C53)*(AT$45-'Assumptions &amp; Results'!$C53-AT60-AT61-AT62)</f>
        <v>0</v>
      </c>
      <c r="AU59" s="146">
        <f>('Assumptions &amp; Results'!$C53&gt;0)*(AU$45&gt;'Assumptions &amp; Results'!$C53)*(AU$45-'Assumptions &amp; Results'!$C53-AU60-AU61-AU62)</f>
        <v>0</v>
      </c>
      <c r="AV59" s="146">
        <f>('Assumptions &amp; Results'!$C53&gt;0)*(AV$45&gt;'Assumptions &amp; Results'!$C53)*(AV$45-'Assumptions &amp; Results'!$C53-AV60-AV61-AV62)</f>
        <v>0</v>
      </c>
      <c r="AW59" s="146">
        <f>('Assumptions &amp; Results'!$C53&gt;0)*(AW$45&gt;'Assumptions &amp; Results'!$C53)*(AW$45-'Assumptions &amp; Results'!$C53-AW60-AW61-AW62)</f>
        <v>0</v>
      </c>
      <c r="AX59" s="146">
        <f>('Assumptions &amp; Results'!$C53&gt;0)*(AX$45&gt;'Assumptions &amp; Results'!$C53)*(AX$45-'Assumptions &amp; Results'!$C53-AX60-AX61-AX62)</f>
        <v>0</v>
      </c>
      <c r="AY59" s="146">
        <f>('Assumptions &amp; Results'!$C53&gt;0)*(AY$45&gt;'Assumptions &amp; Results'!$C53)*(AY$45-'Assumptions &amp; Results'!$C53-AY60-AY61-AY62)</f>
        <v>0</v>
      </c>
      <c r="AZ59" s="146">
        <f>('Assumptions &amp; Results'!$C53&gt;0)*(AZ$45&gt;'Assumptions &amp; Results'!$C53)*(AZ$45-'Assumptions &amp; Results'!$C53-AZ60-AZ61-AZ62)</f>
        <v>0</v>
      </c>
      <c r="BA59" s="146">
        <f>('Assumptions &amp; Results'!$C53&gt;0)*(BA$45&gt;'Assumptions &amp; Results'!$C53)*(BA$45-'Assumptions &amp; Results'!$C53-BA60-BA61-BA62)</f>
        <v>0</v>
      </c>
      <c r="BB59" s="146">
        <f>('Assumptions &amp; Results'!$C53&gt;0)*(BB$45&gt;'Assumptions &amp; Results'!$C53)*(BB$45-'Assumptions &amp; Results'!$C53-BB60-BB61-BB62)</f>
        <v>0</v>
      </c>
      <c r="BC59" s="38"/>
      <c r="BD59" s="38"/>
    </row>
    <row r="60" spans="1:56" x14ac:dyDescent="0.2">
      <c r="A60" s="37"/>
      <c r="B60" s="37"/>
      <c r="C60" s="98" t="s">
        <v>324</v>
      </c>
      <c r="D60" s="36" t="s">
        <v>33</v>
      </c>
      <c r="E60" s="146">
        <f>('Assumptions &amp; Results'!$C54&gt;0)*(E$45&gt;'Assumptions &amp; Results'!$C54)*(E$45-'Assumptions &amp; Results'!$C54-E61-E62)</f>
        <v>0</v>
      </c>
      <c r="F60" s="146">
        <f>('Assumptions &amp; Results'!$C54&gt;0)*(F$45&gt;'Assumptions &amp; Results'!$C54)*(F$45-'Assumptions &amp; Results'!$C54-F61-F62)</f>
        <v>0</v>
      </c>
      <c r="G60" s="146">
        <f>('Assumptions &amp; Results'!$C54&gt;0)*(G$45&gt;'Assumptions &amp; Results'!$C54)*(G$45-'Assumptions &amp; Results'!$C54-G61-G62)</f>
        <v>0</v>
      </c>
      <c r="H60" s="146">
        <f>('Assumptions &amp; Results'!$C54&gt;0)*(H$45&gt;'Assumptions &amp; Results'!$C54)*(H$45-'Assumptions &amp; Results'!$C54-H61-H62)</f>
        <v>0</v>
      </c>
      <c r="I60" s="146">
        <f>('Assumptions &amp; Results'!$C54&gt;0)*(I$45&gt;'Assumptions &amp; Results'!$C54)*(I$45-'Assumptions &amp; Results'!$C54-I61-I62)</f>
        <v>0</v>
      </c>
      <c r="J60" s="146">
        <f>('Assumptions &amp; Results'!$C54&gt;0)*(J$45&gt;'Assumptions &amp; Results'!$C54)*(J$45-'Assumptions &amp; Results'!$C54-J61-J62)</f>
        <v>0</v>
      </c>
      <c r="K60" s="146">
        <f>('Assumptions &amp; Results'!$C54&gt;0)*(K$45&gt;'Assumptions &amp; Results'!$C54)*(K$45-'Assumptions &amp; Results'!$C54-K61-K62)</f>
        <v>0</v>
      </c>
      <c r="L60" s="146">
        <f>('Assumptions &amp; Results'!$C54&gt;0)*(L$45&gt;'Assumptions &amp; Results'!$C54)*(L$45-'Assumptions &amp; Results'!$C54-L61-L62)</f>
        <v>0</v>
      </c>
      <c r="M60" s="146">
        <f>('Assumptions &amp; Results'!$C54&gt;0)*(M$45&gt;'Assumptions &amp; Results'!$C54)*(M$45-'Assumptions &amp; Results'!$C54-M61-M62)</f>
        <v>0</v>
      </c>
      <c r="N60" s="146">
        <f>('Assumptions &amp; Results'!$C54&gt;0)*(N$45&gt;'Assumptions &amp; Results'!$C54)*(N$45-'Assumptions &amp; Results'!$C54-N61-N62)</f>
        <v>0</v>
      </c>
      <c r="O60" s="146">
        <f>('Assumptions &amp; Results'!$C54&gt;0)*(O$45&gt;'Assumptions &amp; Results'!$C54)*(O$45-'Assumptions &amp; Results'!$C54-O61-O62)</f>
        <v>0</v>
      </c>
      <c r="P60" s="146">
        <f>('Assumptions &amp; Results'!$C54&gt;0)*(P$45&gt;'Assumptions &amp; Results'!$C54)*(P$45-'Assumptions &amp; Results'!$C54-P61-P62)</f>
        <v>0</v>
      </c>
      <c r="Q60" s="146">
        <f>('Assumptions &amp; Results'!$C54&gt;0)*(Q$45&gt;'Assumptions &amp; Results'!$C54)*(Q$45-'Assumptions &amp; Results'!$C54-Q61-Q62)</f>
        <v>0</v>
      </c>
      <c r="R60" s="146">
        <f>('Assumptions &amp; Results'!$C54&gt;0)*(R$45&gt;'Assumptions &amp; Results'!$C54)*(R$45-'Assumptions &amp; Results'!$C54-R61-R62)</f>
        <v>0</v>
      </c>
      <c r="S60" s="146">
        <f>('Assumptions &amp; Results'!$C54&gt;0)*(S$45&gt;'Assumptions &amp; Results'!$C54)*(S$45-'Assumptions &amp; Results'!$C54-S61-S62)</f>
        <v>0</v>
      </c>
      <c r="T60" s="146">
        <f>('Assumptions &amp; Results'!$C54&gt;0)*(T$45&gt;'Assumptions &amp; Results'!$C54)*(T$45-'Assumptions &amp; Results'!$C54-T61-T62)</f>
        <v>0</v>
      </c>
      <c r="U60" s="146">
        <f>('Assumptions &amp; Results'!$C54&gt;0)*(U$45&gt;'Assumptions &amp; Results'!$C54)*(U$45-'Assumptions &amp; Results'!$C54-U61-U62)</f>
        <v>0</v>
      </c>
      <c r="V60" s="146">
        <f>('Assumptions &amp; Results'!$C54&gt;0)*(V$45&gt;'Assumptions &amp; Results'!$C54)*(V$45-'Assumptions &amp; Results'!$C54-V61-V62)</f>
        <v>0</v>
      </c>
      <c r="W60" s="146">
        <f>('Assumptions &amp; Results'!$C54&gt;0)*(W$45&gt;'Assumptions &amp; Results'!$C54)*(W$45-'Assumptions &amp; Results'!$C54-W61-W62)</f>
        <v>0</v>
      </c>
      <c r="X60" s="146">
        <f>('Assumptions &amp; Results'!$C54&gt;0)*(X$45&gt;'Assumptions &amp; Results'!$C54)*(X$45-'Assumptions &amp; Results'!$C54-X61-X62)</f>
        <v>0</v>
      </c>
      <c r="Y60" s="146">
        <f>('Assumptions &amp; Results'!$C54&gt;0)*(Y$45&gt;'Assumptions &amp; Results'!$C54)*(Y$45-'Assumptions &amp; Results'!$C54-Y61-Y62)</f>
        <v>0</v>
      </c>
      <c r="Z60" s="146">
        <f>('Assumptions &amp; Results'!$C54&gt;0)*(Z$45&gt;'Assumptions &amp; Results'!$C54)*(Z$45-'Assumptions &amp; Results'!$C54-Z61-Z62)</f>
        <v>0</v>
      </c>
      <c r="AA60" s="146">
        <f>('Assumptions &amp; Results'!$C54&gt;0)*(AA$45&gt;'Assumptions &amp; Results'!$C54)*(AA$45-'Assumptions &amp; Results'!$C54-AA61-AA62)</f>
        <v>0</v>
      </c>
      <c r="AB60" s="146">
        <f>('Assumptions &amp; Results'!$C54&gt;0)*(AB$45&gt;'Assumptions &amp; Results'!$C54)*(AB$45-'Assumptions &amp; Results'!$C54-AB61-AB62)</f>
        <v>0</v>
      </c>
      <c r="AC60" s="146">
        <f>('Assumptions &amp; Results'!$C54&gt;0)*(AC$45&gt;'Assumptions &amp; Results'!$C54)*(AC$45-'Assumptions &amp; Results'!$C54-AC61-AC62)</f>
        <v>0</v>
      </c>
      <c r="AD60" s="146">
        <f>('Assumptions &amp; Results'!$C54&gt;0)*(AD$45&gt;'Assumptions &amp; Results'!$C54)*(AD$45-'Assumptions &amp; Results'!$C54-AD61-AD62)</f>
        <v>0</v>
      </c>
      <c r="AE60" s="146">
        <f>('Assumptions &amp; Results'!$C54&gt;0)*(AE$45&gt;'Assumptions &amp; Results'!$C54)*(AE$45-'Assumptions &amp; Results'!$C54-AE61-AE62)</f>
        <v>0</v>
      </c>
      <c r="AF60" s="146">
        <f>('Assumptions &amp; Results'!$C54&gt;0)*(AF$45&gt;'Assumptions &amp; Results'!$C54)*(AF$45-'Assumptions &amp; Results'!$C54-AF61-AF62)</f>
        <v>0</v>
      </c>
      <c r="AG60" s="146">
        <f>('Assumptions &amp; Results'!$C54&gt;0)*(AG$45&gt;'Assumptions &amp; Results'!$C54)*(AG$45-'Assumptions &amp; Results'!$C54-AG61-AG62)</f>
        <v>0</v>
      </c>
      <c r="AH60" s="146">
        <f>('Assumptions &amp; Results'!$C54&gt;0)*(AH$45&gt;'Assumptions &amp; Results'!$C54)*(AH$45-'Assumptions &amp; Results'!$C54-AH61-AH62)</f>
        <v>0</v>
      </c>
      <c r="AI60" s="146">
        <f>('Assumptions &amp; Results'!$C54&gt;0)*(AI$45&gt;'Assumptions &amp; Results'!$C54)*(AI$45-'Assumptions &amp; Results'!$C54-AI61-AI62)</f>
        <v>0</v>
      </c>
      <c r="AJ60" s="146">
        <f>('Assumptions &amp; Results'!$C54&gt;0)*(AJ$45&gt;'Assumptions &amp; Results'!$C54)*(AJ$45-'Assumptions &amp; Results'!$C54-AJ61-AJ62)</f>
        <v>0</v>
      </c>
      <c r="AK60" s="146">
        <f>('Assumptions &amp; Results'!$C54&gt;0)*(AK$45&gt;'Assumptions &amp; Results'!$C54)*(AK$45-'Assumptions &amp; Results'!$C54-AK61-AK62)</f>
        <v>0</v>
      </c>
      <c r="AL60" s="146">
        <f>('Assumptions &amp; Results'!$C54&gt;0)*(AL$45&gt;'Assumptions &amp; Results'!$C54)*(AL$45-'Assumptions &amp; Results'!$C54-AL61-AL62)</f>
        <v>0</v>
      </c>
      <c r="AM60" s="146">
        <f>('Assumptions &amp; Results'!$C54&gt;0)*(AM$45&gt;'Assumptions &amp; Results'!$C54)*(AM$45-'Assumptions &amp; Results'!$C54-AM61-AM62)</f>
        <v>0</v>
      </c>
      <c r="AN60" s="146">
        <f>('Assumptions &amp; Results'!$C54&gt;0)*(AN$45&gt;'Assumptions &amp; Results'!$C54)*(AN$45-'Assumptions &amp; Results'!$C54-AN61-AN62)</f>
        <v>0</v>
      </c>
      <c r="AO60" s="146">
        <f>('Assumptions &amp; Results'!$C54&gt;0)*(AO$45&gt;'Assumptions &amp; Results'!$C54)*(AO$45-'Assumptions &amp; Results'!$C54-AO61-AO62)</f>
        <v>0</v>
      </c>
      <c r="AP60" s="146">
        <f>('Assumptions &amp; Results'!$C54&gt;0)*(AP$45&gt;'Assumptions &amp; Results'!$C54)*(AP$45-'Assumptions &amp; Results'!$C54-AP61-AP62)</f>
        <v>0</v>
      </c>
      <c r="AQ60" s="146">
        <f>('Assumptions &amp; Results'!$C54&gt;0)*(AQ$45&gt;'Assumptions &amp; Results'!$C54)*(AQ$45-'Assumptions &amp; Results'!$C54-AQ61-AQ62)</f>
        <v>0</v>
      </c>
      <c r="AR60" s="146">
        <f>('Assumptions &amp; Results'!$C54&gt;0)*(AR$45&gt;'Assumptions &amp; Results'!$C54)*(AR$45-'Assumptions &amp; Results'!$C54-AR61-AR62)</f>
        <v>0</v>
      </c>
      <c r="AS60" s="146">
        <f>('Assumptions &amp; Results'!$C54&gt;0)*(AS$45&gt;'Assumptions &amp; Results'!$C54)*(AS$45-'Assumptions &amp; Results'!$C54-AS61-AS62)</f>
        <v>0</v>
      </c>
      <c r="AT60" s="146">
        <f>('Assumptions &amp; Results'!$C54&gt;0)*(AT$45&gt;'Assumptions &amp; Results'!$C54)*(AT$45-'Assumptions &amp; Results'!$C54-AT61-AT62)</f>
        <v>0</v>
      </c>
      <c r="AU60" s="146">
        <f>('Assumptions &amp; Results'!$C54&gt;0)*(AU$45&gt;'Assumptions &amp; Results'!$C54)*(AU$45-'Assumptions &amp; Results'!$C54-AU61-AU62)</f>
        <v>0</v>
      </c>
      <c r="AV60" s="146">
        <f>('Assumptions &amp; Results'!$C54&gt;0)*(AV$45&gt;'Assumptions &amp; Results'!$C54)*(AV$45-'Assumptions &amp; Results'!$C54-AV61-AV62)</f>
        <v>0</v>
      </c>
      <c r="AW60" s="146">
        <f>('Assumptions &amp; Results'!$C54&gt;0)*(AW$45&gt;'Assumptions &amp; Results'!$C54)*(AW$45-'Assumptions &amp; Results'!$C54-AW61-AW62)</f>
        <v>0</v>
      </c>
      <c r="AX60" s="146">
        <f>('Assumptions &amp; Results'!$C54&gt;0)*(AX$45&gt;'Assumptions &amp; Results'!$C54)*(AX$45-'Assumptions &amp; Results'!$C54-AX61-AX62)</f>
        <v>0</v>
      </c>
      <c r="AY60" s="146">
        <f>('Assumptions &amp; Results'!$C54&gt;0)*(AY$45&gt;'Assumptions &amp; Results'!$C54)*(AY$45-'Assumptions &amp; Results'!$C54-AY61-AY62)</f>
        <v>0</v>
      </c>
      <c r="AZ60" s="146">
        <f>('Assumptions &amp; Results'!$C54&gt;0)*(AZ$45&gt;'Assumptions &amp; Results'!$C54)*(AZ$45-'Assumptions &amp; Results'!$C54-AZ61-AZ62)</f>
        <v>0</v>
      </c>
      <c r="BA60" s="146">
        <f>('Assumptions &amp; Results'!$C54&gt;0)*(BA$45&gt;'Assumptions &amp; Results'!$C54)*(BA$45-'Assumptions &amp; Results'!$C54-BA61-BA62)</f>
        <v>0</v>
      </c>
      <c r="BB60" s="146">
        <f>('Assumptions &amp; Results'!$C54&gt;0)*(BB$45&gt;'Assumptions &amp; Results'!$C54)*(BB$45-'Assumptions &amp; Results'!$C54-BB61-BB62)</f>
        <v>0</v>
      </c>
      <c r="BC60" s="38"/>
      <c r="BD60" s="38"/>
    </row>
    <row r="61" spans="1:56" x14ac:dyDescent="0.2">
      <c r="A61" s="37"/>
      <c r="B61" s="37"/>
      <c r="C61" s="98" t="s">
        <v>325</v>
      </c>
      <c r="D61" s="36" t="s">
        <v>33</v>
      </c>
      <c r="E61" s="146">
        <f>('Assumptions &amp; Results'!$C55&gt;0)*(E$45&gt;'Assumptions &amp; Results'!$C55)*(E$45-'Assumptions &amp; Results'!$C55-E62)</f>
        <v>0</v>
      </c>
      <c r="F61" s="146">
        <f>('Assumptions &amp; Results'!$C55&gt;0)*(F$45&gt;'Assumptions &amp; Results'!$C55)*(F$45-'Assumptions &amp; Results'!$C55-F62)</f>
        <v>0</v>
      </c>
      <c r="G61" s="146">
        <f>('Assumptions &amp; Results'!$C55&gt;0)*(G$45&gt;'Assumptions &amp; Results'!$C55)*(G$45-'Assumptions &amp; Results'!$C55-G62)</f>
        <v>0</v>
      </c>
      <c r="H61" s="146">
        <f>('Assumptions &amp; Results'!$C55&gt;0)*(H$45&gt;'Assumptions &amp; Results'!$C55)*(H$45-'Assumptions &amp; Results'!$C55-H62)</f>
        <v>0</v>
      </c>
      <c r="I61" s="146">
        <f>('Assumptions &amp; Results'!$C55&gt;0)*(I$45&gt;'Assumptions &amp; Results'!$C55)*(I$45-'Assumptions &amp; Results'!$C55-I62)</f>
        <v>0</v>
      </c>
      <c r="J61" s="146">
        <f>('Assumptions &amp; Results'!$C55&gt;0)*(J$45&gt;'Assumptions &amp; Results'!$C55)*(J$45-'Assumptions &amp; Results'!$C55-J62)</f>
        <v>0</v>
      </c>
      <c r="K61" s="146">
        <f>('Assumptions &amp; Results'!$C55&gt;0)*(K$45&gt;'Assumptions &amp; Results'!$C55)*(K$45-'Assumptions &amp; Results'!$C55-K62)</f>
        <v>0</v>
      </c>
      <c r="L61" s="146">
        <f>('Assumptions &amp; Results'!$C55&gt;0)*(L$45&gt;'Assumptions &amp; Results'!$C55)*(L$45-'Assumptions &amp; Results'!$C55-L62)</f>
        <v>0</v>
      </c>
      <c r="M61" s="146">
        <f>('Assumptions &amp; Results'!$C55&gt;0)*(M$45&gt;'Assumptions &amp; Results'!$C55)*(M$45-'Assumptions &amp; Results'!$C55-M62)</f>
        <v>0</v>
      </c>
      <c r="N61" s="146">
        <f>('Assumptions &amp; Results'!$C55&gt;0)*(N$45&gt;'Assumptions &amp; Results'!$C55)*(N$45-'Assumptions &amp; Results'!$C55-N62)</f>
        <v>0</v>
      </c>
      <c r="O61" s="146">
        <f>('Assumptions &amp; Results'!$C55&gt;0)*(O$45&gt;'Assumptions &amp; Results'!$C55)*(O$45-'Assumptions &amp; Results'!$C55-O62)</f>
        <v>0</v>
      </c>
      <c r="P61" s="146">
        <f>('Assumptions &amp; Results'!$C55&gt;0)*(P$45&gt;'Assumptions &amp; Results'!$C55)*(P$45-'Assumptions &amp; Results'!$C55-P62)</f>
        <v>0</v>
      </c>
      <c r="Q61" s="146">
        <f>('Assumptions &amp; Results'!$C55&gt;0)*(Q$45&gt;'Assumptions &amp; Results'!$C55)*(Q$45-'Assumptions &amp; Results'!$C55-Q62)</f>
        <v>0</v>
      </c>
      <c r="R61" s="146">
        <f>('Assumptions &amp; Results'!$C55&gt;0)*(R$45&gt;'Assumptions &amp; Results'!$C55)*(R$45-'Assumptions &amp; Results'!$C55-R62)</f>
        <v>0</v>
      </c>
      <c r="S61" s="146">
        <f>('Assumptions &amp; Results'!$C55&gt;0)*(S$45&gt;'Assumptions &amp; Results'!$C55)*(S$45-'Assumptions &amp; Results'!$C55-S62)</f>
        <v>0</v>
      </c>
      <c r="T61" s="146">
        <f>('Assumptions &amp; Results'!$C55&gt;0)*(T$45&gt;'Assumptions &amp; Results'!$C55)*(T$45-'Assumptions &amp; Results'!$C55-T62)</f>
        <v>0</v>
      </c>
      <c r="U61" s="146">
        <f>('Assumptions &amp; Results'!$C55&gt;0)*(U$45&gt;'Assumptions &amp; Results'!$C55)*(U$45-'Assumptions &amp; Results'!$C55-U62)</f>
        <v>0</v>
      </c>
      <c r="V61" s="146">
        <f>('Assumptions &amp; Results'!$C55&gt;0)*(V$45&gt;'Assumptions &amp; Results'!$C55)*(V$45-'Assumptions &amp; Results'!$C55-V62)</f>
        <v>0</v>
      </c>
      <c r="W61" s="146">
        <f>('Assumptions &amp; Results'!$C55&gt;0)*(W$45&gt;'Assumptions &amp; Results'!$C55)*(W$45-'Assumptions &amp; Results'!$C55-W62)</f>
        <v>0</v>
      </c>
      <c r="X61" s="146">
        <f>('Assumptions &amp; Results'!$C55&gt;0)*(X$45&gt;'Assumptions &amp; Results'!$C55)*(X$45-'Assumptions &amp; Results'!$C55-X62)</f>
        <v>0</v>
      </c>
      <c r="Y61" s="146">
        <f>('Assumptions &amp; Results'!$C55&gt;0)*(Y$45&gt;'Assumptions &amp; Results'!$C55)*(Y$45-'Assumptions &amp; Results'!$C55-Y62)</f>
        <v>0</v>
      </c>
      <c r="Z61" s="146">
        <f>('Assumptions &amp; Results'!$C55&gt;0)*(Z$45&gt;'Assumptions &amp; Results'!$C55)*(Z$45-'Assumptions &amp; Results'!$C55-Z62)</f>
        <v>0</v>
      </c>
      <c r="AA61" s="146">
        <f>('Assumptions &amp; Results'!$C55&gt;0)*(AA$45&gt;'Assumptions &amp; Results'!$C55)*(AA$45-'Assumptions &amp; Results'!$C55-AA62)</f>
        <v>0</v>
      </c>
      <c r="AB61" s="146">
        <f>('Assumptions &amp; Results'!$C55&gt;0)*(AB$45&gt;'Assumptions &amp; Results'!$C55)*(AB$45-'Assumptions &amp; Results'!$C55-AB62)</f>
        <v>0</v>
      </c>
      <c r="AC61" s="146">
        <f>('Assumptions &amp; Results'!$C55&gt;0)*(AC$45&gt;'Assumptions &amp; Results'!$C55)*(AC$45-'Assumptions &amp; Results'!$C55-AC62)</f>
        <v>0</v>
      </c>
      <c r="AD61" s="146">
        <f>('Assumptions &amp; Results'!$C55&gt;0)*(AD$45&gt;'Assumptions &amp; Results'!$C55)*(AD$45-'Assumptions &amp; Results'!$C55-AD62)</f>
        <v>0</v>
      </c>
      <c r="AE61" s="146">
        <f>('Assumptions &amp; Results'!$C55&gt;0)*(AE$45&gt;'Assumptions &amp; Results'!$C55)*(AE$45-'Assumptions &amp; Results'!$C55-AE62)</f>
        <v>0</v>
      </c>
      <c r="AF61" s="146">
        <f>('Assumptions &amp; Results'!$C55&gt;0)*(AF$45&gt;'Assumptions &amp; Results'!$C55)*(AF$45-'Assumptions &amp; Results'!$C55-AF62)</f>
        <v>0</v>
      </c>
      <c r="AG61" s="146">
        <f>('Assumptions &amp; Results'!$C55&gt;0)*(AG$45&gt;'Assumptions &amp; Results'!$C55)*(AG$45-'Assumptions &amp; Results'!$C55-AG62)</f>
        <v>0</v>
      </c>
      <c r="AH61" s="146">
        <f>('Assumptions &amp; Results'!$C55&gt;0)*(AH$45&gt;'Assumptions &amp; Results'!$C55)*(AH$45-'Assumptions &amp; Results'!$C55-AH62)</f>
        <v>0</v>
      </c>
      <c r="AI61" s="146">
        <f>('Assumptions &amp; Results'!$C55&gt;0)*(AI$45&gt;'Assumptions &amp; Results'!$C55)*(AI$45-'Assumptions &amp; Results'!$C55-AI62)</f>
        <v>0</v>
      </c>
      <c r="AJ61" s="146">
        <f>('Assumptions &amp; Results'!$C55&gt;0)*(AJ$45&gt;'Assumptions &amp; Results'!$C55)*(AJ$45-'Assumptions &amp; Results'!$C55-AJ62)</f>
        <v>0</v>
      </c>
      <c r="AK61" s="146">
        <f>('Assumptions &amp; Results'!$C55&gt;0)*(AK$45&gt;'Assumptions &amp; Results'!$C55)*(AK$45-'Assumptions &amp; Results'!$C55-AK62)</f>
        <v>0</v>
      </c>
      <c r="AL61" s="146">
        <f>('Assumptions &amp; Results'!$C55&gt;0)*(AL$45&gt;'Assumptions &amp; Results'!$C55)*(AL$45-'Assumptions &amp; Results'!$C55-AL62)</f>
        <v>0</v>
      </c>
      <c r="AM61" s="146">
        <f>('Assumptions &amp; Results'!$C55&gt;0)*(AM$45&gt;'Assumptions &amp; Results'!$C55)*(AM$45-'Assumptions &amp; Results'!$C55-AM62)</f>
        <v>0</v>
      </c>
      <c r="AN61" s="146">
        <f>('Assumptions &amp; Results'!$C55&gt;0)*(AN$45&gt;'Assumptions &amp; Results'!$C55)*(AN$45-'Assumptions &amp; Results'!$C55-AN62)</f>
        <v>0</v>
      </c>
      <c r="AO61" s="146">
        <f>('Assumptions &amp; Results'!$C55&gt;0)*(AO$45&gt;'Assumptions &amp; Results'!$C55)*(AO$45-'Assumptions &amp; Results'!$C55-AO62)</f>
        <v>0</v>
      </c>
      <c r="AP61" s="146">
        <f>('Assumptions &amp; Results'!$C55&gt;0)*(AP$45&gt;'Assumptions &amp; Results'!$C55)*(AP$45-'Assumptions &amp; Results'!$C55-AP62)</f>
        <v>0</v>
      </c>
      <c r="AQ61" s="146">
        <f>('Assumptions &amp; Results'!$C55&gt;0)*(AQ$45&gt;'Assumptions &amp; Results'!$C55)*(AQ$45-'Assumptions &amp; Results'!$C55-AQ62)</f>
        <v>0</v>
      </c>
      <c r="AR61" s="146">
        <f>('Assumptions &amp; Results'!$C55&gt;0)*(AR$45&gt;'Assumptions &amp; Results'!$C55)*(AR$45-'Assumptions &amp; Results'!$C55-AR62)</f>
        <v>0</v>
      </c>
      <c r="AS61" s="146">
        <f>('Assumptions &amp; Results'!$C55&gt;0)*(AS$45&gt;'Assumptions &amp; Results'!$C55)*(AS$45-'Assumptions &amp; Results'!$C55-AS62)</f>
        <v>0</v>
      </c>
      <c r="AT61" s="146">
        <f>('Assumptions &amp; Results'!$C55&gt;0)*(AT$45&gt;'Assumptions &amp; Results'!$C55)*(AT$45-'Assumptions &amp; Results'!$C55-AT62)</f>
        <v>0</v>
      </c>
      <c r="AU61" s="146">
        <f>('Assumptions &amp; Results'!$C55&gt;0)*(AU$45&gt;'Assumptions &amp; Results'!$C55)*(AU$45-'Assumptions &amp; Results'!$C55-AU62)</f>
        <v>0</v>
      </c>
      <c r="AV61" s="146">
        <f>('Assumptions &amp; Results'!$C55&gt;0)*(AV$45&gt;'Assumptions &amp; Results'!$C55)*(AV$45-'Assumptions &amp; Results'!$C55-AV62)</f>
        <v>0</v>
      </c>
      <c r="AW61" s="146">
        <f>('Assumptions &amp; Results'!$C55&gt;0)*(AW$45&gt;'Assumptions &amp; Results'!$C55)*(AW$45-'Assumptions &amp; Results'!$C55-AW62)</f>
        <v>0</v>
      </c>
      <c r="AX61" s="146">
        <f>('Assumptions &amp; Results'!$C55&gt;0)*(AX$45&gt;'Assumptions &amp; Results'!$C55)*(AX$45-'Assumptions &amp; Results'!$C55-AX62)</f>
        <v>0</v>
      </c>
      <c r="AY61" s="146">
        <f>('Assumptions &amp; Results'!$C55&gt;0)*(AY$45&gt;'Assumptions &amp; Results'!$C55)*(AY$45-'Assumptions &amp; Results'!$C55-AY62)</f>
        <v>0</v>
      </c>
      <c r="AZ61" s="146">
        <f>('Assumptions &amp; Results'!$C55&gt;0)*(AZ$45&gt;'Assumptions &amp; Results'!$C55)*(AZ$45-'Assumptions &amp; Results'!$C55-AZ62)</f>
        <v>0</v>
      </c>
      <c r="BA61" s="146">
        <f>('Assumptions &amp; Results'!$C55&gt;0)*(BA$45&gt;'Assumptions &amp; Results'!$C55)*(BA$45-'Assumptions &amp; Results'!$C55-BA62)</f>
        <v>0</v>
      </c>
      <c r="BB61" s="146">
        <f>('Assumptions &amp; Results'!$C55&gt;0)*(BB$45&gt;'Assumptions &amp; Results'!$C55)*(BB$45-'Assumptions &amp; Results'!$C55-BB62)</f>
        <v>0</v>
      </c>
      <c r="BC61" s="38"/>
      <c r="BD61" s="38"/>
    </row>
    <row r="62" spans="1:56" x14ac:dyDescent="0.2">
      <c r="A62" s="37"/>
      <c r="B62" s="37"/>
      <c r="C62" s="98" t="s">
        <v>329</v>
      </c>
      <c r="D62" s="36" t="s">
        <v>33</v>
      </c>
      <c r="E62" s="146">
        <f>('Assumptions &amp; Results'!$C56&gt;0)*(E$45&gt;'Assumptions &amp; Results'!$C56)*(E$45-'Assumptions &amp; Results'!$C56)</f>
        <v>0</v>
      </c>
      <c r="F62" s="146">
        <f>('Assumptions &amp; Results'!$C56&gt;0)*(F$45&gt;'Assumptions &amp; Results'!$C56)*(F$45-'Assumptions &amp; Results'!$C56)</f>
        <v>0</v>
      </c>
      <c r="G62" s="146">
        <f>('Assumptions &amp; Results'!$C56&gt;0)*(G$45&gt;'Assumptions &amp; Results'!$C56)*(G$45-'Assumptions &amp; Results'!$C56)</f>
        <v>0</v>
      </c>
      <c r="H62" s="146">
        <f>('Assumptions &amp; Results'!$C56&gt;0)*(H$45&gt;'Assumptions &amp; Results'!$C56)*(H$45-'Assumptions &amp; Results'!$C56)</f>
        <v>0</v>
      </c>
      <c r="I62" s="146">
        <f>('Assumptions &amp; Results'!$C56&gt;0)*(I$45&gt;'Assumptions &amp; Results'!$C56)*(I$45-'Assumptions &amp; Results'!$C56)</f>
        <v>0</v>
      </c>
      <c r="J62" s="146">
        <f>('Assumptions &amp; Results'!$C56&gt;0)*(J$45&gt;'Assumptions &amp; Results'!$C56)*(J$45-'Assumptions &amp; Results'!$C56)</f>
        <v>0</v>
      </c>
      <c r="K62" s="146">
        <f>('Assumptions &amp; Results'!$C56&gt;0)*(K$45&gt;'Assumptions &amp; Results'!$C56)*(K$45-'Assumptions &amp; Results'!$C56)</f>
        <v>0</v>
      </c>
      <c r="L62" s="146">
        <f>('Assumptions &amp; Results'!$C56&gt;0)*(L$45&gt;'Assumptions &amp; Results'!$C56)*(L$45-'Assumptions &amp; Results'!$C56)</f>
        <v>0</v>
      </c>
      <c r="M62" s="146">
        <f>('Assumptions &amp; Results'!$C56&gt;0)*(M$45&gt;'Assumptions &amp; Results'!$C56)*(M$45-'Assumptions &amp; Results'!$C56)</f>
        <v>0</v>
      </c>
      <c r="N62" s="146">
        <f>('Assumptions &amp; Results'!$C56&gt;0)*(N$45&gt;'Assumptions &amp; Results'!$C56)*(N$45-'Assumptions &amp; Results'!$C56)</f>
        <v>0</v>
      </c>
      <c r="O62" s="146">
        <f>('Assumptions &amp; Results'!$C56&gt;0)*(O$45&gt;'Assumptions &amp; Results'!$C56)*(O$45-'Assumptions &amp; Results'!$C56)</f>
        <v>0</v>
      </c>
      <c r="P62" s="146">
        <f>('Assumptions &amp; Results'!$C56&gt;0)*(P$45&gt;'Assumptions &amp; Results'!$C56)*(P$45-'Assumptions &amp; Results'!$C56)</f>
        <v>0</v>
      </c>
      <c r="Q62" s="146">
        <f>('Assumptions &amp; Results'!$C56&gt;0)*(Q$45&gt;'Assumptions &amp; Results'!$C56)*(Q$45-'Assumptions &amp; Results'!$C56)</f>
        <v>0</v>
      </c>
      <c r="R62" s="146">
        <f>('Assumptions &amp; Results'!$C56&gt;0)*(R$45&gt;'Assumptions &amp; Results'!$C56)*(R$45-'Assumptions &amp; Results'!$C56)</f>
        <v>0</v>
      </c>
      <c r="S62" s="146">
        <f>('Assumptions &amp; Results'!$C56&gt;0)*(S$45&gt;'Assumptions &amp; Results'!$C56)*(S$45-'Assumptions &amp; Results'!$C56)</f>
        <v>0</v>
      </c>
      <c r="T62" s="146">
        <f>('Assumptions &amp; Results'!$C56&gt;0)*(T$45&gt;'Assumptions &amp; Results'!$C56)*(T$45-'Assumptions &amp; Results'!$C56)</f>
        <v>0</v>
      </c>
      <c r="U62" s="146">
        <f>('Assumptions &amp; Results'!$C56&gt;0)*(U$45&gt;'Assumptions &amp; Results'!$C56)*(U$45-'Assumptions &amp; Results'!$C56)</f>
        <v>0</v>
      </c>
      <c r="V62" s="146">
        <f>('Assumptions &amp; Results'!$C56&gt;0)*(V$45&gt;'Assumptions &amp; Results'!$C56)*(V$45-'Assumptions &amp; Results'!$C56)</f>
        <v>0</v>
      </c>
      <c r="W62" s="146">
        <f>('Assumptions &amp; Results'!$C56&gt;0)*(W$45&gt;'Assumptions &amp; Results'!$C56)*(W$45-'Assumptions &amp; Results'!$C56)</f>
        <v>0</v>
      </c>
      <c r="X62" s="146">
        <f>('Assumptions &amp; Results'!$C56&gt;0)*(X$45&gt;'Assumptions &amp; Results'!$C56)*(X$45-'Assumptions &amp; Results'!$C56)</f>
        <v>0</v>
      </c>
      <c r="Y62" s="146">
        <f>('Assumptions &amp; Results'!$C56&gt;0)*(Y$45&gt;'Assumptions &amp; Results'!$C56)*(Y$45-'Assumptions &amp; Results'!$C56)</f>
        <v>0</v>
      </c>
      <c r="Z62" s="146">
        <f>('Assumptions &amp; Results'!$C56&gt;0)*(Z$45&gt;'Assumptions &amp; Results'!$C56)*(Z$45-'Assumptions &amp; Results'!$C56)</f>
        <v>0</v>
      </c>
      <c r="AA62" s="146">
        <f>('Assumptions &amp; Results'!$C56&gt;0)*(AA$45&gt;'Assumptions &amp; Results'!$C56)*(AA$45-'Assumptions &amp; Results'!$C56)</f>
        <v>0</v>
      </c>
      <c r="AB62" s="146">
        <f>('Assumptions &amp; Results'!$C56&gt;0)*(AB$45&gt;'Assumptions &amp; Results'!$C56)*(AB$45-'Assumptions &amp; Results'!$C56)</f>
        <v>0</v>
      </c>
      <c r="AC62" s="146">
        <f>('Assumptions &amp; Results'!$C56&gt;0)*(AC$45&gt;'Assumptions &amp; Results'!$C56)*(AC$45-'Assumptions &amp; Results'!$C56)</f>
        <v>0</v>
      </c>
      <c r="AD62" s="146">
        <f>('Assumptions &amp; Results'!$C56&gt;0)*(AD$45&gt;'Assumptions &amp; Results'!$C56)*(AD$45-'Assumptions &amp; Results'!$C56)</f>
        <v>0</v>
      </c>
      <c r="AE62" s="146">
        <f>('Assumptions &amp; Results'!$C56&gt;0)*(AE$45&gt;'Assumptions &amp; Results'!$C56)*(AE$45-'Assumptions &amp; Results'!$C56)</f>
        <v>0</v>
      </c>
      <c r="AF62" s="146">
        <f>('Assumptions &amp; Results'!$C56&gt;0)*(AF$45&gt;'Assumptions &amp; Results'!$C56)*(AF$45-'Assumptions &amp; Results'!$C56)</f>
        <v>0</v>
      </c>
      <c r="AG62" s="146">
        <f>('Assumptions &amp; Results'!$C56&gt;0)*(AG$45&gt;'Assumptions &amp; Results'!$C56)*(AG$45-'Assumptions &amp; Results'!$C56)</f>
        <v>0</v>
      </c>
      <c r="AH62" s="146">
        <f>('Assumptions &amp; Results'!$C56&gt;0)*(AH$45&gt;'Assumptions &amp; Results'!$C56)*(AH$45-'Assumptions &amp; Results'!$C56)</f>
        <v>0</v>
      </c>
      <c r="AI62" s="146">
        <f>('Assumptions &amp; Results'!$C56&gt;0)*(AI$45&gt;'Assumptions &amp; Results'!$C56)*(AI$45-'Assumptions &amp; Results'!$C56)</f>
        <v>0</v>
      </c>
      <c r="AJ62" s="146">
        <f>('Assumptions &amp; Results'!$C56&gt;0)*(AJ$45&gt;'Assumptions &amp; Results'!$C56)*(AJ$45-'Assumptions &amp; Results'!$C56)</f>
        <v>0</v>
      </c>
      <c r="AK62" s="146">
        <f>('Assumptions &amp; Results'!$C56&gt;0)*(AK$45&gt;'Assumptions &amp; Results'!$C56)*(AK$45-'Assumptions &amp; Results'!$C56)</f>
        <v>0</v>
      </c>
      <c r="AL62" s="146">
        <f>('Assumptions &amp; Results'!$C56&gt;0)*(AL$45&gt;'Assumptions &amp; Results'!$C56)*(AL$45-'Assumptions &amp; Results'!$C56)</f>
        <v>0</v>
      </c>
      <c r="AM62" s="146">
        <f>('Assumptions &amp; Results'!$C56&gt;0)*(AM$45&gt;'Assumptions &amp; Results'!$C56)*(AM$45-'Assumptions &amp; Results'!$C56)</f>
        <v>0</v>
      </c>
      <c r="AN62" s="146">
        <f>('Assumptions &amp; Results'!$C56&gt;0)*(AN$45&gt;'Assumptions &amp; Results'!$C56)*(AN$45-'Assumptions &amp; Results'!$C56)</f>
        <v>0</v>
      </c>
      <c r="AO62" s="146">
        <f>('Assumptions &amp; Results'!$C56&gt;0)*(AO$45&gt;'Assumptions &amp; Results'!$C56)*(AO$45-'Assumptions &amp; Results'!$C56)</f>
        <v>0</v>
      </c>
      <c r="AP62" s="146">
        <f>('Assumptions &amp; Results'!$C56&gt;0)*(AP$45&gt;'Assumptions &amp; Results'!$C56)*(AP$45-'Assumptions &amp; Results'!$C56)</f>
        <v>0</v>
      </c>
      <c r="AQ62" s="146">
        <f>('Assumptions &amp; Results'!$C56&gt;0)*(AQ$45&gt;'Assumptions &amp; Results'!$C56)*(AQ$45-'Assumptions &amp; Results'!$C56)</f>
        <v>0</v>
      </c>
      <c r="AR62" s="146">
        <f>('Assumptions &amp; Results'!$C56&gt;0)*(AR$45&gt;'Assumptions &amp; Results'!$C56)*(AR$45-'Assumptions &amp; Results'!$C56)</f>
        <v>0</v>
      </c>
      <c r="AS62" s="146">
        <f>('Assumptions &amp; Results'!$C56&gt;0)*(AS$45&gt;'Assumptions &amp; Results'!$C56)*(AS$45-'Assumptions &amp; Results'!$C56)</f>
        <v>0</v>
      </c>
      <c r="AT62" s="146">
        <f>('Assumptions &amp; Results'!$C56&gt;0)*(AT$45&gt;'Assumptions &amp; Results'!$C56)*(AT$45-'Assumptions &amp; Results'!$C56)</f>
        <v>0</v>
      </c>
      <c r="AU62" s="146">
        <f>('Assumptions &amp; Results'!$C56&gt;0)*(AU$45&gt;'Assumptions &amp; Results'!$C56)*(AU$45-'Assumptions &amp; Results'!$C56)</f>
        <v>0</v>
      </c>
      <c r="AV62" s="146">
        <f>('Assumptions &amp; Results'!$C56&gt;0)*(AV$45&gt;'Assumptions &amp; Results'!$C56)*(AV$45-'Assumptions &amp; Results'!$C56)</f>
        <v>0</v>
      </c>
      <c r="AW62" s="146">
        <f>('Assumptions &amp; Results'!$C56&gt;0)*(AW$45&gt;'Assumptions &amp; Results'!$C56)*(AW$45-'Assumptions &amp; Results'!$C56)</f>
        <v>0</v>
      </c>
      <c r="AX62" s="146">
        <f>('Assumptions &amp; Results'!$C56&gt;0)*(AX$45&gt;'Assumptions &amp; Results'!$C56)*(AX$45-'Assumptions &amp; Results'!$C56)</f>
        <v>0</v>
      </c>
      <c r="AY62" s="146">
        <f>('Assumptions &amp; Results'!$C56&gt;0)*(AY$45&gt;'Assumptions &amp; Results'!$C56)*(AY$45-'Assumptions &amp; Results'!$C56)</f>
        <v>0</v>
      </c>
      <c r="AZ62" s="146">
        <f>('Assumptions &amp; Results'!$C56&gt;0)*(AZ$45&gt;'Assumptions &amp; Results'!$C56)*(AZ$45-'Assumptions &amp; Results'!$C56)</f>
        <v>0</v>
      </c>
      <c r="BA62" s="146">
        <f>('Assumptions &amp; Results'!$C56&gt;0)*(BA$45&gt;'Assumptions &amp; Results'!$C56)*(BA$45-'Assumptions &amp; Results'!$C56)</f>
        <v>0</v>
      </c>
      <c r="BB62" s="146">
        <f>('Assumptions &amp; Results'!$C56&gt;0)*(BB$45&gt;'Assumptions &amp; Results'!$C56)*(BB$45-'Assumptions &amp; Results'!$C56)</f>
        <v>0</v>
      </c>
      <c r="BC62" s="38"/>
      <c r="BD62" s="38"/>
    </row>
    <row r="63" spans="1:56" x14ac:dyDescent="0.2">
      <c r="A63" s="37"/>
      <c r="B63" s="37"/>
      <c r="C63" s="98" t="s">
        <v>204</v>
      </c>
      <c r="D63" s="36" t="s">
        <v>33</v>
      </c>
      <c r="E63" s="146">
        <f>SUM(E46:E62)</f>
        <v>0</v>
      </c>
      <c r="F63" s="146">
        <f t="shared" ref="F63:BB63" si="10">SUM(F46:F62)</f>
        <v>0</v>
      </c>
      <c r="G63" s="146">
        <f t="shared" si="10"/>
        <v>0</v>
      </c>
      <c r="H63" s="146">
        <f t="shared" si="10"/>
        <v>0</v>
      </c>
      <c r="I63" s="146">
        <f t="shared" si="10"/>
        <v>0</v>
      </c>
      <c r="J63" s="146">
        <f t="shared" si="10"/>
        <v>0</v>
      </c>
      <c r="K63" s="146">
        <f t="shared" si="10"/>
        <v>0</v>
      </c>
      <c r="L63" s="146">
        <f t="shared" si="10"/>
        <v>0</v>
      </c>
      <c r="M63" s="146">
        <f t="shared" si="10"/>
        <v>0</v>
      </c>
      <c r="N63" s="146">
        <f t="shared" si="10"/>
        <v>0</v>
      </c>
      <c r="O63" s="146">
        <f t="shared" si="10"/>
        <v>0</v>
      </c>
      <c r="P63" s="146">
        <f t="shared" si="10"/>
        <v>0</v>
      </c>
      <c r="Q63" s="146">
        <f t="shared" si="10"/>
        <v>0</v>
      </c>
      <c r="R63" s="146">
        <f t="shared" si="10"/>
        <v>0</v>
      </c>
      <c r="S63" s="146">
        <f t="shared" si="10"/>
        <v>0</v>
      </c>
      <c r="T63" s="146">
        <f t="shared" si="10"/>
        <v>0</v>
      </c>
      <c r="U63" s="146">
        <f t="shared" si="10"/>
        <v>0</v>
      </c>
      <c r="V63" s="146">
        <f t="shared" si="10"/>
        <v>0</v>
      </c>
      <c r="W63" s="146">
        <f t="shared" si="10"/>
        <v>0</v>
      </c>
      <c r="X63" s="146">
        <f t="shared" si="10"/>
        <v>0</v>
      </c>
      <c r="Y63" s="146">
        <f t="shared" si="10"/>
        <v>0</v>
      </c>
      <c r="Z63" s="146">
        <f t="shared" si="10"/>
        <v>0</v>
      </c>
      <c r="AA63" s="146">
        <f t="shared" si="10"/>
        <v>0</v>
      </c>
      <c r="AB63" s="146">
        <f t="shared" si="10"/>
        <v>0</v>
      </c>
      <c r="AC63" s="146">
        <f t="shared" si="10"/>
        <v>0</v>
      </c>
      <c r="AD63" s="146">
        <f t="shared" si="10"/>
        <v>0</v>
      </c>
      <c r="AE63" s="146">
        <f t="shared" si="10"/>
        <v>0</v>
      </c>
      <c r="AF63" s="146">
        <f t="shared" si="10"/>
        <v>0</v>
      </c>
      <c r="AG63" s="146">
        <f t="shared" si="10"/>
        <v>0</v>
      </c>
      <c r="AH63" s="146">
        <f t="shared" si="10"/>
        <v>0</v>
      </c>
      <c r="AI63" s="146">
        <f t="shared" si="10"/>
        <v>0</v>
      </c>
      <c r="AJ63" s="146">
        <f t="shared" si="10"/>
        <v>0</v>
      </c>
      <c r="AK63" s="146">
        <f t="shared" si="10"/>
        <v>0</v>
      </c>
      <c r="AL63" s="146">
        <f t="shared" si="10"/>
        <v>0</v>
      </c>
      <c r="AM63" s="146">
        <f t="shared" si="10"/>
        <v>0</v>
      </c>
      <c r="AN63" s="146">
        <f t="shared" si="10"/>
        <v>0</v>
      </c>
      <c r="AO63" s="146">
        <f t="shared" si="10"/>
        <v>0</v>
      </c>
      <c r="AP63" s="146">
        <f t="shared" si="10"/>
        <v>0</v>
      </c>
      <c r="AQ63" s="146">
        <f t="shared" si="10"/>
        <v>0</v>
      </c>
      <c r="AR63" s="146">
        <f t="shared" si="10"/>
        <v>0</v>
      </c>
      <c r="AS63" s="146">
        <f t="shared" si="10"/>
        <v>0</v>
      </c>
      <c r="AT63" s="146">
        <f t="shared" si="10"/>
        <v>0</v>
      </c>
      <c r="AU63" s="146">
        <f t="shared" si="10"/>
        <v>0</v>
      </c>
      <c r="AV63" s="146">
        <f t="shared" si="10"/>
        <v>0</v>
      </c>
      <c r="AW63" s="146">
        <f t="shared" si="10"/>
        <v>0</v>
      </c>
      <c r="AX63" s="146">
        <f t="shared" si="10"/>
        <v>0</v>
      </c>
      <c r="AY63" s="146">
        <f t="shared" si="10"/>
        <v>0</v>
      </c>
      <c r="AZ63" s="146">
        <f t="shared" si="10"/>
        <v>0</v>
      </c>
      <c r="BA63" s="146">
        <f t="shared" si="10"/>
        <v>0</v>
      </c>
      <c r="BB63" s="146">
        <f t="shared" si="10"/>
        <v>0</v>
      </c>
      <c r="BC63" s="38"/>
      <c r="BD63" s="38"/>
    </row>
    <row r="64" spans="1:56" x14ac:dyDescent="0.2">
      <c r="A64" s="37"/>
      <c r="B64" s="37"/>
      <c r="C64" s="98"/>
      <c r="D64" s="98"/>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38"/>
      <c r="BD64" s="38"/>
    </row>
    <row r="65" spans="1:56" x14ac:dyDescent="0.2">
      <c r="A65" s="37"/>
      <c r="B65" s="37"/>
      <c r="C65" s="147" t="s">
        <v>205</v>
      </c>
      <c r="D65" s="369" t="s">
        <v>33</v>
      </c>
      <c r="E65" s="186">
        <f>SUMPRODUCT(E46:E62*'Assumptions &amp; Results'!$C$57:$C$73)/IF(E45&gt;0,E45,1)</f>
        <v>0</v>
      </c>
      <c r="F65" s="186">
        <f>SUMPRODUCT(F46:F62*'Assumptions &amp; Results'!$C$57:$C$73)/IF(F45&gt;0,F45,1)</f>
        <v>0</v>
      </c>
      <c r="G65" s="186">
        <f>SUMPRODUCT(G46:G62*'Assumptions &amp; Results'!$C$57:$C$73)/IF(G45&gt;0,G45,1)</f>
        <v>0</v>
      </c>
      <c r="H65" s="186">
        <f>SUMPRODUCT(H46:H62*'Assumptions &amp; Results'!$C$57:$C$73)/IF(H45&gt;0,H45,1)</f>
        <v>0</v>
      </c>
      <c r="I65" s="186">
        <f>SUMPRODUCT(I46:I62*'Assumptions &amp; Results'!$C$57:$C$73)/IF(I45&gt;0,I45,1)</f>
        <v>0</v>
      </c>
      <c r="J65" s="186">
        <f>SUMPRODUCT(J46:J62*'Assumptions &amp; Results'!$C$57:$C$73)/IF(J45&gt;0,J45,1)</f>
        <v>0</v>
      </c>
      <c r="K65" s="186">
        <f>SUMPRODUCT(K46:K62*'Assumptions &amp; Results'!$C$57:$C$73)/IF(K45&gt;0,K45,1)</f>
        <v>0</v>
      </c>
      <c r="L65" s="186">
        <f>SUMPRODUCT(L46:L62*'Assumptions &amp; Results'!$C$57:$C$73)/IF(L45&gt;0,L45,1)</f>
        <v>0</v>
      </c>
      <c r="M65" s="186">
        <f>SUMPRODUCT(M46:M62*'Assumptions &amp; Results'!$C$57:$C$73)/IF(M45&gt;0,M45,1)</f>
        <v>0</v>
      </c>
      <c r="N65" s="186">
        <f>SUMPRODUCT(N46:N62*'Assumptions &amp; Results'!$C$57:$C$73)/IF(N45&gt;0,N45,1)</f>
        <v>0</v>
      </c>
      <c r="O65" s="186">
        <f>SUMPRODUCT(O46:O62*'Assumptions &amp; Results'!$C$57:$C$73)/IF(O45&gt;0,O45,1)</f>
        <v>0</v>
      </c>
      <c r="P65" s="186">
        <f>SUMPRODUCT(P46:P62*'Assumptions &amp; Results'!$C$57:$C$73)/IF(P45&gt;0,P45,1)</f>
        <v>0</v>
      </c>
      <c r="Q65" s="186">
        <f>SUMPRODUCT(Q46:Q62*'Assumptions &amp; Results'!$C$57:$C$73)/IF(Q45&gt;0,Q45,1)</f>
        <v>0</v>
      </c>
      <c r="R65" s="186">
        <f>SUMPRODUCT(R46:R62*'Assumptions &amp; Results'!$C$57:$C$73)/IF(R45&gt;0,R45,1)</f>
        <v>0</v>
      </c>
      <c r="S65" s="186">
        <f>SUMPRODUCT(S46:S62*'Assumptions &amp; Results'!$C$57:$C$73)/IF(S45&gt;0,S45,1)</f>
        <v>0</v>
      </c>
      <c r="T65" s="186">
        <f>SUMPRODUCT(T46:T62*'Assumptions &amp; Results'!$C$57:$C$73)/IF(T45&gt;0,T45,1)</f>
        <v>0</v>
      </c>
      <c r="U65" s="186">
        <f>SUMPRODUCT(U46:U62*'Assumptions &amp; Results'!$C$57:$C$73)/IF(U45&gt;0,U45,1)</f>
        <v>0</v>
      </c>
      <c r="V65" s="186">
        <f>SUMPRODUCT(V46:V62*'Assumptions &amp; Results'!$C$57:$C$73)/IF(V45&gt;0,V45,1)</f>
        <v>0</v>
      </c>
      <c r="W65" s="186">
        <f>SUMPRODUCT(W46:W62*'Assumptions &amp; Results'!$C$57:$C$73)/IF(W45&gt;0,W45,1)</f>
        <v>0</v>
      </c>
      <c r="X65" s="186">
        <f>SUMPRODUCT(X46:X62*'Assumptions &amp; Results'!$C$57:$C$73)/IF(X45&gt;0,X45,1)</f>
        <v>0</v>
      </c>
      <c r="Y65" s="186">
        <f>SUMPRODUCT(Y46:Y62*'Assumptions &amp; Results'!$C$57:$C$73)/IF(Y45&gt;0,Y45,1)</f>
        <v>0</v>
      </c>
      <c r="Z65" s="186">
        <f>SUMPRODUCT(Z46:Z62*'Assumptions &amp; Results'!$C$57:$C$73)/IF(Z45&gt;0,Z45,1)</f>
        <v>0</v>
      </c>
      <c r="AA65" s="186">
        <f>SUMPRODUCT(AA46:AA62*'Assumptions &amp; Results'!$C$57:$C$73)/IF(AA45&gt;0,AA45,1)</f>
        <v>0</v>
      </c>
      <c r="AB65" s="186">
        <f>SUMPRODUCT(AB46:AB62*'Assumptions &amp; Results'!$C$57:$C$73)/IF(AB45&gt;0,AB45,1)</f>
        <v>0</v>
      </c>
      <c r="AC65" s="186">
        <f>SUMPRODUCT(AC46:AC62*'Assumptions &amp; Results'!$C$57:$C$73)/IF(AC45&gt;0,AC45,1)</f>
        <v>0</v>
      </c>
      <c r="AD65" s="186">
        <f>SUMPRODUCT(AD46:AD62*'Assumptions &amp; Results'!$C$57:$C$73)/IF(AD45&gt;0,AD45,1)</f>
        <v>0</v>
      </c>
      <c r="AE65" s="186">
        <f>SUMPRODUCT(AE46:AE62*'Assumptions &amp; Results'!$C$57:$C$73)/IF(AE45&gt;0,AE45,1)</f>
        <v>0</v>
      </c>
      <c r="AF65" s="186">
        <f>SUMPRODUCT(AF46:AF62*'Assumptions &amp; Results'!$C$57:$C$73)/IF(AF45&gt;0,AF45,1)</f>
        <v>0</v>
      </c>
      <c r="AG65" s="186">
        <f>SUMPRODUCT(AG46:AG62*'Assumptions &amp; Results'!$C$57:$C$73)/IF(AG45&gt;0,AG45,1)</f>
        <v>0</v>
      </c>
      <c r="AH65" s="186">
        <f>SUMPRODUCT(AH46:AH62*'Assumptions &amp; Results'!$C$57:$C$73)/IF(AH45&gt;0,AH45,1)</f>
        <v>0</v>
      </c>
      <c r="AI65" s="186">
        <f>SUMPRODUCT(AI46:AI62*'Assumptions &amp; Results'!$C$57:$C$73)/IF(AI45&gt;0,AI45,1)</f>
        <v>0</v>
      </c>
      <c r="AJ65" s="186">
        <f>SUMPRODUCT(AJ46:AJ62*'Assumptions &amp; Results'!$C$57:$C$73)/IF(AJ45&gt;0,AJ45,1)</f>
        <v>0</v>
      </c>
      <c r="AK65" s="186">
        <f>SUMPRODUCT(AK46:AK62*'Assumptions &amp; Results'!$C$57:$C$73)/IF(AK45&gt;0,AK45,1)</f>
        <v>0</v>
      </c>
      <c r="AL65" s="186">
        <f>SUMPRODUCT(AL46:AL62*'Assumptions &amp; Results'!$C$57:$C$73)/IF(AL45&gt;0,AL45,1)</f>
        <v>0</v>
      </c>
      <c r="AM65" s="186">
        <f>SUMPRODUCT(AM46:AM62*'Assumptions &amp; Results'!$C$57:$C$73)/IF(AM45&gt;0,AM45,1)</f>
        <v>0</v>
      </c>
      <c r="AN65" s="186">
        <f>SUMPRODUCT(AN46:AN62*'Assumptions &amp; Results'!$C$57:$C$73)/IF(AN45&gt;0,AN45,1)</f>
        <v>0</v>
      </c>
      <c r="AO65" s="186">
        <f>SUMPRODUCT(AO46:AO62*'Assumptions &amp; Results'!$C$57:$C$73)/IF(AO45&gt;0,AO45,1)</f>
        <v>0</v>
      </c>
      <c r="AP65" s="186">
        <f>SUMPRODUCT(AP46:AP62*'Assumptions &amp; Results'!$C$57:$C$73)/IF(AP45&gt;0,AP45,1)</f>
        <v>0</v>
      </c>
      <c r="AQ65" s="186">
        <f>SUMPRODUCT(AQ46:AQ62*'Assumptions &amp; Results'!$C$57:$C$73)/IF(AQ45&gt;0,AQ45,1)</f>
        <v>0</v>
      </c>
      <c r="AR65" s="186">
        <f>SUMPRODUCT(AR46:AR62*'Assumptions &amp; Results'!$C$57:$C$73)/IF(AR45&gt;0,AR45,1)</f>
        <v>0</v>
      </c>
      <c r="AS65" s="186">
        <f>SUMPRODUCT(AS46:AS62*'Assumptions &amp; Results'!$C$57:$C$73)/IF(AS45&gt;0,AS45,1)</f>
        <v>0</v>
      </c>
      <c r="AT65" s="186">
        <f>SUMPRODUCT(AT46:AT62*'Assumptions &amp; Results'!$C$57:$C$73)/IF(AT45&gt;0,AT45,1)</f>
        <v>0</v>
      </c>
      <c r="AU65" s="186">
        <f>SUMPRODUCT(AU46:AU62*'Assumptions &amp; Results'!$C$57:$C$73)/IF(AU45&gt;0,AU45,1)</f>
        <v>0</v>
      </c>
      <c r="AV65" s="186">
        <f>SUMPRODUCT(AV46:AV62*'Assumptions &amp; Results'!$C$57:$C$73)/IF(AV45&gt;0,AV45,1)</f>
        <v>0</v>
      </c>
      <c r="AW65" s="186">
        <f>SUMPRODUCT(AW46:AW62*'Assumptions &amp; Results'!$C$57:$C$73)/IF(AW45&gt;0,AW45,1)</f>
        <v>0</v>
      </c>
      <c r="AX65" s="186">
        <f>SUMPRODUCT(AX46:AX62*'Assumptions &amp; Results'!$C$57:$C$73)/IF(AX45&gt;0,AX45,1)</f>
        <v>0</v>
      </c>
      <c r="AY65" s="186">
        <f>SUMPRODUCT(AY46:AY62*'Assumptions &amp; Results'!$C$57:$C$73)/IF(AY45&gt;0,AY45,1)</f>
        <v>0</v>
      </c>
      <c r="AZ65" s="186">
        <f>SUMPRODUCT(AZ46:AZ62*'Assumptions &amp; Results'!$C$57:$C$73)/IF(AZ45&gt;0,AZ45,1)</f>
        <v>0</v>
      </c>
      <c r="BA65" s="186">
        <f>SUMPRODUCT(BA46:BA62*'Assumptions &amp; Results'!$C$57:$C$73)/IF(BA45&gt;0,BA45,1)</f>
        <v>0</v>
      </c>
      <c r="BB65" s="186">
        <f>SUMPRODUCT(BB46:BB62*'Assumptions &amp; Results'!$C$57:$C$73)/IF(BB45&gt;0,BB45,1)</f>
        <v>0</v>
      </c>
      <c r="BC65" s="38"/>
      <c r="BD65" s="38"/>
    </row>
    <row r="66" spans="1:56" x14ac:dyDescent="0.2">
      <c r="A66" s="37">
        <f t="shared" si="2"/>
        <v>0</v>
      </c>
      <c r="B66" s="37">
        <f>NPV('Assumptions &amp; Results'!$C$129,Calculations!E66:BB66)</f>
        <v>0</v>
      </c>
      <c r="C66" s="78" t="s">
        <v>346</v>
      </c>
      <c r="D66" s="36" t="s">
        <v>206</v>
      </c>
      <c r="E66" s="51">
        <f t="shared" ref="E66:AJ66" si="11">E65*E42</f>
        <v>0</v>
      </c>
      <c r="F66" s="51">
        <f t="shared" si="11"/>
        <v>0</v>
      </c>
      <c r="G66" s="51">
        <f t="shared" si="11"/>
        <v>0</v>
      </c>
      <c r="H66" s="51">
        <f t="shared" si="11"/>
        <v>0</v>
      </c>
      <c r="I66" s="51">
        <f t="shared" si="11"/>
        <v>0</v>
      </c>
      <c r="J66" s="51">
        <f t="shared" si="11"/>
        <v>0</v>
      </c>
      <c r="K66" s="51">
        <f t="shared" si="11"/>
        <v>0</v>
      </c>
      <c r="L66" s="51">
        <f t="shared" si="11"/>
        <v>0</v>
      </c>
      <c r="M66" s="51">
        <f t="shared" si="11"/>
        <v>0</v>
      </c>
      <c r="N66" s="51">
        <f t="shared" si="11"/>
        <v>0</v>
      </c>
      <c r="O66" s="51">
        <f t="shared" si="11"/>
        <v>0</v>
      </c>
      <c r="P66" s="51">
        <f t="shared" si="11"/>
        <v>0</v>
      </c>
      <c r="Q66" s="51">
        <f t="shared" si="11"/>
        <v>0</v>
      </c>
      <c r="R66" s="51">
        <f t="shared" si="11"/>
        <v>0</v>
      </c>
      <c r="S66" s="51">
        <f t="shared" si="11"/>
        <v>0</v>
      </c>
      <c r="T66" s="51">
        <f t="shared" si="11"/>
        <v>0</v>
      </c>
      <c r="U66" s="51">
        <f t="shared" si="11"/>
        <v>0</v>
      </c>
      <c r="V66" s="51">
        <f t="shared" si="11"/>
        <v>0</v>
      </c>
      <c r="W66" s="51">
        <f t="shared" si="11"/>
        <v>0</v>
      </c>
      <c r="X66" s="51">
        <f t="shared" si="11"/>
        <v>0</v>
      </c>
      <c r="Y66" s="51">
        <f t="shared" si="11"/>
        <v>0</v>
      </c>
      <c r="Z66" s="51">
        <f t="shared" si="11"/>
        <v>0</v>
      </c>
      <c r="AA66" s="51">
        <f t="shared" si="11"/>
        <v>0</v>
      </c>
      <c r="AB66" s="51">
        <f t="shared" si="11"/>
        <v>0</v>
      </c>
      <c r="AC66" s="51">
        <f t="shared" si="11"/>
        <v>0</v>
      </c>
      <c r="AD66" s="51">
        <f t="shared" si="11"/>
        <v>0</v>
      </c>
      <c r="AE66" s="51">
        <f t="shared" si="11"/>
        <v>0</v>
      </c>
      <c r="AF66" s="51">
        <f t="shared" si="11"/>
        <v>0</v>
      </c>
      <c r="AG66" s="51">
        <f t="shared" si="11"/>
        <v>0</v>
      </c>
      <c r="AH66" s="51">
        <f t="shared" si="11"/>
        <v>0</v>
      </c>
      <c r="AI66" s="51">
        <f t="shared" si="11"/>
        <v>0</v>
      </c>
      <c r="AJ66" s="51">
        <f t="shared" si="11"/>
        <v>0</v>
      </c>
      <c r="AK66" s="51">
        <f t="shared" ref="AK66:BB66" si="12">AK65*AK42</f>
        <v>0</v>
      </c>
      <c r="AL66" s="51">
        <f t="shared" si="12"/>
        <v>0</v>
      </c>
      <c r="AM66" s="51">
        <f t="shared" si="12"/>
        <v>0</v>
      </c>
      <c r="AN66" s="51">
        <f t="shared" si="12"/>
        <v>0</v>
      </c>
      <c r="AO66" s="51">
        <f t="shared" si="12"/>
        <v>0</v>
      </c>
      <c r="AP66" s="51">
        <f t="shared" si="12"/>
        <v>0</v>
      </c>
      <c r="AQ66" s="51">
        <f t="shared" si="12"/>
        <v>0</v>
      </c>
      <c r="AR66" s="51">
        <f t="shared" si="12"/>
        <v>0</v>
      </c>
      <c r="AS66" s="51">
        <f t="shared" si="12"/>
        <v>0</v>
      </c>
      <c r="AT66" s="51">
        <f t="shared" si="12"/>
        <v>0</v>
      </c>
      <c r="AU66" s="51">
        <f t="shared" si="12"/>
        <v>0</v>
      </c>
      <c r="AV66" s="51">
        <f t="shared" si="12"/>
        <v>0</v>
      </c>
      <c r="AW66" s="51">
        <f t="shared" si="12"/>
        <v>0</v>
      </c>
      <c r="AX66" s="51">
        <f t="shared" si="12"/>
        <v>0</v>
      </c>
      <c r="AY66" s="51">
        <f t="shared" si="12"/>
        <v>0</v>
      </c>
      <c r="AZ66" s="51">
        <f t="shared" si="12"/>
        <v>0</v>
      </c>
      <c r="BA66" s="51">
        <f t="shared" si="12"/>
        <v>0</v>
      </c>
      <c r="BB66" s="51">
        <f t="shared" si="12"/>
        <v>0</v>
      </c>
      <c r="BC66" s="38"/>
      <c r="BD66" s="38"/>
    </row>
    <row r="67" spans="1:56" x14ac:dyDescent="0.2">
      <c r="A67" s="37"/>
      <c r="B67" s="37"/>
      <c r="C67" s="78"/>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38"/>
      <c r="BD67" s="38"/>
    </row>
    <row r="68" spans="1:56" s="105" customFormat="1" x14ac:dyDescent="0.2">
      <c r="A68" s="100">
        <f t="shared" si="2"/>
        <v>8451.8728038449353</v>
      </c>
      <c r="B68" s="100">
        <f>NPV('Assumptions &amp; Results'!$C$129,Calculations!E68:BB68)</f>
        <v>1376.7180040925944</v>
      </c>
      <c r="C68" s="101" t="s">
        <v>345</v>
      </c>
      <c r="D68" s="102" t="s">
        <v>75</v>
      </c>
      <c r="E68" s="103">
        <f t="shared" ref="E68:AJ68" si="13">E42-E66</f>
        <v>0</v>
      </c>
      <c r="F68" s="103">
        <f t="shared" si="13"/>
        <v>0</v>
      </c>
      <c r="G68" s="103">
        <f t="shared" si="13"/>
        <v>0</v>
      </c>
      <c r="H68" s="103">
        <f t="shared" si="13"/>
        <v>0</v>
      </c>
      <c r="I68" s="103">
        <f t="shared" si="13"/>
        <v>112.68898136755202</v>
      </c>
      <c r="J68" s="103">
        <f t="shared" si="13"/>
        <v>280.03022227722238</v>
      </c>
      <c r="K68" s="103">
        <f t="shared" si="13"/>
        <v>278.15761290853095</v>
      </c>
      <c r="L68" s="103">
        <f t="shared" si="13"/>
        <v>276.09808707618095</v>
      </c>
      <c r="M68" s="103">
        <f t="shared" si="13"/>
        <v>274.40028371196865</v>
      </c>
      <c r="N68" s="103">
        <f t="shared" si="13"/>
        <v>271.95765510083044</v>
      </c>
      <c r="O68" s="103">
        <f t="shared" si="13"/>
        <v>269.88536458683927</v>
      </c>
      <c r="P68" s="103">
        <f t="shared" si="13"/>
        <v>275.28307187857604</v>
      </c>
      <c r="Q68" s="103">
        <f t="shared" si="13"/>
        <v>280.78873331614756</v>
      </c>
      <c r="R68" s="103">
        <f t="shared" si="13"/>
        <v>286.40450798247048</v>
      </c>
      <c r="S68" s="103">
        <f t="shared" si="13"/>
        <v>292.13259814211989</v>
      </c>
      <c r="T68" s="103">
        <f t="shared" si="13"/>
        <v>297.97525010496236</v>
      </c>
      <c r="U68" s="103">
        <f t="shared" si="13"/>
        <v>303.93475510706162</v>
      </c>
      <c r="V68" s="103">
        <f t="shared" si="13"/>
        <v>310.01345020920286</v>
      </c>
      <c r="W68" s="103">
        <f t="shared" si="13"/>
        <v>316.21371921338692</v>
      </c>
      <c r="X68" s="103">
        <f t="shared" si="13"/>
        <v>322.53799359765469</v>
      </c>
      <c r="Y68" s="103">
        <f t="shared" si="13"/>
        <v>328.98875346960784</v>
      </c>
      <c r="Z68" s="103">
        <f t="shared" si="13"/>
        <v>335.568528539</v>
      </c>
      <c r="AA68" s="103">
        <f t="shared" si="13"/>
        <v>342.27989910977988</v>
      </c>
      <c r="AB68" s="103">
        <f t="shared" si="13"/>
        <v>349.12549709197555</v>
      </c>
      <c r="AC68" s="103">
        <f t="shared" si="13"/>
        <v>356.10800703381506</v>
      </c>
      <c r="AD68" s="103">
        <f t="shared" si="13"/>
        <v>363.23016717449144</v>
      </c>
      <c r="AE68" s="103">
        <f t="shared" si="13"/>
        <v>370.49477051798124</v>
      </c>
      <c r="AF68" s="103">
        <f t="shared" si="13"/>
        <v>377.90466592834076</v>
      </c>
      <c r="AG68" s="103">
        <f t="shared" si="13"/>
        <v>385.46275924690769</v>
      </c>
      <c r="AH68" s="103">
        <f t="shared" si="13"/>
        <v>393.17201443184581</v>
      </c>
      <c r="AI68" s="103">
        <f t="shared" si="13"/>
        <v>401.03545472048273</v>
      </c>
      <c r="AJ68" s="103">
        <f t="shared" si="13"/>
        <v>0</v>
      </c>
      <c r="AK68" s="103">
        <f t="shared" ref="AK68:BB68" si="14">AK42-AK66</f>
        <v>0</v>
      </c>
      <c r="AL68" s="103">
        <f t="shared" si="14"/>
        <v>0</v>
      </c>
      <c r="AM68" s="103">
        <f t="shared" si="14"/>
        <v>0</v>
      </c>
      <c r="AN68" s="103">
        <f t="shared" si="14"/>
        <v>0</v>
      </c>
      <c r="AO68" s="103">
        <f t="shared" si="14"/>
        <v>0</v>
      </c>
      <c r="AP68" s="103">
        <f t="shared" si="14"/>
        <v>0</v>
      </c>
      <c r="AQ68" s="103">
        <f t="shared" si="14"/>
        <v>0</v>
      </c>
      <c r="AR68" s="103">
        <f t="shared" si="14"/>
        <v>0</v>
      </c>
      <c r="AS68" s="103">
        <f t="shared" si="14"/>
        <v>0</v>
      </c>
      <c r="AT68" s="103">
        <f t="shared" si="14"/>
        <v>0</v>
      </c>
      <c r="AU68" s="103">
        <f t="shared" si="14"/>
        <v>0</v>
      </c>
      <c r="AV68" s="103">
        <f t="shared" si="14"/>
        <v>0</v>
      </c>
      <c r="AW68" s="103">
        <f t="shared" si="14"/>
        <v>0</v>
      </c>
      <c r="AX68" s="103">
        <f t="shared" si="14"/>
        <v>0</v>
      </c>
      <c r="AY68" s="103">
        <f t="shared" si="14"/>
        <v>0</v>
      </c>
      <c r="AZ68" s="103">
        <f t="shared" si="14"/>
        <v>0</v>
      </c>
      <c r="BA68" s="103">
        <f t="shared" si="14"/>
        <v>0</v>
      </c>
      <c r="BB68" s="103">
        <f t="shared" si="14"/>
        <v>0</v>
      </c>
      <c r="BC68" s="104"/>
      <c r="BD68" s="104"/>
    </row>
    <row r="69" spans="1:56" x14ac:dyDescent="0.2">
      <c r="A69" s="37"/>
      <c r="B69" s="37"/>
      <c r="C69" s="8"/>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38"/>
      <c r="BD69" s="38"/>
    </row>
    <row r="70" spans="1:56" x14ac:dyDescent="0.2">
      <c r="A70" s="37">
        <f t="shared" si="2"/>
        <v>-1402.1560062927099</v>
      </c>
      <c r="B70" s="37">
        <f>NPV('Assumptions &amp; Results'!$C$129,Calculations!E70:BB70)</f>
        <v>-603.71303929761075</v>
      </c>
      <c r="C70" s="8" t="s">
        <v>128</v>
      </c>
      <c r="D70" s="36" t="s">
        <v>75</v>
      </c>
      <c r="E70" s="51">
        <f>Capex!D18</f>
        <v>0</v>
      </c>
      <c r="F70" s="51">
        <f>Capex!E18</f>
        <v>-50</v>
      </c>
      <c r="G70" s="51">
        <f>Capex!F18</f>
        <v>-101</v>
      </c>
      <c r="H70" s="51">
        <f>Capex!G18</f>
        <v>-153.02000000000001</v>
      </c>
      <c r="I70" s="51">
        <f>Capex!H18</f>
        <v>-206.0804</v>
      </c>
      <c r="J70" s="51">
        <f>Capex!I18</f>
        <v>-206.0804</v>
      </c>
      <c r="K70" s="51">
        <f>Capex!J18</f>
        <v>-158.28856160640001</v>
      </c>
      <c r="L70" s="51">
        <f>Capex!K18</f>
        <v>-109.54088644492799</v>
      </c>
      <c r="M70" s="51">
        <f>Capex!L18</f>
        <v>-59.818257780226546</v>
      </c>
      <c r="N70" s="51">
        <f>Capex!M18</f>
        <v>-9.1011765422310908</v>
      </c>
      <c r="O70" s="51">
        <f>Capex!N18</f>
        <v>-11.491361679475713</v>
      </c>
      <c r="P70" s="51">
        <f>Capex!O18</f>
        <v>-11.721188913065228</v>
      </c>
      <c r="Q70" s="51">
        <f>Capex!P18</f>
        <v>-11.955612691326532</v>
      </c>
      <c r="R70" s="51">
        <f>Capex!Q18</f>
        <v>-12.194724945153064</v>
      </c>
      <c r="S70" s="51">
        <f>Capex!R18</f>
        <v>-12.438619444056124</v>
      </c>
      <c r="T70" s="51">
        <f>Capex!S18</f>
        <v>-12.687391832937248</v>
      </c>
      <c r="U70" s="51">
        <f>Capex!T18</f>
        <v>-12.941139669595993</v>
      </c>
      <c r="V70" s="51">
        <f>Capex!U18</f>
        <v>-13.199962462987912</v>
      </c>
      <c r="W70" s="51">
        <f>Capex!V18</f>
        <v>-13.463961712247672</v>
      </c>
      <c r="X70" s="51">
        <f>Capex!W18</f>
        <v>-13.733240946492625</v>
      </c>
      <c r="Y70" s="51">
        <f>Capex!X18</f>
        <v>-14.007905765422478</v>
      </c>
      <c r="Z70" s="51">
        <f>Capex!Y18</f>
        <v>-14.288063880730927</v>
      </c>
      <c r="AA70" s="51">
        <f>Capex!Z18</f>
        <v>-14.573825158345548</v>
      </c>
      <c r="AB70" s="51">
        <f>Capex!AA18</f>
        <v>-14.865301661512461</v>
      </c>
      <c r="AC70" s="51">
        <f>Capex!AB18</f>
        <v>-15.162607694742711</v>
      </c>
      <c r="AD70" s="51">
        <f>Capex!AC18</f>
        <v>-15.465859848637564</v>
      </c>
      <c r="AE70" s="51">
        <f>Capex!AD18</f>
        <v>-15.775177045610315</v>
      </c>
      <c r="AF70" s="51">
        <f>Capex!AE18</f>
        <v>-16.090680586522524</v>
      </c>
      <c r="AG70" s="51">
        <f>Capex!AF18</f>
        <v>-16.412494198252972</v>
      </c>
      <c r="AH70" s="51">
        <f>Capex!AG18</f>
        <v>-16.740744082218033</v>
      </c>
      <c r="AI70" s="51">
        <f>Capex!AH18</f>
        <v>-17.075558963862392</v>
      </c>
      <c r="AJ70" s="51">
        <f>Capex!AI18</f>
        <v>-17.417070143139643</v>
      </c>
      <c r="AK70" s="51">
        <f>Capex!AJ18</f>
        <v>-14.070233914431592</v>
      </c>
      <c r="AL70" s="51">
        <f>Capex!AK18</f>
        <v>-10.65646096114938</v>
      </c>
      <c r="AM70" s="51">
        <f>Capex!AL18</f>
        <v>-7.1744125488015236</v>
      </c>
      <c r="AN70" s="51">
        <f>Capex!AM18</f>
        <v>-3.62272316820671</v>
      </c>
      <c r="AO70" s="51">
        <f>Capex!AN18</f>
        <v>0</v>
      </c>
      <c r="AP70" s="51">
        <f>Capex!AO18</f>
        <v>0</v>
      </c>
      <c r="AQ70" s="51">
        <f>Capex!AP18</f>
        <v>0</v>
      </c>
      <c r="AR70" s="51">
        <f>Capex!AQ18</f>
        <v>0</v>
      </c>
      <c r="AS70" s="51">
        <f>Capex!AR18</f>
        <v>0</v>
      </c>
      <c r="AT70" s="51">
        <f>Capex!AS18</f>
        <v>0</v>
      </c>
      <c r="AU70" s="51">
        <f>Capex!AT18</f>
        <v>0</v>
      </c>
      <c r="AV70" s="51">
        <f>Capex!AU18</f>
        <v>0</v>
      </c>
      <c r="AW70" s="51">
        <f>Capex!AV18</f>
        <v>0</v>
      </c>
      <c r="AX70" s="51">
        <f>Capex!AW18</f>
        <v>0</v>
      </c>
      <c r="AY70" s="51">
        <f>Capex!AX18</f>
        <v>0</v>
      </c>
      <c r="AZ70" s="51">
        <f>Capex!AY18</f>
        <v>0</v>
      </c>
      <c r="BA70" s="51">
        <f>Capex!AZ18</f>
        <v>0</v>
      </c>
      <c r="BB70" s="51">
        <f>Capex!BA18</f>
        <v>0</v>
      </c>
      <c r="BC70" s="38"/>
      <c r="BD70" s="38"/>
    </row>
    <row r="71" spans="1:56" x14ac:dyDescent="0.2">
      <c r="A71" s="37"/>
      <c r="B71" s="37"/>
      <c r="C71" s="8"/>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38"/>
      <c r="BD71" s="38"/>
    </row>
    <row r="72" spans="1:56" s="105" customFormat="1" x14ac:dyDescent="0.2">
      <c r="A72" s="100">
        <f t="shared" si="2"/>
        <v>7049.7167975522252</v>
      </c>
      <c r="B72" s="100">
        <f>NPV('Assumptions &amp; Results'!$C$129,Calculations!E72:BB72)</f>
        <v>773.00496479498327</v>
      </c>
      <c r="C72" s="101" t="s">
        <v>86</v>
      </c>
      <c r="D72" s="102" t="s">
        <v>75</v>
      </c>
      <c r="E72" s="103">
        <f>E68+E70</f>
        <v>0</v>
      </c>
      <c r="F72" s="103">
        <f t="shared" ref="F72:BB72" si="15">F68+F70</f>
        <v>-50</v>
      </c>
      <c r="G72" s="103">
        <f t="shared" si="15"/>
        <v>-101</v>
      </c>
      <c r="H72" s="103">
        <f t="shared" si="15"/>
        <v>-153.02000000000001</v>
      </c>
      <c r="I72" s="103">
        <f t="shared" si="15"/>
        <v>-93.39141863244798</v>
      </c>
      <c r="J72" s="103">
        <f t="shared" si="15"/>
        <v>73.949822277222381</v>
      </c>
      <c r="K72" s="103">
        <f t="shared" si="15"/>
        <v>119.86905130213094</v>
      </c>
      <c r="L72" s="103">
        <f t="shared" si="15"/>
        <v>166.55720063125295</v>
      </c>
      <c r="M72" s="103">
        <f t="shared" si="15"/>
        <v>214.58202593174212</v>
      </c>
      <c r="N72" s="103">
        <f t="shared" si="15"/>
        <v>262.85647855859935</v>
      </c>
      <c r="O72" s="103">
        <f t="shared" si="15"/>
        <v>258.39400290736359</v>
      </c>
      <c r="P72" s="103">
        <f t="shared" si="15"/>
        <v>263.56188296551079</v>
      </c>
      <c r="Q72" s="103">
        <f t="shared" si="15"/>
        <v>268.83312062482105</v>
      </c>
      <c r="R72" s="103">
        <f t="shared" si="15"/>
        <v>274.20978303731744</v>
      </c>
      <c r="S72" s="103">
        <f t="shared" si="15"/>
        <v>279.69397869806375</v>
      </c>
      <c r="T72" s="103">
        <f t="shared" si="15"/>
        <v>285.28785827202512</v>
      </c>
      <c r="U72" s="103">
        <f t="shared" si="15"/>
        <v>290.99361543746562</v>
      </c>
      <c r="V72" s="103">
        <f t="shared" si="15"/>
        <v>296.81348774621495</v>
      </c>
      <c r="W72" s="103">
        <f t="shared" si="15"/>
        <v>302.74975750113924</v>
      </c>
      <c r="X72" s="103">
        <f t="shared" si="15"/>
        <v>308.80475265116206</v>
      </c>
      <c r="Y72" s="103">
        <f t="shared" si="15"/>
        <v>314.98084770418535</v>
      </c>
      <c r="Z72" s="103">
        <f t="shared" si="15"/>
        <v>321.28046465826907</v>
      </c>
      <c r="AA72" s="103">
        <f t="shared" si="15"/>
        <v>327.70607395143435</v>
      </c>
      <c r="AB72" s="103">
        <f t="shared" si="15"/>
        <v>334.26019543046311</v>
      </c>
      <c r="AC72" s="103">
        <f t="shared" si="15"/>
        <v>340.94539933907237</v>
      </c>
      <c r="AD72" s="103">
        <f t="shared" si="15"/>
        <v>347.76430732585391</v>
      </c>
      <c r="AE72" s="103">
        <f t="shared" si="15"/>
        <v>354.71959347237095</v>
      </c>
      <c r="AF72" s="103">
        <f t="shared" si="15"/>
        <v>361.81398534181824</v>
      </c>
      <c r="AG72" s="103">
        <f t="shared" si="15"/>
        <v>369.05026504865475</v>
      </c>
      <c r="AH72" s="103">
        <f t="shared" si="15"/>
        <v>376.43127034962777</v>
      </c>
      <c r="AI72" s="103">
        <f t="shared" si="15"/>
        <v>383.95989575662031</v>
      </c>
      <c r="AJ72" s="103">
        <f t="shared" si="15"/>
        <v>-17.417070143139643</v>
      </c>
      <c r="AK72" s="103">
        <f t="shared" si="15"/>
        <v>-14.070233914431592</v>
      </c>
      <c r="AL72" s="103">
        <f t="shared" si="15"/>
        <v>-10.65646096114938</v>
      </c>
      <c r="AM72" s="103">
        <f t="shared" si="15"/>
        <v>-7.1744125488015236</v>
      </c>
      <c r="AN72" s="103">
        <f t="shared" si="15"/>
        <v>-3.62272316820671</v>
      </c>
      <c r="AO72" s="103">
        <f t="shared" si="15"/>
        <v>0</v>
      </c>
      <c r="AP72" s="103">
        <f t="shared" si="15"/>
        <v>0</v>
      </c>
      <c r="AQ72" s="103">
        <f t="shared" si="15"/>
        <v>0</v>
      </c>
      <c r="AR72" s="103">
        <f t="shared" si="15"/>
        <v>0</v>
      </c>
      <c r="AS72" s="103">
        <f t="shared" si="15"/>
        <v>0</v>
      </c>
      <c r="AT72" s="103">
        <f t="shared" si="15"/>
        <v>0</v>
      </c>
      <c r="AU72" s="103">
        <f t="shared" si="15"/>
        <v>0</v>
      </c>
      <c r="AV72" s="103">
        <f t="shared" si="15"/>
        <v>0</v>
      </c>
      <c r="AW72" s="103">
        <f t="shared" si="15"/>
        <v>0</v>
      </c>
      <c r="AX72" s="103">
        <f t="shared" si="15"/>
        <v>0</v>
      </c>
      <c r="AY72" s="103">
        <f t="shared" si="15"/>
        <v>0</v>
      </c>
      <c r="AZ72" s="103">
        <f t="shared" si="15"/>
        <v>0</v>
      </c>
      <c r="BA72" s="103">
        <f t="shared" si="15"/>
        <v>0</v>
      </c>
      <c r="BB72" s="103">
        <f t="shared" si="15"/>
        <v>0</v>
      </c>
      <c r="BC72" s="104"/>
      <c r="BD72" s="104"/>
    </row>
    <row r="73" spans="1:56" x14ac:dyDescent="0.2">
      <c r="A73" s="37">
        <f t="shared" si="2"/>
        <v>0</v>
      </c>
      <c r="B73" s="37">
        <f>NPV('Assumptions &amp; Results'!$C$129,Calculations!E73:BB73)</f>
        <v>0</v>
      </c>
      <c r="C73" s="78" t="s">
        <v>344</v>
      </c>
      <c r="D73" s="36" t="s">
        <v>75</v>
      </c>
      <c r="E73" s="51">
        <f>IF(OR(E6=0,'Assumptions &amp; Results'!$C$77=0),0,IF(E72&lt;0,'Assumptions &amp; Results'!$C$75*Calculations!E6,MIN(('Assumptions &amp; Results'!$C$75+Calculations!E72/(Calculations!E6*'Assumptions &amp; Results'!$C$77)),'Assumptions &amp; Results'!$C$76)*E6))</f>
        <v>0</v>
      </c>
      <c r="F73" s="51">
        <f>IF(OR(F6=0,'Assumptions &amp; Results'!$C$77=0),0,IF(F72&lt;0,'Assumptions &amp; Results'!$C$75*Calculations!F6,MIN(('Assumptions &amp; Results'!$C$75+Calculations!F72/(Calculations!F6*'Assumptions &amp; Results'!$C$77)),'Assumptions &amp; Results'!$C$76)*F6))</f>
        <v>0</v>
      </c>
      <c r="G73" s="51">
        <f>IF(OR(G6=0,'Assumptions &amp; Results'!$C$77=0),0,IF(G72&lt;0,'Assumptions &amp; Results'!$C$75*Calculations!G6,MIN(('Assumptions &amp; Results'!$C$75+Calculations!G72/(Calculations!G6*'Assumptions &amp; Results'!$C$77)),'Assumptions &amp; Results'!$C$76)*G6))</f>
        <v>0</v>
      </c>
      <c r="H73" s="51">
        <f>IF(OR(H6=0,'Assumptions &amp; Results'!$C$77=0),0,IF(H72&lt;0,'Assumptions &amp; Results'!$C$75*Calculations!H6,MIN(('Assumptions &amp; Results'!$C$75+Calculations!H72/(Calculations!H6*'Assumptions &amp; Results'!$C$77)),'Assumptions &amp; Results'!$C$76)*H6))</f>
        <v>0</v>
      </c>
      <c r="I73" s="51">
        <f>IF(OR(I6=0,'Assumptions &amp; Results'!$C$77=0),0,IF(I72&lt;0,'Assumptions &amp; Results'!$C$75*Calculations!I6,MIN(('Assumptions &amp; Results'!$C$75+Calculations!I72/(Calculations!I6*'Assumptions &amp; Results'!$C$77)),'Assumptions &amp; Results'!$C$76)*I6))</f>
        <v>0</v>
      </c>
      <c r="J73" s="51">
        <f>IF(OR(J6=0,'Assumptions &amp; Results'!$C$77=0),0,IF(J72&lt;0,'Assumptions &amp; Results'!$C$75*Calculations!J6,MIN(('Assumptions &amp; Results'!$C$75+Calculations!J72/(Calculations!J6*'Assumptions &amp; Results'!$C$77)),'Assumptions &amp; Results'!$C$76)*J6))</f>
        <v>0</v>
      </c>
      <c r="K73" s="51">
        <f>IF(OR(K6=0,'Assumptions &amp; Results'!$C$77=0),0,IF(K72&lt;0,'Assumptions &amp; Results'!$C$75*Calculations!K6,MIN(('Assumptions &amp; Results'!$C$75+Calculations!K72/(Calculations!K6*'Assumptions &amp; Results'!$C$77)),'Assumptions &amp; Results'!$C$76)*K6))</f>
        <v>0</v>
      </c>
      <c r="L73" s="51">
        <f>IF(OR(L6=0,'Assumptions &amp; Results'!$C$77=0),0,IF(L72&lt;0,'Assumptions &amp; Results'!$C$75*Calculations!L6,MIN(('Assumptions &amp; Results'!$C$75+Calculations!L72/(Calculations!L6*'Assumptions &amp; Results'!$C$77)),'Assumptions &amp; Results'!$C$76)*L6))</f>
        <v>0</v>
      </c>
      <c r="M73" s="51">
        <f>IF(OR(M6=0,'Assumptions &amp; Results'!$C$77=0),0,IF(M72&lt;0,'Assumptions &amp; Results'!$C$75*Calculations!M6,MIN(('Assumptions &amp; Results'!$C$75+Calculations!M72/(Calculations!M6*'Assumptions &amp; Results'!$C$77)),'Assumptions &amp; Results'!$C$76)*M6))</f>
        <v>0</v>
      </c>
      <c r="N73" s="51">
        <f>IF(OR(N6=0,'Assumptions &amp; Results'!$C$77=0),0,IF(N72&lt;0,'Assumptions &amp; Results'!$C$75*Calculations!N6,MIN(('Assumptions &amp; Results'!$C$75+Calculations!N72/(Calculations!N6*'Assumptions &amp; Results'!$C$77)),'Assumptions &amp; Results'!$C$76)*N6))</f>
        <v>0</v>
      </c>
      <c r="O73" s="51">
        <f>IF(OR(O6=0,'Assumptions &amp; Results'!$C$77=0),0,IF(O72&lt;0,'Assumptions &amp; Results'!$C$75*Calculations!O6,MIN(('Assumptions &amp; Results'!$C$75+Calculations!O72/(Calculations!O6*'Assumptions &amp; Results'!$C$77)),'Assumptions &amp; Results'!$C$76)*O6))</f>
        <v>0</v>
      </c>
      <c r="P73" s="51">
        <f>IF(OR(P6=0,'Assumptions &amp; Results'!$C$77=0),0,IF(P72&lt;0,'Assumptions &amp; Results'!$C$75*Calculations!P6,MIN(('Assumptions &amp; Results'!$C$75+Calculations!P72/(Calculations!P6*'Assumptions &amp; Results'!$C$77)),'Assumptions &amp; Results'!$C$76)*P6))</f>
        <v>0</v>
      </c>
      <c r="Q73" s="51">
        <f>IF(OR(Q6=0,'Assumptions &amp; Results'!$C$77=0),0,IF(Q72&lt;0,'Assumptions &amp; Results'!$C$75*Calculations!Q6,MIN(('Assumptions &amp; Results'!$C$75+Calculations!Q72/(Calculations!Q6*'Assumptions &amp; Results'!$C$77)),'Assumptions &amp; Results'!$C$76)*Q6))</f>
        <v>0</v>
      </c>
      <c r="R73" s="51">
        <f>IF(OR(R6=0,'Assumptions &amp; Results'!$C$77=0),0,IF(R72&lt;0,'Assumptions &amp; Results'!$C$75*Calculations!R6,MIN(('Assumptions &amp; Results'!$C$75+Calculations!R72/(Calculations!R6*'Assumptions &amp; Results'!$C$77)),'Assumptions &amp; Results'!$C$76)*R6))</f>
        <v>0</v>
      </c>
      <c r="S73" s="51">
        <f>IF(OR(S6=0,'Assumptions &amp; Results'!$C$77=0),0,IF(S72&lt;0,'Assumptions &amp; Results'!$C$75*Calculations!S6,MIN(('Assumptions &amp; Results'!$C$75+Calculations!S72/(Calculations!S6*'Assumptions &amp; Results'!$C$77)),'Assumptions &amp; Results'!$C$76)*S6))</f>
        <v>0</v>
      </c>
      <c r="T73" s="51">
        <f>IF(OR(T6=0,'Assumptions &amp; Results'!$C$77=0),0,IF(T72&lt;0,'Assumptions &amp; Results'!$C$75*Calculations!T6,MIN(('Assumptions &amp; Results'!$C$75+Calculations!T72/(Calculations!T6*'Assumptions &amp; Results'!$C$77)),'Assumptions &amp; Results'!$C$76)*T6))</f>
        <v>0</v>
      </c>
      <c r="U73" s="51">
        <f>IF(OR(U6=0,'Assumptions &amp; Results'!$C$77=0),0,IF(U72&lt;0,'Assumptions &amp; Results'!$C$75*Calculations!U6,MIN(('Assumptions &amp; Results'!$C$75+Calculations!U72/(Calculations!U6*'Assumptions &amp; Results'!$C$77)),'Assumptions &amp; Results'!$C$76)*U6))</f>
        <v>0</v>
      </c>
      <c r="V73" s="51">
        <f>IF(OR(V6=0,'Assumptions &amp; Results'!$C$77=0),0,IF(V72&lt;0,'Assumptions &amp; Results'!$C$75*Calculations!V6,MIN(('Assumptions &amp; Results'!$C$75+Calculations!V72/(Calculations!V6*'Assumptions &amp; Results'!$C$77)),'Assumptions &amp; Results'!$C$76)*V6))</f>
        <v>0</v>
      </c>
      <c r="W73" s="51">
        <f>IF(OR(W6=0,'Assumptions &amp; Results'!$C$77=0),0,IF(W72&lt;0,'Assumptions &amp; Results'!$C$75*Calculations!W6,MIN(('Assumptions &amp; Results'!$C$75+Calculations!W72/(Calculations!W6*'Assumptions &amp; Results'!$C$77)),'Assumptions &amp; Results'!$C$76)*W6))</f>
        <v>0</v>
      </c>
      <c r="X73" s="51">
        <f>IF(OR(X6=0,'Assumptions &amp; Results'!$C$77=0),0,IF(X72&lt;0,'Assumptions &amp; Results'!$C$75*Calculations!X6,MIN(('Assumptions &amp; Results'!$C$75+Calculations!X72/(Calculations!X6*'Assumptions &amp; Results'!$C$77)),'Assumptions &amp; Results'!$C$76)*X6))</f>
        <v>0</v>
      </c>
      <c r="Y73" s="51">
        <f>IF(OR(Y6=0,'Assumptions &amp; Results'!$C$77=0),0,IF(Y72&lt;0,'Assumptions &amp; Results'!$C$75*Calculations!Y6,MIN(('Assumptions &amp; Results'!$C$75+Calculations!Y72/(Calculations!Y6*'Assumptions &amp; Results'!$C$77)),'Assumptions &amp; Results'!$C$76)*Y6))</f>
        <v>0</v>
      </c>
      <c r="Z73" s="51">
        <f>IF(OR(Z6=0,'Assumptions &amp; Results'!$C$77=0),0,IF(Z72&lt;0,'Assumptions &amp; Results'!$C$75*Calculations!Z6,MIN(('Assumptions &amp; Results'!$C$75+Calculations!Z72/(Calculations!Z6*'Assumptions &amp; Results'!$C$77)),'Assumptions &amp; Results'!$C$76)*Z6))</f>
        <v>0</v>
      </c>
      <c r="AA73" s="51">
        <f>IF(OR(AA6=0,'Assumptions &amp; Results'!$C$77=0),0,IF(AA72&lt;0,'Assumptions &amp; Results'!$C$75*Calculations!AA6,MIN(('Assumptions &amp; Results'!$C$75+Calculations!AA72/(Calculations!AA6*'Assumptions &amp; Results'!$C$77)),'Assumptions &amp; Results'!$C$76)*AA6))</f>
        <v>0</v>
      </c>
      <c r="AB73" s="51">
        <f>IF(OR(AB6=0,'Assumptions &amp; Results'!$C$77=0),0,IF(AB72&lt;0,'Assumptions &amp; Results'!$C$75*Calculations!AB6,MIN(('Assumptions &amp; Results'!$C$75+Calculations!AB72/(Calculations!AB6*'Assumptions &amp; Results'!$C$77)),'Assumptions &amp; Results'!$C$76)*AB6))</f>
        <v>0</v>
      </c>
      <c r="AC73" s="51">
        <f>IF(OR(AC6=0,'Assumptions &amp; Results'!$C$77=0),0,IF(AC72&lt;0,'Assumptions &amp; Results'!$C$75*Calculations!AC6,MIN(('Assumptions &amp; Results'!$C$75+Calculations!AC72/(Calculations!AC6*'Assumptions &amp; Results'!$C$77)),'Assumptions &amp; Results'!$C$76)*AC6))</f>
        <v>0</v>
      </c>
      <c r="AD73" s="51">
        <f>IF(OR(AD6=0,'Assumptions &amp; Results'!$C$77=0),0,IF(AD72&lt;0,'Assumptions &amp; Results'!$C$75*Calculations!AD6,MIN(('Assumptions &amp; Results'!$C$75+Calculations!AD72/(Calculations!AD6*'Assumptions &amp; Results'!$C$77)),'Assumptions &amp; Results'!$C$76)*AD6))</f>
        <v>0</v>
      </c>
      <c r="AE73" s="51">
        <f>IF(OR(AE6=0,'Assumptions &amp; Results'!$C$77=0),0,IF(AE72&lt;0,'Assumptions &amp; Results'!$C$75*Calculations!AE6,MIN(('Assumptions &amp; Results'!$C$75+Calculations!AE72/(Calculations!AE6*'Assumptions &amp; Results'!$C$77)),'Assumptions &amp; Results'!$C$76)*AE6))</f>
        <v>0</v>
      </c>
      <c r="AF73" s="51">
        <f>IF(OR(AF6=0,'Assumptions &amp; Results'!$C$77=0),0,IF(AF72&lt;0,'Assumptions &amp; Results'!$C$75*Calculations!AF6,MIN(('Assumptions &amp; Results'!$C$75+Calculations!AF72/(Calculations!AF6*'Assumptions &amp; Results'!$C$77)),'Assumptions &amp; Results'!$C$76)*AF6))</f>
        <v>0</v>
      </c>
      <c r="AG73" s="51">
        <f>IF(OR(AG6=0,'Assumptions &amp; Results'!$C$77=0),0,IF(AG72&lt;0,'Assumptions &amp; Results'!$C$75*Calculations!AG6,MIN(('Assumptions &amp; Results'!$C$75+Calculations!AG72/(Calculations!AG6*'Assumptions &amp; Results'!$C$77)),'Assumptions &amp; Results'!$C$76)*AG6))</f>
        <v>0</v>
      </c>
      <c r="AH73" s="51">
        <f>IF(OR(AH6=0,'Assumptions &amp; Results'!$C$77=0),0,IF(AH72&lt;0,'Assumptions &amp; Results'!$C$75*Calculations!AH6,MIN(('Assumptions &amp; Results'!$C$75+Calculations!AH72/(Calculations!AH6*'Assumptions &amp; Results'!$C$77)),'Assumptions &amp; Results'!$C$76)*AH6))</f>
        <v>0</v>
      </c>
      <c r="AI73" s="51">
        <f>IF(OR(AI6=0,'Assumptions &amp; Results'!$C$77=0),0,IF(AI72&lt;0,'Assumptions &amp; Results'!$C$75*Calculations!AI6,MIN(('Assumptions &amp; Results'!$C$75+Calculations!AI72/(Calculations!AI6*'Assumptions &amp; Results'!$C$77)),'Assumptions &amp; Results'!$C$76)*AI6))</f>
        <v>0</v>
      </c>
      <c r="AJ73" s="51">
        <f>IF(OR(AJ6=0,'Assumptions &amp; Results'!$C$77=0),0,IF(AJ72&lt;0,'Assumptions &amp; Results'!$C$75*Calculations!AJ6,MIN(('Assumptions &amp; Results'!$C$75+Calculations!AJ72/(Calculations!AJ6*'Assumptions &amp; Results'!$C$77)),'Assumptions &amp; Results'!$C$76)*AJ6))</f>
        <v>0</v>
      </c>
      <c r="AK73" s="51">
        <f>IF(OR(AK6=0,'Assumptions &amp; Results'!$C$77=0),0,IF(AK72&lt;0,'Assumptions &amp; Results'!$C$75*Calculations!AK6,MIN(('Assumptions &amp; Results'!$C$75+Calculations!AK72/(Calculations!AK6*'Assumptions &amp; Results'!$C$77)),'Assumptions &amp; Results'!$C$76)*AK6))</f>
        <v>0</v>
      </c>
      <c r="AL73" s="51">
        <f>IF(OR(AL6=0,'Assumptions &amp; Results'!$C$77=0),0,IF(AL72&lt;0,'Assumptions &amp; Results'!$C$75*Calculations!AL6,MIN(('Assumptions &amp; Results'!$C$75+Calculations!AL72/(Calculations!AL6*'Assumptions &amp; Results'!$C$77)),'Assumptions &amp; Results'!$C$76)*AL6))</f>
        <v>0</v>
      </c>
      <c r="AM73" s="51">
        <f>IF(OR(AM6=0,'Assumptions &amp; Results'!$C$77=0),0,IF(AM72&lt;0,'Assumptions &amp; Results'!$C$75*Calculations!AM6,MIN(('Assumptions &amp; Results'!$C$75+Calculations!AM72/(Calculations!AM6*'Assumptions &amp; Results'!$C$77)),'Assumptions &amp; Results'!$C$76)*AM6))</f>
        <v>0</v>
      </c>
      <c r="AN73" s="51">
        <f>IF(OR(AN6=0,'Assumptions &amp; Results'!$C$77=0),0,IF(AN72&lt;0,'Assumptions &amp; Results'!$C$75*Calculations!AN6,MIN(('Assumptions &amp; Results'!$C$75+Calculations!AN72/(Calculations!AN6*'Assumptions &amp; Results'!$C$77)),'Assumptions &amp; Results'!$C$76)*AN6))</f>
        <v>0</v>
      </c>
      <c r="AO73" s="51">
        <f>IF(OR(AO6=0,'Assumptions &amp; Results'!$C$77=0),0,IF(AO72&lt;0,'Assumptions &amp; Results'!$C$75*Calculations!AO6,MIN(('Assumptions &amp; Results'!$C$75+Calculations!AO72/(Calculations!AO6*'Assumptions &amp; Results'!$C$77)),'Assumptions &amp; Results'!$C$76)*AO6))</f>
        <v>0</v>
      </c>
      <c r="AP73" s="51">
        <f>IF(OR(AP6=0,'Assumptions &amp; Results'!$C$77=0),0,IF(AP72&lt;0,'Assumptions &amp; Results'!$C$75*Calculations!AP6,MIN(('Assumptions &amp; Results'!$C$75+Calculations!AP72/(Calculations!AP6*'Assumptions &amp; Results'!$C$77)),'Assumptions &amp; Results'!$C$76)*AP6))</f>
        <v>0</v>
      </c>
      <c r="AQ73" s="51">
        <f>IF(OR(AQ6=0,'Assumptions &amp; Results'!$C$77=0),0,IF(AQ72&lt;0,'Assumptions &amp; Results'!$C$75*Calculations!AQ6,MIN(('Assumptions &amp; Results'!$C$75+Calculations!AQ72/(Calculations!AQ6*'Assumptions &amp; Results'!$C$77)),'Assumptions &amp; Results'!$C$76)*AQ6))</f>
        <v>0</v>
      </c>
      <c r="AR73" s="51">
        <f>IF(OR(AR6=0,'Assumptions &amp; Results'!$C$77=0),0,IF(AR72&lt;0,'Assumptions &amp; Results'!$C$75*Calculations!AR6,MIN(('Assumptions &amp; Results'!$C$75+Calculations!AR72/(Calculations!AR6*'Assumptions &amp; Results'!$C$77)),'Assumptions &amp; Results'!$C$76)*AR6))</f>
        <v>0</v>
      </c>
      <c r="AS73" s="51">
        <f>IF(OR(AS6=0,'Assumptions &amp; Results'!$C$77=0),0,IF(AS72&lt;0,'Assumptions &amp; Results'!$C$75*Calculations!AS6,MIN(('Assumptions &amp; Results'!$C$75+Calculations!AS72/(Calculations!AS6*'Assumptions &amp; Results'!$C$77)),'Assumptions &amp; Results'!$C$76)*AS6))</f>
        <v>0</v>
      </c>
      <c r="AT73" s="51">
        <f>IF(OR(AT6=0,'Assumptions &amp; Results'!$C$77=0),0,IF(AT72&lt;0,'Assumptions &amp; Results'!$C$75*Calculations!AT6,MIN(('Assumptions &amp; Results'!$C$75+Calculations!AT72/(Calculations!AT6*'Assumptions &amp; Results'!$C$77)),'Assumptions &amp; Results'!$C$76)*AT6))</f>
        <v>0</v>
      </c>
      <c r="AU73" s="51">
        <f>IF(OR(AU6=0,'Assumptions &amp; Results'!$C$77=0),0,IF(AU72&lt;0,'Assumptions &amp; Results'!$C$75*Calculations!AU6,MIN(('Assumptions &amp; Results'!$C$75+Calculations!AU72/(Calculations!AU6*'Assumptions &amp; Results'!$C$77)),'Assumptions &amp; Results'!$C$76)*AU6))</f>
        <v>0</v>
      </c>
      <c r="AV73" s="51">
        <f>IF(OR(AV6=0,'Assumptions &amp; Results'!$C$77=0),0,IF(AV72&lt;0,'Assumptions &amp; Results'!$C$75*Calculations!AV6,MIN(('Assumptions &amp; Results'!$C$75+Calculations!AV72/(Calculations!AV6*'Assumptions &amp; Results'!$C$77)),'Assumptions &amp; Results'!$C$76)*AV6))</f>
        <v>0</v>
      </c>
      <c r="AW73" s="51">
        <f>IF(OR(AW6=0,'Assumptions &amp; Results'!$C$77=0),0,IF(AW72&lt;0,'Assumptions &amp; Results'!$C$75*Calculations!AW6,MIN(('Assumptions &amp; Results'!$C$75+Calculations!AW72/(Calculations!AW6*'Assumptions &amp; Results'!$C$77)),'Assumptions &amp; Results'!$C$76)*AW6))</f>
        <v>0</v>
      </c>
      <c r="AX73" s="51">
        <f>IF(OR(AX6=0,'Assumptions &amp; Results'!$C$77=0),0,IF(AX72&lt;0,'Assumptions &amp; Results'!$C$75*Calculations!AX6,MIN(('Assumptions &amp; Results'!$C$75+Calculations!AX72/(Calculations!AX6*'Assumptions &amp; Results'!$C$77)),'Assumptions &amp; Results'!$C$76)*AX6))</f>
        <v>0</v>
      </c>
      <c r="AY73" s="51">
        <f>IF(OR(AY6=0,'Assumptions &amp; Results'!$C$77=0),0,IF(AY72&lt;0,'Assumptions &amp; Results'!$C$75*Calculations!AY6,MIN(('Assumptions &amp; Results'!$C$75+Calculations!AY72/(Calculations!AY6*'Assumptions &amp; Results'!$C$77)),'Assumptions &amp; Results'!$C$76)*AY6))</f>
        <v>0</v>
      </c>
      <c r="AZ73" s="51">
        <f>IF(OR(AZ6=0,'Assumptions &amp; Results'!$C$77=0),0,IF(AZ72&lt;0,'Assumptions &amp; Results'!$C$75*Calculations!AZ6,MIN(('Assumptions &amp; Results'!$C$75+Calculations!AZ72/(Calculations!AZ6*'Assumptions &amp; Results'!$C$77)),'Assumptions &amp; Results'!$C$76)*AZ6))</f>
        <v>0</v>
      </c>
      <c r="BA73" s="51">
        <f>IF(OR(BA6=0,'Assumptions &amp; Results'!$C$77=0),0,IF(BA72&lt;0,'Assumptions &amp; Results'!$C$75*Calculations!BA6,MIN(('Assumptions &amp; Results'!$C$75+Calculations!BA72/(Calculations!BA6*'Assumptions &amp; Results'!$C$77)),'Assumptions &amp; Results'!$C$76)*BA6))</f>
        <v>0</v>
      </c>
      <c r="BB73" s="51">
        <f>IF(OR(BB6=0,'Assumptions &amp; Results'!$C$77=0),0,IF(BB72&lt;0,'Assumptions &amp; Results'!$C$75*Calculations!BB6,MIN(('Assumptions &amp; Results'!$C$75+Calculations!BB72/(Calculations!BB6*'Assumptions &amp; Results'!$C$77)),'Assumptions &amp; Results'!$C$76)*BB6))</f>
        <v>0</v>
      </c>
      <c r="BC73" s="38"/>
      <c r="BD73" s="38"/>
    </row>
    <row r="74" spans="1:56" x14ac:dyDescent="0.2">
      <c r="A74" s="37">
        <f t="shared" si="2"/>
        <v>440.28656100000001</v>
      </c>
      <c r="B74" s="37">
        <f>NPV('Assumptions &amp; Results'!$C$129,Calculations!E74:BB74)</f>
        <v>228.98846973135096</v>
      </c>
      <c r="C74" s="8" t="s">
        <v>212</v>
      </c>
      <c r="D74" s="36" t="s">
        <v>75</v>
      </c>
      <c r="E74" s="51">
        <f>IF('Assumptions &amp; Results'!$C$116=0,'Debt &amp; Equity'!D4, IF('Debt &amp; Equity'!C7&lt;'Assumptions &amp; Results'!$C$116,'Debt &amp; Equity'!D4,'Debt&amp;EquityMax'!D4))</f>
        <v>0</v>
      </c>
      <c r="F74" s="51">
        <f>IF('Assumptions &amp; Results'!$C$116=0,'Debt &amp; Equity'!E4, IF('Debt &amp; Equity'!D7&lt;'Assumptions &amp; Results'!$C$116,'Debt &amp; Equity'!E4,'Debt&amp;EquityMax'!E4))</f>
        <v>21</v>
      </c>
      <c r="G74" s="51">
        <f>IF('Assumptions &amp; Results'!$C$116=0,'Debt &amp; Equity'!F4, IF('Debt &amp; Equity'!E7&lt;'Assumptions &amp; Results'!$C$116,'Debt &amp; Equity'!F4,'Debt&amp;EquityMax'!F4))</f>
        <v>40.71264</v>
      </c>
      <c r="H74" s="51">
        <f>IF('Assumptions &amp; Results'!$C$116=0,'Debt &amp; Equity'!G4, IF('Debt &amp; Equity'!F7&lt;'Assumptions &amp; Results'!$C$116,'Debt &amp; Equity'!G4,'Debt&amp;EquityMax'!G4))</f>
        <v>58.907291000000001</v>
      </c>
      <c r="I74" s="51">
        <f>IF('Assumptions &amp; Results'!$C$116=0,'Debt &amp; Equity'!H4, IF('Debt &amp; Equity'!G7&lt;'Assumptions &amp; Results'!$C$116,'Debt &amp; Equity'!H4,'Debt&amp;EquityMax'!H4))</f>
        <v>75.324122000000003</v>
      </c>
      <c r="J74" s="51">
        <f>IF('Assumptions &amp; Results'!$C$116=0,'Debt &amp; Equity'!I4, IF('Debt &amp; Equity'!H7&lt;'Assumptions &amp; Results'!$C$116,'Debt &amp; Equity'!I4,'Debt&amp;EquityMax'!I4))</f>
        <v>66.939497000000003</v>
      </c>
      <c r="K74" s="51">
        <f>IF('Assumptions &amp; Results'!$C$116=0,'Debt &amp; Equity'!J4, IF('Debt &amp; Equity'!I7&lt;'Assumptions &amp; Results'!$C$116,'Debt &amp; Equity'!J4,'Debt&amp;EquityMax'!J4))</f>
        <v>57.548717000000003</v>
      </c>
      <c r="L74" s="51">
        <f>IF('Assumptions &amp; Results'!$C$116=0,'Debt &amp; Equity'!K4, IF('Debt &amp; Equity'!J7&lt;'Assumptions &amp; Results'!$C$116,'Debt &amp; Equity'!K4,'Debt&amp;EquityMax'!K4))</f>
        <v>47.031044000000001</v>
      </c>
      <c r="M74" s="51">
        <f>IF('Assumptions &amp; Results'!$C$116=0,'Debt &amp; Equity'!L4, IF('Debt &amp; Equity'!K7&lt;'Assumptions &amp; Results'!$C$116,'Debt &amp; Equity'!L4,'Debt&amp;EquityMax'!L4))</f>
        <v>35.251249999999999</v>
      </c>
      <c r="N74" s="51">
        <f>IF('Assumptions &amp; Results'!$C$116=0,'Debt &amp; Equity'!M4, IF('Debt &amp; Equity'!L7&lt;'Assumptions &amp; Results'!$C$116,'Debt &amp; Equity'!M4,'Debt&amp;EquityMax'!M4))</f>
        <v>22.057880999999998</v>
      </c>
      <c r="O74" s="51">
        <f>IF('Assumptions &amp; Results'!$C$116=0,'Debt &amp; Equity'!N4, IF('Debt &amp; Equity'!M7&lt;'Assumptions &amp; Results'!$C$116,'Debt &amp; Equity'!N4,'Debt&amp;EquityMax'!N4))</f>
        <v>11.508666</v>
      </c>
      <c r="P74" s="51">
        <f>IF('Assumptions &amp; Results'!$C$116=0,'Debt &amp; Equity'!O4, IF('Debt &amp; Equity'!N7&lt;'Assumptions &amp; Results'!$C$116,'Debt &amp; Equity'!O4,'Debt&amp;EquityMax'!O4))</f>
        <v>4.0054530000000002</v>
      </c>
      <c r="Q74" s="51">
        <f>IF('Assumptions &amp; Results'!$C$116=0,'Debt &amp; Equity'!P4, IF('Debt &amp; Equity'!O7&lt;'Assumptions &amp; Results'!$C$116,'Debt &amp; Equity'!P4,'Debt&amp;EquityMax'!P4))</f>
        <v>0</v>
      </c>
      <c r="R74" s="51">
        <f>IF('Assumptions &amp; Results'!$C$116=0,'Debt &amp; Equity'!Q4, IF('Debt &amp; Equity'!P7&lt;'Assumptions &amp; Results'!$C$116,'Debt &amp; Equity'!Q4,'Debt&amp;EquityMax'!Q4))</f>
        <v>0</v>
      </c>
      <c r="S74" s="51">
        <f>IF('Assumptions &amp; Results'!$C$116=0,'Debt &amp; Equity'!R4, IF('Debt &amp; Equity'!Q7&lt;'Assumptions &amp; Results'!$C$116,'Debt &amp; Equity'!R4,'Debt&amp;EquityMax'!R4))</f>
        <v>0</v>
      </c>
      <c r="T74" s="51">
        <f>IF('Assumptions &amp; Results'!$C$116=0,'Debt &amp; Equity'!S4, IF('Debt &amp; Equity'!R7&lt;'Assumptions &amp; Results'!$C$116,'Debt &amp; Equity'!S4,'Debt&amp;EquityMax'!S4))</f>
        <v>0</v>
      </c>
      <c r="U74" s="51">
        <f>IF('Assumptions &amp; Results'!$C$116=0,'Debt &amp; Equity'!T4, IF('Debt &amp; Equity'!S7&lt;'Assumptions &amp; Results'!$C$116,'Debt &amp; Equity'!T4,'Debt&amp;EquityMax'!T4))</f>
        <v>0</v>
      </c>
      <c r="V74" s="51">
        <f>IF('Assumptions &amp; Results'!$C$116=0,'Debt &amp; Equity'!U4, IF('Debt &amp; Equity'!T7&lt;'Assumptions &amp; Results'!$C$116,'Debt &amp; Equity'!U4,'Debt&amp;EquityMax'!U4))</f>
        <v>0</v>
      </c>
      <c r="W74" s="51">
        <f>IF('Assumptions &amp; Results'!$C$116=0,'Debt &amp; Equity'!V4, IF('Debt &amp; Equity'!U7&lt;'Assumptions &amp; Results'!$C$116,'Debt &amp; Equity'!V4,'Debt&amp;EquityMax'!V4))</f>
        <v>0</v>
      </c>
      <c r="X74" s="51">
        <f>IF('Assumptions &amp; Results'!$C$116=0,'Debt &amp; Equity'!W4, IF('Debt &amp; Equity'!V7&lt;'Assumptions &amp; Results'!$C$116,'Debt &amp; Equity'!W4,'Debt&amp;EquityMax'!W4))</f>
        <v>0</v>
      </c>
      <c r="Y74" s="51">
        <f>IF('Assumptions &amp; Results'!$C$116=0,'Debt &amp; Equity'!X4, IF('Debt &amp; Equity'!W7&lt;'Assumptions &amp; Results'!$C$116,'Debt &amp; Equity'!X4,'Debt&amp;EquityMax'!X4))</f>
        <v>0</v>
      </c>
      <c r="Z74" s="51">
        <f>IF('Assumptions &amp; Results'!$C$116=0,'Debt &amp; Equity'!Y4, IF('Debt &amp; Equity'!X7&lt;'Assumptions &amp; Results'!$C$116,'Debt &amp; Equity'!Y4,'Debt&amp;EquityMax'!Y4))</f>
        <v>0</v>
      </c>
      <c r="AA74" s="51">
        <f>IF('Assumptions &amp; Results'!$C$116=0,'Debt &amp; Equity'!Z4, IF('Debt &amp; Equity'!Y7&lt;'Assumptions &amp; Results'!$C$116,'Debt &amp; Equity'!Z4,'Debt&amp;EquityMax'!Z4))</f>
        <v>0</v>
      </c>
      <c r="AB74" s="51">
        <f>IF('Assumptions &amp; Results'!$C$116=0,'Debt &amp; Equity'!AA4, IF('Debt &amp; Equity'!Z7&lt;'Assumptions &amp; Results'!$C$116,'Debt &amp; Equity'!AA4,'Debt&amp;EquityMax'!AA4))</f>
        <v>0</v>
      </c>
      <c r="AC74" s="51">
        <f>IF('Assumptions &amp; Results'!$C$116=0,'Debt &amp; Equity'!AB4, IF('Debt &amp; Equity'!AA7&lt;'Assumptions &amp; Results'!$C$116,'Debt &amp; Equity'!AB4,'Debt&amp;EquityMax'!AB4))</f>
        <v>0</v>
      </c>
      <c r="AD74" s="51">
        <f>IF('Assumptions &amp; Results'!$C$116=0,'Debt &amp; Equity'!AC4, IF('Debt &amp; Equity'!AB7&lt;'Assumptions &amp; Results'!$C$116,'Debt &amp; Equity'!AC4,'Debt&amp;EquityMax'!AC4))</f>
        <v>0</v>
      </c>
      <c r="AE74" s="51">
        <f>IF('Assumptions &amp; Results'!$C$116=0,'Debt &amp; Equity'!AD4, IF('Debt &amp; Equity'!AC7&lt;'Assumptions &amp; Results'!$C$116,'Debt &amp; Equity'!AD4,'Debt&amp;EquityMax'!AD4))</f>
        <v>0</v>
      </c>
      <c r="AF74" s="51">
        <f>IF('Assumptions &amp; Results'!$C$116=0,'Debt &amp; Equity'!AE4, IF('Debt &amp; Equity'!AD7&lt;'Assumptions &amp; Results'!$C$116,'Debt &amp; Equity'!AE4,'Debt&amp;EquityMax'!AE4))</f>
        <v>0</v>
      </c>
      <c r="AG74" s="51">
        <f>IF('Assumptions &amp; Results'!$C$116=0,'Debt &amp; Equity'!AF4, IF('Debt &amp; Equity'!AE7&lt;'Assumptions &amp; Results'!$C$116,'Debt &amp; Equity'!AF4,'Debt&amp;EquityMax'!AF4))</f>
        <v>0</v>
      </c>
      <c r="AH74" s="51">
        <f>IF('Assumptions &amp; Results'!$C$116=0,'Debt &amp; Equity'!AG4, IF('Debt &amp; Equity'!AF7&lt;'Assumptions &amp; Results'!$C$116,'Debt &amp; Equity'!AG4,'Debt&amp;EquityMax'!AG4))</f>
        <v>0</v>
      </c>
      <c r="AI74" s="51">
        <f>IF('Assumptions &amp; Results'!$C$116=0,'Debt &amp; Equity'!AH4, IF('Debt &amp; Equity'!AG7&lt;'Assumptions &amp; Results'!$C$116,'Debt &amp; Equity'!AH4,'Debt&amp;EquityMax'!AH4))</f>
        <v>0</v>
      </c>
      <c r="AJ74" s="51">
        <f>IF('Assumptions &amp; Results'!$C$116=0,'Debt &amp; Equity'!AI4, IF('Debt &amp; Equity'!AH7&lt;'Assumptions &amp; Results'!$C$116,'Debt &amp; Equity'!AI4,'Debt&amp;EquityMax'!AI4))</f>
        <v>0</v>
      </c>
      <c r="AK74" s="51">
        <f>IF('Assumptions &amp; Results'!$C$116=0,'Debt &amp; Equity'!AJ4, IF('Debt &amp; Equity'!AI7&lt;'Assumptions &amp; Results'!$C$116,'Debt &amp; Equity'!AJ4,'Debt&amp;EquityMax'!AJ4))</f>
        <v>0</v>
      </c>
      <c r="AL74" s="51">
        <f>IF('Assumptions &amp; Results'!$C$116=0,'Debt &amp; Equity'!AK4, IF('Debt &amp; Equity'!AJ7&lt;'Assumptions &amp; Results'!$C$116,'Debt &amp; Equity'!AK4,'Debt&amp;EquityMax'!AK4))</f>
        <v>0</v>
      </c>
      <c r="AM74" s="51">
        <f>IF('Assumptions &amp; Results'!$C$116=0,'Debt &amp; Equity'!AL4, IF('Debt &amp; Equity'!AK7&lt;'Assumptions &amp; Results'!$C$116,'Debt &amp; Equity'!AL4,'Debt&amp;EquityMax'!AL4))</f>
        <v>0</v>
      </c>
      <c r="AN74" s="51">
        <f>IF('Assumptions &amp; Results'!$C$116=0,'Debt &amp; Equity'!AM4, IF('Debt &amp; Equity'!AL7&lt;'Assumptions &amp; Results'!$C$116,'Debt &amp; Equity'!AM4,'Debt&amp;EquityMax'!AM4))</f>
        <v>0</v>
      </c>
      <c r="AO74" s="51">
        <f>IF('Assumptions &amp; Results'!$C$116=0,'Debt &amp; Equity'!AN4, IF('Debt &amp; Equity'!AM7&lt;'Assumptions &amp; Results'!$C$116,'Debt &amp; Equity'!AN4,'Debt&amp;EquityMax'!AN4))</f>
        <v>0</v>
      </c>
      <c r="AP74" s="51">
        <f>IF('Assumptions &amp; Results'!$C$116=0,'Debt &amp; Equity'!AO4, IF('Debt &amp; Equity'!AN7&lt;'Assumptions &amp; Results'!$C$116,'Debt &amp; Equity'!AO4,'Debt&amp;EquityMax'!AO4))</f>
        <v>0</v>
      </c>
      <c r="AQ74" s="51">
        <f>IF('Assumptions &amp; Results'!$C$116=0,'Debt &amp; Equity'!AP4, IF('Debt &amp; Equity'!AO7&lt;'Assumptions &amp; Results'!$C$116,'Debt &amp; Equity'!AP4,'Debt&amp;EquityMax'!AP4))</f>
        <v>0</v>
      </c>
      <c r="AR74" s="51">
        <f>IF('Assumptions &amp; Results'!$C$116=0,'Debt &amp; Equity'!AQ4, IF('Debt &amp; Equity'!AP7&lt;'Assumptions &amp; Results'!$C$116,'Debt &amp; Equity'!AQ4,'Debt&amp;EquityMax'!AQ4))</f>
        <v>0</v>
      </c>
      <c r="AS74" s="51">
        <f>IF('Assumptions &amp; Results'!$C$116=0,'Debt &amp; Equity'!AR4, IF('Debt &amp; Equity'!AQ7&lt;'Assumptions &amp; Results'!$C$116,'Debt &amp; Equity'!AR4,'Debt&amp;EquityMax'!AR4))</f>
        <v>0</v>
      </c>
      <c r="AT74" s="51">
        <f>IF('Assumptions &amp; Results'!$C$116=0,'Debt &amp; Equity'!AS4, IF('Debt &amp; Equity'!AR7&lt;'Assumptions &amp; Results'!$C$116,'Debt &amp; Equity'!AS4,'Debt&amp;EquityMax'!AS4))</f>
        <v>0</v>
      </c>
      <c r="AU74" s="51">
        <f>IF('Assumptions &amp; Results'!$C$116=0,'Debt &amp; Equity'!AT4, IF('Debt &amp; Equity'!AS7&lt;'Assumptions &amp; Results'!$C$116,'Debt &amp; Equity'!AT4,'Debt&amp;EquityMax'!AT4))</f>
        <v>0</v>
      </c>
      <c r="AV74" s="51">
        <f>IF('Assumptions &amp; Results'!$C$116=0,'Debt &amp; Equity'!AU4, IF('Debt &amp; Equity'!AT7&lt;'Assumptions &amp; Results'!$C$116,'Debt &amp; Equity'!AU4,'Debt&amp;EquityMax'!AU4))</f>
        <v>0</v>
      </c>
      <c r="AW74" s="51">
        <f>IF('Assumptions &amp; Results'!$C$116=0,'Debt &amp; Equity'!AV4, IF('Debt &amp; Equity'!AU7&lt;'Assumptions &amp; Results'!$C$116,'Debt &amp; Equity'!AV4,'Debt&amp;EquityMax'!AV4))</f>
        <v>0</v>
      </c>
      <c r="AX74" s="51">
        <f>IF('Assumptions &amp; Results'!$C$116=0,'Debt &amp; Equity'!AW4, IF('Debt &amp; Equity'!AV7&lt;'Assumptions &amp; Results'!$C$116,'Debt &amp; Equity'!AW4,'Debt&amp;EquityMax'!AW4))</f>
        <v>0</v>
      </c>
      <c r="AY74" s="51">
        <f>IF('Assumptions &amp; Results'!$C$116=0,'Debt &amp; Equity'!AX4, IF('Debt &amp; Equity'!AW7&lt;'Assumptions &amp; Results'!$C$116,'Debt &amp; Equity'!AX4,'Debt&amp;EquityMax'!AX4))</f>
        <v>0</v>
      </c>
      <c r="AZ74" s="51">
        <f>IF('Assumptions &amp; Results'!$C$116=0,'Debt &amp; Equity'!AY4, IF('Debt &amp; Equity'!AX7&lt;'Assumptions &amp; Results'!$C$116,'Debt &amp; Equity'!AY4,'Debt&amp;EquityMax'!AY4))</f>
        <v>0</v>
      </c>
      <c r="BA74" s="51">
        <f>IF('Assumptions &amp; Results'!$C$116=0,'Debt &amp; Equity'!AZ4, IF('Debt &amp; Equity'!AY7&lt;'Assumptions &amp; Results'!$C$116,'Debt &amp; Equity'!AZ4,'Debt&amp;EquityMax'!AZ4))</f>
        <v>0</v>
      </c>
      <c r="BB74" s="51">
        <f>IF('Assumptions &amp; Results'!$C$116=0,'Debt &amp; Equity'!BA4, IF('Debt &amp; Equity'!AZ7&lt;'Assumptions &amp; Results'!$C$116,'Debt &amp; Equity'!BA4,'Debt&amp;EquityMax'!BA4))</f>
        <v>0</v>
      </c>
      <c r="BC74" s="38"/>
      <c r="BD74" s="38"/>
    </row>
    <row r="75" spans="1:56" x14ac:dyDescent="0.2">
      <c r="A75" s="37"/>
      <c r="B75" s="37"/>
      <c r="C75" s="8"/>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67"/>
      <c r="AK75" s="51"/>
      <c r="AL75" s="51"/>
      <c r="AM75" s="51"/>
      <c r="AN75" s="51"/>
      <c r="AO75" s="51"/>
      <c r="AP75" s="51"/>
      <c r="AQ75" s="51"/>
      <c r="AR75" s="51"/>
      <c r="AS75" s="51"/>
      <c r="AT75" s="51"/>
      <c r="AU75" s="51"/>
      <c r="AV75" s="51"/>
      <c r="AW75" s="51"/>
      <c r="AX75" s="51"/>
      <c r="AY75" s="51"/>
      <c r="AZ75" s="51"/>
      <c r="BA75" s="51"/>
      <c r="BB75" s="51"/>
      <c r="BC75" s="38"/>
      <c r="BD75" s="38"/>
    </row>
    <row r="76" spans="1:56" s="105" customFormat="1" x14ac:dyDescent="0.2">
      <c r="A76" s="100">
        <f t="shared" si="2"/>
        <v>6609.4302365522253</v>
      </c>
      <c r="B76" s="100">
        <f>NPV('Assumptions &amp; Results'!$C$129,Calculations!E76:BB76)</f>
        <v>544.01649506363219</v>
      </c>
      <c r="C76" s="101" t="s">
        <v>87</v>
      </c>
      <c r="D76" s="102" t="s">
        <v>75</v>
      </c>
      <c r="E76" s="103">
        <f>E72-E74-E73</f>
        <v>0</v>
      </c>
      <c r="F76" s="103">
        <f t="shared" ref="F76:BB76" si="16">F72-F74-F73</f>
        <v>-71</v>
      </c>
      <c r="G76" s="103">
        <f t="shared" si="16"/>
        <v>-141.71263999999999</v>
      </c>
      <c r="H76" s="103">
        <f t="shared" si="16"/>
        <v>-211.92729100000003</v>
      </c>
      <c r="I76" s="103">
        <f t="shared" si="16"/>
        <v>-168.71554063244798</v>
      </c>
      <c r="J76" s="103">
        <f t="shared" si="16"/>
        <v>7.0103252772223783</v>
      </c>
      <c r="K76" s="103">
        <f t="shared" si="16"/>
        <v>62.320334302130938</v>
      </c>
      <c r="L76" s="103">
        <f t="shared" si="16"/>
        <v>119.52615663125295</v>
      </c>
      <c r="M76" s="103">
        <f t="shared" si="16"/>
        <v>179.33077593174212</v>
      </c>
      <c r="N76" s="103">
        <f t="shared" si="16"/>
        <v>240.79859755859934</v>
      </c>
      <c r="O76" s="103">
        <f t="shared" si="16"/>
        <v>246.88533690736358</v>
      </c>
      <c r="P76" s="103">
        <f t="shared" si="16"/>
        <v>259.5564299655108</v>
      </c>
      <c r="Q76" s="103">
        <f t="shared" si="16"/>
        <v>268.83312062482105</v>
      </c>
      <c r="R76" s="103">
        <f t="shared" si="16"/>
        <v>274.20978303731744</v>
      </c>
      <c r="S76" s="103">
        <f t="shared" si="16"/>
        <v>279.69397869806375</v>
      </c>
      <c r="T76" s="103">
        <f t="shared" si="16"/>
        <v>285.28785827202512</v>
      </c>
      <c r="U76" s="103">
        <f t="shared" si="16"/>
        <v>290.99361543746562</v>
      </c>
      <c r="V76" s="103">
        <f t="shared" si="16"/>
        <v>296.81348774621495</v>
      </c>
      <c r="W76" s="103">
        <f t="shared" si="16"/>
        <v>302.74975750113924</v>
      </c>
      <c r="X76" s="103">
        <f t="shared" si="16"/>
        <v>308.80475265116206</v>
      </c>
      <c r="Y76" s="103">
        <f t="shared" si="16"/>
        <v>314.98084770418535</v>
      </c>
      <c r="Z76" s="103">
        <f t="shared" si="16"/>
        <v>321.28046465826907</v>
      </c>
      <c r="AA76" s="103">
        <f t="shared" si="16"/>
        <v>327.70607395143435</v>
      </c>
      <c r="AB76" s="103">
        <f t="shared" si="16"/>
        <v>334.26019543046311</v>
      </c>
      <c r="AC76" s="103">
        <f t="shared" si="16"/>
        <v>340.94539933907237</v>
      </c>
      <c r="AD76" s="103">
        <f t="shared" si="16"/>
        <v>347.76430732585391</v>
      </c>
      <c r="AE76" s="103">
        <f t="shared" si="16"/>
        <v>354.71959347237095</v>
      </c>
      <c r="AF76" s="103">
        <f t="shared" si="16"/>
        <v>361.81398534181824</v>
      </c>
      <c r="AG76" s="103">
        <f t="shared" si="16"/>
        <v>369.05026504865475</v>
      </c>
      <c r="AH76" s="103">
        <f t="shared" si="16"/>
        <v>376.43127034962777</v>
      </c>
      <c r="AI76" s="103">
        <f t="shared" si="16"/>
        <v>383.95989575662031</v>
      </c>
      <c r="AJ76" s="103">
        <f t="shared" si="16"/>
        <v>-17.417070143139643</v>
      </c>
      <c r="AK76" s="103">
        <f t="shared" si="16"/>
        <v>-14.070233914431592</v>
      </c>
      <c r="AL76" s="103">
        <f t="shared" si="16"/>
        <v>-10.65646096114938</v>
      </c>
      <c r="AM76" s="103">
        <f t="shared" si="16"/>
        <v>-7.1744125488015236</v>
      </c>
      <c r="AN76" s="103">
        <f t="shared" si="16"/>
        <v>-3.62272316820671</v>
      </c>
      <c r="AO76" s="103">
        <f t="shared" si="16"/>
        <v>0</v>
      </c>
      <c r="AP76" s="103">
        <f t="shared" si="16"/>
        <v>0</v>
      </c>
      <c r="AQ76" s="103">
        <f t="shared" si="16"/>
        <v>0</v>
      </c>
      <c r="AR76" s="103">
        <f t="shared" si="16"/>
        <v>0</v>
      </c>
      <c r="AS76" s="103">
        <f t="shared" si="16"/>
        <v>0</v>
      </c>
      <c r="AT76" s="103">
        <f t="shared" si="16"/>
        <v>0</v>
      </c>
      <c r="AU76" s="103">
        <f t="shared" si="16"/>
        <v>0</v>
      </c>
      <c r="AV76" s="103">
        <f t="shared" si="16"/>
        <v>0</v>
      </c>
      <c r="AW76" s="103">
        <f t="shared" si="16"/>
        <v>0</v>
      </c>
      <c r="AX76" s="103">
        <f t="shared" si="16"/>
        <v>0</v>
      </c>
      <c r="AY76" s="103">
        <f t="shared" si="16"/>
        <v>0</v>
      </c>
      <c r="AZ76" s="103">
        <f t="shared" si="16"/>
        <v>0</v>
      </c>
      <c r="BA76" s="103">
        <f t="shared" si="16"/>
        <v>0</v>
      </c>
      <c r="BB76" s="103">
        <f t="shared" si="16"/>
        <v>0</v>
      </c>
      <c r="BC76" s="104"/>
      <c r="BD76" s="104"/>
    </row>
    <row r="77" spans="1:56" x14ac:dyDescent="0.2">
      <c r="A77" s="37"/>
      <c r="B77" s="37"/>
      <c r="C77" s="33" t="s">
        <v>269</v>
      </c>
      <c r="E77" s="51"/>
      <c r="F77" s="51"/>
      <c r="G77" s="51"/>
      <c r="H77" s="51"/>
      <c r="I77" s="176"/>
      <c r="J77" s="176"/>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38"/>
      <c r="BD77" s="38"/>
    </row>
    <row r="78" spans="1:56" x14ac:dyDescent="0.2">
      <c r="A78" s="37"/>
      <c r="B78" s="37"/>
      <c r="C78" s="8" t="s">
        <v>271</v>
      </c>
      <c r="D78" s="36" t="s">
        <v>75</v>
      </c>
      <c r="E78" s="51">
        <v>0</v>
      </c>
      <c r="F78" s="51">
        <f>COUNTIF($F76:F$76,"&lt;0")</f>
        <v>1</v>
      </c>
      <c r="G78" s="51">
        <f>COUNTIF($F76:G$76,"&lt;0")</f>
        <v>2</v>
      </c>
      <c r="H78" s="51">
        <f>COUNTIF($F76:H$76,"&lt;0")</f>
        <v>3</v>
      </c>
      <c r="I78" s="51">
        <f>COUNTIF($F76:I$76,"&lt;0")</f>
        <v>4</v>
      </c>
      <c r="J78" s="51">
        <f>COUNTIF($F76:J$76,"&lt;0")</f>
        <v>4</v>
      </c>
      <c r="K78" s="51">
        <f>COUNTIF($F76:K$76,"&lt;0")</f>
        <v>4</v>
      </c>
      <c r="L78" s="51">
        <f>COUNTIF($F76:L$76,"&lt;0")</f>
        <v>4</v>
      </c>
      <c r="M78" s="51">
        <f>COUNTIF($F76:M$76,"&lt;0")</f>
        <v>4</v>
      </c>
      <c r="N78" s="51">
        <f>COUNTIF($F76:N$76,"&lt;0")</f>
        <v>4</v>
      </c>
      <c r="O78" s="51">
        <f>COUNTIF($F76:O$76,"&lt;0")</f>
        <v>4</v>
      </c>
      <c r="P78" s="51">
        <f>COUNTIF($F76:P$76,"&lt;0")</f>
        <v>4</v>
      </c>
      <c r="Q78" s="51">
        <f>COUNTIF($F76:Q$76,"&lt;0")</f>
        <v>4</v>
      </c>
      <c r="R78" s="51">
        <f>COUNTIF($F76:R$76,"&lt;0")</f>
        <v>4</v>
      </c>
      <c r="S78" s="51">
        <f>COUNTIF($F76:S$76,"&lt;0")</f>
        <v>4</v>
      </c>
      <c r="T78" s="51">
        <f>COUNTIF($F76:T$76,"&lt;0")</f>
        <v>4</v>
      </c>
      <c r="U78" s="51">
        <f>COUNTIF($F76:U$76,"&lt;0")</f>
        <v>4</v>
      </c>
      <c r="V78" s="51">
        <f>COUNTIF($F76:V$76,"&lt;0")</f>
        <v>4</v>
      </c>
      <c r="W78" s="51">
        <f>COUNTIF($F76:W$76,"&lt;0")</f>
        <v>4</v>
      </c>
      <c r="X78" s="51">
        <f>COUNTIF($F76:X$76,"&lt;0")</f>
        <v>4</v>
      </c>
      <c r="Y78" s="51">
        <f>COUNTIF($F76:Y$76,"&lt;0")</f>
        <v>4</v>
      </c>
      <c r="Z78" s="51">
        <f>COUNTIF($F76:Z$76,"&lt;0")</f>
        <v>4</v>
      </c>
      <c r="AA78" s="51">
        <f>COUNTIF($F76:AA$76,"&lt;0")</f>
        <v>4</v>
      </c>
      <c r="AB78" s="51">
        <f>COUNTIF($F76:AB$76,"&lt;0")</f>
        <v>4</v>
      </c>
      <c r="AC78" s="51">
        <f>COUNTIF($F76:AC$76,"&lt;0")</f>
        <v>4</v>
      </c>
      <c r="AD78" s="51">
        <f>COUNTIF($F76:AD$76,"&lt;0")</f>
        <v>4</v>
      </c>
      <c r="AE78" s="51">
        <f>COUNTIF($F76:AE$76,"&lt;0")</f>
        <v>4</v>
      </c>
      <c r="AF78" s="51">
        <f>COUNTIF($F76:AF$76,"&lt;0")</f>
        <v>4</v>
      </c>
      <c r="AG78" s="51">
        <f>COUNTIF($F76:AG$76,"&lt;0")</f>
        <v>4</v>
      </c>
      <c r="AH78" s="51">
        <f>COUNTIF($F76:AH$76,"&lt;0")</f>
        <v>4</v>
      </c>
      <c r="AI78" s="51">
        <f>COUNTIF($F76:AI$76,"&lt;0")</f>
        <v>4</v>
      </c>
      <c r="AJ78" s="51">
        <f>COUNTIF($F76:AJ$76,"&lt;0")</f>
        <v>5</v>
      </c>
      <c r="AK78" s="51">
        <f>COUNTIF($F76:AK$76,"&lt;0")</f>
        <v>6</v>
      </c>
      <c r="AL78" s="51">
        <f>COUNTIF($F76:AL$76,"&lt;0")</f>
        <v>7</v>
      </c>
      <c r="AM78" s="51">
        <f>COUNTIF($F76:AM$76,"&lt;0")</f>
        <v>8</v>
      </c>
      <c r="AN78" s="51">
        <f>COUNTIF($F76:AN$76,"&lt;0")</f>
        <v>9</v>
      </c>
      <c r="AO78" s="51">
        <f>COUNTIF($F76:AO$76,"&lt;0")</f>
        <v>9</v>
      </c>
      <c r="AP78" s="51">
        <f>COUNTIF($F76:AP$76,"&lt;0")</f>
        <v>9</v>
      </c>
      <c r="AQ78" s="51">
        <f>COUNTIF($F76:AQ$76,"&lt;0")</f>
        <v>9</v>
      </c>
      <c r="AR78" s="51">
        <f>COUNTIF($F76:AR$76,"&lt;0")</f>
        <v>9</v>
      </c>
      <c r="AS78" s="51">
        <f>COUNTIF($F76:AS$76,"&lt;0")</f>
        <v>9</v>
      </c>
      <c r="AT78" s="51">
        <f>COUNTIF($F76:AT$76,"&lt;0")</f>
        <v>9</v>
      </c>
      <c r="AU78" s="51">
        <f>COUNTIF($F76:AU$76,"&lt;0")</f>
        <v>9</v>
      </c>
      <c r="AV78" s="51">
        <f>COUNTIF($F76:AV$76,"&lt;0")</f>
        <v>9</v>
      </c>
      <c r="AW78" s="51">
        <f>COUNTIF($F76:AW$76,"&lt;0")</f>
        <v>9</v>
      </c>
      <c r="AX78" s="51">
        <f>COUNTIF($F76:AX$76,"&lt;0")</f>
        <v>9</v>
      </c>
      <c r="AY78" s="51">
        <f>COUNTIF($F76:AY$76,"&lt;0")</f>
        <v>9</v>
      </c>
      <c r="AZ78" s="51">
        <f>COUNTIF($F76:AZ$76,"&lt;0")</f>
        <v>9</v>
      </c>
      <c r="BA78" s="51">
        <f>COUNTIF($F76:BA$76,"&lt;0")</f>
        <v>9</v>
      </c>
      <c r="BB78" s="51">
        <f>COUNTIF($F76:BB$76,"&lt;0")</f>
        <v>9</v>
      </c>
      <c r="BC78" s="38"/>
      <c r="BD78" s="38"/>
    </row>
    <row r="79" spans="1:56" x14ac:dyDescent="0.2">
      <c r="A79" s="37"/>
      <c r="B79" s="37"/>
      <c r="C79" s="8" t="s">
        <v>272</v>
      </c>
      <c r="D79" s="36" t="s">
        <v>75</v>
      </c>
      <c r="E79" s="51">
        <v>0</v>
      </c>
      <c r="F79" s="51">
        <f>IF(F78-E78=1,1+E79,0)</f>
        <v>1</v>
      </c>
      <c r="G79" s="51">
        <f t="shared" ref="G79" si="17">IF(G78-F78=1,1+F79,0)</f>
        <v>2</v>
      </c>
      <c r="H79" s="51">
        <f t="shared" ref="H79" si="18">IF(H78-G78=1,1+G79,0)</f>
        <v>3</v>
      </c>
      <c r="I79" s="51">
        <f t="shared" ref="I79" si="19">IF(I78-H78=1,1+H79,0)</f>
        <v>4</v>
      </c>
      <c r="J79" s="51">
        <f t="shared" ref="J79" si="20">IF(J78-I78=1,1+I79,0)</f>
        <v>0</v>
      </c>
      <c r="K79" s="51">
        <f t="shared" ref="K79" si="21">IF(K78-J78=1,1+J79,0)</f>
        <v>0</v>
      </c>
      <c r="L79" s="51">
        <f t="shared" ref="L79" si="22">IF(L78-K78=1,1+K79,0)</f>
        <v>0</v>
      </c>
      <c r="M79" s="51">
        <f t="shared" ref="M79" si="23">IF(M78-L78=1,1+L79,0)</f>
        <v>0</v>
      </c>
      <c r="N79" s="51">
        <f t="shared" ref="N79" si="24">IF(N78-M78=1,1+M79,0)</f>
        <v>0</v>
      </c>
      <c r="O79" s="51">
        <f t="shared" ref="O79" si="25">IF(O78-N78=1,1+N79,0)</f>
        <v>0</v>
      </c>
      <c r="P79" s="51">
        <f t="shared" ref="P79" si="26">IF(P78-O78=1,1+O79,0)</f>
        <v>0</v>
      </c>
      <c r="Q79" s="51">
        <f t="shared" ref="Q79" si="27">IF(Q78-P78=1,1+P79,0)</f>
        <v>0</v>
      </c>
      <c r="R79" s="51">
        <f t="shared" ref="R79" si="28">IF(R78-Q78=1,1+Q79,0)</f>
        <v>0</v>
      </c>
      <c r="S79" s="51">
        <f t="shared" ref="S79" si="29">IF(S78-R78=1,1+R79,0)</f>
        <v>0</v>
      </c>
      <c r="T79" s="51">
        <f>IF(T78-S78=1,1+S79,0)</f>
        <v>0</v>
      </c>
      <c r="U79" s="51">
        <f>IF(U78-T78=1,1+T79,0)</f>
        <v>0</v>
      </c>
      <c r="V79" s="51">
        <f t="shared" ref="V79" si="30">IF(V78-U78=1,1+U79,0)</f>
        <v>0</v>
      </c>
      <c r="W79" s="51">
        <f t="shared" ref="W79" si="31">IF(W78-V78=1,1+V79,0)</f>
        <v>0</v>
      </c>
      <c r="X79" s="51">
        <f t="shared" ref="X79" si="32">IF(X78-W78=1,1+W79,0)</f>
        <v>0</v>
      </c>
      <c r="Y79" s="51">
        <f t="shared" ref="Y79" si="33">IF(Y78-X78=1,1+X79,0)</f>
        <v>0</v>
      </c>
      <c r="Z79" s="51">
        <f t="shared" ref="Z79" si="34">IF(Z78-Y78=1,1+Y79,0)</f>
        <v>0</v>
      </c>
      <c r="AA79" s="51">
        <f t="shared" ref="AA79" si="35">IF(AA78-Z78=1,1+Z79,0)</f>
        <v>0</v>
      </c>
      <c r="AB79" s="51">
        <f t="shared" ref="AB79" si="36">IF(AB78-AA78=1,1+AA79,0)</f>
        <v>0</v>
      </c>
      <c r="AC79" s="51">
        <f t="shared" ref="AC79" si="37">IF(AC78-AB78=1,1+AB79,0)</f>
        <v>0</v>
      </c>
      <c r="AD79" s="51">
        <f t="shared" ref="AD79" si="38">IF(AD78-AC78=1,1+AC79,0)</f>
        <v>0</v>
      </c>
      <c r="AE79" s="51">
        <f t="shared" ref="AE79" si="39">IF(AE78-AD78=1,1+AD79,0)</f>
        <v>0</v>
      </c>
      <c r="AF79" s="51">
        <f t="shared" ref="AF79" si="40">IF(AF78-AE78=1,1+AE79,0)</f>
        <v>0</v>
      </c>
      <c r="AG79" s="51">
        <f t="shared" ref="AG79" si="41">IF(AG78-AF78=1,1+AF79,0)</f>
        <v>0</v>
      </c>
      <c r="AH79" s="51">
        <f t="shared" ref="AH79" si="42">IF(AH78-AG78=1,1+AG79,0)</f>
        <v>0</v>
      </c>
      <c r="AI79" s="51">
        <f>IF(AI78-AH78=1,1+AH79,0)</f>
        <v>0</v>
      </c>
      <c r="AJ79" s="51">
        <f>IF(AJ78-AI78=1,1+AI79,0)</f>
        <v>1</v>
      </c>
      <c r="AK79" s="51">
        <f>IF(AK78-AJ78=1,1+AJ79,0)</f>
        <v>2</v>
      </c>
      <c r="AL79" s="51">
        <f t="shared" ref="AL79" si="43">IF(AL78-AK78=1,1+AK79,0)</f>
        <v>3</v>
      </c>
      <c r="AM79" s="51">
        <f t="shared" ref="AM79" si="44">IF(AM78-AL78=1,1+AL79,0)</f>
        <v>4</v>
      </c>
      <c r="AN79" s="51">
        <f t="shared" ref="AN79" si="45">IF(AN78-AM78=1,1+AM79,0)</f>
        <v>5</v>
      </c>
      <c r="AO79" s="51">
        <f t="shared" ref="AO79" si="46">IF(AO78-AN78=1,1+AN79,0)</f>
        <v>0</v>
      </c>
      <c r="AP79" s="51">
        <f t="shared" ref="AP79" si="47">IF(AP78-AO78=1,1+AO79,0)</f>
        <v>0</v>
      </c>
      <c r="AQ79" s="51">
        <f t="shared" ref="AQ79" si="48">IF(AQ78-AP78=1,1+AP79,0)</f>
        <v>0</v>
      </c>
      <c r="AR79" s="51">
        <f t="shared" ref="AR79" si="49">IF(AR78-AQ78=1,1+AQ79,0)</f>
        <v>0</v>
      </c>
      <c r="AS79" s="51">
        <f t="shared" ref="AS79" si="50">IF(AS78-AR78=1,1+AR79,0)</f>
        <v>0</v>
      </c>
      <c r="AT79" s="51">
        <f t="shared" ref="AT79" si="51">IF(AT78-AS78=1,1+AS79,0)</f>
        <v>0</v>
      </c>
      <c r="AU79" s="51">
        <f t="shared" ref="AU79" si="52">IF(AU78-AT78=1,1+AT79,0)</f>
        <v>0</v>
      </c>
      <c r="AV79" s="51">
        <f t="shared" ref="AV79" si="53">IF(AV78-AU78=1,1+AU79,0)</f>
        <v>0</v>
      </c>
      <c r="AW79" s="51">
        <f t="shared" ref="AW79" si="54">IF(AW78-AV78=1,1+AV79,0)</f>
        <v>0</v>
      </c>
      <c r="AX79" s="51">
        <f t="shared" ref="AX79" si="55">IF(AX78-AW78=1,1+AW79,0)</f>
        <v>0</v>
      </c>
      <c r="AY79" s="51">
        <f t="shared" ref="AY79" si="56">IF(AY78-AX78=1,1+AX79,0)</f>
        <v>0</v>
      </c>
      <c r="AZ79" s="51">
        <f t="shared" ref="AZ79" si="57">IF(AZ78-AY78=1,1+AY79,0)</f>
        <v>0</v>
      </c>
      <c r="BA79" s="51">
        <f t="shared" ref="BA79" si="58">IF(BA78-AZ78=1,1+AZ79,0)</f>
        <v>0</v>
      </c>
      <c r="BB79" s="51">
        <f t="shared" ref="BB79" si="59">IF(BB78-BA78=1,1+BA79,0)</f>
        <v>0</v>
      </c>
      <c r="BC79" s="38"/>
      <c r="BD79" s="38"/>
    </row>
    <row r="80" spans="1:56" x14ac:dyDescent="0.2">
      <c r="A80" s="37">
        <f t="shared" ref="A80:A144" ca="1" si="60">SUM(E80:BB80)</f>
        <v>0</v>
      </c>
      <c r="B80" s="37">
        <f ca="1">NPV('Assumptions &amp; Results'!$C$129,Calculations!E80:BB80)</f>
        <v>0</v>
      </c>
      <c r="C80" s="8" t="s">
        <v>274</v>
      </c>
      <c r="D80" s="36" t="s">
        <v>75</v>
      </c>
      <c r="E80" s="51">
        <f ca="1">IF(E79&lt;'Assumptions &amp; Results'!$C$113,0,'Assumptions &amp; Results'!$C$111*OFFSET(E6,0,('Assumptions &amp; Results'!$C$112-'Assumptions &amp; Results'!$C$113)))</f>
        <v>0</v>
      </c>
      <c r="F80" s="51">
        <f ca="1">IF(F79&lt;'Assumptions &amp; Results'!$C$113,0,'Assumptions &amp; Results'!$C$111*OFFSET(F6,0,('Assumptions &amp; Results'!$C$112-'Assumptions &amp; Results'!$C$113)))</f>
        <v>0</v>
      </c>
      <c r="G80" s="51">
        <f ca="1">IF(G79&lt;'Assumptions &amp; Results'!$C$113,0,'Assumptions &amp; Results'!$C$111*OFFSET(G6,0,('Assumptions &amp; Results'!$C$112-'Assumptions &amp; Results'!$C$113)))</f>
        <v>0</v>
      </c>
      <c r="H80" s="51">
        <f ca="1">IF(H79&lt;'Assumptions &amp; Results'!$C$113,0,'Assumptions &amp; Results'!$C$111*OFFSET(H6,0,('Assumptions &amp; Results'!$C$112-'Assumptions &amp; Results'!$C$113)))</f>
        <v>0</v>
      </c>
      <c r="I80" s="51">
        <f ca="1">IF(I79&lt;'Assumptions &amp; Results'!$C$113,0,'Assumptions &amp; Results'!$C$111*OFFSET(I6,0,('Assumptions &amp; Results'!$C$112-'Assumptions &amp; Results'!$C$113)))</f>
        <v>0</v>
      </c>
      <c r="J80" s="51">
        <f ca="1">IF(J79&lt;'Assumptions &amp; Results'!$C$113,0,'Assumptions &amp; Results'!$C$111*OFFSET(J6,0,('Assumptions &amp; Results'!$C$112-'Assumptions &amp; Results'!$C$113)))</f>
        <v>0</v>
      </c>
      <c r="K80" s="51">
        <f ca="1">IF(K79&lt;'Assumptions &amp; Results'!$C$113,0,'Assumptions &amp; Results'!$C$111*OFFSET(K6,0,('Assumptions &amp; Results'!$C$112-'Assumptions &amp; Results'!$C$113)))</f>
        <v>0</v>
      </c>
      <c r="L80" s="51">
        <f ca="1">IF(L79&lt;'Assumptions &amp; Results'!$C$113,0,'Assumptions &amp; Results'!$C$111*OFFSET(L6,0,('Assumptions &amp; Results'!$C$112-'Assumptions &amp; Results'!$C$113)))</f>
        <v>0</v>
      </c>
      <c r="M80" s="51">
        <f ca="1">IF(M79&lt;'Assumptions &amp; Results'!$C$113,0,'Assumptions &amp; Results'!$C$111*OFFSET(M6,0,('Assumptions &amp; Results'!$C$112-'Assumptions &amp; Results'!$C$113)))</f>
        <v>0</v>
      </c>
      <c r="N80" s="51">
        <f ca="1">IF(N79&lt;'Assumptions &amp; Results'!$C$113,0,'Assumptions &amp; Results'!$C$111*OFFSET(N6,0,('Assumptions &amp; Results'!$C$112-'Assumptions &amp; Results'!$C$113)))</f>
        <v>0</v>
      </c>
      <c r="O80" s="51">
        <f ca="1">IF(O79&lt;'Assumptions &amp; Results'!$C$113,0,'Assumptions &amp; Results'!$C$111*OFFSET(O6,0,('Assumptions &amp; Results'!$C$112-'Assumptions &amp; Results'!$C$113)))</f>
        <v>0</v>
      </c>
      <c r="P80" s="51">
        <f ca="1">IF(P79&lt;'Assumptions &amp; Results'!$C$113,0,'Assumptions &amp; Results'!$C$111*OFFSET(P6,0,('Assumptions &amp; Results'!$C$112-'Assumptions &amp; Results'!$C$113)))</f>
        <v>0</v>
      </c>
      <c r="Q80" s="51">
        <f ca="1">IF(Q79&lt;'Assumptions &amp; Results'!$C$113,0,'Assumptions &amp; Results'!$C$111*OFFSET(Q6,0,('Assumptions &amp; Results'!$C$112-'Assumptions &amp; Results'!$C$113)))</f>
        <v>0</v>
      </c>
      <c r="R80" s="51">
        <f ca="1">IF(R79&lt;'Assumptions &amp; Results'!$C$113,0,'Assumptions &amp; Results'!$C$111*OFFSET(R6,0,('Assumptions &amp; Results'!$C$112-'Assumptions &amp; Results'!$C$113)))</f>
        <v>0</v>
      </c>
      <c r="S80" s="51">
        <f ca="1">IF(S79&lt;'Assumptions &amp; Results'!$C$113,0,'Assumptions &amp; Results'!$C$111*OFFSET(S6,0,('Assumptions &amp; Results'!$C$112-'Assumptions &amp; Results'!$C$113)))</f>
        <v>0</v>
      </c>
      <c r="T80" s="51">
        <f ca="1">IF(T79&lt;'Assumptions &amp; Results'!$C$113,0,'Assumptions &amp; Results'!$C$111*OFFSET(T6,0,('Assumptions &amp; Results'!$C$112-'Assumptions &amp; Results'!$C$113)))</f>
        <v>0</v>
      </c>
      <c r="U80" s="51">
        <f ca="1">IF(U79&lt;'Assumptions &amp; Results'!$C$113,0,'Assumptions &amp; Results'!$C$111*OFFSET(U6,0,('Assumptions &amp; Results'!$C$112-'Assumptions &amp; Results'!$C$113)))</f>
        <v>0</v>
      </c>
      <c r="V80" s="51">
        <f ca="1">IF(V79&lt;'Assumptions &amp; Results'!$C$113,0,'Assumptions &amp; Results'!$C$111*OFFSET(V6,0,('Assumptions &amp; Results'!$C$112-'Assumptions &amp; Results'!$C$113)))</f>
        <v>0</v>
      </c>
      <c r="W80" s="51">
        <f ca="1">IF(W79&lt;'Assumptions &amp; Results'!$C$113,0,'Assumptions &amp; Results'!$C$111*OFFSET(W6,0,('Assumptions &amp; Results'!$C$112-'Assumptions &amp; Results'!$C$113)))</f>
        <v>0</v>
      </c>
      <c r="X80" s="51">
        <f ca="1">IF(X79&lt;'Assumptions &amp; Results'!$C$113,0,'Assumptions &amp; Results'!$C$111*OFFSET(X6,0,('Assumptions &amp; Results'!$C$112-'Assumptions &amp; Results'!$C$113)))</f>
        <v>0</v>
      </c>
      <c r="Y80" s="51">
        <f ca="1">IF(Y79&lt;'Assumptions &amp; Results'!$C$113,0,'Assumptions &amp; Results'!$C$111*OFFSET(Y6,0,('Assumptions &amp; Results'!$C$112-'Assumptions &amp; Results'!$C$113)))</f>
        <v>0</v>
      </c>
      <c r="Z80" s="51">
        <f ca="1">IF(Z79&lt;'Assumptions &amp; Results'!$C$113,0,'Assumptions &amp; Results'!$C$111*OFFSET(Z6,0,('Assumptions &amp; Results'!$C$112-'Assumptions &amp; Results'!$C$113)))</f>
        <v>0</v>
      </c>
      <c r="AA80" s="51">
        <f ca="1">IF(AA79&lt;'Assumptions &amp; Results'!$C$113,0,'Assumptions &amp; Results'!$C$111*OFFSET(AA6,0,('Assumptions &amp; Results'!$C$112-'Assumptions &amp; Results'!$C$113)))</f>
        <v>0</v>
      </c>
      <c r="AB80" s="51">
        <f ca="1">IF(AB79&lt;'Assumptions &amp; Results'!$C$113,0,'Assumptions &amp; Results'!$C$111*OFFSET(AB6,0,('Assumptions &amp; Results'!$C$112-'Assumptions &amp; Results'!$C$113)))</f>
        <v>0</v>
      </c>
      <c r="AC80" s="51">
        <f ca="1">IF(AC79&lt;'Assumptions &amp; Results'!$C$113,0,'Assumptions &amp; Results'!$C$111*OFFSET(AC6,0,('Assumptions &amp; Results'!$C$112-'Assumptions &amp; Results'!$C$113)))</f>
        <v>0</v>
      </c>
      <c r="AD80" s="51">
        <f ca="1">IF(AD79&lt;'Assumptions &amp; Results'!$C$113,0,'Assumptions &amp; Results'!$C$111*OFFSET(AD6,0,('Assumptions &amp; Results'!$C$112-'Assumptions &amp; Results'!$C$113)))</f>
        <v>0</v>
      </c>
      <c r="AE80" s="51">
        <f ca="1">IF(AE79&lt;'Assumptions &amp; Results'!$C$113,0,'Assumptions &amp; Results'!$C$111*OFFSET(AE6,0,('Assumptions &amp; Results'!$C$112-'Assumptions &amp; Results'!$C$113)))</f>
        <v>0</v>
      </c>
      <c r="AF80" s="51">
        <f ca="1">IF(AF79&lt;'Assumptions &amp; Results'!$C$113,0,'Assumptions &amp; Results'!$C$111*OFFSET(AF6,0,('Assumptions &amp; Results'!$C$112-'Assumptions &amp; Results'!$C$113)))</f>
        <v>0</v>
      </c>
      <c r="AG80" s="51">
        <f ca="1">IF(AG79&lt;'Assumptions &amp; Results'!$C$113,0,'Assumptions &amp; Results'!$C$111*OFFSET(AG6,0,('Assumptions &amp; Results'!$C$112-'Assumptions &amp; Results'!$C$113)))</f>
        <v>0</v>
      </c>
      <c r="AH80" s="51">
        <f ca="1">IF(AH79&lt;'Assumptions &amp; Results'!$C$113,0,'Assumptions &amp; Results'!$C$111*OFFSET(AH6,0,('Assumptions &amp; Results'!$C$112-'Assumptions &amp; Results'!$C$113)))</f>
        <v>0</v>
      </c>
      <c r="AI80" s="51">
        <f ca="1">IF(AI79&lt;'Assumptions &amp; Results'!$C$113,0,'Assumptions &amp; Results'!$C$111*OFFSET(AI6,0,('Assumptions &amp; Results'!$C$112-'Assumptions &amp; Results'!$C$113)))</f>
        <v>0</v>
      </c>
      <c r="AJ80" s="51">
        <f ca="1">IF(AJ79&lt;'Assumptions &amp; Results'!$C$113,0,'Assumptions &amp; Results'!$C$111*OFFSET(AJ6,0,('Assumptions &amp; Results'!$C$112-'Assumptions &amp; Results'!$C$113)))</f>
        <v>0</v>
      </c>
      <c r="AK80" s="51">
        <f ca="1">IF(AK79&lt;'Assumptions &amp; Results'!$C$113,0,'Assumptions &amp; Results'!$C$111*OFFSET(AK6,0,('Assumptions &amp; Results'!$C$112-'Assumptions &amp; Results'!$C$113)))</f>
        <v>0</v>
      </c>
      <c r="AL80" s="51">
        <f ca="1">IF(AL79&lt;'Assumptions &amp; Results'!$C$113,0,'Assumptions &amp; Results'!$C$111*OFFSET(AL6,0,('Assumptions &amp; Results'!$C$112-'Assumptions &amp; Results'!$C$113)))</f>
        <v>0</v>
      </c>
      <c r="AM80" s="51">
        <f ca="1">IF(AM79&lt;'Assumptions &amp; Results'!$C$113,0,'Assumptions &amp; Results'!$C$111*OFFSET(AM6,0,('Assumptions &amp; Results'!$C$112-'Assumptions &amp; Results'!$C$113)))</f>
        <v>0</v>
      </c>
      <c r="AN80" s="51">
        <f ca="1">IF(AN79&lt;'Assumptions &amp; Results'!$C$113,0,'Assumptions &amp; Results'!$C$111*OFFSET(AN6,0,('Assumptions &amp; Results'!$C$112-'Assumptions &amp; Results'!$C$113)))</f>
        <v>0</v>
      </c>
      <c r="AO80" s="51">
        <f ca="1">IF(AO79&lt;'Assumptions &amp; Results'!$C$113,0,'Assumptions &amp; Results'!$C$111*OFFSET(AO6,0,('Assumptions &amp; Results'!$C$112-'Assumptions &amp; Results'!$C$113)))</f>
        <v>0</v>
      </c>
      <c r="AP80" s="51">
        <f ca="1">IF(AP79&lt;'Assumptions &amp; Results'!$C$113,0,'Assumptions &amp; Results'!$C$111*OFFSET(AP6,0,('Assumptions &amp; Results'!$C$112-'Assumptions &amp; Results'!$C$113)))</f>
        <v>0</v>
      </c>
      <c r="AQ80" s="51">
        <f ca="1">IF(AQ79&lt;'Assumptions &amp; Results'!$C$113,0,'Assumptions &amp; Results'!$C$111*OFFSET(AQ6,0,('Assumptions &amp; Results'!$C$112-'Assumptions &amp; Results'!$C$113)))</f>
        <v>0</v>
      </c>
      <c r="AR80" s="51">
        <f ca="1">IF(AR79&lt;'Assumptions &amp; Results'!$C$113,0,'Assumptions &amp; Results'!$C$111*OFFSET(AR6,0,('Assumptions &amp; Results'!$C$112-'Assumptions &amp; Results'!$C$113)))</f>
        <v>0</v>
      </c>
      <c r="AS80" s="51">
        <f ca="1">IF(AS79&lt;'Assumptions &amp; Results'!$C$113,0,'Assumptions &amp; Results'!$C$111*OFFSET(AS6,0,('Assumptions &amp; Results'!$C$112-'Assumptions &amp; Results'!$C$113)))</f>
        <v>0</v>
      </c>
      <c r="AT80" s="51">
        <f ca="1">IF(AT79&lt;'Assumptions &amp; Results'!$C$113,0,'Assumptions &amp; Results'!$C$111*OFFSET(AT6,0,('Assumptions &amp; Results'!$C$112-'Assumptions &amp; Results'!$C$113)))</f>
        <v>0</v>
      </c>
      <c r="AU80" s="51">
        <f ca="1">IF(AU79&lt;'Assumptions &amp; Results'!$C$113,0,'Assumptions &amp; Results'!$C$111*OFFSET(AU6,0,('Assumptions &amp; Results'!$C$112-'Assumptions &amp; Results'!$C$113)))</f>
        <v>0</v>
      </c>
      <c r="AV80" s="51">
        <f ca="1">IF(AV79&lt;'Assumptions &amp; Results'!$C$113,0,'Assumptions &amp; Results'!$C$111*OFFSET(AV6,0,('Assumptions &amp; Results'!$C$112-'Assumptions &amp; Results'!$C$113)))</f>
        <v>0</v>
      </c>
      <c r="AW80" s="51">
        <f ca="1">IF(AW79&lt;'Assumptions &amp; Results'!$C$113,0,'Assumptions &amp; Results'!$C$111*OFFSET(AW6,0,('Assumptions &amp; Results'!$C$112-'Assumptions &amp; Results'!$C$113)))</f>
        <v>0</v>
      </c>
      <c r="AX80" s="51">
        <f ca="1">IF(AX79&lt;'Assumptions &amp; Results'!$C$113,0,'Assumptions &amp; Results'!$C$111*OFFSET(AX6,0,('Assumptions &amp; Results'!$C$112-'Assumptions &amp; Results'!$C$113)))</f>
        <v>0</v>
      </c>
      <c r="AY80" s="51">
        <f ca="1">IF(AY79&lt;'Assumptions &amp; Results'!$C$113,0,'Assumptions &amp; Results'!$C$111*OFFSET(AY6,0,('Assumptions &amp; Results'!$C$112-'Assumptions &amp; Results'!$C$113)))</f>
        <v>0</v>
      </c>
      <c r="AZ80" s="51">
        <f ca="1">IF(AZ79&lt;'Assumptions &amp; Results'!$C$113,0,'Assumptions &amp; Results'!$C$111*OFFSET(AZ6,0,('Assumptions &amp; Results'!$C$112-'Assumptions &amp; Results'!$C$113)))</f>
        <v>0</v>
      </c>
      <c r="BA80" s="51">
        <f ca="1">IF(BA79&lt;'Assumptions &amp; Results'!$C$113,0,'Assumptions &amp; Results'!$C$111*OFFSET(BA6,0,('Assumptions &amp; Results'!$C$112-'Assumptions &amp; Results'!$C$113)))</f>
        <v>0</v>
      </c>
      <c r="BB80" s="51">
        <f ca="1">IF(BB79&lt;'Assumptions &amp; Results'!$C$113,0,'Assumptions &amp; Results'!$C$111*OFFSET(BB6,0,('Assumptions &amp; Results'!$C$112-'Assumptions &amp; Results'!$C$113)))</f>
        <v>0</v>
      </c>
      <c r="BC80" s="38"/>
      <c r="BD80" s="38"/>
    </row>
    <row r="81" spans="1:56" x14ac:dyDescent="0.2">
      <c r="A81" s="37">
        <f t="shared" ca="1" si="60"/>
        <v>6609.4302365522253</v>
      </c>
      <c r="B81" s="37">
        <f ca="1">NPV('Assumptions &amp; Results'!$C$129,Calculations!E81:BB81)</f>
        <v>544.01649506363219</v>
      </c>
      <c r="C81" s="180" t="s">
        <v>398</v>
      </c>
      <c r="E81" s="51">
        <f ca="1">E76-E80</f>
        <v>0</v>
      </c>
      <c r="F81" s="51">
        <f t="shared" ref="F81:BB81" ca="1" si="61">F76-F80</f>
        <v>-71</v>
      </c>
      <c r="G81" s="51">
        <f t="shared" ca="1" si="61"/>
        <v>-141.71263999999999</v>
      </c>
      <c r="H81" s="51">
        <f t="shared" ca="1" si="61"/>
        <v>-211.92729100000003</v>
      </c>
      <c r="I81" s="51">
        <f t="shared" ca="1" si="61"/>
        <v>-168.71554063244798</v>
      </c>
      <c r="J81" s="51">
        <f t="shared" ca="1" si="61"/>
        <v>7.0103252772223783</v>
      </c>
      <c r="K81" s="51">
        <f t="shared" ca="1" si="61"/>
        <v>62.320334302130938</v>
      </c>
      <c r="L81" s="51">
        <f t="shared" ca="1" si="61"/>
        <v>119.52615663125295</v>
      </c>
      <c r="M81" s="51">
        <f t="shared" ca="1" si="61"/>
        <v>179.33077593174212</v>
      </c>
      <c r="N81" s="51">
        <f t="shared" ca="1" si="61"/>
        <v>240.79859755859934</v>
      </c>
      <c r="O81" s="51">
        <f t="shared" ca="1" si="61"/>
        <v>246.88533690736358</v>
      </c>
      <c r="P81" s="51">
        <f t="shared" ca="1" si="61"/>
        <v>259.5564299655108</v>
      </c>
      <c r="Q81" s="51">
        <f t="shared" ca="1" si="61"/>
        <v>268.83312062482105</v>
      </c>
      <c r="R81" s="51">
        <f t="shared" ca="1" si="61"/>
        <v>274.20978303731744</v>
      </c>
      <c r="S81" s="51">
        <f t="shared" ca="1" si="61"/>
        <v>279.69397869806375</v>
      </c>
      <c r="T81" s="51">
        <f t="shared" ca="1" si="61"/>
        <v>285.28785827202512</v>
      </c>
      <c r="U81" s="51">
        <f t="shared" ca="1" si="61"/>
        <v>290.99361543746562</v>
      </c>
      <c r="V81" s="51">
        <f t="shared" ca="1" si="61"/>
        <v>296.81348774621495</v>
      </c>
      <c r="W81" s="51">
        <f t="shared" ca="1" si="61"/>
        <v>302.74975750113924</v>
      </c>
      <c r="X81" s="51">
        <f t="shared" ca="1" si="61"/>
        <v>308.80475265116206</v>
      </c>
      <c r="Y81" s="51">
        <f t="shared" ca="1" si="61"/>
        <v>314.98084770418535</v>
      </c>
      <c r="Z81" s="51">
        <f t="shared" ca="1" si="61"/>
        <v>321.28046465826907</v>
      </c>
      <c r="AA81" s="51">
        <f t="shared" ca="1" si="61"/>
        <v>327.70607395143435</v>
      </c>
      <c r="AB81" s="51">
        <f t="shared" ca="1" si="61"/>
        <v>334.26019543046311</v>
      </c>
      <c r="AC81" s="51">
        <f t="shared" ca="1" si="61"/>
        <v>340.94539933907237</v>
      </c>
      <c r="AD81" s="51">
        <f t="shared" ca="1" si="61"/>
        <v>347.76430732585391</v>
      </c>
      <c r="AE81" s="51">
        <f t="shared" ca="1" si="61"/>
        <v>354.71959347237095</v>
      </c>
      <c r="AF81" s="51">
        <f t="shared" ca="1" si="61"/>
        <v>361.81398534181824</v>
      </c>
      <c r="AG81" s="51">
        <f t="shared" ca="1" si="61"/>
        <v>369.05026504865475</v>
      </c>
      <c r="AH81" s="51">
        <f t="shared" ca="1" si="61"/>
        <v>376.43127034962777</v>
      </c>
      <c r="AI81" s="51">
        <f t="shared" ca="1" si="61"/>
        <v>383.95989575662031</v>
      </c>
      <c r="AJ81" s="51">
        <f t="shared" ca="1" si="61"/>
        <v>-17.417070143139643</v>
      </c>
      <c r="AK81" s="51">
        <f t="shared" ca="1" si="61"/>
        <v>-14.070233914431592</v>
      </c>
      <c r="AL81" s="51">
        <f t="shared" ca="1" si="61"/>
        <v>-10.65646096114938</v>
      </c>
      <c r="AM81" s="51">
        <f t="shared" ca="1" si="61"/>
        <v>-7.1744125488015236</v>
      </c>
      <c r="AN81" s="51">
        <f t="shared" ca="1" si="61"/>
        <v>-3.62272316820671</v>
      </c>
      <c r="AO81" s="51">
        <f t="shared" ca="1" si="61"/>
        <v>0</v>
      </c>
      <c r="AP81" s="51">
        <f t="shared" ca="1" si="61"/>
        <v>0</v>
      </c>
      <c r="AQ81" s="51">
        <f t="shared" ca="1" si="61"/>
        <v>0</v>
      </c>
      <c r="AR81" s="51">
        <f t="shared" ca="1" si="61"/>
        <v>0</v>
      </c>
      <c r="AS81" s="51">
        <f t="shared" ca="1" si="61"/>
        <v>0</v>
      </c>
      <c r="AT81" s="51">
        <f t="shared" ca="1" si="61"/>
        <v>0</v>
      </c>
      <c r="AU81" s="51">
        <f t="shared" ca="1" si="61"/>
        <v>0</v>
      </c>
      <c r="AV81" s="51">
        <f t="shared" ca="1" si="61"/>
        <v>0</v>
      </c>
      <c r="AW81" s="51">
        <f t="shared" ca="1" si="61"/>
        <v>0</v>
      </c>
      <c r="AX81" s="51">
        <f t="shared" ca="1" si="61"/>
        <v>0</v>
      </c>
      <c r="AY81" s="51">
        <f t="shared" ca="1" si="61"/>
        <v>0</v>
      </c>
      <c r="AZ81" s="51">
        <f t="shared" ca="1" si="61"/>
        <v>0</v>
      </c>
      <c r="BA81" s="51">
        <f t="shared" ca="1" si="61"/>
        <v>0</v>
      </c>
      <c r="BB81" s="51">
        <f t="shared" ca="1" si="61"/>
        <v>0</v>
      </c>
      <c r="BC81" s="38"/>
      <c r="BD81" s="38"/>
    </row>
    <row r="82" spans="1:56" x14ac:dyDescent="0.2">
      <c r="A82" s="37"/>
      <c r="B82" s="37"/>
      <c r="C82" s="180"/>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38"/>
      <c r="BD82" s="38"/>
    </row>
    <row r="83" spans="1:56" x14ac:dyDescent="0.2">
      <c r="A83" s="37"/>
      <c r="B83" s="37"/>
      <c r="C83" s="33" t="s">
        <v>277</v>
      </c>
      <c r="E83" s="178"/>
      <c r="F83" s="178"/>
      <c r="G83" s="178"/>
      <c r="H83" s="178"/>
      <c r="I83" s="178"/>
      <c r="J83" s="178"/>
      <c r="K83" s="178"/>
      <c r="L83" s="178"/>
      <c r="M83" s="178"/>
      <c r="N83" s="178"/>
      <c r="O83" s="178"/>
      <c r="P83" s="178"/>
      <c r="Q83" s="178"/>
      <c r="R83" s="178"/>
      <c r="S83" s="178"/>
      <c r="T83" s="178"/>
      <c r="U83" s="178"/>
      <c r="V83" s="178"/>
      <c r="W83" s="178"/>
      <c r="X83" s="178"/>
      <c r="Y83" s="178"/>
      <c r="Z83" s="178"/>
      <c r="AA83" s="178"/>
      <c r="AB83" s="178"/>
      <c r="AC83" s="178"/>
      <c r="AD83" s="178"/>
      <c r="AE83" s="178"/>
      <c r="AF83" s="178"/>
      <c r="AG83" s="178"/>
      <c r="AH83" s="178"/>
      <c r="AI83" s="178"/>
      <c r="AJ83" s="178"/>
      <c r="AK83" s="178"/>
      <c r="AL83" s="178"/>
      <c r="AM83" s="178"/>
      <c r="AN83" s="178"/>
      <c r="AO83" s="178"/>
      <c r="AP83" s="178"/>
      <c r="AQ83" s="178"/>
      <c r="AR83" s="178"/>
      <c r="AS83" s="178"/>
      <c r="AT83" s="178"/>
      <c r="AU83" s="178"/>
      <c r="AV83" s="178"/>
      <c r="AW83" s="178"/>
      <c r="AX83" s="178"/>
      <c r="AY83" s="178"/>
      <c r="AZ83" s="178"/>
      <c r="BA83" s="178"/>
      <c r="BB83" s="178"/>
      <c r="BC83" s="38"/>
      <c r="BD83" s="38"/>
    </row>
    <row r="84" spans="1:56" x14ac:dyDescent="0.2">
      <c r="A84" s="37"/>
      <c r="B84" s="37"/>
      <c r="C84" s="66" t="s">
        <v>370</v>
      </c>
      <c r="D84" s="36" t="s">
        <v>134</v>
      </c>
      <c r="E84" s="68">
        <f>IF('Assumptions &amp; Results'!$C$109=0,E1,E1-'Assumptions &amp; Results'!$C$109-1)</f>
        <v>2009</v>
      </c>
      <c r="F84" s="68">
        <f>IF('Assumptions &amp; Results'!$C$109=0,F1,F1-'Assumptions &amp; Results'!$C$109-1)</f>
        <v>2010</v>
      </c>
      <c r="G84" s="68">
        <f>IF('Assumptions &amp; Results'!$C$109=0,G1,G1-'Assumptions &amp; Results'!$C$109-1)</f>
        <v>2011</v>
      </c>
      <c r="H84" s="68">
        <f>IF('Assumptions &amp; Results'!$C$109=0,H1,H1-'Assumptions &amp; Results'!$C$109-1)</f>
        <v>2012</v>
      </c>
      <c r="I84" s="68">
        <f>IF('Assumptions &amp; Results'!$C$109=0,I1,I1-'Assumptions &amp; Results'!$C$109-1)</f>
        <v>2013</v>
      </c>
      <c r="J84" s="68">
        <f>IF('Assumptions &amp; Results'!$C$109=0,J1,J1-'Assumptions &amp; Results'!$C$109-1)</f>
        <v>2014</v>
      </c>
      <c r="K84" s="68">
        <f>IF('Assumptions &amp; Results'!$C$109=0,K1,K1-'Assumptions &amp; Results'!$C$109-1)</f>
        <v>2015</v>
      </c>
      <c r="L84" s="68">
        <f>IF('Assumptions &amp; Results'!$C$109=0,L1,L1-'Assumptions &amp; Results'!$C$109-1)</f>
        <v>2016</v>
      </c>
      <c r="M84" s="68">
        <f>IF('Assumptions &amp; Results'!$C$109=0,M1,M1-'Assumptions &amp; Results'!$C$109-1)</f>
        <v>2017</v>
      </c>
      <c r="N84" s="68">
        <f>IF('Assumptions &amp; Results'!$C$109=0,N1,N1-'Assumptions &amp; Results'!$C$109-1)</f>
        <v>2018</v>
      </c>
      <c r="O84" s="68">
        <f>IF('Assumptions &amp; Results'!$C$109=0,O1,O1-'Assumptions &amp; Results'!$C$109-1)</f>
        <v>2019</v>
      </c>
      <c r="P84" s="68">
        <f>IF('Assumptions &amp; Results'!$C$109=0,P1,P1-'Assumptions &amp; Results'!$C$109-1)</f>
        <v>2020</v>
      </c>
      <c r="Q84" s="68">
        <f>IF('Assumptions &amp; Results'!$C$109=0,Q1,Q1-'Assumptions &amp; Results'!$C$109-1)</f>
        <v>2021</v>
      </c>
      <c r="R84" s="68">
        <f>IF('Assumptions &amp; Results'!$C$109=0,R1,R1-'Assumptions &amp; Results'!$C$109-1)</f>
        <v>2022</v>
      </c>
      <c r="S84" s="68">
        <f>IF('Assumptions &amp; Results'!$C$109=0,S1,S1-'Assumptions &amp; Results'!$C$109-1)</f>
        <v>2023</v>
      </c>
      <c r="T84" s="68">
        <f>IF('Assumptions &amp; Results'!$C$109=0,T1,T1-'Assumptions &amp; Results'!$C$109-1)</f>
        <v>2024</v>
      </c>
      <c r="U84" s="68">
        <f>IF('Assumptions &amp; Results'!$C$109=0,U1,U1-'Assumptions &amp; Results'!$C$109-1)</f>
        <v>2025</v>
      </c>
      <c r="V84" s="68">
        <f>IF('Assumptions &amp; Results'!$C$109=0,V1,V1-'Assumptions &amp; Results'!$C$109-1)</f>
        <v>2026</v>
      </c>
      <c r="W84" s="68">
        <f>IF('Assumptions &amp; Results'!$C$109=0,W1,W1-'Assumptions &amp; Results'!$C$109-1)</f>
        <v>2027</v>
      </c>
      <c r="X84" s="68">
        <f>IF('Assumptions &amp; Results'!$C$109=0,X1,X1-'Assumptions &amp; Results'!$C$109-1)</f>
        <v>2028</v>
      </c>
      <c r="Y84" s="68">
        <f>IF('Assumptions &amp; Results'!$C$109=0,Y1,Y1-'Assumptions &amp; Results'!$C$109-1)</f>
        <v>2029</v>
      </c>
      <c r="Z84" s="68">
        <f>IF('Assumptions &amp; Results'!$C$109=0,Z1,Z1-'Assumptions &amp; Results'!$C$109-1)</f>
        <v>2030</v>
      </c>
      <c r="AA84" s="68">
        <f>IF('Assumptions &amp; Results'!$C$109=0,AA1,AA1-'Assumptions &amp; Results'!$C$109-1)</f>
        <v>2031</v>
      </c>
      <c r="AB84" s="68">
        <f>IF('Assumptions &amp; Results'!$C$109=0,AB1,AB1-'Assumptions &amp; Results'!$C$109-1)</f>
        <v>2032</v>
      </c>
      <c r="AC84" s="68">
        <f>IF('Assumptions &amp; Results'!$C$109=0,AC1,AC1-'Assumptions &amp; Results'!$C$109-1)</f>
        <v>2033</v>
      </c>
      <c r="AD84" s="68">
        <f>IF('Assumptions &amp; Results'!$C$109=0,AD1,AD1-'Assumptions &amp; Results'!$C$109-1)</f>
        <v>2034</v>
      </c>
      <c r="AE84" s="68">
        <f>IF('Assumptions &amp; Results'!$C$109=0,AE1,AE1-'Assumptions &amp; Results'!$C$109-1)</f>
        <v>2035</v>
      </c>
      <c r="AF84" s="68">
        <f>IF('Assumptions &amp; Results'!$C$109=0,AF1,AF1-'Assumptions &amp; Results'!$C$109-1)</f>
        <v>2036</v>
      </c>
      <c r="AG84" s="68">
        <f>IF('Assumptions &amp; Results'!$C$109=0,AG1,AG1-'Assumptions &amp; Results'!$C$109-1)</f>
        <v>2037</v>
      </c>
      <c r="AH84" s="68">
        <f>IF('Assumptions &amp; Results'!$C$109=0,AH1,AH1-'Assumptions &amp; Results'!$C$109-1)</f>
        <v>2038</v>
      </c>
      <c r="AI84" s="68">
        <f>IF('Assumptions &amp; Results'!$C$109=0,AI1,AI1-'Assumptions &amp; Results'!$C$109-1)</f>
        <v>2039</v>
      </c>
      <c r="AJ84" s="68">
        <f>IF('Assumptions &amp; Results'!$C$109=0,AJ1,AJ1-'Assumptions &amp; Results'!$C$109-1)</f>
        <v>2040</v>
      </c>
      <c r="AK84" s="68">
        <f>IF('Assumptions &amp; Results'!$C$109=0,AK1,AK1-'Assumptions &amp; Results'!$C$109-1)</f>
        <v>2041</v>
      </c>
      <c r="AL84" s="68">
        <f>IF('Assumptions &amp; Results'!$C$109=0,AL1,AL1-'Assumptions &amp; Results'!$C$109-1)</f>
        <v>2042</v>
      </c>
      <c r="AM84" s="68">
        <f>IF('Assumptions &amp; Results'!$C$109=0,AM1,AM1-'Assumptions &amp; Results'!$C$109-1)</f>
        <v>2043</v>
      </c>
      <c r="AN84" s="68">
        <f>IF('Assumptions &amp; Results'!$C$109=0,AN1,AN1-'Assumptions &amp; Results'!$C$109-1)</f>
        <v>2044</v>
      </c>
      <c r="AO84" s="68">
        <f>IF('Assumptions &amp; Results'!$C$109=0,AO1,AO1-'Assumptions &amp; Results'!$C$109-1)</f>
        <v>2045</v>
      </c>
      <c r="AP84" s="68">
        <f>IF('Assumptions &amp; Results'!$C$109=0,AP1,AP1-'Assumptions &amp; Results'!$C$109-1)</f>
        <v>2046</v>
      </c>
      <c r="AQ84" s="68">
        <f>IF('Assumptions &amp; Results'!$C$109=0,AQ1,AQ1-'Assumptions &amp; Results'!$C$109-1)</f>
        <v>2047</v>
      </c>
      <c r="AR84" s="68">
        <f>IF('Assumptions &amp; Results'!$C$109=0,AR1,AR1-'Assumptions &amp; Results'!$C$109-1)</f>
        <v>2048</v>
      </c>
      <c r="AS84" s="68">
        <f>IF('Assumptions &amp; Results'!$C$109=0,AS1,AS1-'Assumptions &amp; Results'!$C$109-1)</f>
        <v>2049</v>
      </c>
      <c r="AT84" s="68">
        <f>IF('Assumptions &amp; Results'!$C$109=0,AT1,AT1-'Assumptions &amp; Results'!$C$109-1)</f>
        <v>2050</v>
      </c>
      <c r="AU84" s="68">
        <f>IF('Assumptions &amp; Results'!$C$109=0,AU1,AU1-'Assumptions &amp; Results'!$C$109-1)</f>
        <v>2051</v>
      </c>
      <c r="AV84" s="68">
        <f>IF('Assumptions &amp; Results'!$C$109=0,AV1,AV1-'Assumptions &amp; Results'!$C$109-1)</f>
        <v>2052</v>
      </c>
      <c r="AW84" s="68">
        <f>IF('Assumptions &amp; Results'!$C$109=0,AW1,AW1-'Assumptions &amp; Results'!$C$109-1)</f>
        <v>2053</v>
      </c>
      <c r="AX84" s="68">
        <f>IF('Assumptions &amp; Results'!$C$109=0,AX1,AX1-'Assumptions &amp; Results'!$C$109-1)</f>
        <v>2054</v>
      </c>
      <c r="AY84" s="68">
        <f>IF('Assumptions &amp; Results'!$C$109=0,AY1,AY1-'Assumptions &amp; Results'!$C$109-1)</f>
        <v>2055</v>
      </c>
      <c r="AZ84" s="68">
        <f>IF('Assumptions &amp; Results'!$C$109=0,AZ1,AZ1-'Assumptions &amp; Results'!$C$109-1)</f>
        <v>2056</v>
      </c>
      <c r="BA84" s="68">
        <f>IF('Assumptions &amp; Results'!$C$109=0,BA1,BA1-'Assumptions &amp; Results'!$C$109-1)</f>
        <v>2057</v>
      </c>
      <c r="BB84" s="68">
        <f>IF('Assumptions &amp; Results'!$C$109=0,BB1,BB1-'Assumptions &amp; Results'!$C$109-1)</f>
        <v>2058</v>
      </c>
      <c r="BC84" s="38"/>
      <c r="BD84" s="38"/>
    </row>
    <row r="85" spans="1:56" x14ac:dyDescent="0.2">
      <c r="A85" s="37"/>
      <c r="B85" s="37"/>
      <c r="C85" s="66" t="s">
        <v>254</v>
      </c>
      <c r="D85" s="36" t="s">
        <v>75</v>
      </c>
      <c r="E85" s="51">
        <f>-MIN(0,IFERROR(INDEX($E$81:E$81,1,MATCH(E84,$E$1:$BB$1,0)),0))</f>
        <v>0</v>
      </c>
      <c r="F85" s="51">
        <f>-MIN(0,IFERROR(INDEX($E$81:F$81,1,MATCH(F84,$E$1:$BB$1,0)),0))</f>
        <v>0</v>
      </c>
      <c r="G85" s="51">
        <f>-MIN(0,IFERROR(INDEX($E$81:G$81,1,MATCH(G84,$E$1:$BB$1,0)),0))</f>
        <v>0</v>
      </c>
      <c r="H85" s="51">
        <f>-MIN(0,IFERROR(INDEX($E$81:H$81,1,MATCH(H84,$E$1:$BB$1,0)),0))</f>
        <v>0</v>
      </c>
      <c r="I85" s="51">
        <f>-MIN(0,IFERROR(INDEX($E$81:I$81,1,MATCH(I84,$E$1:$BB$1,0)),0))</f>
        <v>0</v>
      </c>
      <c r="J85" s="51">
        <f>-MIN(0,IFERROR(INDEX($E$81:J$81,1,MATCH(J84,$E$1:$BB$1,0)),0))</f>
        <v>0</v>
      </c>
      <c r="K85" s="51">
        <f ca="1">-MIN(0,IFERROR(INDEX($E$81:K$81,1,MATCH(K84,$E$1:$BB$1,0)),0))</f>
        <v>0</v>
      </c>
      <c r="L85" s="51">
        <f ca="1">-MIN(0,IFERROR(INDEX($E$81:L$81,1,MATCH(L84,$E$1:$BB$1,0)),0))</f>
        <v>71</v>
      </c>
      <c r="M85" s="51">
        <f ca="1">-MIN(0,IFERROR(INDEX($E$81:M$81,1,MATCH(M84,$E$1:$BB$1,0)),0))</f>
        <v>141.71263999999999</v>
      </c>
      <c r="N85" s="51">
        <f ca="1">-MIN(0,IFERROR(INDEX($E$81:N$81,1,MATCH(N84,$E$1:$BB$1,0)),0))</f>
        <v>211.92729100000003</v>
      </c>
      <c r="O85" s="51">
        <f ca="1">-MIN(0,IFERROR(INDEX($E$81:O$81,1,MATCH(O84,$E$1:$BB$1,0)),0))</f>
        <v>168.71554063244798</v>
      </c>
      <c r="P85" s="51">
        <f ca="1">-MIN(0,IFERROR(INDEX($E$81:P$81,1,MATCH(P84,$E$1:$BB$1,0)),0))</f>
        <v>0</v>
      </c>
      <c r="Q85" s="51">
        <f ca="1">-MIN(0,IFERROR(INDEX($E$81:Q$81,1,MATCH(Q84,$E$1:$BB$1,0)),0))</f>
        <v>0</v>
      </c>
      <c r="R85" s="51">
        <f ca="1">-MIN(0,IFERROR(INDEX($E$81:R$81,1,MATCH(R84,$E$1:$BB$1,0)),0))</f>
        <v>0</v>
      </c>
      <c r="S85" s="51">
        <f ca="1">-MIN(0,IFERROR(INDEX($E$81:S$81,1,MATCH(S84,$E$1:$BB$1,0)),0))</f>
        <v>0</v>
      </c>
      <c r="T85" s="51">
        <f ca="1">-MIN(0,IFERROR(INDEX($E$81:T$81,1,MATCH(T84,$E$1:$BB$1,0)),0))</f>
        <v>0</v>
      </c>
      <c r="U85" s="51">
        <f ca="1">-MIN(0,IFERROR(INDEX($E$81:U$81,1,MATCH(U84,$E$1:$BB$1,0)),0))</f>
        <v>0</v>
      </c>
      <c r="V85" s="51">
        <f ca="1">-MIN(0,IFERROR(INDEX($E$81:V$81,1,MATCH(V84,$E$1:$BB$1,0)),0))</f>
        <v>0</v>
      </c>
      <c r="W85" s="51">
        <f ca="1">-MIN(0,IFERROR(INDEX($E$81:W$81,1,MATCH(W84,$E$1:$BB$1,0)),0))</f>
        <v>0</v>
      </c>
      <c r="X85" s="51">
        <f ca="1">-MIN(0,IFERROR(INDEX($E$81:X$81,1,MATCH(X84,$E$1:$BB$1,0)),0))</f>
        <v>0</v>
      </c>
      <c r="Y85" s="51">
        <f ca="1">-MIN(0,IFERROR(INDEX($E$81:Y$81,1,MATCH(Y84,$E$1:$BB$1,0)),0))</f>
        <v>0</v>
      </c>
      <c r="Z85" s="51">
        <f ca="1">-MIN(0,IFERROR(INDEX($E$81:Z$81,1,MATCH(Z84,$E$1:$BB$1,0)),0))</f>
        <v>0</v>
      </c>
      <c r="AA85" s="51">
        <f ca="1">-MIN(0,IFERROR(INDEX($E$81:AA$81,1,MATCH(AA84,$E$1:$BB$1,0)),0))</f>
        <v>0</v>
      </c>
      <c r="AB85" s="51">
        <f ca="1">-MIN(0,IFERROR(INDEX($E$81:AB$81,1,MATCH(AB84,$E$1:$BB$1,0)),0))</f>
        <v>0</v>
      </c>
      <c r="AC85" s="51">
        <f ca="1">-MIN(0,IFERROR(INDEX($E$81:AC$81,1,MATCH(AC84,$E$1:$BB$1,0)),0))</f>
        <v>0</v>
      </c>
      <c r="AD85" s="51">
        <f ca="1">-MIN(0,IFERROR(INDEX($E$81:AD$81,1,MATCH(AD84,$E$1:$BB$1,0)),0))</f>
        <v>0</v>
      </c>
      <c r="AE85" s="51">
        <f ca="1">-MIN(0,IFERROR(INDEX($E$81:AE$81,1,MATCH(AE84,$E$1:$BB$1,0)),0))</f>
        <v>0</v>
      </c>
      <c r="AF85" s="51">
        <f ca="1">-MIN(0,IFERROR(INDEX($E$81:AF$81,1,MATCH(AF84,$E$1:$BB$1,0)),0))</f>
        <v>0</v>
      </c>
      <c r="AG85" s="51">
        <f ca="1">-MIN(0,IFERROR(INDEX($E$81:AG$81,1,MATCH(AG84,$E$1:$BB$1,0)),0))</f>
        <v>0</v>
      </c>
      <c r="AH85" s="51">
        <f ca="1">-MIN(0,IFERROR(INDEX($E$81:AH$81,1,MATCH(AH84,$E$1:$BB$1,0)),0))</f>
        <v>0</v>
      </c>
      <c r="AI85" s="51">
        <f ca="1">-MIN(0,IFERROR(INDEX($E$81:AI$81,1,MATCH(AI84,$E$1:$BB$1,0)),0))</f>
        <v>0</v>
      </c>
      <c r="AJ85" s="51">
        <f ca="1">-MIN(0,IFERROR(INDEX($E$81:AJ$81,1,MATCH(AJ84,$E$1:$BB$1,0)),0))</f>
        <v>0</v>
      </c>
      <c r="AK85" s="51">
        <f ca="1">-MIN(0,IFERROR(INDEX($E$81:AK$81,1,MATCH(AK84,$E$1:$BB$1,0)),0))</f>
        <v>0</v>
      </c>
      <c r="AL85" s="51">
        <f ca="1">-MIN(0,IFERROR(INDEX($E$81:AL$81,1,MATCH(AL84,$E$1:$BB$1,0)),0))</f>
        <v>0</v>
      </c>
      <c r="AM85" s="51">
        <f ca="1">-MIN(0,IFERROR(INDEX($E$81:AM$81,1,MATCH(AM84,$E$1:$BB$1,0)),0))</f>
        <v>0</v>
      </c>
      <c r="AN85" s="51">
        <f ca="1">-MIN(0,IFERROR(INDEX($E$81:AN$81,1,MATCH(AN84,$E$1:$BB$1,0)),0))</f>
        <v>0</v>
      </c>
      <c r="AO85" s="51">
        <f ca="1">-MIN(0,IFERROR(INDEX($E$81:AO$81,1,MATCH(AO84,$E$1:$BB$1,0)),0))</f>
        <v>0</v>
      </c>
      <c r="AP85" s="51">
        <f ca="1">-MIN(0,IFERROR(INDEX($E$81:AP$81,1,MATCH(AP84,$E$1:$BB$1,0)),0))</f>
        <v>17.417070143139643</v>
      </c>
      <c r="AQ85" s="51">
        <f ca="1">-MIN(0,IFERROR(INDEX($E$81:AQ$81,1,MATCH(AQ84,$E$1:$BB$1,0)),0))</f>
        <v>14.070233914431592</v>
      </c>
      <c r="AR85" s="51">
        <f ca="1">-MIN(0,IFERROR(INDEX($E$81:AR$81,1,MATCH(AR84,$E$1:$BB$1,0)),0))</f>
        <v>10.65646096114938</v>
      </c>
      <c r="AS85" s="51">
        <f ca="1">-MIN(0,IFERROR(INDEX($E$81:AS$81,1,MATCH(AS84,$E$1:$BB$1,0)),0))</f>
        <v>7.1744125488015236</v>
      </c>
      <c r="AT85" s="51">
        <f ca="1">-MIN(0,IFERROR(INDEX($E$81:AT$81,1,MATCH(AT84,$E$1:$BB$1,0)),0))</f>
        <v>3.62272316820671</v>
      </c>
      <c r="AU85" s="51">
        <f ca="1">-MIN(0,IFERROR(INDEX($E$81:AU$81,1,MATCH(AU84,$E$1:$BB$1,0)),0))</f>
        <v>0</v>
      </c>
      <c r="AV85" s="51">
        <f ca="1">-MIN(0,IFERROR(INDEX($E$81:AV$81,1,MATCH(AV84,$E$1:$BB$1,0)),0))</f>
        <v>0</v>
      </c>
      <c r="AW85" s="51">
        <f ca="1">-MIN(0,IFERROR(INDEX($E$81:AW$81,1,MATCH(AW84,$E$1:$BB$1,0)),0))</f>
        <v>0</v>
      </c>
      <c r="AX85" s="51">
        <f ca="1">-MIN(0,IFERROR(INDEX($E$81:AX$81,1,MATCH(AX84,$E$1:$BB$1,0)),0))</f>
        <v>0</v>
      </c>
      <c r="AY85" s="51">
        <f ca="1">-MIN(0,IFERROR(INDEX($E$81:AY$81,1,MATCH(AY84,$E$1:$BB$1,0)),0))</f>
        <v>0</v>
      </c>
      <c r="AZ85" s="51">
        <f ca="1">-MIN(0,IFERROR(INDEX($E$81:AZ$81,1,MATCH(AZ84,$E$1:$BB$1,0)),0))</f>
        <v>0</v>
      </c>
      <c r="BA85" s="51">
        <f ca="1">-MIN(0,IFERROR(INDEX($E$81:BA$81,1,MATCH(BA84,$E$1:$BB$1,0)),0))</f>
        <v>0</v>
      </c>
      <c r="BB85" s="51">
        <f ca="1">-MIN(0,IFERROR(INDEX($E$81:BB$81,1,MATCH(BB84,$E$1:$BB$1,0)),0))</f>
        <v>0</v>
      </c>
      <c r="BC85" s="38"/>
      <c r="BD85" s="38"/>
    </row>
    <row r="86" spans="1:56" x14ac:dyDescent="0.2">
      <c r="A86" s="37"/>
      <c r="B86" s="37"/>
      <c r="C86" s="66" t="s">
        <v>258</v>
      </c>
      <c r="D86" s="36" t="s">
        <v>75</v>
      </c>
      <c r="E86" s="51"/>
      <c r="F86" s="51">
        <f ca="1">E90</f>
        <v>0</v>
      </c>
      <c r="G86" s="51">
        <f t="shared" ref="G86:H86" ca="1" si="62">F90</f>
        <v>71</v>
      </c>
      <c r="H86" s="51">
        <f t="shared" ca="1" si="62"/>
        <v>212.71263999999999</v>
      </c>
      <c r="I86" s="51">
        <f t="shared" ref="I86:K86" ca="1" si="63">H90</f>
        <v>424.63993100000005</v>
      </c>
      <c r="J86" s="51">
        <f t="shared" ca="1" si="63"/>
        <v>593.35547163244803</v>
      </c>
      <c r="K86" s="51">
        <f t="shared" ca="1" si="63"/>
        <v>586.34514635522567</v>
      </c>
      <c r="L86" s="51">
        <f t="shared" ref="L86:BB86" ca="1" si="64">K90</f>
        <v>524.02481205309471</v>
      </c>
      <c r="M86" s="51">
        <f t="shared" ca="1" si="64"/>
        <v>333.49865542184176</v>
      </c>
      <c r="N86" s="51">
        <f t="shared" ca="1" si="64"/>
        <v>12.455239490099643</v>
      </c>
      <c r="O86" s="51">
        <f t="shared" ca="1" si="64"/>
        <v>0</v>
      </c>
      <c r="P86" s="51">
        <f t="shared" ca="1" si="64"/>
        <v>0</v>
      </c>
      <c r="Q86" s="51">
        <f t="shared" ca="1" si="64"/>
        <v>0</v>
      </c>
      <c r="R86" s="51">
        <f t="shared" ca="1" si="64"/>
        <v>0</v>
      </c>
      <c r="S86" s="51">
        <f t="shared" ca="1" si="64"/>
        <v>0</v>
      </c>
      <c r="T86" s="51">
        <f t="shared" ca="1" si="64"/>
        <v>0</v>
      </c>
      <c r="U86" s="51">
        <f t="shared" ca="1" si="64"/>
        <v>0</v>
      </c>
      <c r="V86" s="51">
        <f t="shared" ca="1" si="64"/>
        <v>0</v>
      </c>
      <c r="W86" s="51">
        <f t="shared" ca="1" si="64"/>
        <v>0</v>
      </c>
      <c r="X86" s="51">
        <f t="shared" ca="1" si="64"/>
        <v>0</v>
      </c>
      <c r="Y86" s="51">
        <f t="shared" ca="1" si="64"/>
        <v>0</v>
      </c>
      <c r="Z86" s="51">
        <f t="shared" ca="1" si="64"/>
        <v>0</v>
      </c>
      <c r="AA86" s="51">
        <f t="shared" ca="1" si="64"/>
        <v>0</v>
      </c>
      <c r="AB86" s="51">
        <f t="shared" ca="1" si="64"/>
        <v>0</v>
      </c>
      <c r="AC86" s="51">
        <f t="shared" ca="1" si="64"/>
        <v>0</v>
      </c>
      <c r="AD86" s="51">
        <f t="shared" ca="1" si="64"/>
        <v>0</v>
      </c>
      <c r="AE86" s="51">
        <f t="shared" ca="1" si="64"/>
        <v>0</v>
      </c>
      <c r="AF86" s="51">
        <f t="shared" ca="1" si="64"/>
        <v>0</v>
      </c>
      <c r="AG86" s="51">
        <f t="shared" ca="1" si="64"/>
        <v>0</v>
      </c>
      <c r="AH86" s="51">
        <f t="shared" ca="1" si="64"/>
        <v>0</v>
      </c>
      <c r="AI86" s="51">
        <f t="shared" ca="1" si="64"/>
        <v>0</v>
      </c>
      <c r="AJ86" s="51">
        <f t="shared" ca="1" si="64"/>
        <v>0</v>
      </c>
      <c r="AK86" s="51">
        <f t="shared" ca="1" si="64"/>
        <v>17.417070143139643</v>
      </c>
      <c r="AL86" s="51">
        <f t="shared" ca="1" si="64"/>
        <v>31.487304057571237</v>
      </c>
      <c r="AM86" s="51">
        <f t="shared" ca="1" si="64"/>
        <v>42.143765018720615</v>
      </c>
      <c r="AN86" s="51">
        <f t="shared" ca="1" si="64"/>
        <v>49.318177567522142</v>
      </c>
      <c r="AO86" s="51">
        <f t="shared" ca="1" si="64"/>
        <v>52.940900735728853</v>
      </c>
      <c r="AP86" s="51">
        <f t="shared" ca="1" si="64"/>
        <v>52.940900735728853</v>
      </c>
      <c r="AQ86" s="51">
        <f t="shared" ca="1" si="64"/>
        <v>35.523830592589206</v>
      </c>
      <c r="AR86" s="51">
        <f t="shared" ca="1" si="64"/>
        <v>21.453596678157616</v>
      </c>
      <c r="AS86" s="51">
        <f t="shared" ca="1" si="64"/>
        <v>10.797135717008237</v>
      </c>
      <c r="AT86" s="51">
        <f t="shared" ca="1" si="64"/>
        <v>3.6227231682067131</v>
      </c>
      <c r="AU86" s="51">
        <f t="shared" ca="1" si="64"/>
        <v>3.1086244689504383E-15</v>
      </c>
      <c r="AV86" s="51">
        <f t="shared" ca="1" si="64"/>
        <v>3.1086244689504383E-15</v>
      </c>
      <c r="AW86" s="51">
        <f t="shared" ca="1" si="64"/>
        <v>3.1086244689504383E-15</v>
      </c>
      <c r="AX86" s="51">
        <f t="shared" ca="1" si="64"/>
        <v>3.1086244689504383E-15</v>
      </c>
      <c r="AY86" s="51">
        <f t="shared" ca="1" si="64"/>
        <v>3.1086244689504383E-15</v>
      </c>
      <c r="AZ86" s="51">
        <f t="shared" ca="1" si="64"/>
        <v>3.1086244689504383E-15</v>
      </c>
      <c r="BA86" s="51">
        <f t="shared" ca="1" si="64"/>
        <v>3.1086244689504383E-15</v>
      </c>
      <c r="BB86" s="51">
        <f t="shared" ca="1" si="64"/>
        <v>3.1086244689504383E-15</v>
      </c>
      <c r="BC86" s="38"/>
      <c r="BD86" s="38"/>
    </row>
    <row r="87" spans="1:56" x14ac:dyDescent="0.2">
      <c r="A87" s="37"/>
      <c r="B87" s="37"/>
      <c r="C87" s="66" t="s">
        <v>267</v>
      </c>
      <c r="D87" s="36" t="s">
        <v>75</v>
      </c>
      <c r="E87" s="51">
        <f t="shared" ref="E87" si="65">MIN(0,E76)</f>
        <v>0</v>
      </c>
      <c r="F87" s="51">
        <f ca="1">MIN(0,F81)</f>
        <v>-71</v>
      </c>
      <c r="G87" s="51">
        <f t="shared" ref="G87:BB87" ca="1" si="66">MIN(0,G81)</f>
        <v>-141.71263999999999</v>
      </c>
      <c r="H87" s="51">
        <f t="shared" ca="1" si="66"/>
        <v>-211.92729100000003</v>
      </c>
      <c r="I87" s="51">
        <f t="shared" ca="1" si="66"/>
        <v>-168.71554063244798</v>
      </c>
      <c r="J87" s="51">
        <f t="shared" ca="1" si="66"/>
        <v>0</v>
      </c>
      <c r="K87" s="51">
        <f t="shared" ca="1" si="66"/>
        <v>0</v>
      </c>
      <c r="L87" s="51">
        <f t="shared" ca="1" si="66"/>
        <v>0</v>
      </c>
      <c r="M87" s="51">
        <f t="shared" ca="1" si="66"/>
        <v>0</v>
      </c>
      <c r="N87" s="51">
        <f t="shared" ca="1" si="66"/>
        <v>0</v>
      </c>
      <c r="O87" s="51">
        <f t="shared" ca="1" si="66"/>
        <v>0</v>
      </c>
      <c r="P87" s="51">
        <f t="shared" ca="1" si="66"/>
        <v>0</v>
      </c>
      <c r="Q87" s="51">
        <f t="shared" ca="1" si="66"/>
        <v>0</v>
      </c>
      <c r="R87" s="51">
        <f t="shared" ca="1" si="66"/>
        <v>0</v>
      </c>
      <c r="S87" s="51">
        <f t="shared" ca="1" si="66"/>
        <v>0</v>
      </c>
      <c r="T87" s="51">
        <f t="shared" ca="1" si="66"/>
        <v>0</v>
      </c>
      <c r="U87" s="51">
        <f t="shared" ca="1" si="66"/>
        <v>0</v>
      </c>
      <c r="V87" s="51">
        <f t="shared" ca="1" si="66"/>
        <v>0</v>
      </c>
      <c r="W87" s="51">
        <f t="shared" ca="1" si="66"/>
        <v>0</v>
      </c>
      <c r="X87" s="51">
        <f t="shared" ca="1" si="66"/>
        <v>0</v>
      </c>
      <c r="Y87" s="51">
        <f t="shared" ca="1" si="66"/>
        <v>0</v>
      </c>
      <c r="Z87" s="51">
        <f t="shared" ca="1" si="66"/>
        <v>0</v>
      </c>
      <c r="AA87" s="51">
        <f t="shared" ca="1" si="66"/>
        <v>0</v>
      </c>
      <c r="AB87" s="51">
        <f t="shared" ca="1" si="66"/>
        <v>0</v>
      </c>
      <c r="AC87" s="51">
        <f t="shared" ca="1" si="66"/>
        <v>0</v>
      </c>
      <c r="AD87" s="51">
        <f t="shared" ca="1" si="66"/>
        <v>0</v>
      </c>
      <c r="AE87" s="51">
        <f t="shared" ca="1" si="66"/>
        <v>0</v>
      </c>
      <c r="AF87" s="51">
        <f t="shared" ca="1" si="66"/>
        <v>0</v>
      </c>
      <c r="AG87" s="51">
        <f t="shared" ca="1" si="66"/>
        <v>0</v>
      </c>
      <c r="AH87" s="51">
        <f t="shared" ca="1" si="66"/>
        <v>0</v>
      </c>
      <c r="AI87" s="51">
        <f t="shared" ca="1" si="66"/>
        <v>0</v>
      </c>
      <c r="AJ87" s="51">
        <f t="shared" ca="1" si="66"/>
        <v>-17.417070143139643</v>
      </c>
      <c r="AK87" s="51">
        <f t="shared" ca="1" si="66"/>
        <v>-14.070233914431592</v>
      </c>
      <c r="AL87" s="51">
        <f t="shared" ca="1" si="66"/>
        <v>-10.65646096114938</v>
      </c>
      <c r="AM87" s="51">
        <f t="shared" ca="1" si="66"/>
        <v>-7.1744125488015236</v>
      </c>
      <c r="AN87" s="51">
        <f t="shared" ca="1" si="66"/>
        <v>-3.62272316820671</v>
      </c>
      <c r="AO87" s="51">
        <f t="shared" ca="1" si="66"/>
        <v>0</v>
      </c>
      <c r="AP87" s="51">
        <f t="shared" ca="1" si="66"/>
        <v>0</v>
      </c>
      <c r="AQ87" s="51">
        <f t="shared" ca="1" si="66"/>
        <v>0</v>
      </c>
      <c r="AR87" s="51">
        <f t="shared" ca="1" si="66"/>
        <v>0</v>
      </c>
      <c r="AS87" s="51">
        <f t="shared" ca="1" si="66"/>
        <v>0</v>
      </c>
      <c r="AT87" s="51">
        <f t="shared" ca="1" si="66"/>
        <v>0</v>
      </c>
      <c r="AU87" s="51">
        <f t="shared" ca="1" si="66"/>
        <v>0</v>
      </c>
      <c r="AV87" s="51">
        <f t="shared" ca="1" si="66"/>
        <v>0</v>
      </c>
      <c r="AW87" s="51">
        <f t="shared" ca="1" si="66"/>
        <v>0</v>
      </c>
      <c r="AX87" s="51">
        <f t="shared" ca="1" si="66"/>
        <v>0</v>
      </c>
      <c r="AY87" s="51">
        <f t="shared" ca="1" si="66"/>
        <v>0</v>
      </c>
      <c r="AZ87" s="51">
        <f t="shared" ca="1" si="66"/>
        <v>0</v>
      </c>
      <c r="BA87" s="51">
        <f t="shared" ca="1" si="66"/>
        <v>0</v>
      </c>
      <c r="BB87" s="51">
        <f t="shared" ca="1" si="66"/>
        <v>0</v>
      </c>
      <c r="BC87" s="38"/>
      <c r="BD87" s="38"/>
    </row>
    <row r="88" spans="1:56" x14ac:dyDescent="0.2">
      <c r="A88" s="37"/>
      <c r="B88" s="37"/>
      <c r="C88" s="66" t="s">
        <v>257</v>
      </c>
      <c r="D88" s="36" t="s">
        <v>75</v>
      </c>
      <c r="E88" s="51">
        <f ca="1">E81*'Assumptions &amp; Results'!$C$110</f>
        <v>0</v>
      </c>
      <c r="F88" s="51">
        <f ca="1">F81*'Assumptions &amp; Results'!$C$110</f>
        <v>-71</v>
      </c>
      <c r="G88" s="51">
        <f ca="1">G81*'Assumptions &amp; Results'!$C$110</f>
        <v>-141.71263999999999</v>
      </c>
      <c r="H88" s="51">
        <f ca="1">H81*'Assumptions &amp; Results'!$C$110</f>
        <v>-211.92729100000003</v>
      </c>
      <c r="I88" s="51">
        <f ca="1">I81*'Assumptions &amp; Results'!$C$110</f>
        <v>-168.71554063244798</v>
      </c>
      <c r="J88" s="51">
        <f ca="1">J81*'Assumptions &amp; Results'!$C$110</f>
        <v>7.0103252772223783</v>
      </c>
      <c r="K88" s="51">
        <f ca="1">K81*'Assumptions &amp; Results'!$C$110</f>
        <v>62.320334302130938</v>
      </c>
      <c r="L88" s="51">
        <f ca="1">L81*'Assumptions &amp; Results'!$C$110</f>
        <v>119.52615663125295</v>
      </c>
      <c r="M88" s="51">
        <f ca="1">M81*'Assumptions &amp; Results'!$C$110</f>
        <v>179.33077593174212</v>
      </c>
      <c r="N88" s="51">
        <f ca="1">N81*'Assumptions &amp; Results'!$C$110</f>
        <v>240.79859755859934</v>
      </c>
      <c r="O88" s="51">
        <f ca="1">O81*'Assumptions &amp; Results'!$C$110</f>
        <v>246.88533690736358</v>
      </c>
      <c r="P88" s="51">
        <f ca="1">P81*'Assumptions &amp; Results'!$C$110</f>
        <v>259.5564299655108</v>
      </c>
      <c r="Q88" s="51">
        <f ca="1">Q81*'Assumptions &amp; Results'!$C$110</f>
        <v>268.83312062482105</v>
      </c>
      <c r="R88" s="51">
        <f ca="1">R81*'Assumptions &amp; Results'!$C$110</f>
        <v>274.20978303731744</v>
      </c>
      <c r="S88" s="51">
        <f ca="1">S81*'Assumptions &amp; Results'!$C$110</f>
        <v>279.69397869806375</v>
      </c>
      <c r="T88" s="51">
        <f ca="1">T81*'Assumptions &amp; Results'!$C$110</f>
        <v>285.28785827202512</v>
      </c>
      <c r="U88" s="51">
        <f ca="1">U81*'Assumptions &amp; Results'!$C$110</f>
        <v>290.99361543746562</v>
      </c>
      <c r="V88" s="51">
        <f ca="1">V81*'Assumptions &amp; Results'!$C$110</f>
        <v>296.81348774621495</v>
      </c>
      <c r="W88" s="51">
        <f ca="1">W81*'Assumptions &amp; Results'!$C$110</f>
        <v>302.74975750113924</v>
      </c>
      <c r="X88" s="51">
        <f ca="1">X81*'Assumptions &amp; Results'!$C$110</f>
        <v>308.80475265116206</v>
      </c>
      <c r="Y88" s="51">
        <f ca="1">Y81*'Assumptions &amp; Results'!$C$110</f>
        <v>314.98084770418535</v>
      </c>
      <c r="Z88" s="51">
        <f ca="1">Z81*'Assumptions &amp; Results'!$C$110</f>
        <v>321.28046465826907</v>
      </c>
      <c r="AA88" s="51">
        <f ca="1">AA81*'Assumptions &amp; Results'!$C$110</f>
        <v>327.70607395143435</v>
      </c>
      <c r="AB88" s="51">
        <f ca="1">AB81*'Assumptions &amp; Results'!$C$110</f>
        <v>334.26019543046311</v>
      </c>
      <c r="AC88" s="51">
        <f ca="1">AC81*'Assumptions &amp; Results'!$C$110</f>
        <v>340.94539933907237</v>
      </c>
      <c r="AD88" s="51">
        <f ca="1">AD81*'Assumptions &amp; Results'!$C$110</f>
        <v>347.76430732585391</v>
      </c>
      <c r="AE88" s="51">
        <f ca="1">AE81*'Assumptions &amp; Results'!$C$110</f>
        <v>354.71959347237095</v>
      </c>
      <c r="AF88" s="51">
        <f ca="1">AF81*'Assumptions &amp; Results'!$C$110</f>
        <v>361.81398534181824</v>
      </c>
      <c r="AG88" s="51">
        <f ca="1">AG81*'Assumptions &amp; Results'!$C$110</f>
        <v>369.05026504865475</v>
      </c>
      <c r="AH88" s="51">
        <f ca="1">AH81*'Assumptions &amp; Results'!$C$110</f>
        <v>376.43127034962777</v>
      </c>
      <c r="AI88" s="51">
        <f ca="1">AI81*'Assumptions &amp; Results'!$C$110</f>
        <v>383.95989575662031</v>
      </c>
      <c r="AJ88" s="51">
        <f ca="1">AJ81*'Assumptions &amp; Results'!$C$110</f>
        <v>-17.417070143139643</v>
      </c>
      <c r="AK88" s="51">
        <f ca="1">AK81*'Assumptions &amp; Results'!$C$110</f>
        <v>-14.070233914431592</v>
      </c>
      <c r="AL88" s="51">
        <f ca="1">AL81*'Assumptions &amp; Results'!$C$110</f>
        <v>-10.65646096114938</v>
      </c>
      <c r="AM88" s="51">
        <f ca="1">AM81*'Assumptions &amp; Results'!$C$110</f>
        <v>-7.1744125488015236</v>
      </c>
      <c r="AN88" s="51">
        <f ca="1">AN81*'Assumptions &amp; Results'!$C$110</f>
        <v>-3.62272316820671</v>
      </c>
      <c r="AO88" s="51">
        <f ca="1">AO81*'Assumptions &amp; Results'!$C$110</f>
        <v>0</v>
      </c>
      <c r="AP88" s="51">
        <f ca="1">AP81*'Assumptions &amp; Results'!$C$110</f>
        <v>0</v>
      </c>
      <c r="AQ88" s="51">
        <f ca="1">AQ81*'Assumptions &amp; Results'!$C$110</f>
        <v>0</v>
      </c>
      <c r="AR88" s="51">
        <f ca="1">AR81*'Assumptions &amp; Results'!$C$110</f>
        <v>0</v>
      </c>
      <c r="AS88" s="51">
        <f ca="1">AS81*'Assumptions &amp; Results'!$C$110</f>
        <v>0</v>
      </c>
      <c r="AT88" s="51">
        <f ca="1">AT81*'Assumptions &amp; Results'!$C$110</f>
        <v>0</v>
      </c>
      <c r="AU88" s="51">
        <f ca="1">AU81*'Assumptions &amp; Results'!$C$110</f>
        <v>0</v>
      </c>
      <c r="AV88" s="51">
        <f ca="1">AV81*'Assumptions &amp; Results'!$C$110</f>
        <v>0</v>
      </c>
      <c r="AW88" s="51">
        <f ca="1">AW81*'Assumptions &amp; Results'!$C$110</f>
        <v>0</v>
      </c>
      <c r="AX88" s="51">
        <f ca="1">AX81*'Assumptions &amp; Results'!$C$110</f>
        <v>0</v>
      </c>
      <c r="AY88" s="51">
        <f ca="1">AY81*'Assumptions &amp; Results'!$C$110</f>
        <v>0</v>
      </c>
      <c r="AZ88" s="51">
        <f ca="1">AZ81*'Assumptions &amp; Results'!$C$110</f>
        <v>0</v>
      </c>
      <c r="BA88" s="51">
        <f ca="1">BA81*'Assumptions &amp; Results'!$C$110</f>
        <v>0</v>
      </c>
      <c r="BB88" s="51">
        <f ca="1">BB81*'Assumptions &amp; Results'!$C$110</f>
        <v>0</v>
      </c>
    </row>
    <row r="89" spans="1:56" x14ac:dyDescent="0.2">
      <c r="A89" s="37"/>
      <c r="B89" s="37"/>
      <c r="C89" s="66" t="s">
        <v>255</v>
      </c>
      <c r="D89" s="36" t="s">
        <v>75</v>
      </c>
      <c r="E89" s="174">
        <f ca="1">MIN((E81&gt;0)*E88,E86)</f>
        <v>0</v>
      </c>
      <c r="F89" s="174">
        <f t="shared" ref="F89:BB89" ca="1" si="67">MIN((F81&gt;0)*F88,F86)</f>
        <v>0</v>
      </c>
      <c r="G89" s="174">
        <f t="shared" ca="1" si="67"/>
        <v>0</v>
      </c>
      <c r="H89" s="174">
        <f t="shared" ca="1" si="67"/>
        <v>0</v>
      </c>
      <c r="I89" s="174">
        <f t="shared" ca="1" si="67"/>
        <v>0</v>
      </c>
      <c r="J89" s="174">
        <f t="shared" ca="1" si="67"/>
        <v>7.0103252772223783</v>
      </c>
      <c r="K89" s="174">
        <f t="shared" ca="1" si="67"/>
        <v>62.320334302130938</v>
      </c>
      <c r="L89" s="174">
        <f t="shared" ca="1" si="67"/>
        <v>119.52615663125295</v>
      </c>
      <c r="M89" s="174">
        <f t="shared" ca="1" si="67"/>
        <v>179.33077593174212</v>
      </c>
      <c r="N89" s="174">
        <f t="shared" ca="1" si="67"/>
        <v>12.455239490099643</v>
      </c>
      <c r="O89" s="174">
        <f t="shared" ca="1" si="67"/>
        <v>0</v>
      </c>
      <c r="P89" s="174">
        <f t="shared" ca="1" si="67"/>
        <v>0</v>
      </c>
      <c r="Q89" s="174">
        <f t="shared" ca="1" si="67"/>
        <v>0</v>
      </c>
      <c r="R89" s="174">
        <f t="shared" ca="1" si="67"/>
        <v>0</v>
      </c>
      <c r="S89" s="174">
        <f t="shared" ca="1" si="67"/>
        <v>0</v>
      </c>
      <c r="T89" s="174">
        <f t="shared" ca="1" si="67"/>
        <v>0</v>
      </c>
      <c r="U89" s="174">
        <f t="shared" ca="1" si="67"/>
        <v>0</v>
      </c>
      <c r="V89" s="174">
        <f t="shared" ca="1" si="67"/>
        <v>0</v>
      </c>
      <c r="W89" s="174">
        <f t="shared" ca="1" si="67"/>
        <v>0</v>
      </c>
      <c r="X89" s="174">
        <f t="shared" ca="1" si="67"/>
        <v>0</v>
      </c>
      <c r="Y89" s="174">
        <f t="shared" ca="1" si="67"/>
        <v>0</v>
      </c>
      <c r="Z89" s="174">
        <f t="shared" ca="1" si="67"/>
        <v>0</v>
      </c>
      <c r="AA89" s="174">
        <f t="shared" ca="1" si="67"/>
        <v>0</v>
      </c>
      <c r="AB89" s="174">
        <f t="shared" ca="1" si="67"/>
        <v>0</v>
      </c>
      <c r="AC89" s="174">
        <f t="shared" ca="1" si="67"/>
        <v>0</v>
      </c>
      <c r="AD89" s="174">
        <f t="shared" ca="1" si="67"/>
        <v>0</v>
      </c>
      <c r="AE89" s="174">
        <f t="shared" ca="1" si="67"/>
        <v>0</v>
      </c>
      <c r="AF89" s="174">
        <f t="shared" ca="1" si="67"/>
        <v>0</v>
      </c>
      <c r="AG89" s="174">
        <f t="shared" ca="1" si="67"/>
        <v>0</v>
      </c>
      <c r="AH89" s="174">
        <f t="shared" ca="1" si="67"/>
        <v>0</v>
      </c>
      <c r="AI89" s="174">
        <f t="shared" ca="1" si="67"/>
        <v>0</v>
      </c>
      <c r="AJ89" s="174">
        <f t="shared" ca="1" si="67"/>
        <v>0</v>
      </c>
      <c r="AK89" s="174">
        <f t="shared" ca="1" si="67"/>
        <v>0</v>
      </c>
      <c r="AL89" s="174">
        <f t="shared" ca="1" si="67"/>
        <v>0</v>
      </c>
      <c r="AM89" s="174">
        <f t="shared" ca="1" si="67"/>
        <v>0</v>
      </c>
      <c r="AN89" s="174">
        <f t="shared" ca="1" si="67"/>
        <v>0</v>
      </c>
      <c r="AO89" s="174">
        <f t="shared" ca="1" si="67"/>
        <v>0</v>
      </c>
      <c r="AP89" s="174">
        <f t="shared" ca="1" si="67"/>
        <v>0</v>
      </c>
      <c r="AQ89" s="174">
        <f t="shared" ca="1" si="67"/>
        <v>0</v>
      </c>
      <c r="AR89" s="174">
        <f t="shared" ca="1" si="67"/>
        <v>0</v>
      </c>
      <c r="AS89" s="174">
        <f t="shared" ca="1" si="67"/>
        <v>0</v>
      </c>
      <c r="AT89" s="174">
        <f t="shared" ca="1" si="67"/>
        <v>0</v>
      </c>
      <c r="AU89" s="174">
        <f t="shared" ca="1" si="67"/>
        <v>0</v>
      </c>
      <c r="AV89" s="174">
        <f t="shared" ca="1" si="67"/>
        <v>0</v>
      </c>
      <c r="AW89" s="174">
        <f t="shared" ca="1" si="67"/>
        <v>0</v>
      </c>
      <c r="AX89" s="174">
        <f t="shared" ca="1" si="67"/>
        <v>0</v>
      </c>
      <c r="AY89" s="174">
        <f t="shared" ca="1" si="67"/>
        <v>0</v>
      </c>
      <c r="AZ89" s="174">
        <f t="shared" ca="1" si="67"/>
        <v>0</v>
      </c>
      <c r="BA89" s="174">
        <f t="shared" ca="1" si="67"/>
        <v>0</v>
      </c>
      <c r="BB89" s="174">
        <f t="shared" ca="1" si="67"/>
        <v>0</v>
      </c>
      <c r="BC89" s="38"/>
      <c r="BD89" s="38"/>
    </row>
    <row r="90" spans="1:56" x14ac:dyDescent="0.2">
      <c r="A90" s="37"/>
      <c r="B90" s="37"/>
      <c r="C90" s="66" t="s">
        <v>256</v>
      </c>
      <c r="D90" s="36" t="s">
        <v>75</v>
      </c>
      <c r="E90" s="174">
        <f ca="1">MAX(0,-E87+E86-E85-E89)</f>
        <v>0</v>
      </c>
      <c r="F90" s="174">
        <f t="shared" ref="F90:I90" ca="1" si="68">MAX(0,-F87+F86-F85-F89)</f>
        <v>71</v>
      </c>
      <c r="G90" s="174">
        <f t="shared" ca="1" si="68"/>
        <v>212.71263999999999</v>
      </c>
      <c r="H90" s="174">
        <f t="shared" ca="1" si="68"/>
        <v>424.63993100000005</v>
      </c>
      <c r="I90" s="174">
        <f t="shared" ca="1" si="68"/>
        <v>593.35547163244803</v>
      </c>
      <c r="J90" s="174">
        <f ca="1">MAX(0,-J87+J86-J85-J89)</f>
        <v>586.34514635522567</v>
      </c>
      <c r="K90" s="174">
        <f t="shared" ref="K90:L90" ca="1" si="69">MAX(0,-K87+K86-K85-K89)</f>
        <v>524.02481205309471</v>
      </c>
      <c r="L90" s="174">
        <f t="shared" ca="1" si="69"/>
        <v>333.49865542184176</v>
      </c>
      <c r="M90" s="174">
        <f t="shared" ref="M90" ca="1" si="70">MAX(0,-M87+M86-M85-M89)</f>
        <v>12.455239490099643</v>
      </c>
      <c r="N90" s="174">
        <f t="shared" ref="N90" ca="1" si="71">MAX(0,-N87+N86-N85-N89)</f>
        <v>0</v>
      </c>
      <c r="O90" s="174">
        <f t="shared" ref="O90" ca="1" si="72">MAX(0,-O87+O86-O85-O89)</f>
        <v>0</v>
      </c>
      <c r="P90" s="174">
        <f t="shared" ref="P90:Q90" ca="1" si="73">MAX(0,-P87+P86-P85-P89)</f>
        <v>0</v>
      </c>
      <c r="Q90" s="174">
        <f t="shared" ca="1" si="73"/>
        <v>0</v>
      </c>
      <c r="R90" s="174">
        <f t="shared" ref="R90:S90" ca="1" si="74">MAX(0,-R87+R86-R85-R89)</f>
        <v>0</v>
      </c>
      <c r="S90" s="174">
        <f t="shared" ca="1" si="74"/>
        <v>0</v>
      </c>
      <c r="T90" s="174">
        <f t="shared" ref="T90" ca="1" si="75">MAX(0,-T87+T86-T85-T89)</f>
        <v>0</v>
      </c>
      <c r="U90" s="174">
        <f t="shared" ref="U90" ca="1" si="76">MAX(0,-U87+U86-U85-U89)</f>
        <v>0</v>
      </c>
      <c r="V90" s="174">
        <f t="shared" ref="V90" ca="1" si="77">MAX(0,-V87+V86-V85-V89)</f>
        <v>0</v>
      </c>
      <c r="W90" s="174">
        <f t="shared" ref="W90:X90" ca="1" si="78">MAX(0,-W87+W86-W85-W89)</f>
        <v>0</v>
      </c>
      <c r="X90" s="174">
        <f t="shared" ca="1" si="78"/>
        <v>0</v>
      </c>
      <c r="Y90" s="174">
        <f t="shared" ref="Y90:Z90" ca="1" si="79">MAX(0,-Y87+Y86-Y85-Y89)</f>
        <v>0</v>
      </c>
      <c r="Z90" s="174">
        <f t="shared" ca="1" si="79"/>
        <v>0</v>
      </c>
      <c r="AA90" s="174">
        <f t="shared" ref="AA90" ca="1" si="80">MAX(0,-AA87+AA86-AA85-AA89)</f>
        <v>0</v>
      </c>
      <c r="AB90" s="174">
        <f t="shared" ref="AB90" ca="1" si="81">MAX(0,-AB87+AB86-AB85-AB89)</f>
        <v>0</v>
      </c>
      <c r="AC90" s="174">
        <f t="shared" ref="AC90" ca="1" si="82">MAX(0,-AC87+AC86-AC85-AC89)</f>
        <v>0</v>
      </c>
      <c r="AD90" s="174">
        <f t="shared" ref="AD90:AE90" ca="1" si="83">MAX(0,-AD87+AD86-AD85-AD89)</f>
        <v>0</v>
      </c>
      <c r="AE90" s="174">
        <f t="shared" ca="1" si="83"/>
        <v>0</v>
      </c>
      <c r="AF90" s="174">
        <f t="shared" ref="AF90:AG90" ca="1" si="84">MAX(0,-AF87+AF86-AF85-AF89)</f>
        <v>0</v>
      </c>
      <c r="AG90" s="174">
        <f t="shared" ca="1" si="84"/>
        <v>0</v>
      </c>
      <c r="AH90" s="174">
        <f t="shared" ref="AH90" ca="1" si="85">MAX(0,-AH87+AH86-AH85-AH89)</f>
        <v>0</v>
      </c>
      <c r="AI90" s="174">
        <f t="shared" ref="AI90" ca="1" si="86">MAX(0,-AI87+AI86-AI85-AI89)</f>
        <v>0</v>
      </c>
      <c r="AJ90" s="174">
        <f t="shared" ref="AJ90" ca="1" si="87">MAX(0,-AJ87+AJ86-AJ85-AJ89)</f>
        <v>17.417070143139643</v>
      </c>
      <c r="AK90" s="174">
        <f t="shared" ref="AK90:AL90" ca="1" si="88">MAX(0,-AK87+AK86-AK85-AK89)</f>
        <v>31.487304057571237</v>
      </c>
      <c r="AL90" s="174">
        <f t="shared" ca="1" si="88"/>
        <v>42.143765018720615</v>
      </c>
      <c r="AM90" s="174">
        <f t="shared" ref="AM90:AN90" ca="1" si="89">MAX(0,-AM87+AM86-AM85-AM89)</f>
        <v>49.318177567522142</v>
      </c>
      <c r="AN90" s="174">
        <f t="shared" ca="1" si="89"/>
        <v>52.940900735728853</v>
      </c>
      <c r="AO90" s="174">
        <f t="shared" ref="AO90" ca="1" si="90">MAX(0,-AO87+AO86-AO85-AO89)</f>
        <v>52.940900735728853</v>
      </c>
      <c r="AP90" s="174">
        <f t="shared" ref="AP90" ca="1" si="91">MAX(0,-AP87+AP86-AP85-AP89)</f>
        <v>35.523830592589206</v>
      </c>
      <c r="AQ90" s="174">
        <f t="shared" ref="AQ90" ca="1" si="92">MAX(0,-AQ87+AQ86-AQ85-AQ89)</f>
        <v>21.453596678157616</v>
      </c>
      <c r="AR90" s="174">
        <f t="shared" ref="AR90:AS90" ca="1" si="93">MAX(0,-AR87+AR86-AR85-AR89)</f>
        <v>10.797135717008237</v>
      </c>
      <c r="AS90" s="174">
        <f t="shared" ca="1" si="93"/>
        <v>3.6227231682067131</v>
      </c>
      <c r="AT90" s="174">
        <f t="shared" ref="AT90:AU90" ca="1" si="94">MAX(0,-AT87+AT86-AT85-AT89)</f>
        <v>3.1086244689504383E-15</v>
      </c>
      <c r="AU90" s="174">
        <f t="shared" ca="1" si="94"/>
        <v>3.1086244689504383E-15</v>
      </c>
      <c r="AV90" s="174">
        <f t="shared" ref="AV90" ca="1" si="95">MAX(0,-AV87+AV86-AV85-AV89)</f>
        <v>3.1086244689504383E-15</v>
      </c>
      <c r="AW90" s="174">
        <f t="shared" ref="AW90" ca="1" si="96">MAX(0,-AW87+AW86-AW85-AW89)</f>
        <v>3.1086244689504383E-15</v>
      </c>
      <c r="AX90" s="174">
        <f t="shared" ref="AX90" ca="1" si="97">MAX(0,-AX87+AX86-AX85-AX89)</f>
        <v>3.1086244689504383E-15</v>
      </c>
      <c r="AY90" s="174">
        <f t="shared" ref="AY90:AZ90" ca="1" si="98">MAX(0,-AY87+AY86-AY85-AY89)</f>
        <v>3.1086244689504383E-15</v>
      </c>
      <c r="AZ90" s="174">
        <f t="shared" ca="1" si="98"/>
        <v>3.1086244689504383E-15</v>
      </c>
      <c r="BA90" s="174">
        <f t="shared" ref="BA90:BB90" ca="1" si="99">MAX(0,-BA87+BA86-BA85-BA89)</f>
        <v>3.1086244689504383E-15</v>
      </c>
      <c r="BB90" s="174">
        <f t="shared" ca="1" si="99"/>
        <v>3.1086244689504383E-15</v>
      </c>
      <c r="BC90" s="38"/>
      <c r="BD90" s="38"/>
    </row>
    <row r="91" spans="1:56" x14ac:dyDescent="0.2">
      <c r="A91" s="37"/>
      <c r="B91" s="37"/>
      <c r="E91" s="68"/>
      <c r="F91" s="68"/>
      <c r="G91" s="68"/>
      <c r="H91" s="68"/>
      <c r="I91" s="68"/>
      <c r="J91" s="68"/>
      <c r="K91" s="183"/>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38"/>
      <c r="BD91" s="38"/>
    </row>
    <row r="92" spans="1:56" s="105" customFormat="1" x14ac:dyDescent="0.2">
      <c r="A92" s="100">
        <f t="shared" ca="1" si="60"/>
        <v>6228.7874049197771</v>
      </c>
      <c r="B92" s="100">
        <f ca="1">NPV('Assumptions &amp; Results'!$C$129,Calculations!E92:BB92)</f>
        <v>395.32095245946419</v>
      </c>
      <c r="C92" s="101" t="s">
        <v>259</v>
      </c>
      <c r="D92" s="102" t="s">
        <v>75</v>
      </c>
      <c r="E92" s="106">
        <f ca="1">E81-E89</f>
        <v>0</v>
      </c>
      <c r="F92" s="106">
        <f t="shared" ref="F92:BB92" ca="1" si="100">F81-F89</f>
        <v>-71</v>
      </c>
      <c r="G92" s="106">
        <f t="shared" ca="1" si="100"/>
        <v>-141.71263999999999</v>
      </c>
      <c r="H92" s="106">
        <f t="shared" ca="1" si="100"/>
        <v>-211.92729100000003</v>
      </c>
      <c r="I92" s="106">
        <f t="shared" ca="1" si="100"/>
        <v>-168.71554063244798</v>
      </c>
      <c r="J92" s="106">
        <f t="shared" ca="1" si="100"/>
        <v>0</v>
      </c>
      <c r="K92" s="106">
        <f t="shared" ca="1" si="100"/>
        <v>0</v>
      </c>
      <c r="L92" s="106">
        <f t="shared" ca="1" si="100"/>
        <v>0</v>
      </c>
      <c r="M92" s="106">
        <f t="shared" ca="1" si="100"/>
        <v>0</v>
      </c>
      <c r="N92" s="106">
        <f t="shared" ca="1" si="100"/>
        <v>228.3433580684997</v>
      </c>
      <c r="O92" s="106">
        <f t="shared" ca="1" si="100"/>
        <v>246.88533690736358</v>
      </c>
      <c r="P92" s="106">
        <f t="shared" ca="1" si="100"/>
        <v>259.5564299655108</v>
      </c>
      <c r="Q92" s="106">
        <f t="shared" ca="1" si="100"/>
        <v>268.83312062482105</v>
      </c>
      <c r="R92" s="106">
        <f t="shared" ca="1" si="100"/>
        <v>274.20978303731744</v>
      </c>
      <c r="S92" s="106">
        <f t="shared" ca="1" si="100"/>
        <v>279.69397869806375</v>
      </c>
      <c r="T92" s="106">
        <f t="shared" ca="1" si="100"/>
        <v>285.28785827202512</v>
      </c>
      <c r="U92" s="106">
        <f t="shared" ca="1" si="100"/>
        <v>290.99361543746562</v>
      </c>
      <c r="V92" s="106">
        <f t="shared" ca="1" si="100"/>
        <v>296.81348774621495</v>
      </c>
      <c r="W92" s="106">
        <f t="shared" ca="1" si="100"/>
        <v>302.74975750113924</v>
      </c>
      <c r="X92" s="106">
        <f t="shared" ca="1" si="100"/>
        <v>308.80475265116206</v>
      </c>
      <c r="Y92" s="106">
        <f t="shared" ca="1" si="100"/>
        <v>314.98084770418535</v>
      </c>
      <c r="Z92" s="106">
        <f t="shared" ca="1" si="100"/>
        <v>321.28046465826907</v>
      </c>
      <c r="AA92" s="106">
        <f t="shared" ca="1" si="100"/>
        <v>327.70607395143435</v>
      </c>
      <c r="AB92" s="106">
        <f t="shared" ca="1" si="100"/>
        <v>334.26019543046311</v>
      </c>
      <c r="AC92" s="106">
        <f t="shared" ca="1" si="100"/>
        <v>340.94539933907237</v>
      </c>
      <c r="AD92" s="106">
        <f t="shared" ca="1" si="100"/>
        <v>347.76430732585391</v>
      </c>
      <c r="AE92" s="106">
        <f t="shared" ca="1" si="100"/>
        <v>354.71959347237095</v>
      </c>
      <c r="AF92" s="106">
        <f t="shared" ca="1" si="100"/>
        <v>361.81398534181824</v>
      </c>
      <c r="AG92" s="106">
        <f t="shared" ca="1" si="100"/>
        <v>369.05026504865475</v>
      </c>
      <c r="AH92" s="106">
        <f t="shared" ca="1" si="100"/>
        <v>376.43127034962777</v>
      </c>
      <c r="AI92" s="106">
        <f t="shared" ca="1" si="100"/>
        <v>383.95989575662031</v>
      </c>
      <c r="AJ92" s="106">
        <f t="shared" ca="1" si="100"/>
        <v>-17.417070143139643</v>
      </c>
      <c r="AK92" s="106">
        <f t="shared" ca="1" si="100"/>
        <v>-14.070233914431592</v>
      </c>
      <c r="AL92" s="106">
        <f t="shared" ca="1" si="100"/>
        <v>-10.65646096114938</v>
      </c>
      <c r="AM92" s="106">
        <f t="shared" ca="1" si="100"/>
        <v>-7.1744125488015236</v>
      </c>
      <c r="AN92" s="106">
        <f t="shared" ca="1" si="100"/>
        <v>-3.62272316820671</v>
      </c>
      <c r="AO92" s="106">
        <f t="shared" ca="1" si="100"/>
        <v>0</v>
      </c>
      <c r="AP92" s="106">
        <f t="shared" ca="1" si="100"/>
        <v>0</v>
      </c>
      <c r="AQ92" s="106">
        <f t="shared" ca="1" si="100"/>
        <v>0</v>
      </c>
      <c r="AR92" s="106">
        <f t="shared" ca="1" si="100"/>
        <v>0</v>
      </c>
      <c r="AS92" s="106">
        <f t="shared" ca="1" si="100"/>
        <v>0</v>
      </c>
      <c r="AT92" s="106">
        <f t="shared" ca="1" si="100"/>
        <v>0</v>
      </c>
      <c r="AU92" s="106">
        <f t="shared" ca="1" si="100"/>
        <v>0</v>
      </c>
      <c r="AV92" s="106">
        <f t="shared" ca="1" si="100"/>
        <v>0</v>
      </c>
      <c r="AW92" s="106">
        <f t="shared" ca="1" si="100"/>
        <v>0</v>
      </c>
      <c r="AX92" s="106">
        <f t="shared" ca="1" si="100"/>
        <v>0</v>
      </c>
      <c r="AY92" s="106">
        <f t="shared" ca="1" si="100"/>
        <v>0</v>
      </c>
      <c r="AZ92" s="106">
        <f t="shared" ca="1" si="100"/>
        <v>0</v>
      </c>
      <c r="BA92" s="106">
        <f t="shared" ca="1" si="100"/>
        <v>0</v>
      </c>
      <c r="BB92" s="106">
        <f t="shared" ca="1" si="100"/>
        <v>0</v>
      </c>
      <c r="BC92" s="104"/>
      <c r="BD92" s="104"/>
    </row>
    <row r="93" spans="1:56" x14ac:dyDescent="0.2">
      <c r="A93" s="37"/>
      <c r="B93" s="37"/>
      <c r="C93" s="33" t="s">
        <v>300</v>
      </c>
      <c r="E93" s="183">
        <f t="shared" ref="E93:AJ93" si="101">IF(E6=0,0,(E92/E6))</f>
        <v>0</v>
      </c>
      <c r="F93" s="183">
        <f t="shared" si="101"/>
        <v>0</v>
      </c>
      <c r="G93" s="183">
        <f t="shared" si="101"/>
        <v>0</v>
      </c>
      <c r="H93" s="183">
        <f t="shared" si="101"/>
        <v>0</v>
      </c>
      <c r="I93" s="183">
        <f t="shared" ca="1" si="101"/>
        <v>-0.65933621198340764</v>
      </c>
      <c r="J93" s="183">
        <f t="shared" ca="1" si="101"/>
        <v>0</v>
      </c>
      <c r="K93" s="183">
        <f t="shared" ca="1" si="101"/>
        <v>0</v>
      </c>
      <c r="L93" s="183">
        <f t="shared" ca="1" si="101"/>
        <v>0</v>
      </c>
      <c r="M93" s="183">
        <f t="shared" ca="1" si="101"/>
        <v>0</v>
      </c>
      <c r="N93" s="183">
        <f t="shared" ca="1" si="101"/>
        <v>0.34333783879759761</v>
      </c>
      <c r="O93" s="183">
        <f t="shared" ca="1" si="101"/>
        <v>0.36823993890192841</v>
      </c>
      <c r="P93" s="183">
        <f t="shared" ca="1" si="101"/>
        <v>0.37954844214593864</v>
      </c>
      <c r="Q93" s="183">
        <f t="shared" ca="1" si="101"/>
        <v>0.38540560178725747</v>
      </c>
      <c r="R93" s="183">
        <f t="shared" ca="1" si="101"/>
        <v>0.38540560178725747</v>
      </c>
      <c r="S93" s="183">
        <f t="shared" ca="1" si="101"/>
        <v>0.38540560178725736</v>
      </c>
      <c r="T93" s="183">
        <f t="shared" ca="1" si="101"/>
        <v>0.38540560178725747</v>
      </c>
      <c r="U93" s="183">
        <f t="shared" ca="1" si="101"/>
        <v>0.38540560178725747</v>
      </c>
      <c r="V93" s="183">
        <f t="shared" ca="1" si="101"/>
        <v>0.38540560178725747</v>
      </c>
      <c r="W93" s="183">
        <f t="shared" ca="1" si="101"/>
        <v>0.38540560178725741</v>
      </c>
      <c r="X93" s="183">
        <f t="shared" ca="1" si="101"/>
        <v>0.38540560178725747</v>
      </c>
      <c r="Y93" s="183">
        <f t="shared" ca="1" si="101"/>
        <v>0.38540560178725747</v>
      </c>
      <c r="Z93" s="183">
        <f t="shared" ca="1" si="101"/>
        <v>0.38540560178725747</v>
      </c>
      <c r="AA93" s="183">
        <f t="shared" ca="1" si="101"/>
        <v>0.38540560178725736</v>
      </c>
      <c r="AB93" s="183">
        <f t="shared" ca="1" si="101"/>
        <v>0.38540560178725747</v>
      </c>
      <c r="AC93" s="183">
        <f t="shared" ca="1" si="101"/>
        <v>0.38540560178725741</v>
      </c>
      <c r="AD93" s="183">
        <f t="shared" ca="1" si="101"/>
        <v>0.38540560178725752</v>
      </c>
      <c r="AE93" s="183">
        <f t="shared" ca="1" si="101"/>
        <v>0.38540560178725752</v>
      </c>
      <c r="AF93" s="183">
        <f t="shared" ca="1" si="101"/>
        <v>0.38540560178725736</v>
      </c>
      <c r="AG93" s="183">
        <f t="shared" ca="1" si="101"/>
        <v>0.38540560178725747</v>
      </c>
      <c r="AH93" s="183">
        <f t="shared" ca="1" si="101"/>
        <v>0.38540560178725747</v>
      </c>
      <c r="AI93" s="183">
        <f t="shared" ca="1" si="101"/>
        <v>0.38540560178725736</v>
      </c>
      <c r="AJ93" s="183">
        <f t="shared" si="101"/>
        <v>0</v>
      </c>
      <c r="AK93" s="183">
        <f t="shared" ref="AK93:BB93" si="102">IF(AK6=0,0,(AK92/AK6))</f>
        <v>0</v>
      </c>
      <c r="AL93" s="183">
        <f t="shared" si="102"/>
        <v>0</v>
      </c>
      <c r="AM93" s="183">
        <f t="shared" si="102"/>
        <v>0</v>
      </c>
      <c r="AN93" s="183">
        <f t="shared" si="102"/>
        <v>0</v>
      </c>
      <c r="AO93" s="183">
        <f t="shared" si="102"/>
        <v>0</v>
      </c>
      <c r="AP93" s="183">
        <f t="shared" si="102"/>
        <v>0</v>
      </c>
      <c r="AQ93" s="183">
        <f t="shared" si="102"/>
        <v>0</v>
      </c>
      <c r="AR93" s="183">
        <f t="shared" si="102"/>
        <v>0</v>
      </c>
      <c r="AS93" s="183">
        <f t="shared" si="102"/>
        <v>0</v>
      </c>
      <c r="AT93" s="183">
        <f t="shared" si="102"/>
        <v>0</v>
      </c>
      <c r="AU93" s="183">
        <f t="shared" si="102"/>
        <v>0</v>
      </c>
      <c r="AV93" s="183">
        <f t="shared" si="102"/>
        <v>0</v>
      </c>
      <c r="AW93" s="183">
        <f t="shared" si="102"/>
        <v>0</v>
      </c>
      <c r="AX93" s="183">
        <f t="shared" si="102"/>
        <v>0</v>
      </c>
      <c r="AY93" s="183">
        <f t="shared" si="102"/>
        <v>0</v>
      </c>
      <c r="AZ93" s="183">
        <f t="shared" si="102"/>
        <v>0</v>
      </c>
      <c r="BA93" s="183">
        <f t="shared" si="102"/>
        <v>0</v>
      </c>
      <c r="BB93" s="183">
        <f t="shared" si="102"/>
        <v>0</v>
      </c>
      <c r="BC93" s="38"/>
      <c r="BD93" s="38"/>
    </row>
    <row r="94" spans="1:56" x14ac:dyDescent="0.2">
      <c r="A94" s="37">
        <f t="shared" ca="1" si="60"/>
        <v>0</v>
      </c>
      <c r="B94" s="37">
        <f ca="1">NPV('Assumptions &amp; Results'!$C$129,Calculations!E94:BB94)</f>
        <v>0</v>
      </c>
      <c r="C94" s="66" t="s">
        <v>275</v>
      </c>
      <c r="D94" s="36" t="s">
        <v>75</v>
      </c>
      <c r="E94" s="51">
        <f ca="1">'Assumptions &amp; Results'!$C$115*Calculations!E92</f>
        <v>0</v>
      </c>
      <c r="F94" s="51">
        <f ca="1">'Assumptions &amp; Results'!$C$115*Calculations!F92</f>
        <v>0</v>
      </c>
      <c r="G94" s="51">
        <f ca="1">'Assumptions &amp; Results'!$C$115*Calculations!G92</f>
        <v>0</v>
      </c>
      <c r="H94" s="51">
        <f ca="1">'Assumptions &amp; Results'!$C$115*Calculations!H92</f>
        <v>0</v>
      </c>
      <c r="I94" s="51">
        <f ca="1">'Assumptions &amp; Results'!$C$115*Calculations!I92</f>
        <v>0</v>
      </c>
      <c r="J94" s="51">
        <f ca="1">'Assumptions &amp; Results'!$C$115*Calculations!J92</f>
        <v>0</v>
      </c>
      <c r="K94" s="51">
        <f ca="1">'Assumptions &amp; Results'!$C$115*Calculations!K92</f>
        <v>0</v>
      </c>
      <c r="L94" s="51">
        <f ca="1">'Assumptions &amp; Results'!$C$115*Calculations!L92</f>
        <v>0</v>
      </c>
      <c r="M94" s="51">
        <f ca="1">'Assumptions &amp; Results'!$C$115*Calculations!M92</f>
        <v>0</v>
      </c>
      <c r="N94" s="51">
        <f ca="1">'Assumptions &amp; Results'!$C$115*Calculations!N92</f>
        <v>0</v>
      </c>
      <c r="O94" s="51">
        <f ca="1">'Assumptions &amp; Results'!$C$115*Calculations!O92</f>
        <v>0</v>
      </c>
      <c r="P94" s="51">
        <f ca="1">'Assumptions &amp; Results'!$C$115*Calculations!P92</f>
        <v>0</v>
      </c>
      <c r="Q94" s="51">
        <f ca="1">'Assumptions &amp; Results'!$C$115*Calculations!Q92</f>
        <v>0</v>
      </c>
      <c r="R94" s="51">
        <f ca="1">'Assumptions &amp; Results'!$C$115*Calculations!R92</f>
        <v>0</v>
      </c>
      <c r="S94" s="51">
        <f ca="1">'Assumptions &amp; Results'!$C$115*Calculations!S92</f>
        <v>0</v>
      </c>
      <c r="T94" s="51">
        <f ca="1">'Assumptions &amp; Results'!$C$115*Calculations!T92</f>
        <v>0</v>
      </c>
      <c r="U94" s="51">
        <f ca="1">'Assumptions &amp; Results'!$C$115*Calculations!U92</f>
        <v>0</v>
      </c>
      <c r="V94" s="51">
        <f ca="1">'Assumptions &amp; Results'!$C$115*Calculations!V92</f>
        <v>0</v>
      </c>
      <c r="W94" s="51">
        <f ca="1">'Assumptions &amp; Results'!$C$115*Calculations!W92</f>
        <v>0</v>
      </c>
      <c r="X94" s="51">
        <f ca="1">'Assumptions &amp; Results'!$C$115*Calculations!X92</f>
        <v>0</v>
      </c>
      <c r="Y94" s="51">
        <f ca="1">'Assumptions &amp; Results'!$C$115*Calculations!Y92</f>
        <v>0</v>
      </c>
      <c r="Z94" s="51">
        <f ca="1">'Assumptions &amp; Results'!$C$115*Calculations!Z92</f>
        <v>0</v>
      </c>
      <c r="AA94" s="51">
        <f ca="1">'Assumptions &amp; Results'!$C$115*Calculations!AA92</f>
        <v>0</v>
      </c>
      <c r="AB94" s="51">
        <f ca="1">'Assumptions &amp; Results'!$C$115*Calculations!AB92</f>
        <v>0</v>
      </c>
      <c r="AC94" s="51">
        <f ca="1">'Assumptions &amp; Results'!$C$115*Calculations!AC92</f>
        <v>0</v>
      </c>
      <c r="AD94" s="51">
        <f ca="1">'Assumptions &amp; Results'!$C$115*Calculations!AD92</f>
        <v>0</v>
      </c>
      <c r="AE94" s="51">
        <f ca="1">'Assumptions &amp; Results'!$C$115*Calculations!AE92</f>
        <v>0</v>
      </c>
      <c r="AF94" s="51">
        <f ca="1">'Assumptions &amp; Results'!$C$115*Calculations!AF92</f>
        <v>0</v>
      </c>
      <c r="AG94" s="51">
        <f ca="1">'Assumptions &amp; Results'!$C$115*Calculations!AG92</f>
        <v>0</v>
      </c>
      <c r="AH94" s="51">
        <f ca="1">'Assumptions &amp; Results'!$C$115*Calculations!AH92</f>
        <v>0</v>
      </c>
      <c r="AI94" s="51">
        <f ca="1">'Assumptions &amp; Results'!$C$115*Calculations!AI92</f>
        <v>0</v>
      </c>
      <c r="AJ94" s="51">
        <f ca="1">'Assumptions &amp; Results'!$C$115*Calculations!AJ92</f>
        <v>0</v>
      </c>
      <c r="AK94" s="51">
        <f ca="1">'Assumptions &amp; Results'!$C$115*Calculations!AK92</f>
        <v>0</v>
      </c>
      <c r="AL94" s="51">
        <f ca="1">'Assumptions &amp; Results'!$C$115*Calculations!AL92</f>
        <v>0</v>
      </c>
      <c r="AM94" s="51">
        <f ca="1">'Assumptions &amp; Results'!$C$115*Calculations!AM92</f>
        <v>0</v>
      </c>
      <c r="AN94" s="51">
        <f ca="1">'Assumptions &amp; Results'!$C$115*Calculations!AN92</f>
        <v>0</v>
      </c>
      <c r="AO94" s="51">
        <f ca="1">'Assumptions &amp; Results'!$C$115*Calculations!AO92</f>
        <v>0</v>
      </c>
      <c r="AP94" s="51">
        <f ca="1">'Assumptions &amp; Results'!$C$115*Calculations!AP92</f>
        <v>0</v>
      </c>
      <c r="AQ94" s="51">
        <f ca="1">'Assumptions &amp; Results'!$C$115*Calculations!AQ92</f>
        <v>0</v>
      </c>
      <c r="AR94" s="51">
        <f ca="1">'Assumptions &amp; Results'!$C$115*Calculations!AR92</f>
        <v>0</v>
      </c>
      <c r="AS94" s="51">
        <f ca="1">'Assumptions &amp; Results'!$C$115*Calculations!AS92</f>
        <v>0</v>
      </c>
      <c r="AT94" s="51">
        <f ca="1">'Assumptions &amp; Results'!$C$115*Calculations!AT92</f>
        <v>0</v>
      </c>
      <c r="AU94" s="51">
        <f ca="1">'Assumptions &amp; Results'!$C$115*Calculations!AU92</f>
        <v>0</v>
      </c>
      <c r="AV94" s="51">
        <f ca="1">'Assumptions &amp; Results'!$C$115*Calculations!AV92</f>
        <v>0</v>
      </c>
      <c r="AW94" s="51">
        <f ca="1">'Assumptions &amp; Results'!$C$115*Calculations!AW92</f>
        <v>0</v>
      </c>
      <c r="AX94" s="51">
        <f ca="1">'Assumptions &amp; Results'!$C$115*Calculations!AX92</f>
        <v>0</v>
      </c>
      <c r="AY94" s="51">
        <f ca="1">'Assumptions &amp; Results'!$C$115*Calculations!AY92</f>
        <v>0</v>
      </c>
      <c r="AZ94" s="51">
        <f ca="1">'Assumptions &amp; Results'!$C$115*Calculations!AZ92</f>
        <v>0</v>
      </c>
      <c r="BA94" s="51">
        <f ca="1">'Assumptions &amp; Results'!$C$115*Calculations!BA92</f>
        <v>0</v>
      </c>
      <c r="BB94" s="51">
        <f ca="1">'Assumptions &amp; Results'!$C$115*Calculations!BB92</f>
        <v>0</v>
      </c>
      <c r="BC94" s="38"/>
      <c r="BD94" s="38"/>
    </row>
    <row r="95" spans="1:56" s="146" customFormat="1" x14ac:dyDescent="0.2">
      <c r="A95" s="37"/>
      <c r="B95" s="37"/>
      <c r="C95" s="179" t="s">
        <v>298</v>
      </c>
      <c r="D95" s="187" t="s">
        <v>33</v>
      </c>
      <c r="E95" s="146">
        <f>IF(E93=0,0,(('Assumptions &amp; Results'!$C$101-'Assumptions &amp; Results'!$C$102/(E93*100))/100))</f>
        <v>0</v>
      </c>
      <c r="F95" s="146">
        <f>IF(F93=0,0,(('Assumptions &amp; Results'!$C$101-'Assumptions &amp; Results'!$C$102/(F93*100))/100))</f>
        <v>0</v>
      </c>
      <c r="G95" s="146">
        <f>IF(G93=0,0,(('Assumptions &amp; Results'!$C$101-'Assumptions &amp; Results'!$C$102/(G93*100))/100))</f>
        <v>0</v>
      </c>
      <c r="H95" s="146">
        <f>IF(H93=0,0,(('Assumptions &amp; Results'!$C$101-'Assumptions &amp; Results'!$C$102/(H93*100))/100))</f>
        <v>0</v>
      </c>
      <c r="I95" s="146">
        <f ca="1">IF(I93=0,0,(('Assumptions &amp; Results'!$C$101-'Assumptions &amp; Results'!$C$102/(I93*100))/100))</f>
        <v>0</v>
      </c>
      <c r="J95" s="146">
        <f ca="1">IF(J93=0,0,(('Assumptions &amp; Results'!$C$101-'Assumptions &amp; Results'!$C$102/(J93*100))/100))</f>
        <v>0</v>
      </c>
      <c r="K95" s="146">
        <f ca="1">IF(K93=0,0,(('Assumptions &amp; Results'!$C$101-'Assumptions &amp; Results'!$C$102/(K93*100))/100))</f>
        <v>0</v>
      </c>
      <c r="L95" s="146">
        <f ca="1">IF(L93=0,0,(('Assumptions &amp; Results'!$C$101-'Assumptions &amp; Results'!$C$102/(L93*100))/100))</f>
        <v>0</v>
      </c>
      <c r="M95" s="146">
        <f ca="1">IF(M93=0,0,(('Assumptions &amp; Results'!$C$101-'Assumptions &amp; Results'!$C$102/(M93*100))/100))</f>
        <v>0</v>
      </c>
      <c r="N95" s="146">
        <f ca="1">IF(N93=0,0,(('Assumptions &amp; Results'!$C$101-'Assumptions &amp; Results'!$C$102/(N93*100))/100))</f>
        <v>0</v>
      </c>
      <c r="O95" s="146">
        <f ca="1">IF(O93=0,0,(('Assumptions &amp; Results'!$C$101-'Assumptions &amp; Results'!$C$102/(O93*100))/100))</f>
        <v>0</v>
      </c>
      <c r="P95" s="146">
        <f ca="1">IF(P93=0,0,(('Assumptions &amp; Results'!$C$101-'Assumptions &amp; Results'!$C$102/(P93*100))/100))</f>
        <v>0</v>
      </c>
      <c r="Q95" s="146">
        <f ca="1">IF(Q93=0,0,(('Assumptions &amp; Results'!$C$101-'Assumptions &amp; Results'!$C$102/(Q93*100))/100))</f>
        <v>0</v>
      </c>
      <c r="R95" s="146">
        <f ca="1">IF(R93=0,0,(('Assumptions &amp; Results'!$C$101-'Assumptions &amp; Results'!$C$102/(R93*100))/100))</f>
        <v>0</v>
      </c>
      <c r="S95" s="146">
        <f ca="1">IF(S93=0,0,(('Assumptions &amp; Results'!$C$101-'Assumptions &amp; Results'!$C$102/(S93*100))/100))</f>
        <v>0</v>
      </c>
      <c r="T95" s="146">
        <f ca="1">IF(T93=0,0,(('Assumptions &amp; Results'!$C$101-'Assumptions &amp; Results'!$C$102/(T93*100))/100))</f>
        <v>0</v>
      </c>
      <c r="U95" s="146">
        <f ca="1">IF(U93=0,0,(('Assumptions &amp; Results'!$C$101-'Assumptions &amp; Results'!$C$102/(U93*100))/100))</f>
        <v>0</v>
      </c>
      <c r="V95" s="146">
        <f ca="1">IF(V93=0,0,(('Assumptions &amp; Results'!$C$101-'Assumptions &amp; Results'!$C$102/(V93*100))/100))</f>
        <v>0</v>
      </c>
      <c r="W95" s="146">
        <f ca="1">IF(W93=0,0,(('Assumptions &amp; Results'!$C$101-'Assumptions &amp; Results'!$C$102/(W93*100))/100))</f>
        <v>0</v>
      </c>
      <c r="X95" s="146">
        <f ca="1">IF(X93=0,0,(('Assumptions &amp; Results'!$C$101-'Assumptions &amp; Results'!$C$102/(X93*100))/100))</f>
        <v>0</v>
      </c>
      <c r="Y95" s="146">
        <f ca="1">IF(Y93=0,0,(('Assumptions &amp; Results'!$C$101-'Assumptions &amp; Results'!$C$102/(Y93*100))/100))</f>
        <v>0</v>
      </c>
      <c r="Z95" s="146">
        <f ca="1">IF(Z93=0,0,(('Assumptions &amp; Results'!$C$101-'Assumptions &amp; Results'!$C$102/(Z93*100))/100))</f>
        <v>0</v>
      </c>
      <c r="AA95" s="146">
        <f ca="1">IF(AA93=0,0,(('Assumptions &amp; Results'!$C$101-'Assumptions &amp; Results'!$C$102/(AA93*100))/100))</f>
        <v>0</v>
      </c>
      <c r="AB95" s="146">
        <f ca="1">IF(AB93=0,0,(('Assumptions &amp; Results'!$C$101-'Assumptions &amp; Results'!$C$102/(AB93*100))/100))</f>
        <v>0</v>
      </c>
      <c r="AC95" s="146">
        <f ca="1">IF(AC93=0,0,(('Assumptions &amp; Results'!$C$101-'Assumptions &amp; Results'!$C$102/(AC93*100))/100))</f>
        <v>0</v>
      </c>
      <c r="AD95" s="146">
        <f ca="1">IF(AD93=0,0,(('Assumptions &amp; Results'!$C$101-'Assumptions &amp; Results'!$C$102/(AD93*100))/100))</f>
        <v>0</v>
      </c>
      <c r="AE95" s="146">
        <f ca="1">IF(AE93=0,0,(('Assumptions &amp; Results'!$C$101-'Assumptions &amp; Results'!$C$102/(AE93*100))/100))</f>
        <v>0</v>
      </c>
      <c r="AF95" s="146">
        <f ca="1">IF(AF93=0,0,(('Assumptions &amp; Results'!$C$101-'Assumptions &amp; Results'!$C$102/(AF93*100))/100))</f>
        <v>0</v>
      </c>
      <c r="AG95" s="146">
        <f ca="1">IF(AG93=0,0,(('Assumptions &amp; Results'!$C$101-'Assumptions &amp; Results'!$C$102/(AG93*100))/100))</f>
        <v>0</v>
      </c>
      <c r="AH95" s="146">
        <f ca="1">IF(AH93=0,0,(('Assumptions &amp; Results'!$C$101-'Assumptions &amp; Results'!$C$102/(AH93*100))/100))</f>
        <v>0</v>
      </c>
      <c r="AI95" s="146">
        <f ca="1">IF(AI93=0,0,(('Assumptions &amp; Results'!$C$101-'Assumptions &amp; Results'!$C$102/(AI93*100))/100))</f>
        <v>0</v>
      </c>
      <c r="AJ95" s="146">
        <f>IF(AJ93=0,0,(('Assumptions &amp; Results'!$C$101-'Assumptions &amp; Results'!$C$102/(AJ93*100))/100))</f>
        <v>0</v>
      </c>
      <c r="AK95" s="146">
        <f>IF(AK93=0,0,(('Assumptions &amp; Results'!$C$101-'Assumptions &amp; Results'!$C$102/(AK93*100))/100))</f>
        <v>0</v>
      </c>
      <c r="AL95" s="146">
        <f>IF(AL93=0,0,(('Assumptions &amp; Results'!$C$101-'Assumptions &amp; Results'!$C$102/(AL93*100))/100))</f>
        <v>0</v>
      </c>
      <c r="AM95" s="146">
        <f>IF(AM93=0,0,(('Assumptions &amp; Results'!$C$101-'Assumptions &amp; Results'!$C$102/(AM93*100))/100))</f>
        <v>0</v>
      </c>
      <c r="AN95" s="146">
        <f>IF(AN93=0,0,(('Assumptions &amp; Results'!$C$101-'Assumptions &amp; Results'!$C$102/(AN93*100))/100))</f>
        <v>0</v>
      </c>
      <c r="AO95" s="146">
        <f>IF(AO93=0,0,(('Assumptions &amp; Results'!$C$101-'Assumptions &amp; Results'!$C$102/(AO93*100))/100))</f>
        <v>0</v>
      </c>
      <c r="AP95" s="146">
        <f>IF(AP93=0,0,(('Assumptions &amp; Results'!$C$101-'Assumptions &amp; Results'!$C$102/(AP93*100))/100))</f>
        <v>0</v>
      </c>
      <c r="AQ95" s="146">
        <f>IF(AQ93=0,0,(('Assumptions &amp; Results'!$C$101-'Assumptions &amp; Results'!$C$102/(AQ93*100))/100))</f>
        <v>0</v>
      </c>
      <c r="AR95" s="146">
        <f>IF(AR93=0,0,(('Assumptions &amp; Results'!$C$101-'Assumptions &amp; Results'!$C$102/(AR93*100))/100))</f>
        <v>0</v>
      </c>
      <c r="AS95" s="146">
        <f>IF(AS93=0,0,(('Assumptions &amp; Results'!$C$101-'Assumptions &amp; Results'!$C$102/(AS93*100))/100))</f>
        <v>0</v>
      </c>
      <c r="AT95" s="146">
        <f>IF(AT93=0,0,(('Assumptions &amp; Results'!$C$101-'Assumptions &amp; Results'!$C$102/(AT93*100))/100))</f>
        <v>0</v>
      </c>
      <c r="AU95" s="146">
        <f>IF(AU93=0,0,(('Assumptions &amp; Results'!$C$101-'Assumptions &amp; Results'!$C$102/(AU93*100))/100))</f>
        <v>0</v>
      </c>
      <c r="AV95" s="146">
        <f>IF(AV93=0,0,(('Assumptions &amp; Results'!$C$101-'Assumptions &amp; Results'!$C$102/(AV93*100))/100))</f>
        <v>0</v>
      </c>
      <c r="AW95" s="146">
        <f>IF(AW93=0,0,(('Assumptions &amp; Results'!$C$101-'Assumptions &amp; Results'!$C$102/(AW93*100))/100))</f>
        <v>0</v>
      </c>
      <c r="AX95" s="146">
        <f>IF(AX93=0,0,(('Assumptions &amp; Results'!$C$101-'Assumptions &amp; Results'!$C$102/(AX93*100))/100))</f>
        <v>0</v>
      </c>
      <c r="AY95" s="146">
        <f>IF(AY93=0,0,(('Assumptions &amp; Results'!$C$101-'Assumptions &amp; Results'!$C$102/(AY93*100))/100))</f>
        <v>0</v>
      </c>
      <c r="AZ95" s="146">
        <f>IF(AZ93=0,0,(('Assumptions &amp; Results'!$C$101-'Assumptions &amp; Results'!$C$102/(AZ93*100))/100))</f>
        <v>0</v>
      </c>
      <c r="BA95" s="146">
        <f>IF(BA93=0,0,(('Assumptions &amp; Results'!$C$101-'Assumptions &amp; Results'!$C$102/(BA93*100))/100))</f>
        <v>0</v>
      </c>
      <c r="BB95" s="146">
        <f>IF(BB93=0,0,(('Assumptions &amp; Results'!$C$101-'Assumptions &amp; Results'!$C$102/(BB93*100))/100))</f>
        <v>0</v>
      </c>
    </row>
    <row r="96" spans="1:56" x14ac:dyDescent="0.2">
      <c r="A96" s="37">
        <f t="shared" ca="1" si="60"/>
        <v>0</v>
      </c>
      <c r="B96" s="37">
        <f ca="1">NPV('Assumptions &amp; Results'!$C$129,Calculations!E96:BB96)</f>
        <v>0</v>
      </c>
      <c r="C96" s="66" t="s">
        <v>299</v>
      </c>
      <c r="D96" s="36" t="s">
        <v>75</v>
      </c>
      <c r="E96" s="51">
        <f ca="1">IF(E92&gt;0,E95*E92,0)</f>
        <v>0</v>
      </c>
      <c r="F96" s="51">
        <f t="shared" ref="F96:BB96" ca="1" si="103">IF(F92&gt;0,F95*F92,0)</f>
        <v>0</v>
      </c>
      <c r="G96" s="51">
        <f t="shared" ca="1" si="103"/>
        <v>0</v>
      </c>
      <c r="H96" s="51">
        <f t="shared" ca="1" si="103"/>
        <v>0</v>
      </c>
      <c r="I96" s="51">
        <f t="shared" ca="1" si="103"/>
        <v>0</v>
      </c>
      <c r="J96" s="51">
        <f t="shared" ca="1" si="103"/>
        <v>0</v>
      </c>
      <c r="K96" s="51">
        <f t="shared" ca="1" si="103"/>
        <v>0</v>
      </c>
      <c r="L96" s="51">
        <f t="shared" ca="1" si="103"/>
        <v>0</v>
      </c>
      <c r="M96" s="51">
        <f t="shared" ca="1" si="103"/>
        <v>0</v>
      </c>
      <c r="N96" s="51">
        <f t="shared" ca="1" si="103"/>
        <v>0</v>
      </c>
      <c r="O96" s="51">
        <f t="shared" ca="1" si="103"/>
        <v>0</v>
      </c>
      <c r="P96" s="51">
        <f t="shared" ca="1" si="103"/>
        <v>0</v>
      </c>
      <c r="Q96" s="51">
        <f t="shared" ca="1" si="103"/>
        <v>0</v>
      </c>
      <c r="R96" s="51">
        <f t="shared" ca="1" si="103"/>
        <v>0</v>
      </c>
      <c r="S96" s="51">
        <f t="shared" ca="1" si="103"/>
        <v>0</v>
      </c>
      <c r="T96" s="51">
        <f t="shared" ca="1" si="103"/>
        <v>0</v>
      </c>
      <c r="U96" s="51">
        <f t="shared" ca="1" si="103"/>
        <v>0</v>
      </c>
      <c r="V96" s="51">
        <f t="shared" ca="1" si="103"/>
        <v>0</v>
      </c>
      <c r="W96" s="51">
        <f t="shared" ca="1" si="103"/>
        <v>0</v>
      </c>
      <c r="X96" s="51">
        <f t="shared" ca="1" si="103"/>
        <v>0</v>
      </c>
      <c r="Y96" s="51">
        <f t="shared" ca="1" si="103"/>
        <v>0</v>
      </c>
      <c r="Z96" s="51">
        <f t="shared" ca="1" si="103"/>
        <v>0</v>
      </c>
      <c r="AA96" s="51">
        <f t="shared" ca="1" si="103"/>
        <v>0</v>
      </c>
      <c r="AB96" s="51">
        <f t="shared" ca="1" si="103"/>
        <v>0</v>
      </c>
      <c r="AC96" s="51">
        <f t="shared" ca="1" si="103"/>
        <v>0</v>
      </c>
      <c r="AD96" s="51">
        <f t="shared" ca="1" si="103"/>
        <v>0</v>
      </c>
      <c r="AE96" s="51">
        <f t="shared" ca="1" si="103"/>
        <v>0</v>
      </c>
      <c r="AF96" s="51">
        <f t="shared" ca="1" si="103"/>
        <v>0</v>
      </c>
      <c r="AG96" s="51">
        <f t="shared" ca="1" si="103"/>
        <v>0</v>
      </c>
      <c r="AH96" s="51">
        <f t="shared" ca="1" si="103"/>
        <v>0</v>
      </c>
      <c r="AI96" s="51">
        <f t="shared" ca="1" si="103"/>
        <v>0</v>
      </c>
      <c r="AJ96" s="51">
        <f t="shared" ca="1" si="103"/>
        <v>0</v>
      </c>
      <c r="AK96" s="51">
        <f t="shared" ca="1" si="103"/>
        <v>0</v>
      </c>
      <c r="AL96" s="51">
        <f t="shared" ca="1" si="103"/>
        <v>0</v>
      </c>
      <c r="AM96" s="51">
        <f t="shared" ca="1" si="103"/>
        <v>0</v>
      </c>
      <c r="AN96" s="51">
        <f t="shared" ca="1" si="103"/>
        <v>0</v>
      </c>
      <c r="AO96" s="51">
        <f t="shared" ca="1" si="103"/>
        <v>0</v>
      </c>
      <c r="AP96" s="51">
        <f t="shared" ca="1" si="103"/>
        <v>0</v>
      </c>
      <c r="AQ96" s="51">
        <f t="shared" ca="1" si="103"/>
        <v>0</v>
      </c>
      <c r="AR96" s="51">
        <f t="shared" ca="1" si="103"/>
        <v>0</v>
      </c>
      <c r="AS96" s="51">
        <f t="shared" ca="1" si="103"/>
        <v>0</v>
      </c>
      <c r="AT96" s="51">
        <f t="shared" ca="1" si="103"/>
        <v>0</v>
      </c>
      <c r="AU96" s="51">
        <f t="shared" ca="1" si="103"/>
        <v>0</v>
      </c>
      <c r="AV96" s="51">
        <f t="shared" ca="1" si="103"/>
        <v>0</v>
      </c>
      <c r="AW96" s="51">
        <f t="shared" ca="1" si="103"/>
        <v>0</v>
      </c>
      <c r="AX96" s="51">
        <f t="shared" ca="1" si="103"/>
        <v>0</v>
      </c>
      <c r="AY96" s="51">
        <f t="shared" ca="1" si="103"/>
        <v>0</v>
      </c>
      <c r="AZ96" s="51">
        <f t="shared" ca="1" si="103"/>
        <v>0</v>
      </c>
      <c r="BA96" s="51">
        <f t="shared" ca="1" si="103"/>
        <v>0</v>
      </c>
      <c r="BB96" s="51">
        <f t="shared" ca="1" si="103"/>
        <v>0</v>
      </c>
      <c r="BC96" s="38"/>
      <c r="BD96" s="38"/>
    </row>
    <row r="97" spans="1:56" x14ac:dyDescent="0.2">
      <c r="A97" s="37">
        <f t="shared" ca="1" si="60"/>
        <v>0</v>
      </c>
      <c r="B97" s="37">
        <f ca="1">NPV('Assumptions &amp; Results'!$C$129,Calculations!E97:BB97)</f>
        <v>0</v>
      </c>
      <c r="C97" s="66" t="s">
        <v>327</v>
      </c>
      <c r="D97" s="36" t="s">
        <v>75</v>
      </c>
      <c r="E97" s="51">
        <f ca="1">IF(E92&gt;0,'Assumptions &amp; Results'!$C$114*Calculations!E92,0)</f>
        <v>0</v>
      </c>
      <c r="F97" s="51">
        <f ca="1">IF(F92&gt;0,'Assumptions &amp; Results'!$C$114*Calculations!F92,0)</f>
        <v>0</v>
      </c>
      <c r="G97" s="51">
        <f ca="1">IF(G92&gt;0,'Assumptions &amp; Results'!$C$114*Calculations!G92,0)</f>
        <v>0</v>
      </c>
      <c r="H97" s="51">
        <f ca="1">IF(H92&gt;0,'Assumptions &amp; Results'!$C$114*Calculations!H92,0)</f>
        <v>0</v>
      </c>
      <c r="I97" s="51">
        <f ca="1">IF(I92&gt;0,'Assumptions &amp; Results'!$C$114*Calculations!I92,0)</f>
        <v>0</v>
      </c>
      <c r="J97" s="51">
        <f ca="1">IF(J92&gt;0,'Assumptions &amp; Results'!$C$114*Calculations!J92,0)</f>
        <v>0</v>
      </c>
      <c r="K97" s="51">
        <f ca="1">IF(K92&gt;0,'Assumptions &amp; Results'!$C$114*Calculations!K92,0)</f>
        <v>0</v>
      </c>
      <c r="L97" s="51">
        <f ca="1">IF(L92&gt;0,'Assumptions &amp; Results'!$C$114*Calculations!L92,0)</f>
        <v>0</v>
      </c>
      <c r="M97" s="51">
        <f ca="1">IF(M92&gt;0,'Assumptions &amp; Results'!$C$114*Calculations!M92,0)</f>
        <v>0</v>
      </c>
      <c r="N97" s="51">
        <f ca="1">IF(N92&gt;0,'Assumptions &amp; Results'!$C$114*Calculations!N92,0)</f>
        <v>0</v>
      </c>
      <c r="O97" s="51">
        <f ca="1">IF(O92&gt;0,'Assumptions &amp; Results'!$C$114*Calculations!O92,0)</f>
        <v>0</v>
      </c>
      <c r="P97" s="51">
        <f ca="1">IF(P92&gt;0,'Assumptions &amp; Results'!$C$114*Calculations!P92,0)</f>
        <v>0</v>
      </c>
      <c r="Q97" s="51">
        <f ca="1">IF(Q92&gt;0,'Assumptions &amp; Results'!$C$114*Calculations!Q92,0)</f>
        <v>0</v>
      </c>
      <c r="R97" s="51">
        <f ca="1">IF(R92&gt;0,'Assumptions &amp; Results'!$C$114*Calculations!R92,0)</f>
        <v>0</v>
      </c>
      <c r="S97" s="51">
        <f ca="1">IF(S92&gt;0,'Assumptions &amp; Results'!$C$114*Calculations!S92,0)</f>
        <v>0</v>
      </c>
      <c r="T97" s="51">
        <f ca="1">IF(T92&gt;0,'Assumptions &amp; Results'!$C$114*Calculations!T92,0)</f>
        <v>0</v>
      </c>
      <c r="U97" s="51">
        <f ca="1">IF(U92&gt;0,'Assumptions &amp; Results'!$C$114*Calculations!U92,0)</f>
        <v>0</v>
      </c>
      <c r="V97" s="51">
        <f ca="1">IF(V92&gt;0,'Assumptions &amp; Results'!$C$114*Calculations!V92,0)</f>
        <v>0</v>
      </c>
      <c r="W97" s="51">
        <f ca="1">IF(W92&gt;0,'Assumptions &amp; Results'!$C$114*Calculations!W92,0)</f>
        <v>0</v>
      </c>
      <c r="X97" s="51">
        <f ca="1">IF(X92&gt;0,'Assumptions &amp; Results'!$C$114*Calculations!X92,0)</f>
        <v>0</v>
      </c>
      <c r="Y97" s="51">
        <f ca="1">IF(Y92&gt;0,'Assumptions &amp; Results'!$C$114*Calculations!Y92,0)</f>
        <v>0</v>
      </c>
      <c r="Z97" s="51">
        <f ca="1">IF(Z92&gt;0,'Assumptions &amp; Results'!$C$114*Calculations!Z92,0)</f>
        <v>0</v>
      </c>
      <c r="AA97" s="51">
        <f ca="1">IF(AA92&gt;0,'Assumptions &amp; Results'!$C$114*Calculations!AA92,0)</f>
        <v>0</v>
      </c>
      <c r="AB97" s="51">
        <f ca="1">IF(AB92&gt;0,'Assumptions &amp; Results'!$C$114*Calculations!AB92,0)</f>
        <v>0</v>
      </c>
      <c r="AC97" s="51">
        <f ca="1">IF(AC92&gt;0,'Assumptions &amp; Results'!$C$114*Calculations!AC92,0)</f>
        <v>0</v>
      </c>
      <c r="AD97" s="51">
        <f ca="1">IF(AD92&gt;0,'Assumptions &amp; Results'!$C$114*Calculations!AD92,0)</f>
        <v>0</v>
      </c>
      <c r="AE97" s="51">
        <f ca="1">IF(AE92&gt;0,'Assumptions &amp; Results'!$C$114*Calculations!AE92,0)</f>
        <v>0</v>
      </c>
      <c r="AF97" s="51">
        <f ca="1">IF(AF92&gt;0,'Assumptions &amp; Results'!$C$114*Calculations!AF92,0)</f>
        <v>0</v>
      </c>
      <c r="AG97" s="51">
        <f ca="1">IF(AG92&gt;0,'Assumptions &amp; Results'!$C$114*Calculations!AG92,0)</f>
        <v>0</v>
      </c>
      <c r="AH97" s="51">
        <f ca="1">IF(AH92&gt;0,'Assumptions &amp; Results'!$C$114*Calculations!AH92,0)</f>
        <v>0</v>
      </c>
      <c r="AI97" s="51">
        <f ca="1">IF(AI92&gt;0,'Assumptions &amp; Results'!$C$114*Calculations!AI92,0)</f>
        <v>0</v>
      </c>
      <c r="AJ97" s="51">
        <f ca="1">IF(AJ92&gt;0,'Assumptions &amp; Results'!$C$114*Calculations!AJ92,0)</f>
        <v>0</v>
      </c>
      <c r="AK97" s="51">
        <f ca="1">IF(AK92&gt;0,'Assumptions &amp; Results'!$C$114*Calculations!AK92,0)</f>
        <v>0</v>
      </c>
      <c r="AL97" s="51">
        <f ca="1">IF(AL92&gt;0,'Assumptions &amp; Results'!$C$114*Calculations!AL92,0)</f>
        <v>0</v>
      </c>
      <c r="AM97" s="51">
        <f ca="1">IF(AM92&gt;0,'Assumptions &amp; Results'!$C$114*Calculations!AM92,0)</f>
        <v>0</v>
      </c>
      <c r="AN97" s="51">
        <f ca="1">IF(AN92&gt;0,'Assumptions &amp; Results'!$C$114*Calculations!AN92,0)</f>
        <v>0</v>
      </c>
      <c r="AO97" s="51">
        <f ca="1">IF(AO92&gt;0,'Assumptions &amp; Results'!$C$114*Calculations!AO92,0)</f>
        <v>0</v>
      </c>
      <c r="AP97" s="51">
        <f ca="1">IF(AP92&gt;0,'Assumptions &amp; Results'!$C$114*Calculations!AP92,0)</f>
        <v>0</v>
      </c>
      <c r="AQ97" s="51">
        <f ca="1">IF(AQ92&gt;0,'Assumptions &amp; Results'!$C$114*Calculations!AQ92,0)</f>
        <v>0</v>
      </c>
      <c r="AR97" s="51">
        <f ca="1">IF(AR92&gt;0,'Assumptions &amp; Results'!$C$114*Calculations!AR92,0)</f>
        <v>0</v>
      </c>
      <c r="AS97" s="51">
        <f ca="1">IF(AS92&gt;0,'Assumptions &amp; Results'!$C$114*Calculations!AS92,0)</f>
        <v>0</v>
      </c>
      <c r="AT97" s="51">
        <f ca="1">IF(AT92&gt;0,'Assumptions &amp; Results'!$C$114*Calculations!AT92,0)</f>
        <v>0</v>
      </c>
      <c r="AU97" s="51">
        <f ca="1">IF(AU92&gt;0,'Assumptions &amp; Results'!$C$114*Calculations!AU92,0)</f>
        <v>0</v>
      </c>
      <c r="AV97" s="51">
        <f ca="1">IF(AV92&gt;0,'Assumptions &amp; Results'!$C$114*Calculations!AV92,0)</f>
        <v>0</v>
      </c>
      <c r="AW97" s="51">
        <f ca="1">IF(AW92&gt;0,'Assumptions &amp; Results'!$C$114*Calculations!AW92,0)</f>
        <v>0</v>
      </c>
      <c r="AX97" s="51">
        <f ca="1">IF(AX92&gt;0,'Assumptions &amp; Results'!$C$114*Calculations!AX92,0)</f>
        <v>0</v>
      </c>
      <c r="AY97" s="51">
        <f ca="1">IF(AY92&gt;0,'Assumptions &amp; Results'!$C$114*Calculations!AY92,0)</f>
        <v>0</v>
      </c>
      <c r="AZ97" s="51">
        <f ca="1">IF(AZ92&gt;0,'Assumptions &amp; Results'!$C$114*Calculations!AZ92,0)</f>
        <v>0</v>
      </c>
      <c r="BA97" s="51">
        <f ca="1">IF(BA92&gt;0,'Assumptions &amp; Results'!$C$114*Calculations!BA92,0)</f>
        <v>0</v>
      </c>
      <c r="BB97" s="51">
        <f ca="1">IF(BB92&gt;0,'Assumptions &amp; Results'!$C$114*Calculations!BB92,0)</f>
        <v>0</v>
      </c>
      <c r="BC97" s="38"/>
      <c r="BD97" s="38"/>
    </row>
    <row r="98" spans="1:56" x14ac:dyDescent="0.2">
      <c r="A98" s="37">
        <f t="shared" ca="1" si="60"/>
        <v>2406.2793220507833</v>
      </c>
      <c r="B98" s="37">
        <f ca="1">NPV('Assumptions &amp; Results'!$C$129,Calculations!E98:BB98)</f>
        <v>274.54988420575017</v>
      </c>
      <c r="C98" s="66" t="s">
        <v>356</v>
      </c>
      <c r="D98" s="36" t="s">
        <v>75</v>
      </c>
      <c r="E98" s="51">
        <f ca="1">IF(AND(E1&gt;='Assumptions &amp; Results'!$C$122+'Assumptions &amp; Results'!$C$103,E92&gt;0),'Assumptions &amp; Results'!$C$99*E92,0)</f>
        <v>0</v>
      </c>
      <c r="F98" s="51">
        <f ca="1">IF(AND(F1&gt;='Assumptions &amp; Results'!$C$122+'Assumptions &amp; Results'!$C$103,F92&gt;0),'Assumptions &amp; Results'!$C$99*F92,0)</f>
        <v>0</v>
      </c>
      <c r="G98" s="51">
        <f ca="1">IF(AND(G1&gt;='Assumptions &amp; Results'!$C$122+'Assumptions &amp; Results'!$C$103,G92&gt;0),'Assumptions &amp; Results'!$C$99*G92,0)</f>
        <v>0</v>
      </c>
      <c r="H98" s="51">
        <f ca="1">IF(AND(H1&gt;='Assumptions &amp; Results'!$C$122+'Assumptions &amp; Results'!$C$103,H92&gt;0),'Assumptions &amp; Results'!$C$99*H92,0)</f>
        <v>0</v>
      </c>
      <c r="I98" s="51">
        <f ca="1">IF(AND(I1&gt;='Assumptions &amp; Results'!$C$122+'Assumptions &amp; Results'!$C$103,I92&gt;0),'Assumptions &amp; Results'!$C$99*I92,0)</f>
        <v>0</v>
      </c>
      <c r="J98" s="51">
        <f ca="1">IF(AND(J1&gt;='Assumptions &amp; Results'!$C$122+'Assumptions &amp; Results'!$C$103,J92&gt;0),'Assumptions &amp; Results'!$C$99*J92,0)</f>
        <v>0</v>
      </c>
      <c r="K98" s="51">
        <f ca="1">IF(AND(K1&gt;='Assumptions &amp; Results'!$C$122+'Assumptions &amp; Results'!$C$103,K92&gt;0),'Assumptions &amp; Results'!$C$99*K92,0)</f>
        <v>0</v>
      </c>
      <c r="L98" s="51">
        <f ca="1">IF(AND(L1&gt;='Assumptions &amp; Results'!$C$122+'Assumptions &amp; Results'!$C$103,L92&gt;0),'Assumptions &amp; Results'!$C$99*L92,0)</f>
        <v>0</v>
      </c>
      <c r="M98" s="51">
        <f ca="1">IF(AND(M1&gt;='Assumptions &amp; Results'!$C$122+'Assumptions &amp; Results'!$C$103,M92&gt;0),'Assumptions &amp; Results'!$C$99*M92,0)</f>
        <v>0</v>
      </c>
      <c r="N98" s="51">
        <f ca="1">IF(AND(N1&gt;='Assumptions &amp; Results'!$C$122+'Assumptions &amp; Results'!$C$103,N92&gt;0),'Assumptions &amp; Results'!$C$99*N92,0)</f>
        <v>79.920175323974888</v>
      </c>
      <c r="O98" s="51">
        <f ca="1">IF(AND(O1&gt;='Assumptions &amp; Results'!$C$122+'Assumptions &amp; Results'!$C$103,O92&gt;0),'Assumptions &amp; Results'!$C$99*O92,0)</f>
        <v>86.409867917577245</v>
      </c>
      <c r="P98" s="51">
        <f ca="1">IF(AND(P1&gt;='Assumptions &amp; Results'!$C$122+'Assumptions &amp; Results'!$C$103,P92&gt;0),'Assumptions &amp; Results'!$C$99*P92,0)</f>
        <v>90.844750487928778</v>
      </c>
      <c r="Q98" s="51">
        <f ca="1">IF(AND(Q1&gt;='Assumptions &amp; Results'!$C$122+'Assumptions &amp; Results'!$C$103,Q92&gt;0),'Assumptions &amp; Results'!$C$99*Q92,0)</f>
        <v>94.091592218687367</v>
      </c>
      <c r="R98" s="51">
        <f ca="1">IF(AND(R1&gt;='Assumptions &amp; Results'!$C$122+'Assumptions &amp; Results'!$C$103,R92&gt;0),'Assumptions &amp; Results'!$C$99*R92,0)</f>
        <v>95.973424063061103</v>
      </c>
      <c r="S98" s="51">
        <f ca="1">IF(AND(S1&gt;='Assumptions &amp; Results'!$C$122+'Assumptions &amp; Results'!$C$103,S92&gt;0),'Assumptions &amp; Results'!$C$99*S92,0)</f>
        <v>97.892892544322308</v>
      </c>
      <c r="T98" s="51">
        <f ca="1">IF(AND(T1&gt;='Assumptions &amp; Results'!$C$122+'Assumptions &amp; Results'!$C$103,T92&gt;0),'Assumptions &amp; Results'!$C$99*T92,0)</f>
        <v>99.850750395208792</v>
      </c>
      <c r="U98" s="51">
        <f ca="1">IF(AND(U1&gt;='Assumptions &amp; Results'!$C$122+'Assumptions &amp; Results'!$C$103,U92&gt;0),'Assumptions &amp; Results'!$C$99*U92,0)</f>
        <v>101.84776540311296</v>
      </c>
      <c r="V98" s="51">
        <f ca="1">IF(AND(V1&gt;='Assumptions &amp; Results'!$C$122+'Assumptions &amp; Results'!$C$103,V92&gt;0),'Assumptions &amp; Results'!$C$99*V92,0)</f>
        <v>103.88472071117522</v>
      </c>
      <c r="W98" s="51">
        <f ca="1">IF(AND(W1&gt;='Assumptions &amp; Results'!$C$122+'Assumptions &amp; Results'!$C$103,W92&gt;0),'Assumptions &amp; Results'!$C$99*W92,0)</f>
        <v>105.96241512539873</v>
      </c>
      <c r="X98" s="51">
        <f ca="1">IF(AND(X1&gt;='Assumptions &amp; Results'!$C$122+'Assumptions &amp; Results'!$C$103,X92&gt;0),'Assumptions &amp; Results'!$C$99*X92,0)</f>
        <v>108.08166342790672</v>
      </c>
      <c r="Y98" s="51">
        <f ca="1">IF(AND(Y1&gt;='Assumptions &amp; Results'!$C$122+'Assumptions &amp; Results'!$C$103,Y92&gt;0),'Assumptions &amp; Results'!$C$99*Y92,0)</f>
        <v>110.24329669646487</v>
      </c>
      <c r="Z98" s="51">
        <f ca="1">IF(AND(Z1&gt;='Assumptions &amp; Results'!$C$122+'Assumptions &amp; Results'!$C$103,Z92&gt;0),'Assumptions &amp; Results'!$C$99*Z92,0)</f>
        <v>112.44816263039417</v>
      </c>
      <c r="AA98" s="51">
        <f ca="1">IF(AND(AA1&gt;='Assumptions &amp; Results'!$C$122+'Assumptions &amp; Results'!$C$103,AA92&gt;0),'Assumptions &amp; Results'!$C$99*AA92,0)</f>
        <v>114.69712588300202</v>
      </c>
      <c r="AB98" s="51">
        <f ca="1">IF(AND(AB1&gt;='Assumptions &amp; Results'!$C$122+'Assumptions &amp; Results'!$C$103,AB92&gt;0),'Assumptions &amp; Results'!$C$99*AB92,0)</f>
        <v>116.99106840066209</v>
      </c>
      <c r="AC98" s="51">
        <f ca="1">IF(AND(AC1&gt;='Assumptions &amp; Results'!$C$122+'Assumptions &amp; Results'!$C$103,AC92&gt;0),'Assumptions &amp; Results'!$C$99*AC92,0)</f>
        <v>119.33088976867532</v>
      </c>
      <c r="AD98" s="51">
        <f ca="1">IF(AND(AD1&gt;='Assumptions &amp; Results'!$C$122+'Assumptions &amp; Results'!$C$103,AD92&gt;0),'Assumptions &amp; Results'!$C$99*AD92,0)</f>
        <v>121.71750756404886</v>
      </c>
      <c r="AE98" s="51">
        <f ca="1">IF(AND(AE1&gt;='Assumptions &amp; Results'!$C$122+'Assumptions &amp; Results'!$C$103,AE92&gt;0),'Assumptions &amp; Results'!$C$99*AE92,0)</f>
        <v>124.15185771532983</v>
      </c>
      <c r="AF98" s="51">
        <f ca="1">IF(AND(AF1&gt;='Assumptions &amp; Results'!$C$122+'Assumptions &amp; Results'!$C$103,AF92&gt;0),'Assumptions &amp; Results'!$C$99*AF92,0)</f>
        <v>126.63489486963637</v>
      </c>
      <c r="AG98" s="51">
        <f ca="1">IF(AND(AG1&gt;='Assumptions &amp; Results'!$C$122+'Assumptions &amp; Results'!$C$103,AG92&gt;0),'Assumptions &amp; Results'!$C$99*AG92,0)</f>
        <v>129.16759276702916</v>
      </c>
      <c r="AH98" s="51">
        <f ca="1">IF(AND(AH1&gt;='Assumptions &amp; Results'!$C$122+'Assumptions &amp; Results'!$C$103,AH92&gt;0),'Assumptions &amp; Results'!$C$99*AH92,0)</f>
        <v>131.7509446223697</v>
      </c>
      <c r="AI98" s="51">
        <f ca="1">IF(AND(AI1&gt;='Assumptions &amp; Results'!$C$122+'Assumptions &amp; Results'!$C$103,AI92&gt;0),'Assumptions &amp; Results'!$C$99*AI92,0)</f>
        <v>134.38596351481709</v>
      </c>
      <c r="AJ98" s="51">
        <f ca="1">IF(AND(AJ1&gt;='Assumptions &amp; Results'!$C$122+'Assumptions &amp; Results'!$C$103,AJ92&gt;0),'Assumptions &amp; Results'!$C$99*AJ92,0)</f>
        <v>0</v>
      </c>
      <c r="AK98" s="51">
        <f ca="1">IF(AND(AK1&gt;='Assumptions &amp; Results'!$C$122+'Assumptions &amp; Results'!$C$103,AK92&gt;0),'Assumptions &amp; Results'!$C$99*AK92,0)</f>
        <v>0</v>
      </c>
      <c r="AL98" s="51">
        <f ca="1">IF(AND(AL1&gt;='Assumptions &amp; Results'!$C$122+'Assumptions &amp; Results'!$C$103,AL92&gt;0),'Assumptions &amp; Results'!$C$99*AL92,0)</f>
        <v>0</v>
      </c>
      <c r="AM98" s="51">
        <f ca="1">IF(AND(AM1&gt;='Assumptions &amp; Results'!$C$122+'Assumptions &amp; Results'!$C$103,AM92&gt;0),'Assumptions &amp; Results'!$C$99*AM92,0)</f>
        <v>0</v>
      </c>
      <c r="AN98" s="51">
        <f ca="1">IF(AND(AN1&gt;='Assumptions &amp; Results'!$C$122+'Assumptions &amp; Results'!$C$103,AN92&gt;0),'Assumptions &amp; Results'!$C$99*AN92,0)</f>
        <v>0</v>
      </c>
      <c r="AO98" s="51">
        <f ca="1">IF(AND(AO1&gt;='Assumptions &amp; Results'!$C$122+'Assumptions &amp; Results'!$C$103,AO92&gt;0),'Assumptions &amp; Results'!$C$99*AO92,0)</f>
        <v>0</v>
      </c>
      <c r="AP98" s="51">
        <f ca="1">IF(AND(AP1&gt;='Assumptions &amp; Results'!$C$122+'Assumptions &amp; Results'!$C$103,AP92&gt;0),'Assumptions &amp; Results'!$C$99*AP92,0)</f>
        <v>0</v>
      </c>
      <c r="AQ98" s="51">
        <f ca="1">IF(AND(AQ1&gt;='Assumptions &amp; Results'!$C$122+'Assumptions &amp; Results'!$C$103,AQ92&gt;0),'Assumptions &amp; Results'!$C$99*AQ92,0)</f>
        <v>0</v>
      </c>
      <c r="AR98" s="51">
        <f ca="1">IF(AND(AR1&gt;='Assumptions &amp; Results'!$C$122+'Assumptions &amp; Results'!$C$103,AR92&gt;0),'Assumptions &amp; Results'!$C$99*AR92,0)</f>
        <v>0</v>
      </c>
      <c r="AS98" s="51">
        <f ca="1">IF(AND(AS1&gt;='Assumptions &amp; Results'!$C$122+'Assumptions &amp; Results'!$C$103,AS92&gt;0),'Assumptions &amp; Results'!$C$99*AS92,0)</f>
        <v>0</v>
      </c>
      <c r="AT98" s="51">
        <f ca="1">IF(AND(AT1&gt;='Assumptions &amp; Results'!$C$122+'Assumptions &amp; Results'!$C$103,AT92&gt;0),'Assumptions &amp; Results'!$C$99*AT92,0)</f>
        <v>0</v>
      </c>
      <c r="AU98" s="51">
        <f ca="1">IF(AND(AU1&gt;='Assumptions &amp; Results'!$C$122+'Assumptions &amp; Results'!$C$103,AU92&gt;0),'Assumptions &amp; Results'!$C$99*AU92,0)</f>
        <v>0</v>
      </c>
      <c r="AV98" s="51">
        <f ca="1">IF(AND(AV1&gt;='Assumptions &amp; Results'!$C$122+'Assumptions &amp; Results'!$C$103,AV92&gt;0),'Assumptions &amp; Results'!$C$99*AV92,0)</f>
        <v>0</v>
      </c>
      <c r="AW98" s="51">
        <f ca="1">IF(AND(AW1&gt;='Assumptions &amp; Results'!$C$122+'Assumptions &amp; Results'!$C$103,AW92&gt;0),'Assumptions &amp; Results'!$C$99*AW92,0)</f>
        <v>0</v>
      </c>
      <c r="AX98" s="51">
        <f ca="1">IF(AND(AX1&gt;='Assumptions &amp; Results'!$C$122+'Assumptions &amp; Results'!$C$103,AX92&gt;0),'Assumptions &amp; Results'!$C$99*AX92,0)</f>
        <v>0</v>
      </c>
      <c r="AY98" s="51">
        <f ca="1">IF(AND(AY1&gt;='Assumptions &amp; Results'!$C$122+'Assumptions &amp; Results'!$C$103,AY92&gt;0),'Assumptions &amp; Results'!$C$99*AY92,0)</f>
        <v>0</v>
      </c>
      <c r="AZ98" s="51">
        <f ca="1">IF(AND(AZ1&gt;='Assumptions &amp; Results'!$C$122+'Assumptions &amp; Results'!$C$103,AZ92&gt;0),'Assumptions &amp; Results'!$C$99*AZ92,0)</f>
        <v>0</v>
      </c>
      <c r="BA98" s="51">
        <f ca="1">IF(AND(BA1&gt;='Assumptions &amp; Results'!$C$122+'Assumptions &amp; Results'!$C$103,BA92&gt;0),'Assumptions &amp; Results'!$C$99*BA92,0)</f>
        <v>0</v>
      </c>
      <c r="BB98" s="51">
        <f ca="1">IF(AND(BB1&gt;='Assumptions &amp; Results'!$C$122+'Assumptions &amp; Results'!$C$103,BB92&gt;0),'Assumptions &amp; Results'!$C$99*BB92,0)</f>
        <v>0</v>
      </c>
      <c r="BC98" s="38"/>
      <c r="BD98" s="38"/>
    </row>
    <row r="99" spans="1:56" x14ac:dyDescent="0.2">
      <c r="A99" s="37"/>
      <c r="B99" s="37"/>
      <c r="C99" s="33" t="s">
        <v>10</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38"/>
      <c r="BD99" s="38"/>
    </row>
    <row r="100" spans="1:56" x14ac:dyDescent="0.2">
      <c r="A100" s="37">
        <f t="shared" ca="1" si="60"/>
        <v>-4470.5153193323549</v>
      </c>
      <c r="B100" s="37">
        <f ca="1">NPV('Assumptions &amp; Results'!$C$129,Calculations!E100:BB100)</f>
        <v>-2842.2221261853488</v>
      </c>
      <c r="C100" s="66" t="s">
        <v>11</v>
      </c>
      <c r="D100" s="36" t="s">
        <v>75</v>
      </c>
      <c r="E100" s="51">
        <f ca="1">E121</f>
        <v>-250</v>
      </c>
      <c r="F100" s="51">
        <f ca="1">IF(E100&lt;0,E100*(1+'Assumptions &amp; Results'!$C$93)+F121,0)</f>
        <v>-505</v>
      </c>
      <c r="G100" s="51">
        <f ca="1">IF(F100&lt;0,F100*(1+'Assumptions &amp; Results'!$C$93)+G121,0)</f>
        <v>-765.1</v>
      </c>
      <c r="H100" s="51">
        <f ca="1">IF(G100&lt;0,G100*(1+'Assumptions &amp; Results'!$C$93)+H121,0)</f>
        <v>-1030.402</v>
      </c>
      <c r="I100" s="51">
        <f ca="1">IF(H100&lt;0,H100*(1+'Assumptions &amp; Results'!$C$93)+I121,0)</f>
        <v>-917.71301863244798</v>
      </c>
      <c r="J100" s="51">
        <f ca="1">IF(I100&lt;0,I100*(1+'Assumptions &amp; Results'!$C$93)+J121,0)</f>
        <v>-648.72360438722558</v>
      </c>
      <c r="K100" s="51">
        <f ca="1">IF(J100&lt;0,J100*(1+'Assumptions &amp; Results'!$C$93)+K121,0)</f>
        <v>-381.82761567133463</v>
      </c>
      <c r="L100" s="51">
        <f ca="1">IF(K100&lt;0,K100*(1+'Assumptions &amp; Results'!$C$93)+L121,0)</f>
        <v>-117.21638527164646</v>
      </c>
      <c r="M100" s="51">
        <f ca="1">IF(L100&lt;0,L100*(1+'Assumptions &amp; Results'!$C$93)+M121,0)</f>
        <v>145.46730463029951</v>
      </c>
      <c r="N100" s="51">
        <f ca="1">IF(M100&lt;0,M100*(1+'Assumptions &amp; Results'!$C$93)+N121,0)</f>
        <v>0</v>
      </c>
      <c r="O100" s="51">
        <f ca="1">IF(N100&lt;0,N100*(1+'Assumptions &amp; Results'!$C$93)+O121,0)</f>
        <v>0</v>
      </c>
      <c r="P100" s="51">
        <f ca="1">IF(O100&lt;0,O100*(1+'Assumptions &amp; Results'!$C$93)+P121,0)</f>
        <v>0</v>
      </c>
      <c r="Q100" s="51">
        <f ca="1">IF(P100&lt;0,P100*(1+'Assumptions &amp; Results'!$C$93)+Q121,0)</f>
        <v>0</v>
      </c>
      <c r="R100" s="51">
        <f ca="1">IF(Q100&lt;0,Q100*(1+'Assumptions &amp; Results'!$C$93)+R121,0)</f>
        <v>0</v>
      </c>
      <c r="S100" s="51">
        <f ca="1">IF(R100&lt;0,R100*(1+'Assumptions &amp; Results'!$C$93)+S121,0)</f>
        <v>0</v>
      </c>
      <c r="T100" s="51">
        <f ca="1">IF(S100&lt;0,S100*(1+'Assumptions &amp; Results'!$C$93)+T121,0)</f>
        <v>0</v>
      </c>
      <c r="U100" s="51">
        <f ca="1">IF(T100&lt;0,T100*(1+'Assumptions &amp; Results'!$C$93)+U121,0)</f>
        <v>0</v>
      </c>
      <c r="V100" s="51">
        <f ca="1">IF(U100&lt;0,U100*(1+'Assumptions &amp; Results'!$C$93)+V121,0)</f>
        <v>0</v>
      </c>
      <c r="W100" s="51">
        <f ca="1">IF(V100&lt;0,V100*(1+'Assumptions &amp; Results'!$C$93)+W121,0)</f>
        <v>0</v>
      </c>
      <c r="X100" s="51">
        <f ca="1">IF(W100&lt;0,W100*(1+'Assumptions &amp; Results'!$C$93)+X121,0)</f>
        <v>0</v>
      </c>
      <c r="Y100" s="51">
        <f ca="1">IF(X100&lt;0,X100*(1+'Assumptions &amp; Results'!$C$93)+Y121,0)</f>
        <v>0</v>
      </c>
      <c r="Z100" s="51">
        <f ca="1">IF(Y100&lt;0,Y100*(1+'Assumptions &amp; Results'!$C$93)+Z121,0)</f>
        <v>0</v>
      </c>
      <c r="AA100" s="51">
        <f ca="1">IF(Z100&lt;0,Z100*(1+'Assumptions &amp; Results'!$C$93)+AA121,0)</f>
        <v>0</v>
      </c>
      <c r="AB100" s="51">
        <f ca="1">IF(AA100&lt;0,AA100*(1+'Assumptions &amp; Results'!$C$93)+AB121,0)</f>
        <v>0</v>
      </c>
      <c r="AC100" s="51">
        <f ca="1">IF(AB100&lt;0,AB100*(1+'Assumptions &amp; Results'!$C$93)+AC121,0)</f>
        <v>0</v>
      </c>
      <c r="AD100" s="51">
        <f ca="1">IF(AC100&lt;0,AC100*(1+'Assumptions &amp; Results'!$C$93)+AD121,0)</f>
        <v>0</v>
      </c>
      <c r="AE100" s="51">
        <f ca="1">IF(AD100&lt;0,AD100*(1+'Assumptions &amp; Results'!$C$93)+AE121,0)</f>
        <v>0</v>
      </c>
      <c r="AF100" s="51">
        <f ca="1">IF(AE100&lt;0,AE100*(1+'Assumptions &amp; Results'!$C$93)+AF121,0)</f>
        <v>0</v>
      </c>
      <c r="AG100" s="51">
        <f ca="1">IF(AF100&lt;0,AF100*(1+'Assumptions &amp; Results'!$C$93)+AG121,0)</f>
        <v>0</v>
      </c>
      <c r="AH100" s="51">
        <f ca="1">IF(AG100&lt;0,AG100*(1+'Assumptions &amp; Results'!$C$93)+AH121,0)</f>
        <v>0</v>
      </c>
      <c r="AI100" s="51">
        <f ca="1">IF(AH100&lt;0,AH100*(1+'Assumptions &amp; Results'!$C$93)+AI121,0)</f>
        <v>0</v>
      </c>
      <c r="AJ100" s="51">
        <f ca="1">IF(AI100&lt;0,AI100*(1+'Assumptions &amp; Results'!$C$93)+AJ121,0)</f>
        <v>0</v>
      </c>
      <c r="AK100" s="51">
        <f ca="1">IF(AJ100&lt;0,AJ100*(1+'Assumptions &amp; Results'!$C$93)+AK121,0)</f>
        <v>0</v>
      </c>
      <c r="AL100" s="51">
        <f ca="1">IF(AK100&lt;0,AK100*(1+'Assumptions &amp; Results'!$C$93)+AL121,0)</f>
        <v>0</v>
      </c>
      <c r="AM100" s="51">
        <f ca="1">IF(AL100&lt;0,AL100*(1+'Assumptions &amp; Results'!$C$93)+AM121,0)</f>
        <v>0</v>
      </c>
      <c r="AN100" s="51">
        <f ca="1">IF(AM100&lt;0,AM100*(1+'Assumptions &amp; Results'!$C$93)+AN121,0)</f>
        <v>0</v>
      </c>
      <c r="AO100" s="51">
        <f ca="1">IF(AN100&lt;0,AN100*(1+'Assumptions &amp; Results'!$C$93)+AO121,0)</f>
        <v>0</v>
      </c>
      <c r="AP100" s="51">
        <f ca="1">IF(AO100&lt;0,AO100*(1+'Assumptions &amp; Results'!$C$93)+AP121,0)</f>
        <v>0</v>
      </c>
      <c r="AQ100" s="51">
        <f ca="1">IF(AP100&lt;0,AP100*(1+'Assumptions &amp; Results'!$C$93)+AQ121,0)</f>
        <v>0</v>
      </c>
      <c r="AR100" s="51">
        <f ca="1">IF(AQ100&lt;0,AQ100*(1+'Assumptions &amp; Results'!$C$93)+AR121,0)</f>
        <v>0</v>
      </c>
      <c r="AS100" s="51">
        <f ca="1">IF(AR100&lt;0,AR100*(1+'Assumptions &amp; Results'!$C$93)+AS121,0)</f>
        <v>0</v>
      </c>
      <c r="AT100" s="51">
        <f ca="1">IF(AS100&lt;0,AS100*(1+'Assumptions &amp; Results'!$C$93)+AT121,0)</f>
        <v>0</v>
      </c>
      <c r="AU100" s="51">
        <f ca="1">IF(AT100&lt;0,AT100*(1+'Assumptions &amp; Results'!$C$93)+AU121,0)</f>
        <v>0</v>
      </c>
      <c r="AV100" s="51">
        <f ca="1">IF(AU100&lt;0,AU100*(1+'Assumptions &amp; Results'!$C$93)+AV121,0)</f>
        <v>0</v>
      </c>
      <c r="AW100" s="51">
        <f ca="1">IF(AV100&lt;0,AV100*(1+'Assumptions &amp; Results'!$C$93)+AW121,0)</f>
        <v>0</v>
      </c>
      <c r="AX100" s="51">
        <f ca="1">IF(AW100&lt;0,AW100*(1+'Assumptions &amp; Results'!$C$93)+AX121,0)</f>
        <v>0</v>
      </c>
      <c r="AY100" s="51">
        <f ca="1">IF(AX100&lt;0,AX100*(1+'Assumptions &amp; Results'!$C$93)+AY121,0)</f>
        <v>0</v>
      </c>
      <c r="AZ100" s="51">
        <f ca="1">IF(AY100&lt;0,AY100*(1+'Assumptions &amp; Results'!$C$93)+AZ121,0)</f>
        <v>0</v>
      </c>
      <c r="BA100" s="51">
        <f ca="1">IF(AZ100&lt;0,AZ100*(1+'Assumptions &amp; Results'!$C$93)+BA121,0)</f>
        <v>0</v>
      </c>
      <c r="BB100" s="51">
        <f ca="1">IF(BA100&lt;0,BA100*(1+'Assumptions &amp; Results'!$C$93)+BB121,0)</f>
        <v>0</v>
      </c>
      <c r="BC100" s="38"/>
      <c r="BD100" s="38"/>
    </row>
    <row r="101" spans="1:56" x14ac:dyDescent="0.2">
      <c r="A101" s="37">
        <f t="shared" ca="1" si="60"/>
        <v>0</v>
      </c>
      <c r="B101" s="37">
        <f ca="1">NPV('Assumptions &amp; Results'!$C$129,Calculations!E101:BB101)</f>
        <v>0</v>
      </c>
      <c r="C101" s="66" t="s">
        <v>14</v>
      </c>
      <c r="D101" s="36" t="s">
        <v>75</v>
      </c>
      <c r="E101" s="51">
        <f ca="1">IF(E100=0,E121*'Assumptions &amp; Results'!$C$95, IF(E100&lt;0,0,'Assumptions &amp; Results'!$C$95*E100))</f>
        <v>0</v>
      </c>
      <c r="F101" s="51">
        <f ca="1">IF(F100=0,F121*'Assumptions &amp; Results'!$C$95, IF(F100&lt;0,0,'Assumptions &amp; Results'!$C$95*F100))</f>
        <v>0</v>
      </c>
      <c r="G101" s="51">
        <f ca="1">IF(G100=0,G121*'Assumptions &amp; Results'!$C$95, IF(G100&lt;0,0,'Assumptions &amp; Results'!$C$95*G100))</f>
        <v>0</v>
      </c>
      <c r="H101" s="51">
        <f ca="1">IF(H100=0,H121*'Assumptions &amp; Results'!$C$95, IF(H100&lt;0,0,'Assumptions &amp; Results'!$C$95*H100))</f>
        <v>0</v>
      </c>
      <c r="I101" s="51">
        <f ca="1">IF(I100=0,I121*'Assumptions &amp; Results'!$C$95, IF(I100&lt;0,0,'Assumptions &amp; Results'!$C$95*I100))</f>
        <v>0</v>
      </c>
      <c r="J101" s="51">
        <f ca="1">IF(J100=0,J121*'Assumptions &amp; Results'!$C$95, IF(J100&lt;0,0,'Assumptions &amp; Results'!$C$95*J100))</f>
        <v>0</v>
      </c>
      <c r="K101" s="51">
        <f ca="1">IF(K100=0,K121*'Assumptions &amp; Results'!$C$95, IF(K100&lt;0,0,'Assumptions &amp; Results'!$C$95*K100))</f>
        <v>0</v>
      </c>
      <c r="L101" s="51">
        <f ca="1">IF(L100=0,L121*'Assumptions &amp; Results'!$C$95, IF(L100&lt;0,0,'Assumptions &amp; Results'!$C$95*L100))</f>
        <v>0</v>
      </c>
      <c r="M101" s="51">
        <f ca="1">IF(M100=0,M121*'Assumptions &amp; Results'!$C$95, IF(M100&lt;0,0,'Assumptions &amp; Results'!$C$95*M100))</f>
        <v>0</v>
      </c>
      <c r="N101" s="51">
        <f ca="1">IF(N100=0,N121*'Assumptions &amp; Results'!$C$95, IF(N100&lt;0,0,'Assumptions &amp; Results'!$C$95*N100))</f>
        <v>0</v>
      </c>
      <c r="O101" s="51">
        <f ca="1">IF(O100=0,O121*'Assumptions &amp; Results'!$C$95, IF(O100&lt;0,0,'Assumptions &amp; Results'!$C$95*O100))</f>
        <v>0</v>
      </c>
      <c r="P101" s="51">
        <f ca="1">IF(P100=0,P121*'Assumptions &amp; Results'!$C$95, IF(P100&lt;0,0,'Assumptions &amp; Results'!$C$95*P100))</f>
        <v>0</v>
      </c>
      <c r="Q101" s="51">
        <f ca="1">IF(Q100=0,Q121*'Assumptions &amp; Results'!$C$95, IF(Q100&lt;0,0,'Assumptions &amp; Results'!$C$95*Q100))</f>
        <v>0</v>
      </c>
      <c r="R101" s="51">
        <f ca="1">IF(R100=0,R121*'Assumptions &amp; Results'!$C$95, IF(R100&lt;0,0,'Assumptions &amp; Results'!$C$95*R100))</f>
        <v>0</v>
      </c>
      <c r="S101" s="51">
        <f ca="1">IF(S100=0,S121*'Assumptions &amp; Results'!$C$95, IF(S100&lt;0,0,'Assumptions &amp; Results'!$C$95*S100))</f>
        <v>0</v>
      </c>
      <c r="T101" s="51">
        <f ca="1">IF(T100=0,T121*'Assumptions &amp; Results'!$C$95, IF(T100&lt;0,0,'Assumptions &amp; Results'!$C$95*T100))</f>
        <v>0</v>
      </c>
      <c r="U101" s="51">
        <f ca="1">IF(U100=0,U121*'Assumptions &amp; Results'!$C$95, IF(U100&lt;0,0,'Assumptions &amp; Results'!$C$95*U100))</f>
        <v>0</v>
      </c>
      <c r="V101" s="51">
        <f ca="1">IF(V100=0,V121*'Assumptions &amp; Results'!$C$95, IF(V100&lt;0,0,'Assumptions &amp; Results'!$C$95*V100))</f>
        <v>0</v>
      </c>
      <c r="W101" s="51">
        <f ca="1">IF(W100=0,W121*'Assumptions &amp; Results'!$C$95, IF(W100&lt;0,0,'Assumptions &amp; Results'!$C$95*W100))</f>
        <v>0</v>
      </c>
      <c r="X101" s="51">
        <f ca="1">IF(X100=0,X121*'Assumptions &amp; Results'!$C$95, IF(X100&lt;0,0,'Assumptions &amp; Results'!$C$95*X100))</f>
        <v>0</v>
      </c>
      <c r="Y101" s="51">
        <f ca="1">IF(Y100=0,Y121*'Assumptions &amp; Results'!$C$95, IF(Y100&lt;0,0,'Assumptions &amp; Results'!$C$95*Y100))</f>
        <v>0</v>
      </c>
      <c r="Z101" s="51">
        <f ca="1">IF(Z100=0,Z121*'Assumptions &amp; Results'!$C$95, IF(Z100&lt;0,0,'Assumptions &amp; Results'!$C$95*Z100))</f>
        <v>0</v>
      </c>
      <c r="AA101" s="51">
        <f ca="1">IF(AA100=0,AA121*'Assumptions &amp; Results'!$C$95, IF(AA100&lt;0,0,'Assumptions &amp; Results'!$C$95*AA100))</f>
        <v>0</v>
      </c>
      <c r="AB101" s="51">
        <f ca="1">IF(AB100=0,AB121*'Assumptions &amp; Results'!$C$95, IF(AB100&lt;0,0,'Assumptions &amp; Results'!$C$95*AB100))</f>
        <v>0</v>
      </c>
      <c r="AC101" s="51">
        <f ca="1">IF(AC100=0,AC121*'Assumptions &amp; Results'!$C$95, IF(AC100&lt;0,0,'Assumptions &amp; Results'!$C$95*AC100))</f>
        <v>0</v>
      </c>
      <c r="AD101" s="51">
        <f ca="1">IF(AD100=0,AD121*'Assumptions &amp; Results'!$C$95, IF(AD100&lt;0,0,'Assumptions &amp; Results'!$C$95*AD100))</f>
        <v>0</v>
      </c>
      <c r="AE101" s="51">
        <f ca="1">IF(AE100=0,AE121*'Assumptions &amp; Results'!$C$95, IF(AE100&lt;0,0,'Assumptions &amp; Results'!$C$95*AE100))</f>
        <v>0</v>
      </c>
      <c r="AF101" s="51">
        <f ca="1">IF(AF100=0,AF121*'Assumptions &amp; Results'!$C$95, IF(AF100&lt;0,0,'Assumptions &amp; Results'!$C$95*AF100))</f>
        <v>0</v>
      </c>
      <c r="AG101" s="51">
        <f ca="1">IF(AG100=0,AG121*'Assumptions &amp; Results'!$C$95, IF(AG100&lt;0,0,'Assumptions &amp; Results'!$C$95*AG100))</f>
        <v>0</v>
      </c>
      <c r="AH101" s="51">
        <f ca="1">IF(AH100=0,AH121*'Assumptions &amp; Results'!$C$95, IF(AH100&lt;0,0,'Assumptions &amp; Results'!$C$95*AH100))</f>
        <v>0</v>
      </c>
      <c r="AI101" s="51">
        <f ca="1">IF(AI100=0,AI121*'Assumptions &amp; Results'!$C$95, IF(AI100&lt;0,0,'Assumptions &amp; Results'!$C$95*AI100))</f>
        <v>0</v>
      </c>
      <c r="AJ101" s="51">
        <f ca="1">IF(AJ100=0,AJ121*'Assumptions &amp; Results'!$C$95, IF(AJ100&lt;0,0,'Assumptions &amp; Results'!$C$95*AJ100))</f>
        <v>0</v>
      </c>
      <c r="AK101" s="51">
        <f ca="1">IF(AK100=0,AK121*'Assumptions &amp; Results'!$C$95, IF(AK100&lt;0,0,'Assumptions &amp; Results'!$C$95*AK100))</f>
        <v>0</v>
      </c>
      <c r="AL101" s="51">
        <f ca="1">IF(AL100=0,AL121*'Assumptions &amp; Results'!$C$95, IF(AL100&lt;0,0,'Assumptions &amp; Results'!$C$95*AL100))</f>
        <v>0</v>
      </c>
      <c r="AM101" s="51">
        <f ca="1">IF(AM100=0,AM121*'Assumptions &amp; Results'!$C$95, IF(AM100&lt;0,0,'Assumptions &amp; Results'!$C$95*AM100))</f>
        <v>0</v>
      </c>
      <c r="AN101" s="51">
        <f ca="1">IF(AN100=0,AN121*'Assumptions &amp; Results'!$C$95, IF(AN100&lt;0,0,'Assumptions &amp; Results'!$C$95*AN100))</f>
        <v>0</v>
      </c>
      <c r="AO101" s="51">
        <f ca="1">IF(AO100=0,AO121*'Assumptions &amp; Results'!$C$95, IF(AO100&lt;0,0,'Assumptions &amp; Results'!$C$95*AO100))</f>
        <v>0</v>
      </c>
      <c r="AP101" s="51">
        <f ca="1">IF(AP100=0,AP121*'Assumptions &amp; Results'!$C$95, IF(AP100&lt;0,0,'Assumptions &amp; Results'!$C$95*AP100))</f>
        <v>0</v>
      </c>
      <c r="AQ101" s="51">
        <f ca="1">IF(AQ100=0,AQ121*'Assumptions &amp; Results'!$C$95, IF(AQ100&lt;0,0,'Assumptions &amp; Results'!$C$95*AQ100))</f>
        <v>0</v>
      </c>
      <c r="AR101" s="51">
        <f ca="1">IF(AR100=0,AR121*'Assumptions &amp; Results'!$C$95, IF(AR100&lt;0,0,'Assumptions &amp; Results'!$C$95*AR100))</f>
        <v>0</v>
      </c>
      <c r="AS101" s="51">
        <f ca="1">IF(AS100=0,AS121*'Assumptions &amp; Results'!$C$95, IF(AS100&lt;0,0,'Assumptions &amp; Results'!$C$95*AS100))</f>
        <v>0</v>
      </c>
      <c r="AT101" s="51">
        <f ca="1">IF(AT100=0,AT121*'Assumptions &amp; Results'!$C$95, IF(AT100&lt;0,0,'Assumptions &amp; Results'!$C$95*AT100))</f>
        <v>0</v>
      </c>
      <c r="AU101" s="51">
        <f ca="1">IF(AU100=0,AU121*'Assumptions &amp; Results'!$C$95, IF(AU100&lt;0,0,'Assumptions &amp; Results'!$C$95*AU100))</f>
        <v>0</v>
      </c>
      <c r="AV101" s="51">
        <f ca="1">IF(AV100=0,AV121*'Assumptions &amp; Results'!$C$95, IF(AV100&lt;0,0,'Assumptions &amp; Results'!$C$95*AV100))</f>
        <v>0</v>
      </c>
      <c r="AW101" s="51">
        <f ca="1">IF(AW100=0,AW121*'Assumptions &amp; Results'!$C$95, IF(AW100&lt;0,0,'Assumptions &amp; Results'!$C$95*AW100))</f>
        <v>0</v>
      </c>
      <c r="AX101" s="51">
        <f ca="1">IF(AX100=0,AX121*'Assumptions &amp; Results'!$C$95, IF(AX100&lt;0,0,'Assumptions &amp; Results'!$C$95*AX100))</f>
        <v>0</v>
      </c>
      <c r="AY101" s="51">
        <f ca="1">IF(AY100=0,AY121*'Assumptions &amp; Results'!$C$95, IF(AY100&lt;0,0,'Assumptions &amp; Results'!$C$95*AY100))</f>
        <v>0</v>
      </c>
      <c r="AZ101" s="51">
        <f ca="1">IF(AZ100=0,AZ121*'Assumptions &amp; Results'!$C$95, IF(AZ100&lt;0,0,'Assumptions &amp; Results'!$C$95*AZ100))</f>
        <v>0</v>
      </c>
      <c r="BA101" s="51">
        <f ca="1">IF(BA100=0,BA121*'Assumptions &amp; Results'!$C$95, IF(BA100&lt;0,0,'Assumptions &amp; Results'!$C$95*BA100))</f>
        <v>0</v>
      </c>
      <c r="BB101" s="51">
        <f ca="1">IF(BB100=0,BB121*'Assumptions &amp; Results'!$C$95, IF(BB100&lt;0,0,'Assumptions &amp; Results'!$C$95*BB100))</f>
        <v>0</v>
      </c>
      <c r="BC101" s="34"/>
      <c r="BD101" s="34"/>
    </row>
    <row r="102" spans="1:56" x14ac:dyDescent="0.2">
      <c r="A102" s="37">
        <f t="shared" ca="1" si="60"/>
        <v>-4470.5153193323549</v>
      </c>
      <c r="B102" s="37">
        <f ca="1">NPV('Assumptions &amp; Results'!$C$129,Calculations!E102:BB102)</f>
        <v>-2842.2221261853488</v>
      </c>
      <c r="C102" s="66" t="s">
        <v>12</v>
      </c>
      <c r="D102" s="36" t="s">
        <v>75</v>
      </c>
      <c r="E102" s="51">
        <f ca="1">E121</f>
        <v>-250</v>
      </c>
      <c r="F102" s="51">
        <f ca="1">IF(E102&lt;0,E102*(1+('Assumptions &amp; Results'!$C$93+'Assumptions &amp; Results'!$C$94))+F121,0)</f>
        <v>-505</v>
      </c>
      <c r="G102" s="51">
        <f ca="1">IF(F102&lt;0,F102*(1+('Assumptions &amp; Results'!$C$93+'Assumptions &amp; Results'!$C$94))+G121,0)</f>
        <v>-765.1</v>
      </c>
      <c r="H102" s="51">
        <f ca="1">IF(G102&lt;0,G102*(1+('Assumptions &amp; Results'!$C$93+'Assumptions &amp; Results'!$C$94))+H121,0)</f>
        <v>-1030.402</v>
      </c>
      <c r="I102" s="51">
        <f ca="1">IF(H102&lt;0,H102*(1+('Assumptions &amp; Results'!$C$93+'Assumptions &amp; Results'!$C$94))+I121,0)</f>
        <v>-917.71301863244798</v>
      </c>
      <c r="J102" s="51">
        <f ca="1">IF(I102&lt;0,I102*(1+('Assumptions &amp; Results'!$C$93+'Assumptions &amp; Results'!$C$94))+J121,0)</f>
        <v>-648.72360438722558</v>
      </c>
      <c r="K102" s="51">
        <f ca="1">IF(J102&lt;0,J102*(1+('Assumptions &amp; Results'!$C$93+'Assumptions &amp; Results'!$C$94))+K121,0)</f>
        <v>-381.82761567133463</v>
      </c>
      <c r="L102" s="51">
        <f ca="1">IF(K102&lt;0,K102*(1+('Assumptions &amp; Results'!$C$93+'Assumptions &amp; Results'!$C$94))+L121,0)</f>
        <v>-117.21638527164646</v>
      </c>
      <c r="M102" s="51">
        <f ca="1">IF(L102&lt;0,L102*(1+('Assumptions &amp; Results'!$C$93+'Assumptions &amp; Results'!$C$94))+M121,0)</f>
        <v>145.46730463029951</v>
      </c>
      <c r="N102" s="51">
        <f ca="1">IF(M102&lt;0,M102*(1+('Assumptions &amp; Results'!$C$93+'Assumptions &amp; Results'!$C$94))+N121,0)</f>
        <v>0</v>
      </c>
      <c r="O102" s="51">
        <f ca="1">IF(N102&lt;0,N102*(1+('Assumptions &amp; Results'!$C$93+'Assumptions &amp; Results'!$C$94))+O121,0)</f>
        <v>0</v>
      </c>
      <c r="P102" s="51">
        <f ca="1">IF(O102&lt;0,O102*(1+('Assumptions &amp; Results'!$C$93+'Assumptions &amp; Results'!$C$94))+P121,0)</f>
        <v>0</v>
      </c>
      <c r="Q102" s="51">
        <f ca="1">IF(P102&lt;0,P102*(1+('Assumptions &amp; Results'!$C$93+'Assumptions &amp; Results'!$C$94))+Q121,0)</f>
        <v>0</v>
      </c>
      <c r="R102" s="51">
        <f ca="1">IF(Q102&lt;0,Q102*(1+('Assumptions &amp; Results'!$C$93+'Assumptions &amp; Results'!$C$94))+R121,0)</f>
        <v>0</v>
      </c>
      <c r="S102" s="51">
        <f ca="1">IF(R102&lt;0,R102*(1+('Assumptions &amp; Results'!$C$93+'Assumptions &amp; Results'!$C$94))+S121,0)</f>
        <v>0</v>
      </c>
      <c r="T102" s="51">
        <f ca="1">IF(S102&lt;0,S102*(1+('Assumptions &amp; Results'!$C$93+'Assumptions &amp; Results'!$C$94))+T121,0)</f>
        <v>0</v>
      </c>
      <c r="U102" s="51">
        <f ca="1">IF(T102&lt;0,T102*(1+('Assumptions &amp; Results'!$C$93+'Assumptions &amp; Results'!$C$94))+U121,0)</f>
        <v>0</v>
      </c>
      <c r="V102" s="51">
        <f ca="1">IF(U102&lt;0,U102*(1+('Assumptions &amp; Results'!$C$93+'Assumptions &amp; Results'!$C$94))+V121,0)</f>
        <v>0</v>
      </c>
      <c r="W102" s="51">
        <f ca="1">IF(V102&lt;0,V102*(1+('Assumptions &amp; Results'!$C$93+'Assumptions &amp; Results'!$C$94))+W121,0)</f>
        <v>0</v>
      </c>
      <c r="X102" s="51">
        <f ca="1">IF(W102&lt;0,W102*(1+('Assumptions &amp; Results'!$C$93+'Assumptions &amp; Results'!$C$94))+X121,0)</f>
        <v>0</v>
      </c>
      <c r="Y102" s="51">
        <f ca="1">IF(X102&lt;0,X102*(1+('Assumptions &amp; Results'!$C$93+'Assumptions &amp; Results'!$C$94))+Y121,0)</f>
        <v>0</v>
      </c>
      <c r="Z102" s="51">
        <f ca="1">IF(Y102&lt;0,Y102*(1+('Assumptions &amp; Results'!$C$93+'Assumptions &amp; Results'!$C$94))+Z121,0)</f>
        <v>0</v>
      </c>
      <c r="AA102" s="51">
        <f ca="1">IF(Z102&lt;0,Z102*(1+('Assumptions &amp; Results'!$C$93+'Assumptions &amp; Results'!$C$94))+AA121,0)</f>
        <v>0</v>
      </c>
      <c r="AB102" s="51">
        <f ca="1">IF(AA102&lt;0,AA102*(1+('Assumptions &amp; Results'!$C$93+'Assumptions &amp; Results'!$C$94))+AB121,0)</f>
        <v>0</v>
      </c>
      <c r="AC102" s="51">
        <f ca="1">IF(AB102&lt;0,AB102*(1+('Assumptions &amp; Results'!$C$93+'Assumptions &amp; Results'!$C$94))+AC121,0)</f>
        <v>0</v>
      </c>
      <c r="AD102" s="51">
        <f ca="1">IF(AC102&lt;0,AC102*(1+('Assumptions &amp; Results'!$C$93+'Assumptions &amp; Results'!$C$94))+AD121,0)</f>
        <v>0</v>
      </c>
      <c r="AE102" s="51">
        <f ca="1">IF(AD102&lt;0,AD102*(1+('Assumptions &amp; Results'!$C$93+'Assumptions &amp; Results'!$C$94))+AE121,0)</f>
        <v>0</v>
      </c>
      <c r="AF102" s="51">
        <f ca="1">IF(AE102&lt;0,AE102*(1+('Assumptions &amp; Results'!$C$93+'Assumptions &amp; Results'!$C$94))+AF121,0)</f>
        <v>0</v>
      </c>
      <c r="AG102" s="51">
        <f ca="1">IF(AF102&lt;0,AF102*(1+('Assumptions &amp; Results'!$C$93+'Assumptions &amp; Results'!$C$94))+AG121,0)</f>
        <v>0</v>
      </c>
      <c r="AH102" s="51">
        <f ca="1">IF(AG102&lt;0,AG102*(1+('Assumptions &amp; Results'!$C$93+'Assumptions &amp; Results'!$C$94))+AH121,0)</f>
        <v>0</v>
      </c>
      <c r="AI102" s="51">
        <f ca="1">IF(AH102&lt;0,AH102*(1+('Assumptions &amp; Results'!$C$93+'Assumptions &amp; Results'!$C$94))+AI121,0)</f>
        <v>0</v>
      </c>
      <c r="AJ102" s="51">
        <f ca="1">IF(AI102&lt;0,AI102*(1+('Assumptions &amp; Results'!$C$93+'Assumptions &amp; Results'!$C$94))+AJ121,0)</f>
        <v>0</v>
      </c>
      <c r="AK102" s="51">
        <f ca="1">IF(AJ102&lt;0,AJ102*(1+('Assumptions &amp; Results'!$C$93+'Assumptions &amp; Results'!$C$94))+AK121,0)</f>
        <v>0</v>
      </c>
      <c r="AL102" s="51">
        <f ca="1">IF(AK102&lt;0,AK102*(1+('Assumptions &amp; Results'!$C$93+'Assumptions &amp; Results'!$C$94))+AL121,0)</f>
        <v>0</v>
      </c>
      <c r="AM102" s="51">
        <f ca="1">IF(AL102&lt;0,AL102*(1+('Assumptions &amp; Results'!$C$93+'Assumptions &amp; Results'!$C$94))+AM121,0)</f>
        <v>0</v>
      </c>
      <c r="AN102" s="51">
        <f ca="1">IF(AM102&lt;0,AM102*(1+('Assumptions &amp; Results'!$C$93+'Assumptions &amp; Results'!$C$94))+AN121,0)</f>
        <v>0</v>
      </c>
      <c r="AO102" s="51">
        <f ca="1">IF(AN102&lt;0,AN102*(1+('Assumptions &amp; Results'!$C$93+'Assumptions &amp; Results'!$C$94))+AO121,0)</f>
        <v>0</v>
      </c>
      <c r="AP102" s="51">
        <f ca="1">IF(AO102&lt;0,AO102*(1+('Assumptions &amp; Results'!$C$93+'Assumptions &amp; Results'!$C$94))+AP121,0)</f>
        <v>0</v>
      </c>
      <c r="AQ102" s="51">
        <f ca="1">IF(AP102&lt;0,AP102*(1+('Assumptions &amp; Results'!$C$93+'Assumptions &amp; Results'!$C$94))+AQ121,0)</f>
        <v>0</v>
      </c>
      <c r="AR102" s="51">
        <f ca="1">IF(AQ102&lt;0,AQ102*(1+('Assumptions &amp; Results'!$C$93+'Assumptions &amp; Results'!$C$94))+AR121,0)</f>
        <v>0</v>
      </c>
      <c r="AS102" s="51">
        <f ca="1">IF(AR102&lt;0,AR102*(1+('Assumptions &amp; Results'!$C$93+'Assumptions &amp; Results'!$C$94))+AS121,0)</f>
        <v>0</v>
      </c>
      <c r="AT102" s="51">
        <f ca="1">IF(AS102&lt;0,AS102*(1+('Assumptions &amp; Results'!$C$93+'Assumptions &amp; Results'!$C$94))+AT121,0)</f>
        <v>0</v>
      </c>
      <c r="AU102" s="51">
        <f ca="1">IF(AT102&lt;0,AT102*(1+('Assumptions &amp; Results'!$C$93+'Assumptions &amp; Results'!$C$94))+AU121,0)</f>
        <v>0</v>
      </c>
      <c r="AV102" s="51">
        <f ca="1">IF(AU102&lt;0,AU102*(1+('Assumptions &amp; Results'!$C$93+'Assumptions &amp; Results'!$C$94))+AV121,0)</f>
        <v>0</v>
      </c>
      <c r="AW102" s="51">
        <f ca="1">IF(AV102&lt;0,AV102*(1+('Assumptions &amp; Results'!$C$93+'Assumptions &amp; Results'!$C$94))+AW121,0)</f>
        <v>0</v>
      </c>
      <c r="AX102" s="51">
        <f ca="1">IF(AW102&lt;0,AW102*(1+('Assumptions &amp; Results'!$C$93+'Assumptions &amp; Results'!$C$94))+AX121,0)</f>
        <v>0</v>
      </c>
      <c r="AY102" s="51">
        <f ca="1">IF(AX102&lt;0,AX102*(1+('Assumptions &amp; Results'!$C$93+'Assumptions &amp; Results'!$C$94))+AY121,0)</f>
        <v>0</v>
      </c>
      <c r="AZ102" s="51">
        <f ca="1">IF(AY102&lt;0,AY102*(1+('Assumptions &amp; Results'!$C$93+'Assumptions &amp; Results'!$C$94))+AZ121,0)</f>
        <v>0</v>
      </c>
      <c r="BA102" s="51">
        <f ca="1">IF(AZ102&lt;0,AZ102*(1+('Assumptions &amp; Results'!$C$93+'Assumptions &amp; Results'!$C$94))+BA121,0)</f>
        <v>0</v>
      </c>
      <c r="BB102" s="51">
        <f ca="1">IF(BA102&lt;0,BA102*(1+('Assumptions &amp; Results'!$C$93+'Assumptions &amp; Results'!$C$94))+BB121,0)</f>
        <v>0</v>
      </c>
      <c r="BC102" s="38"/>
      <c r="BD102" s="38"/>
    </row>
    <row r="103" spans="1:56" x14ac:dyDescent="0.2">
      <c r="A103" s="37">
        <f t="shared" ca="1" si="60"/>
        <v>0</v>
      </c>
      <c r="B103" s="37">
        <f ca="1">NPV('Assumptions &amp; Results'!$C$129,Calculations!E103:BB103)</f>
        <v>0</v>
      </c>
      <c r="C103" s="66" t="s">
        <v>15</v>
      </c>
      <c r="D103" s="36" t="s">
        <v>75</v>
      </c>
      <c r="E103" s="51">
        <f ca="1">IF(E102=0,E121*('Assumptions &amp; Results'!$C$95+'Assumptions &amp; Results'!$C$96), IF(E102&lt;0,0,('Assumptions &amp; Results'!$C$95+'Assumptions &amp; Results'!$C$96)*E102))</f>
        <v>0</v>
      </c>
      <c r="F103" s="51">
        <f ca="1">IF(F102=0,F121*('Assumptions &amp; Results'!$C$95+'Assumptions &amp; Results'!$C$96), IF(F102&lt;0,0,('Assumptions &amp; Results'!$C$95+'Assumptions &amp; Results'!$C$96)*F102))</f>
        <v>0</v>
      </c>
      <c r="G103" s="51">
        <f ca="1">IF(G102=0,G121*('Assumptions &amp; Results'!$C$95+'Assumptions &amp; Results'!$C$96), IF(G102&lt;0,0,('Assumptions &amp; Results'!$C$95+'Assumptions &amp; Results'!$C$96)*G102))</f>
        <v>0</v>
      </c>
      <c r="H103" s="51">
        <f ca="1">IF(H102=0,H121*('Assumptions &amp; Results'!$C$95+'Assumptions &amp; Results'!$C$96), IF(H102&lt;0,0,('Assumptions &amp; Results'!$C$95+'Assumptions &amp; Results'!$C$96)*H102))</f>
        <v>0</v>
      </c>
      <c r="I103" s="51">
        <f ca="1">IF(I102=0,I121*('Assumptions &amp; Results'!$C$95+'Assumptions &amp; Results'!$C$96), IF(I102&lt;0,0,('Assumptions &amp; Results'!$C$95+'Assumptions &amp; Results'!$C$96)*I102))</f>
        <v>0</v>
      </c>
      <c r="J103" s="51">
        <f ca="1">IF(J102=0,J121*('Assumptions &amp; Results'!$C$95+'Assumptions &amp; Results'!$C$96), IF(J102&lt;0,0,('Assumptions &amp; Results'!$C$95+'Assumptions &amp; Results'!$C$96)*J102))</f>
        <v>0</v>
      </c>
      <c r="K103" s="51">
        <f ca="1">IF(K102=0,K121*('Assumptions &amp; Results'!$C$95+'Assumptions &amp; Results'!$C$96), IF(K102&lt;0,0,('Assumptions &amp; Results'!$C$95+'Assumptions &amp; Results'!$C$96)*K102))</f>
        <v>0</v>
      </c>
      <c r="L103" s="51">
        <f ca="1">IF(L102=0,L121*('Assumptions &amp; Results'!$C$95+'Assumptions &amp; Results'!$C$96), IF(L102&lt;0,0,('Assumptions &amp; Results'!$C$95+'Assumptions &amp; Results'!$C$96)*L102))</f>
        <v>0</v>
      </c>
      <c r="M103" s="51">
        <f ca="1">IF(M102=0,M121*('Assumptions &amp; Results'!$C$95+'Assumptions &amp; Results'!$C$96), IF(M102&lt;0,0,('Assumptions &amp; Results'!$C$95+'Assumptions &amp; Results'!$C$96)*M102))</f>
        <v>0</v>
      </c>
      <c r="N103" s="51">
        <f ca="1">IF(N102=0,N121*('Assumptions &amp; Results'!$C$95+'Assumptions &amp; Results'!$C$96), IF(N102&lt;0,0,('Assumptions &amp; Results'!$C$95+'Assumptions &amp; Results'!$C$96)*N102))</f>
        <v>0</v>
      </c>
      <c r="O103" s="51">
        <f ca="1">IF(O102=0,O121*('Assumptions &amp; Results'!$C$95+'Assumptions &amp; Results'!$C$96), IF(O102&lt;0,0,('Assumptions &amp; Results'!$C$95+'Assumptions &amp; Results'!$C$96)*O102))</f>
        <v>0</v>
      </c>
      <c r="P103" s="51">
        <f ca="1">IF(P102=0,P121*('Assumptions &amp; Results'!$C$95+'Assumptions &amp; Results'!$C$96), IF(P102&lt;0,0,('Assumptions &amp; Results'!$C$95+'Assumptions &amp; Results'!$C$96)*P102))</f>
        <v>0</v>
      </c>
      <c r="Q103" s="51">
        <f ca="1">IF(Q102=0,Q121*('Assumptions &amp; Results'!$C$95+'Assumptions &amp; Results'!$C$96), IF(Q102&lt;0,0,('Assumptions &amp; Results'!$C$95+'Assumptions &amp; Results'!$C$96)*Q102))</f>
        <v>0</v>
      </c>
      <c r="R103" s="51">
        <f ca="1">IF(R102=0,R121*('Assumptions &amp; Results'!$C$95+'Assumptions &amp; Results'!$C$96), IF(R102&lt;0,0,('Assumptions &amp; Results'!$C$95+'Assumptions &amp; Results'!$C$96)*R102))</f>
        <v>0</v>
      </c>
      <c r="S103" s="51">
        <f ca="1">IF(S102=0,S121*('Assumptions &amp; Results'!$C$95+'Assumptions &amp; Results'!$C$96), IF(S102&lt;0,0,('Assumptions &amp; Results'!$C$95+'Assumptions &amp; Results'!$C$96)*S102))</f>
        <v>0</v>
      </c>
      <c r="T103" s="51">
        <f ca="1">IF(T102=0,T121*('Assumptions &amp; Results'!$C$95+'Assumptions &amp; Results'!$C$96), IF(T102&lt;0,0,('Assumptions &amp; Results'!$C$95+'Assumptions &amp; Results'!$C$96)*T102))</f>
        <v>0</v>
      </c>
      <c r="U103" s="51">
        <f ca="1">IF(U102=0,U121*('Assumptions &amp; Results'!$C$95+'Assumptions &amp; Results'!$C$96), IF(U102&lt;0,0,('Assumptions &amp; Results'!$C$95+'Assumptions &amp; Results'!$C$96)*U102))</f>
        <v>0</v>
      </c>
      <c r="V103" s="51">
        <f ca="1">IF(V102=0,V121*('Assumptions &amp; Results'!$C$95+'Assumptions &amp; Results'!$C$96), IF(V102&lt;0,0,('Assumptions &amp; Results'!$C$95+'Assumptions &amp; Results'!$C$96)*V102))</f>
        <v>0</v>
      </c>
      <c r="W103" s="51">
        <f ca="1">IF(W102=0,W121*('Assumptions &amp; Results'!$C$95+'Assumptions &amp; Results'!$C$96), IF(W102&lt;0,0,('Assumptions &amp; Results'!$C$95+'Assumptions &amp; Results'!$C$96)*W102))</f>
        <v>0</v>
      </c>
      <c r="X103" s="51">
        <f ca="1">IF(X102=0,X121*('Assumptions &amp; Results'!$C$95+'Assumptions &amp; Results'!$C$96), IF(X102&lt;0,0,('Assumptions &amp; Results'!$C$95+'Assumptions &amp; Results'!$C$96)*X102))</f>
        <v>0</v>
      </c>
      <c r="Y103" s="51">
        <f ca="1">IF(Y102=0,Y121*('Assumptions &amp; Results'!$C$95+'Assumptions &amp; Results'!$C$96), IF(Y102&lt;0,0,('Assumptions &amp; Results'!$C$95+'Assumptions &amp; Results'!$C$96)*Y102))</f>
        <v>0</v>
      </c>
      <c r="Z103" s="51">
        <f ca="1">IF(Z102=0,Z121*('Assumptions &amp; Results'!$C$95+'Assumptions &amp; Results'!$C$96), IF(Z102&lt;0,0,('Assumptions &amp; Results'!$C$95+'Assumptions &amp; Results'!$C$96)*Z102))</f>
        <v>0</v>
      </c>
      <c r="AA103" s="51">
        <f ca="1">IF(AA102=0,AA121*('Assumptions &amp; Results'!$C$95+'Assumptions &amp; Results'!$C$96), IF(AA102&lt;0,0,('Assumptions &amp; Results'!$C$95+'Assumptions &amp; Results'!$C$96)*AA102))</f>
        <v>0</v>
      </c>
      <c r="AB103" s="51">
        <f ca="1">IF(AB102=0,AB121*('Assumptions &amp; Results'!$C$95+'Assumptions &amp; Results'!$C$96), IF(AB102&lt;0,0,('Assumptions &amp; Results'!$C$95+'Assumptions &amp; Results'!$C$96)*AB102))</f>
        <v>0</v>
      </c>
      <c r="AC103" s="51">
        <f ca="1">IF(AC102=0,AC121*('Assumptions &amp; Results'!$C$95+'Assumptions &amp; Results'!$C$96), IF(AC102&lt;0,0,('Assumptions &amp; Results'!$C$95+'Assumptions &amp; Results'!$C$96)*AC102))</f>
        <v>0</v>
      </c>
      <c r="AD103" s="51">
        <f ca="1">IF(AD102=0,AD121*('Assumptions &amp; Results'!$C$95+'Assumptions &amp; Results'!$C$96), IF(AD102&lt;0,0,('Assumptions &amp; Results'!$C$95+'Assumptions &amp; Results'!$C$96)*AD102))</f>
        <v>0</v>
      </c>
      <c r="AE103" s="51">
        <f ca="1">IF(AE102=0,AE121*('Assumptions &amp; Results'!$C$95+'Assumptions &amp; Results'!$C$96), IF(AE102&lt;0,0,('Assumptions &amp; Results'!$C$95+'Assumptions &amp; Results'!$C$96)*AE102))</f>
        <v>0</v>
      </c>
      <c r="AF103" s="51">
        <f ca="1">IF(AF102=0,AF121*('Assumptions &amp; Results'!$C$95+'Assumptions &amp; Results'!$C$96), IF(AF102&lt;0,0,('Assumptions &amp; Results'!$C$95+'Assumptions &amp; Results'!$C$96)*AF102))</f>
        <v>0</v>
      </c>
      <c r="AG103" s="51">
        <f ca="1">IF(AG102=0,AG121*('Assumptions &amp; Results'!$C$95+'Assumptions &amp; Results'!$C$96), IF(AG102&lt;0,0,('Assumptions &amp; Results'!$C$95+'Assumptions &amp; Results'!$C$96)*AG102))</f>
        <v>0</v>
      </c>
      <c r="AH103" s="51">
        <f ca="1">IF(AH102=0,AH121*('Assumptions &amp; Results'!$C$95+'Assumptions &amp; Results'!$C$96), IF(AH102&lt;0,0,('Assumptions &amp; Results'!$C$95+'Assumptions &amp; Results'!$C$96)*AH102))</f>
        <v>0</v>
      </c>
      <c r="AI103" s="51">
        <f ca="1">IF(AI102=0,AI121*('Assumptions &amp; Results'!$C$95+'Assumptions &amp; Results'!$C$96), IF(AI102&lt;0,0,('Assumptions &amp; Results'!$C$95+'Assumptions &amp; Results'!$C$96)*AI102))</f>
        <v>0</v>
      </c>
      <c r="AJ103" s="51">
        <f ca="1">IF(AJ102=0,AJ121*('Assumptions &amp; Results'!$C$95+'Assumptions &amp; Results'!$C$96), IF(AJ102&lt;0,0,('Assumptions &amp; Results'!$C$95+'Assumptions &amp; Results'!$C$96)*AJ102))</f>
        <v>0</v>
      </c>
      <c r="AK103" s="51">
        <f ca="1">IF(AK102=0,AK121*('Assumptions &amp; Results'!$C$95+'Assumptions &amp; Results'!$C$96), IF(AK102&lt;0,0,('Assumptions &amp; Results'!$C$95+'Assumptions &amp; Results'!$C$96)*AK102))</f>
        <v>0</v>
      </c>
      <c r="AL103" s="51">
        <f ca="1">IF(AL102=0,AL121*('Assumptions &amp; Results'!$C$95+'Assumptions &amp; Results'!$C$96), IF(AL102&lt;0,0,('Assumptions &amp; Results'!$C$95+'Assumptions &amp; Results'!$C$96)*AL102))</f>
        <v>0</v>
      </c>
      <c r="AM103" s="51">
        <f ca="1">IF(AM102=0,AM121*('Assumptions &amp; Results'!$C$95+'Assumptions &amp; Results'!$C$96), IF(AM102&lt;0,0,('Assumptions &amp; Results'!$C$95+'Assumptions &amp; Results'!$C$96)*AM102))</f>
        <v>0</v>
      </c>
      <c r="AN103" s="51">
        <f ca="1">IF(AN102=0,AN121*('Assumptions &amp; Results'!$C$95+'Assumptions &amp; Results'!$C$96), IF(AN102&lt;0,0,('Assumptions &amp; Results'!$C$95+'Assumptions &amp; Results'!$C$96)*AN102))</f>
        <v>0</v>
      </c>
      <c r="AO103" s="51">
        <f ca="1">IF(AO102=0,AO121*('Assumptions &amp; Results'!$C$95+'Assumptions &amp; Results'!$C$96), IF(AO102&lt;0,0,('Assumptions &amp; Results'!$C$95+'Assumptions &amp; Results'!$C$96)*AO102))</f>
        <v>0</v>
      </c>
      <c r="AP103" s="51">
        <f ca="1">IF(AP102=0,AP121*('Assumptions &amp; Results'!$C$95+'Assumptions &amp; Results'!$C$96), IF(AP102&lt;0,0,('Assumptions &amp; Results'!$C$95+'Assumptions &amp; Results'!$C$96)*AP102))</f>
        <v>0</v>
      </c>
      <c r="AQ103" s="51">
        <f ca="1">IF(AQ102=0,AQ121*('Assumptions &amp; Results'!$C$95+'Assumptions &amp; Results'!$C$96), IF(AQ102&lt;0,0,('Assumptions &amp; Results'!$C$95+'Assumptions &amp; Results'!$C$96)*AQ102))</f>
        <v>0</v>
      </c>
      <c r="AR103" s="51">
        <f ca="1">IF(AR102=0,AR121*('Assumptions &amp; Results'!$C$95+'Assumptions &amp; Results'!$C$96), IF(AR102&lt;0,0,('Assumptions &amp; Results'!$C$95+'Assumptions &amp; Results'!$C$96)*AR102))</f>
        <v>0</v>
      </c>
      <c r="AS103" s="51">
        <f ca="1">IF(AS102=0,AS121*('Assumptions &amp; Results'!$C$95+'Assumptions &amp; Results'!$C$96), IF(AS102&lt;0,0,('Assumptions &amp; Results'!$C$95+'Assumptions &amp; Results'!$C$96)*AS102))</f>
        <v>0</v>
      </c>
      <c r="AT103" s="51">
        <f ca="1">IF(AT102=0,AT121*('Assumptions &amp; Results'!$C$95+'Assumptions &amp; Results'!$C$96), IF(AT102&lt;0,0,('Assumptions &amp; Results'!$C$95+'Assumptions &amp; Results'!$C$96)*AT102))</f>
        <v>0</v>
      </c>
      <c r="AU103" s="51">
        <f ca="1">IF(AU102=0,AU121*('Assumptions &amp; Results'!$C$95+'Assumptions &amp; Results'!$C$96), IF(AU102&lt;0,0,('Assumptions &amp; Results'!$C$95+'Assumptions &amp; Results'!$C$96)*AU102))</f>
        <v>0</v>
      </c>
      <c r="AV103" s="51">
        <f ca="1">IF(AV102=0,AV121*('Assumptions &amp; Results'!$C$95+'Assumptions &amp; Results'!$C$96), IF(AV102&lt;0,0,('Assumptions &amp; Results'!$C$95+'Assumptions &amp; Results'!$C$96)*AV102))</f>
        <v>0</v>
      </c>
      <c r="AW103" s="51">
        <f ca="1">IF(AW102=0,AW121*('Assumptions &amp; Results'!$C$95+'Assumptions &amp; Results'!$C$96), IF(AW102&lt;0,0,('Assumptions &amp; Results'!$C$95+'Assumptions &amp; Results'!$C$96)*AW102))</f>
        <v>0</v>
      </c>
      <c r="AX103" s="51">
        <f ca="1">IF(AX102=0,AX121*('Assumptions &amp; Results'!$C$95+'Assumptions &amp; Results'!$C$96), IF(AX102&lt;0,0,('Assumptions &amp; Results'!$C$95+'Assumptions &amp; Results'!$C$96)*AX102))</f>
        <v>0</v>
      </c>
      <c r="AY103" s="51">
        <f ca="1">IF(AY102=0,AY121*('Assumptions &amp; Results'!$C$95+'Assumptions &amp; Results'!$C$96), IF(AY102&lt;0,0,('Assumptions &amp; Results'!$C$95+'Assumptions &amp; Results'!$C$96)*AY102))</f>
        <v>0</v>
      </c>
      <c r="AZ103" s="51">
        <f ca="1">IF(AZ102=0,AZ121*('Assumptions &amp; Results'!$C$95+'Assumptions &amp; Results'!$C$96), IF(AZ102&lt;0,0,('Assumptions &amp; Results'!$C$95+'Assumptions &amp; Results'!$C$96)*AZ102))</f>
        <v>0</v>
      </c>
      <c r="BA103" s="51">
        <f ca="1">IF(BA102=0,BA121*('Assumptions &amp; Results'!$C$95+'Assumptions &amp; Results'!$C$96), IF(BA102&lt;0,0,('Assumptions &amp; Results'!$C$95+'Assumptions &amp; Results'!$C$96)*BA102))</f>
        <v>0</v>
      </c>
      <c r="BB103" s="51">
        <f ca="1">IF(BB102=0,BB121*('Assumptions &amp; Results'!$C$95+'Assumptions &amp; Results'!$C$96), IF(BB102&lt;0,0,('Assumptions &amp; Results'!$C$95+'Assumptions &amp; Results'!$C$96)*BB102))</f>
        <v>0</v>
      </c>
      <c r="BC103" s="34"/>
      <c r="BD103" s="34"/>
    </row>
    <row r="104" spans="1:56" x14ac:dyDescent="0.2">
      <c r="A104" s="37">
        <f t="shared" ca="1" si="60"/>
        <v>-4470.5153193323549</v>
      </c>
      <c r="B104" s="37">
        <f ca="1">NPV('Assumptions &amp; Results'!$C$129,Calculations!E104:BB104)</f>
        <v>-2842.2221261853488</v>
      </c>
      <c r="C104" s="66" t="s">
        <v>13</v>
      </c>
      <c r="D104" s="36" t="s">
        <v>75</v>
      </c>
      <c r="E104" s="51">
        <f ca="1">E121</f>
        <v>-250</v>
      </c>
      <c r="F104" s="51">
        <f ca="1">IF(E104&lt;0,E104*(1+('Assumptions &amp; Results'!$C$93+'Assumptions &amp; Results'!$C$94+'Assumptions &amp; Results'!$C$94))+F121,0)</f>
        <v>-505</v>
      </c>
      <c r="G104" s="51">
        <f ca="1">IF(F104&lt;0,F104*(1+('Assumptions &amp; Results'!$C$93+'Assumptions &amp; Results'!$C$94+'Assumptions &amp; Results'!$C$94))+G121,0)</f>
        <v>-765.1</v>
      </c>
      <c r="H104" s="51">
        <f ca="1">IF(G104&lt;0,G104*(1+('Assumptions &amp; Results'!$C$93+'Assumptions &amp; Results'!$C$94+'Assumptions &amp; Results'!$C$94))+H121,0)</f>
        <v>-1030.402</v>
      </c>
      <c r="I104" s="51">
        <f ca="1">IF(H104&lt;0,H104*(1+('Assumptions &amp; Results'!$C$93+'Assumptions &amp; Results'!$C$94+'Assumptions &amp; Results'!$C$94))+I121,0)</f>
        <v>-917.71301863244798</v>
      </c>
      <c r="J104" s="51">
        <f ca="1">IF(I104&lt;0,I104*(1+('Assumptions &amp; Results'!$C$93+'Assumptions &amp; Results'!$C$94+'Assumptions &amp; Results'!$C$94))+J121,0)</f>
        <v>-648.72360438722558</v>
      </c>
      <c r="K104" s="51">
        <f ca="1">IF(J104&lt;0,J104*(1+('Assumptions &amp; Results'!$C$93+'Assumptions &amp; Results'!$C$94+'Assumptions &amp; Results'!$C$94))+K121,0)</f>
        <v>-381.82761567133463</v>
      </c>
      <c r="L104" s="51">
        <f ca="1">IF(K104&lt;0,K104*(1+('Assumptions &amp; Results'!$C$93+'Assumptions &amp; Results'!$C$94+'Assumptions &amp; Results'!$C$94))+L121,0)</f>
        <v>-117.21638527164646</v>
      </c>
      <c r="M104" s="51">
        <f ca="1">IF(L104&lt;0,L104*(1+('Assumptions &amp; Results'!$C$93+'Assumptions &amp; Results'!$C$94+'Assumptions &amp; Results'!$C$94))+M121,0)</f>
        <v>145.46730463029951</v>
      </c>
      <c r="N104" s="51">
        <f ca="1">IF(M104&lt;0,M104*(1+('Assumptions &amp; Results'!$C$93+'Assumptions &amp; Results'!$C$94+'Assumptions &amp; Results'!$C$94))+N121,0)</f>
        <v>0</v>
      </c>
      <c r="O104" s="51">
        <f ca="1">IF(N104&lt;0,N104*(1+('Assumptions &amp; Results'!$C$93+'Assumptions &amp; Results'!$C$94+'Assumptions &amp; Results'!$C$94))+O121,0)</f>
        <v>0</v>
      </c>
      <c r="P104" s="51">
        <f ca="1">IF(O104&lt;0,O104*(1+('Assumptions &amp; Results'!$C$93+'Assumptions &amp; Results'!$C$94+'Assumptions &amp; Results'!$C$94))+P121,0)</f>
        <v>0</v>
      </c>
      <c r="Q104" s="51">
        <f ca="1">IF(P104&lt;0,P104*(1+('Assumptions &amp; Results'!$C$93+'Assumptions &amp; Results'!$C$94+'Assumptions &amp; Results'!$C$94))+Q121,0)</f>
        <v>0</v>
      </c>
      <c r="R104" s="51">
        <f ca="1">IF(Q104&lt;0,Q104*(1+('Assumptions &amp; Results'!$C$93+'Assumptions &amp; Results'!$C$94+'Assumptions &amp; Results'!$C$94))+R121,0)</f>
        <v>0</v>
      </c>
      <c r="S104" s="51">
        <f ca="1">IF(R104&lt;0,R104*(1+('Assumptions &amp; Results'!$C$93+'Assumptions &amp; Results'!$C$94+'Assumptions &amp; Results'!$C$94))+S121,0)</f>
        <v>0</v>
      </c>
      <c r="T104" s="51">
        <f ca="1">IF(S104&lt;0,S104*(1+('Assumptions &amp; Results'!$C$93+'Assumptions &amp; Results'!$C$94+'Assumptions &amp; Results'!$C$94))+T121,0)</f>
        <v>0</v>
      </c>
      <c r="U104" s="51">
        <f ca="1">IF(T104&lt;0,T104*(1+('Assumptions &amp; Results'!$C$93+'Assumptions &amp; Results'!$C$94+'Assumptions &amp; Results'!$C$94))+U121,0)</f>
        <v>0</v>
      </c>
      <c r="V104" s="51">
        <f ca="1">IF(U104&lt;0,U104*(1+('Assumptions &amp; Results'!$C$93+'Assumptions &amp; Results'!$C$94+'Assumptions &amp; Results'!$C$94))+V121,0)</f>
        <v>0</v>
      </c>
      <c r="W104" s="51">
        <f ca="1">IF(V104&lt;0,V104*(1+('Assumptions &amp; Results'!$C$93+'Assumptions &amp; Results'!$C$94+'Assumptions &amp; Results'!$C$94))+W121,0)</f>
        <v>0</v>
      </c>
      <c r="X104" s="51">
        <f ca="1">IF(W104&lt;0,W104*(1+('Assumptions &amp; Results'!$C$93+'Assumptions &amp; Results'!$C$94+'Assumptions &amp; Results'!$C$94))+X121,0)</f>
        <v>0</v>
      </c>
      <c r="Y104" s="51">
        <f ca="1">IF(X104&lt;0,X104*(1+('Assumptions &amp; Results'!$C$93+'Assumptions &amp; Results'!$C$94+'Assumptions &amp; Results'!$C$94))+Y121,0)</f>
        <v>0</v>
      </c>
      <c r="Z104" s="51">
        <f ca="1">IF(Y104&lt;0,Y104*(1+('Assumptions &amp; Results'!$C$93+'Assumptions &amp; Results'!$C$94+'Assumptions &amp; Results'!$C$94))+Z121,0)</f>
        <v>0</v>
      </c>
      <c r="AA104" s="51">
        <f ca="1">IF(Z104&lt;0,Z104*(1+('Assumptions &amp; Results'!$C$93+'Assumptions &amp; Results'!$C$94+'Assumptions &amp; Results'!$C$94))+AA121,0)</f>
        <v>0</v>
      </c>
      <c r="AB104" s="51">
        <f ca="1">IF(AA104&lt;0,AA104*(1+('Assumptions &amp; Results'!$C$93+'Assumptions &amp; Results'!$C$94+'Assumptions &amp; Results'!$C$94))+AB121,0)</f>
        <v>0</v>
      </c>
      <c r="AC104" s="51">
        <f ca="1">IF(AB104&lt;0,AB104*(1+('Assumptions &amp; Results'!$C$93+'Assumptions &amp; Results'!$C$94+'Assumptions &amp; Results'!$C$94))+AC121,0)</f>
        <v>0</v>
      </c>
      <c r="AD104" s="51">
        <f ca="1">IF(AC104&lt;0,AC104*(1+('Assumptions &amp; Results'!$C$93+'Assumptions &amp; Results'!$C$94+'Assumptions &amp; Results'!$C$94))+AD121,0)</f>
        <v>0</v>
      </c>
      <c r="AE104" s="51">
        <f ca="1">IF(AD104&lt;0,AD104*(1+('Assumptions &amp; Results'!$C$93+'Assumptions &amp; Results'!$C$94+'Assumptions &amp; Results'!$C$94))+AE121,0)</f>
        <v>0</v>
      </c>
      <c r="AF104" s="51">
        <f ca="1">IF(AE104&lt;0,AE104*(1+('Assumptions &amp; Results'!$C$93+'Assumptions &amp; Results'!$C$94+'Assumptions &amp; Results'!$C$94))+AF121,0)</f>
        <v>0</v>
      </c>
      <c r="AG104" s="51">
        <f ca="1">IF(AF104&lt;0,AF104*(1+('Assumptions &amp; Results'!$C$93+'Assumptions &amp; Results'!$C$94+'Assumptions &amp; Results'!$C$94))+AG121,0)</f>
        <v>0</v>
      </c>
      <c r="AH104" s="51">
        <f ca="1">IF(AG104&lt;0,AG104*(1+('Assumptions &amp; Results'!$C$93+'Assumptions &amp; Results'!$C$94+'Assumptions &amp; Results'!$C$94))+AH121,0)</f>
        <v>0</v>
      </c>
      <c r="AI104" s="51">
        <f ca="1">IF(AH104&lt;0,AH104*(1+('Assumptions &amp; Results'!$C$93+'Assumptions &amp; Results'!$C$94+'Assumptions &amp; Results'!$C$94))+AI121,0)</f>
        <v>0</v>
      </c>
      <c r="AJ104" s="51">
        <f ca="1">IF(AI104&lt;0,AI104*(1+('Assumptions &amp; Results'!$C$93+'Assumptions &amp; Results'!$C$94+'Assumptions &amp; Results'!$C$94))+AJ121,0)</f>
        <v>0</v>
      </c>
      <c r="AK104" s="51">
        <f ca="1">IF(AJ104&lt;0,AJ104*(1+('Assumptions &amp; Results'!$C$93+'Assumptions &amp; Results'!$C$94+'Assumptions &amp; Results'!$C$94))+AK121,0)</f>
        <v>0</v>
      </c>
      <c r="AL104" s="51">
        <f ca="1">IF(AK104&lt;0,AK104*(1+('Assumptions &amp; Results'!$C$93+'Assumptions &amp; Results'!$C$94+'Assumptions &amp; Results'!$C$94))+AL121,0)</f>
        <v>0</v>
      </c>
      <c r="AM104" s="51">
        <f ca="1">IF(AL104&lt;0,AL104*(1+('Assumptions &amp; Results'!$C$93+'Assumptions &amp; Results'!$C$94+'Assumptions &amp; Results'!$C$94))+AM121,0)</f>
        <v>0</v>
      </c>
      <c r="AN104" s="51">
        <f ca="1">IF(AM104&lt;0,AM104*(1+('Assumptions &amp; Results'!$C$93+'Assumptions &amp; Results'!$C$94+'Assumptions &amp; Results'!$C$94))+AN121,0)</f>
        <v>0</v>
      </c>
      <c r="AO104" s="51">
        <f ca="1">IF(AN104&lt;0,AN104*(1+('Assumptions &amp; Results'!$C$93+'Assumptions &amp; Results'!$C$94+'Assumptions &amp; Results'!$C$94))+AO121,0)</f>
        <v>0</v>
      </c>
      <c r="AP104" s="51">
        <f ca="1">IF(AO104&lt;0,AO104*(1+('Assumptions &amp; Results'!$C$93+'Assumptions &amp; Results'!$C$94+'Assumptions &amp; Results'!$C$94))+AP121,0)</f>
        <v>0</v>
      </c>
      <c r="AQ104" s="51">
        <f ca="1">IF(AP104&lt;0,AP104*(1+('Assumptions &amp; Results'!$C$93+'Assumptions &amp; Results'!$C$94+'Assumptions &amp; Results'!$C$94))+AQ121,0)</f>
        <v>0</v>
      </c>
      <c r="AR104" s="51">
        <f ca="1">IF(AQ104&lt;0,AQ104*(1+('Assumptions &amp; Results'!$C$93+'Assumptions &amp; Results'!$C$94+'Assumptions &amp; Results'!$C$94))+AR121,0)</f>
        <v>0</v>
      </c>
      <c r="AS104" s="51">
        <f ca="1">IF(AR104&lt;0,AR104*(1+('Assumptions &amp; Results'!$C$93+'Assumptions &amp; Results'!$C$94+'Assumptions &amp; Results'!$C$94))+AS121,0)</f>
        <v>0</v>
      </c>
      <c r="AT104" s="51">
        <f ca="1">IF(AS104&lt;0,AS104*(1+('Assumptions &amp; Results'!$C$93+'Assumptions &amp; Results'!$C$94+'Assumptions &amp; Results'!$C$94))+AT121,0)</f>
        <v>0</v>
      </c>
      <c r="AU104" s="51">
        <f ca="1">IF(AT104&lt;0,AT104*(1+('Assumptions &amp; Results'!$C$93+'Assumptions &amp; Results'!$C$94+'Assumptions &amp; Results'!$C$94))+AU121,0)</f>
        <v>0</v>
      </c>
      <c r="AV104" s="51">
        <f ca="1">IF(AU104&lt;0,AU104*(1+('Assumptions &amp; Results'!$C$93+'Assumptions &amp; Results'!$C$94+'Assumptions &amp; Results'!$C$94))+AV121,0)</f>
        <v>0</v>
      </c>
      <c r="AW104" s="51">
        <f ca="1">IF(AV104&lt;0,AV104*(1+('Assumptions &amp; Results'!$C$93+'Assumptions &amp; Results'!$C$94+'Assumptions &amp; Results'!$C$94))+AW121,0)</f>
        <v>0</v>
      </c>
      <c r="AX104" s="51">
        <f ca="1">IF(AW104&lt;0,AW104*(1+('Assumptions &amp; Results'!$C$93+'Assumptions &amp; Results'!$C$94+'Assumptions &amp; Results'!$C$94))+AX121,0)</f>
        <v>0</v>
      </c>
      <c r="AY104" s="51">
        <f ca="1">IF(AX104&lt;0,AX104*(1+('Assumptions &amp; Results'!$C$93+'Assumptions &amp; Results'!$C$94+'Assumptions &amp; Results'!$C$94))+AY121,0)</f>
        <v>0</v>
      </c>
      <c r="AZ104" s="51">
        <f ca="1">IF(AY104&lt;0,AY104*(1+('Assumptions &amp; Results'!$C$93+'Assumptions &amp; Results'!$C$94+'Assumptions &amp; Results'!$C$94))+AZ121,0)</f>
        <v>0</v>
      </c>
      <c r="BA104" s="51">
        <f ca="1">IF(AZ104&lt;0,AZ104*(1+('Assumptions &amp; Results'!$C$93+'Assumptions &amp; Results'!$C$94+'Assumptions &amp; Results'!$C$94))+BA121,0)</f>
        <v>0</v>
      </c>
      <c r="BB104" s="51">
        <f ca="1">IF(BA104&lt;0,BA104*(1+('Assumptions &amp; Results'!$C$93+'Assumptions &amp; Results'!$C$94+'Assumptions &amp; Results'!$C$94))+BB121,0)</f>
        <v>0</v>
      </c>
      <c r="BC104" s="38"/>
      <c r="BD104" s="38"/>
    </row>
    <row r="105" spans="1:56" s="31" customFormat="1" x14ac:dyDescent="0.2">
      <c r="A105" s="37">
        <f t="shared" ca="1" si="60"/>
        <v>0</v>
      </c>
      <c r="B105" s="37">
        <f ca="1">NPV('Assumptions &amp; Results'!$C$129,Calculations!E105:BB105)</f>
        <v>0</v>
      </c>
      <c r="C105" s="69" t="s">
        <v>16</v>
      </c>
      <c r="D105" s="36" t="s">
        <v>75</v>
      </c>
      <c r="E105" s="51">
        <f ca="1">IF(E104=0,E121*('Assumptions &amp; Results'!$C$95+'Assumptions &amp; Results'!$C$96+'Assumptions &amp; Results'!$C$96), IF(E104&lt;0,0,('Assumptions &amp; Results'!$C$95+'Assumptions &amp; Results'!$C$96+'Assumptions &amp; Results'!$C$96)*E104))</f>
        <v>0</v>
      </c>
      <c r="F105" s="51">
        <f ca="1">IF(F104=0,F121*('Assumptions &amp; Results'!$C$95+'Assumptions &amp; Results'!$C$96+'Assumptions &amp; Results'!$C$96), IF(F104&lt;0,0,('Assumptions &amp; Results'!$C$95+'Assumptions &amp; Results'!$C$96+'Assumptions &amp; Results'!$C$96)*F104))</f>
        <v>0</v>
      </c>
      <c r="G105" s="51">
        <f ca="1">IF(G104=0,G121*('Assumptions &amp; Results'!$C$95+'Assumptions &amp; Results'!$C$96+'Assumptions &amp; Results'!$C$96), IF(G104&lt;0,0,('Assumptions &amp; Results'!$C$95+'Assumptions &amp; Results'!$C$96+'Assumptions &amp; Results'!$C$96)*G104))</f>
        <v>0</v>
      </c>
      <c r="H105" s="51">
        <f ca="1">IF(H104=0,H121*('Assumptions &amp; Results'!$C$95+'Assumptions &amp; Results'!$C$96+'Assumptions &amp; Results'!$C$96), IF(H104&lt;0,0,('Assumptions &amp; Results'!$C$95+'Assumptions &amp; Results'!$C$96+'Assumptions &amp; Results'!$C$96)*H104))</f>
        <v>0</v>
      </c>
      <c r="I105" s="51">
        <f ca="1">IF(I104=0,I121*('Assumptions &amp; Results'!$C$95+'Assumptions &amp; Results'!$C$96+'Assumptions &amp; Results'!$C$96), IF(I104&lt;0,0,('Assumptions &amp; Results'!$C$95+'Assumptions &amp; Results'!$C$96+'Assumptions &amp; Results'!$C$96)*I104))</f>
        <v>0</v>
      </c>
      <c r="J105" s="51">
        <f ca="1">IF(J104=0,J121*('Assumptions &amp; Results'!$C$95+'Assumptions &amp; Results'!$C$96+'Assumptions &amp; Results'!$C$96), IF(J104&lt;0,0,('Assumptions &amp; Results'!$C$95+'Assumptions &amp; Results'!$C$96+'Assumptions &amp; Results'!$C$96)*J104))</f>
        <v>0</v>
      </c>
      <c r="K105" s="51">
        <f ca="1">IF(K104=0,K121*('Assumptions &amp; Results'!$C$95+'Assumptions &amp; Results'!$C$96+'Assumptions &amp; Results'!$C$96), IF(K104&lt;0,0,('Assumptions &amp; Results'!$C$95+'Assumptions &amp; Results'!$C$96+'Assumptions &amp; Results'!$C$96)*K104))</f>
        <v>0</v>
      </c>
      <c r="L105" s="51">
        <f ca="1">IF(L104=0,L121*('Assumptions &amp; Results'!$C$95+'Assumptions &amp; Results'!$C$96+'Assumptions &amp; Results'!$C$96), IF(L104&lt;0,0,('Assumptions &amp; Results'!$C$95+'Assumptions &amp; Results'!$C$96+'Assumptions &amp; Results'!$C$96)*L104))</f>
        <v>0</v>
      </c>
      <c r="M105" s="51">
        <f ca="1">IF(M104=0,M121*('Assumptions &amp; Results'!$C$95+'Assumptions &amp; Results'!$C$96+'Assumptions &amp; Results'!$C$96), IF(M104&lt;0,0,('Assumptions &amp; Results'!$C$95+'Assumptions &amp; Results'!$C$96+'Assumptions &amp; Results'!$C$96)*M104))</f>
        <v>0</v>
      </c>
      <c r="N105" s="51">
        <f ca="1">IF(N104=0,N121*('Assumptions &amp; Results'!$C$95+'Assumptions &amp; Results'!$C$96+'Assumptions &amp; Results'!$C$96), IF(N104&lt;0,0,('Assumptions &amp; Results'!$C$95+'Assumptions &amp; Results'!$C$96+'Assumptions &amp; Results'!$C$96)*N104))</f>
        <v>0</v>
      </c>
      <c r="O105" s="51">
        <f ca="1">IF(O104=0,O121*('Assumptions &amp; Results'!$C$95+'Assumptions &amp; Results'!$C$96+'Assumptions &amp; Results'!$C$96), IF(O104&lt;0,0,('Assumptions &amp; Results'!$C$95+'Assumptions &amp; Results'!$C$96+'Assumptions &amp; Results'!$C$96)*O104))</f>
        <v>0</v>
      </c>
      <c r="P105" s="51">
        <f ca="1">IF(P104=0,P121*('Assumptions &amp; Results'!$C$95+'Assumptions &amp; Results'!$C$96+'Assumptions &amp; Results'!$C$96), IF(P104&lt;0,0,('Assumptions &amp; Results'!$C$95+'Assumptions &amp; Results'!$C$96+'Assumptions &amp; Results'!$C$96)*P104))</f>
        <v>0</v>
      </c>
      <c r="Q105" s="51">
        <f ca="1">IF(Q104=0,Q121*('Assumptions &amp; Results'!$C$95+'Assumptions &amp; Results'!$C$96+'Assumptions &amp; Results'!$C$96), IF(Q104&lt;0,0,('Assumptions &amp; Results'!$C$95+'Assumptions &amp; Results'!$C$96+'Assumptions &amp; Results'!$C$96)*Q104))</f>
        <v>0</v>
      </c>
      <c r="R105" s="51">
        <f ca="1">IF(R104=0,R121*('Assumptions &amp; Results'!$C$95+'Assumptions &amp; Results'!$C$96+'Assumptions &amp; Results'!$C$96), IF(R104&lt;0,0,('Assumptions &amp; Results'!$C$95+'Assumptions &amp; Results'!$C$96+'Assumptions &amp; Results'!$C$96)*R104))</f>
        <v>0</v>
      </c>
      <c r="S105" s="51">
        <f ca="1">IF(S104=0,S121*('Assumptions &amp; Results'!$C$95+'Assumptions &amp; Results'!$C$96+'Assumptions &amp; Results'!$C$96), IF(S104&lt;0,0,('Assumptions &amp; Results'!$C$95+'Assumptions &amp; Results'!$C$96+'Assumptions &amp; Results'!$C$96)*S104))</f>
        <v>0</v>
      </c>
      <c r="T105" s="51">
        <f ca="1">IF(T104=0,T121*('Assumptions &amp; Results'!$C$95+'Assumptions &amp; Results'!$C$96+'Assumptions &amp; Results'!$C$96), IF(T104&lt;0,0,('Assumptions &amp; Results'!$C$95+'Assumptions &amp; Results'!$C$96+'Assumptions &amp; Results'!$C$96)*T104))</f>
        <v>0</v>
      </c>
      <c r="U105" s="51">
        <f ca="1">IF(U104=0,U121*('Assumptions &amp; Results'!$C$95+'Assumptions &amp; Results'!$C$96+'Assumptions &amp; Results'!$C$96), IF(U104&lt;0,0,('Assumptions &amp; Results'!$C$95+'Assumptions &amp; Results'!$C$96+'Assumptions &amp; Results'!$C$96)*U104))</f>
        <v>0</v>
      </c>
      <c r="V105" s="51">
        <f ca="1">IF(V104=0,V121*('Assumptions &amp; Results'!$C$95+'Assumptions &amp; Results'!$C$96+'Assumptions &amp; Results'!$C$96), IF(V104&lt;0,0,('Assumptions &amp; Results'!$C$95+'Assumptions &amp; Results'!$C$96+'Assumptions &amp; Results'!$C$96)*V104))</f>
        <v>0</v>
      </c>
      <c r="W105" s="51">
        <f ca="1">IF(W104=0,W121*('Assumptions &amp; Results'!$C$95+'Assumptions &amp; Results'!$C$96+'Assumptions &amp; Results'!$C$96), IF(W104&lt;0,0,('Assumptions &amp; Results'!$C$95+'Assumptions &amp; Results'!$C$96+'Assumptions &amp; Results'!$C$96)*W104))</f>
        <v>0</v>
      </c>
      <c r="X105" s="51">
        <f ca="1">IF(X104=0,X121*('Assumptions &amp; Results'!$C$95+'Assumptions &amp; Results'!$C$96+'Assumptions &amp; Results'!$C$96), IF(X104&lt;0,0,('Assumptions &amp; Results'!$C$95+'Assumptions &amp; Results'!$C$96+'Assumptions &amp; Results'!$C$96)*X104))</f>
        <v>0</v>
      </c>
      <c r="Y105" s="51">
        <f ca="1">IF(Y104=0,Y121*('Assumptions &amp; Results'!$C$95+'Assumptions &amp; Results'!$C$96+'Assumptions &amp; Results'!$C$96), IF(Y104&lt;0,0,('Assumptions &amp; Results'!$C$95+'Assumptions &amp; Results'!$C$96+'Assumptions &amp; Results'!$C$96)*Y104))</f>
        <v>0</v>
      </c>
      <c r="Z105" s="51">
        <f ca="1">IF(Z104=0,Z121*('Assumptions &amp; Results'!$C$95+'Assumptions &amp; Results'!$C$96+'Assumptions &amp; Results'!$C$96), IF(Z104&lt;0,0,('Assumptions &amp; Results'!$C$95+'Assumptions &amp; Results'!$C$96+'Assumptions &amp; Results'!$C$96)*Z104))</f>
        <v>0</v>
      </c>
      <c r="AA105" s="51">
        <f ca="1">IF(AA104=0,AA121*('Assumptions &amp; Results'!$C$95+'Assumptions &amp; Results'!$C$96+'Assumptions &amp; Results'!$C$96), IF(AA104&lt;0,0,('Assumptions &amp; Results'!$C$95+'Assumptions &amp; Results'!$C$96+'Assumptions &amp; Results'!$C$96)*AA104))</f>
        <v>0</v>
      </c>
      <c r="AB105" s="51">
        <f ca="1">IF(AB104=0,AB121*('Assumptions &amp; Results'!$C$95+'Assumptions &amp; Results'!$C$96+'Assumptions &amp; Results'!$C$96), IF(AB104&lt;0,0,('Assumptions &amp; Results'!$C$95+'Assumptions &amp; Results'!$C$96+'Assumptions &amp; Results'!$C$96)*AB104))</f>
        <v>0</v>
      </c>
      <c r="AC105" s="51">
        <f ca="1">IF(AC104=0,AC121*('Assumptions &amp; Results'!$C$95+'Assumptions &amp; Results'!$C$96+'Assumptions &amp; Results'!$C$96), IF(AC104&lt;0,0,('Assumptions &amp; Results'!$C$95+'Assumptions &amp; Results'!$C$96+'Assumptions &amp; Results'!$C$96)*AC104))</f>
        <v>0</v>
      </c>
      <c r="AD105" s="51">
        <f ca="1">IF(AD104=0,AD121*('Assumptions &amp; Results'!$C$95+'Assumptions &amp; Results'!$C$96+'Assumptions &amp; Results'!$C$96), IF(AD104&lt;0,0,('Assumptions &amp; Results'!$C$95+'Assumptions &amp; Results'!$C$96+'Assumptions &amp; Results'!$C$96)*AD104))</f>
        <v>0</v>
      </c>
      <c r="AE105" s="51">
        <f ca="1">IF(AE104=0,AE121*('Assumptions &amp; Results'!$C$95+'Assumptions &amp; Results'!$C$96+'Assumptions &amp; Results'!$C$96), IF(AE104&lt;0,0,('Assumptions &amp; Results'!$C$95+'Assumptions &amp; Results'!$C$96+'Assumptions &amp; Results'!$C$96)*AE104))</f>
        <v>0</v>
      </c>
      <c r="AF105" s="51">
        <f ca="1">IF(AF104=0,AF121*('Assumptions &amp; Results'!$C$95+'Assumptions &amp; Results'!$C$96+'Assumptions &amp; Results'!$C$96), IF(AF104&lt;0,0,('Assumptions &amp; Results'!$C$95+'Assumptions &amp; Results'!$C$96+'Assumptions &amp; Results'!$C$96)*AF104))</f>
        <v>0</v>
      </c>
      <c r="AG105" s="51">
        <f ca="1">IF(AG104=0,AG121*('Assumptions &amp; Results'!$C$95+'Assumptions &amp; Results'!$C$96+'Assumptions &amp; Results'!$C$96), IF(AG104&lt;0,0,('Assumptions &amp; Results'!$C$95+'Assumptions &amp; Results'!$C$96+'Assumptions &amp; Results'!$C$96)*AG104))</f>
        <v>0</v>
      </c>
      <c r="AH105" s="51">
        <f ca="1">IF(AH104=0,AH121*('Assumptions &amp; Results'!$C$95+'Assumptions &amp; Results'!$C$96+'Assumptions &amp; Results'!$C$96), IF(AH104&lt;0,0,('Assumptions &amp; Results'!$C$95+'Assumptions &amp; Results'!$C$96+'Assumptions &amp; Results'!$C$96)*AH104))</f>
        <v>0</v>
      </c>
      <c r="AI105" s="51">
        <f ca="1">IF(AI104=0,AI121*('Assumptions &amp; Results'!$C$95+'Assumptions &amp; Results'!$C$96+'Assumptions &amp; Results'!$C$96), IF(AI104&lt;0,0,('Assumptions &amp; Results'!$C$95+'Assumptions &amp; Results'!$C$96+'Assumptions &amp; Results'!$C$96)*AI104))</f>
        <v>0</v>
      </c>
      <c r="AJ105" s="51">
        <f ca="1">IF(AJ104=0,AJ121*('Assumptions &amp; Results'!$C$95+'Assumptions &amp; Results'!$C$96+'Assumptions &amp; Results'!$C$96), IF(AJ104&lt;0,0,('Assumptions &amp; Results'!$C$95+'Assumptions &amp; Results'!$C$96+'Assumptions &amp; Results'!$C$96)*AJ104))</f>
        <v>0</v>
      </c>
      <c r="AK105" s="51">
        <f ca="1">IF(AK104=0,AK121*('Assumptions &amp; Results'!$C$95+'Assumptions &amp; Results'!$C$96+'Assumptions &amp; Results'!$C$96), IF(AK104&lt;0,0,('Assumptions &amp; Results'!$C$95+'Assumptions &amp; Results'!$C$96+'Assumptions &amp; Results'!$C$96)*AK104))</f>
        <v>0</v>
      </c>
      <c r="AL105" s="51">
        <f ca="1">IF(AL104=0,AL121*('Assumptions &amp; Results'!$C$95+'Assumptions &amp; Results'!$C$96+'Assumptions &amp; Results'!$C$96), IF(AL104&lt;0,0,('Assumptions &amp; Results'!$C$95+'Assumptions &amp; Results'!$C$96+'Assumptions &amp; Results'!$C$96)*AL104))</f>
        <v>0</v>
      </c>
      <c r="AM105" s="51">
        <f ca="1">IF(AM104=0,AM121*('Assumptions &amp; Results'!$C$95+'Assumptions &amp; Results'!$C$96+'Assumptions &amp; Results'!$C$96), IF(AM104&lt;0,0,('Assumptions &amp; Results'!$C$95+'Assumptions &amp; Results'!$C$96+'Assumptions &amp; Results'!$C$96)*AM104))</f>
        <v>0</v>
      </c>
      <c r="AN105" s="51">
        <f ca="1">IF(AN104=0,AN121*('Assumptions &amp; Results'!$C$95+'Assumptions &amp; Results'!$C$96+'Assumptions &amp; Results'!$C$96), IF(AN104&lt;0,0,('Assumptions &amp; Results'!$C$95+'Assumptions &amp; Results'!$C$96+'Assumptions &amp; Results'!$C$96)*AN104))</f>
        <v>0</v>
      </c>
      <c r="AO105" s="51">
        <f ca="1">IF(AO104=0,AO121*('Assumptions &amp; Results'!$C$95+'Assumptions &amp; Results'!$C$96+'Assumptions &amp; Results'!$C$96), IF(AO104&lt;0,0,('Assumptions &amp; Results'!$C$95+'Assumptions &amp; Results'!$C$96+'Assumptions &amp; Results'!$C$96)*AO104))</f>
        <v>0</v>
      </c>
      <c r="AP105" s="51">
        <f ca="1">IF(AP104=0,AP121*('Assumptions &amp; Results'!$C$95+'Assumptions &amp; Results'!$C$96+'Assumptions &amp; Results'!$C$96), IF(AP104&lt;0,0,('Assumptions &amp; Results'!$C$95+'Assumptions &amp; Results'!$C$96+'Assumptions &amp; Results'!$C$96)*AP104))</f>
        <v>0</v>
      </c>
      <c r="AQ105" s="51">
        <f ca="1">IF(AQ104=0,AQ121*('Assumptions &amp; Results'!$C$95+'Assumptions &amp; Results'!$C$96+'Assumptions &amp; Results'!$C$96), IF(AQ104&lt;0,0,('Assumptions &amp; Results'!$C$95+'Assumptions &amp; Results'!$C$96+'Assumptions &amp; Results'!$C$96)*AQ104))</f>
        <v>0</v>
      </c>
      <c r="AR105" s="51">
        <f ca="1">IF(AR104=0,AR121*('Assumptions &amp; Results'!$C$95+'Assumptions &amp; Results'!$C$96+'Assumptions &amp; Results'!$C$96), IF(AR104&lt;0,0,('Assumptions &amp; Results'!$C$95+'Assumptions &amp; Results'!$C$96+'Assumptions &amp; Results'!$C$96)*AR104))</f>
        <v>0</v>
      </c>
      <c r="AS105" s="51">
        <f ca="1">IF(AS104=0,AS121*('Assumptions &amp; Results'!$C$95+'Assumptions &amp; Results'!$C$96+'Assumptions &amp; Results'!$C$96), IF(AS104&lt;0,0,('Assumptions &amp; Results'!$C$95+'Assumptions &amp; Results'!$C$96+'Assumptions &amp; Results'!$C$96)*AS104))</f>
        <v>0</v>
      </c>
      <c r="AT105" s="51">
        <f ca="1">IF(AT104=0,AT121*('Assumptions &amp; Results'!$C$95+'Assumptions &amp; Results'!$C$96+'Assumptions &amp; Results'!$C$96), IF(AT104&lt;0,0,('Assumptions &amp; Results'!$C$95+'Assumptions &amp; Results'!$C$96+'Assumptions &amp; Results'!$C$96)*AT104))</f>
        <v>0</v>
      </c>
      <c r="AU105" s="51">
        <f ca="1">IF(AU104=0,AU121*('Assumptions &amp; Results'!$C$95+'Assumptions &amp; Results'!$C$96+'Assumptions &amp; Results'!$C$96), IF(AU104&lt;0,0,('Assumptions &amp; Results'!$C$95+'Assumptions &amp; Results'!$C$96+'Assumptions &amp; Results'!$C$96)*AU104))</f>
        <v>0</v>
      </c>
      <c r="AV105" s="51">
        <f ca="1">IF(AV104=0,AV121*('Assumptions &amp; Results'!$C$95+'Assumptions &amp; Results'!$C$96+'Assumptions &amp; Results'!$C$96), IF(AV104&lt;0,0,('Assumptions &amp; Results'!$C$95+'Assumptions &amp; Results'!$C$96+'Assumptions &amp; Results'!$C$96)*AV104))</f>
        <v>0</v>
      </c>
      <c r="AW105" s="51">
        <f ca="1">IF(AW104=0,AW121*('Assumptions &amp; Results'!$C$95+'Assumptions &amp; Results'!$C$96+'Assumptions &amp; Results'!$C$96), IF(AW104&lt;0,0,('Assumptions &amp; Results'!$C$95+'Assumptions &amp; Results'!$C$96+'Assumptions &amp; Results'!$C$96)*AW104))</f>
        <v>0</v>
      </c>
      <c r="AX105" s="51">
        <f ca="1">IF(AX104=0,AX121*('Assumptions &amp; Results'!$C$95+'Assumptions &amp; Results'!$C$96+'Assumptions &amp; Results'!$C$96), IF(AX104&lt;0,0,('Assumptions &amp; Results'!$C$95+'Assumptions &amp; Results'!$C$96+'Assumptions &amp; Results'!$C$96)*AX104))</f>
        <v>0</v>
      </c>
      <c r="AY105" s="51">
        <f ca="1">IF(AY104=0,AY121*('Assumptions &amp; Results'!$C$95+'Assumptions &amp; Results'!$C$96+'Assumptions &amp; Results'!$C$96), IF(AY104&lt;0,0,('Assumptions &amp; Results'!$C$95+'Assumptions &amp; Results'!$C$96+'Assumptions &amp; Results'!$C$96)*AY104))</f>
        <v>0</v>
      </c>
      <c r="AZ105" s="51">
        <f ca="1">IF(AZ104=0,AZ121*('Assumptions &amp; Results'!$C$95+'Assumptions &amp; Results'!$C$96+'Assumptions &amp; Results'!$C$96), IF(AZ104&lt;0,0,('Assumptions &amp; Results'!$C$95+'Assumptions &amp; Results'!$C$96+'Assumptions &amp; Results'!$C$96)*AZ104))</f>
        <v>0</v>
      </c>
      <c r="BA105" s="51">
        <f ca="1">IF(BA104=0,BA121*('Assumptions &amp; Results'!$C$95+'Assumptions &amp; Results'!$C$96+'Assumptions &amp; Results'!$C$96), IF(BA104&lt;0,0,('Assumptions &amp; Results'!$C$95+'Assumptions &amp; Results'!$C$96+'Assumptions &amp; Results'!$C$96)*BA104))</f>
        <v>0</v>
      </c>
      <c r="BB105" s="51">
        <f ca="1">IF(BB104=0,BB121*('Assumptions &amp; Results'!$C$95+'Assumptions &amp; Results'!$C$96+'Assumptions &amp; Results'!$C$96), IF(BB104&lt;0,0,('Assumptions &amp; Results'!$C$95+'Assumptions &amp; Results'!$C$96+'Assumptions &amp; Results'!$C$96)*BB104))</f>
        <v>0</v>
      </c>
      <c r="BC105" s="34"/>
      <c r="BD105" s="34"/>
    </row>
    <row r="106" spans="1:56" s="31" customFormat="1" x14ac:dyDescent="0.2">
      <c r="A106" s="37">
        <f t="shared" ca="1" si="60"/>
        <v>0</v>
      </c>
      <c r="B106" s="37">
        <f ca="1">NPV('Assumptions &amp; Results'!$C$129,Calculations!E106:BB106)</f>
        <v>0</v>
      </c>
      <c r="C106" s="179" t="s">
        <v>273</v>
      </c>
      <c r="D106" s="36"/>
      <c r="E106" s="51">
        <f ca="1">MAX(E101,E103,E105)</f>
        <v>0</v>
      </c>
      <c r="F106" s="51">
        <f t="shared" ref="F106:BB106" ca="1" si="104">MAX(F101,F103,F105)</f>
        <v>0</v>
      </c>
      <c r="G106" s="51">
        <f t="shared" ca="1" si="104"/>
        <v>0</v>
      </c>
      <c r="H106" s="51">
        <f t="shared" ca="1" si="104"/>
        <v>0</v>
      </c>
      <c r="I106" s="51">
        <f t="shared" ca="1" si="104"/>
        <v>0</v>
      </c>
      <c r="J106" s="51">
        <f t="shared" ca="1" si="104"/>
        <v>0</v>
      </c>
      <c r="K106" s="51">
        <f t="shared" ca="1" si="104"/>
        <v>0</v>
      </c>
      <c r="L106" s="51">
        <f t="shared" ca="1" si="104"/>
        <v>0</v>
      </c>
      <c r="M106" s="51">
        <f t="shared" ca="1" si="104"/>
        <v>0</v>
      </c>
      <c r="N106" s="51">
        <f t="shared" ca="1" si="104"/>
        <v>0</v>
      </c>
      <c r="O106" s="51">
        <f t="shared" ca="1" si="104"/>
        <v>0</v>
      </c>
      <c r="P106" s="51">
        <f t="shared" ca="1" si="104"/>
        <v>0</v>
      </c>
      <c r="Q106" s="51">
        <f t="shared" ca="1" si="104"/>
        <v>0</v>
      </c>
      <c r="R106" s="51">
        <f t="shared" ca="1" si="104"/>
        <v>0</v>
      </c>
      <c r="S106" s="51">
        <f t="shared" ca="1" si="104"/>
        <v>0</v>
      </c>
      <c r="T106" s="51">
        <f t="shared" ca="1" si="104"/>
        <v>0</v>
      </c>
      <c r="U106" s="51">
        <f t="shared" ca="1" si="104"/>
        <v>0</v>
      </c>
      <c r="V106" s="51">
        <f t="shared" ca="1" si="104"/>
        <v>0</v>
      </c>
      <c r="W106" s="51">
        <f t="shared" ca="1" si="104"/>
        <v>0</v>
      </c>
      <c r="X106" s="51">
        <f t="shared" ca="1" si="104"/>
        <v>0</v>
      </c>
      <c r="Y106" s="51">
        <f t="shared" ca="1" si="104"/>
        <v>0</v>
      </c>
      <c r="Z106" s="51">
        <f t="shared" ca="1" si="104"/>
        <v>0</v>
      </c>
      <c r="AA106" s="51">
        <f t="shared" ca="1" si="104"/>
        <v>0</v>
      </c>
      <c r="AB106" s="51">
        <f t="shared" ca="1" si="104"/>
        <v>0</v>
      </c>
      <c r="AC106" s="51">
        <f t="shared" ca="1" si="104"/>
        <v>0</v>
      </c>
      <c r="AD106" s="51">
        <f t="shared" ca="1" si="104"/>
        <v>0</v>
      </c>
      <c r="AE106" s="51">
        <f t="shared" ca="1" si="104"/>
        <v>0</v>
      </c>
      <c r="AF106" s="51">
        <f t="shared" ca="1" si="104"/>
        <v>0</v>
      </c>
      <c r="AG106" s="51">
        <f t="shared" ca="1" si="104"/>
        <v>0</v>
      </c>
      <c r="AH106" s="51">
        <f t="shared" ca="1" si="104"/>
        <v>0</v>
      </c>
      <c r="AI106" s="51">
        <f t="shared" ca="1" si="104"/>
        <v>0</v>
      </c>
      <c r="AJ106" s="51">
        <f t="shared" ca="1" si="104"/>
        <v>0</v>
      </c>
      <c r="AK106" s="51">
        <f t="shared" ca="1" si="104"/>
        <v>0</v>
      </c>
      <c r="AL106" s="51">
        <f t="shared" ca="1" si="104"/>
        <v>0</v>
      </c>
      <c r="AM106" s="51">
        <f t="shared" ca="1" si="104"/>
        <v>0</v>
      </c>
      <c r="AN106" s="51">
        <f t="shared" ca="1" si="104"/>
        <v>0</v>
      </c>
      <c r="AO106" s="51">
        <f t="shared" ca="1" si="104"/>
        <v>0</v>
      </c>
      <c r="AP106" s="51">
        <f t="shared" ca="1" si="104"/>
        <v>0</v>
      </c>
      <c r="AQ106" s="51">
        <f t="shared" ca="1" si="104"/>
        <v>0</v>
      </c>
      <c r="AR106" s="51">
        <f t="shared" ca="1" si="104"/>
        <v>0</v>
      </c>
      <c r="AS106" s="51">
        <f t="shared" ca="1" si="104"/>
        <v>0</v>
      </c>
      <c r="AT106" s="51">
        <f t="shared" ca="1" si="104"/>
        <v>0</v>
      </c>
      <c r="AU106" s="51">
        <f t="shared" ca="1" si="104"/>
        <v>0</v>
      </c>
      <c r="AV106" s="51">
        <f t="shared" ca="1" si="104"/>
        <v>0</v>
      </c>
      <c r="AW106" s="51">
        <f t="shared" ca="1" si="104"/>
        <v>0</v>
      </c>
      <c r="AX106" s="51">
        <f t="shared" ca="1" si="104"/>
        <v>0</v>
      </c>
      <c r="AY106" s="51">
        <f t="shared" ca="1" si="104"/>
        <v>0</v>
      </c>
      <c r="AZ106" s="51">
        <f t="shared" ca="1" si="104"/>
        <v>0</v>
      </c>
      <c r="BA106" s="51">
        <f t="shared" ca="1" si="104"/>
        <v>0</v>
      </c>
      <c r="BB106" s="51">
        <f t="shared" ca="1" si="104"/>
        <v>0</v>
      </c>
      <c r="BC106" s="34"/>
      <c r="BD106" s="34"/>
    </row>
    <row r="107" spans="1:56" x14ac:dyDescent="0.2">
      <c r="A107" s="37"/>
      <c r="B107" s="37"/>
      <c r="C107" s="8"/>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38"/>
      <c r="BD107" s="38"/>
    </row>
    <row r="108" spans="1:56" s="105" customFormat="1" x14ac:dyDescent="0.2">
      <c r="A108" s="100">
        <f t="shared" ca="1" si="60"/>
        <v>3822.5080828689925</v>
      </c>
      <c r="B108" s="100">
        <f ca="1">NPV('Assumptions &amp; Results'!$C$129,Calculations!E108:BB108)</f>
        <v>120.77106825371409</v>
      </c>
      <c r="C108" s="101" t="s">
        <v>278</v>
      </c>
      <c r="D108" s="102" t="s">
        <v>75</v>
      </c>
      <c r="E108" s="103">
        <f ca="1">E92-E98-E106-E94-E96-E97</f>
        <v>0</v>
      </c>
      <c r="F108" s="103">
        <f t="shared" ref="F108:BB108" ca="1" si="105">F92-F98-F106-F94-F96-F97</f>
        <v>-71</v>
      </c>
      <c r="G108" s="103">
        <f t="shared" ca="1" si="105"/>
        <v>-141.71263999999999</v>
      </c>
      <c r="H108" s="103">
        <f t="shared" ca="1" si="105"/>
        <v>-211.92729100000003</v>
      </c>
      <c r="I108" s="103">
        <f t="shared" ca="1" si="105"/>
        <v>-168.71554063244798</v>
      </c>
      <c r="J108" s="103">
        <f t="shared" ca="1" si="105"/>
        <v>0</v>
      </c>
      <c r="K108" s="103">
        <f t="shared" ca="1" si="105"/>
        <v>0</v>
      </c>
      <c r="L108" s="103">
        <f t="shared" ca="1" si="105"/>
        <v>0</v>
      </c>
      <c r="M108" s="103">
        <f t="shared" ca="1" si="105"/>
        <v>0</v>
      </c>
      <c r="N108" s="103">
        <f t="shared" ca="1" si="105"/>
        <v>148.42318274452481</v>
      </c>
      <c r="O108" s="103">
        <f t="shared" ca="1" si="105"/>
        <v>160.47546898978635</v>
      </c>
      <c r="P108" s="103">
        <f t="shared" ca="1" si="105"/>
        <v>168.71167947758204</v>
      </c>
      <c r="Q108" s="103">
        <f t="shared" ca="1" si="105"/>
        <v>174.74152840613368</v>
      </c>
      <c r="R108" s="103">
        <f t="shared" ca="1" si="105"/>
        <v>178.23635897425635</v>
      </c>
      <c r="S108" s="103">
        <f t="shared" ca="1" si="105"/>
        <v>181.80108615374144</v>
      </c>
      <c r="T108" s="103">
        <f t="shared" ca="1" si="105"/>
        <v>185.43710787681633</v>
      </c>
      <c r="U108" s="103">
        <f t="shared" ca="1" si="105"/>
        <v>189.14585003435266</v>
      </c>
      <c r="V108" s="103">
        <f t="shared" ca="1" si="105"/>
        <v>192.92876703503973</v>
      </c>
      <c r="W108" s="103">
        <f t="shared" ca="1" si="105"/>
        <v>196.78734237574051</v>
      </c>
      <c r="X108" s="103">
        <f t="shared" ca="1" si="105"/>
        <v>200.72308922325533</v>
      </c>
      <c r="Y108" s="103">
        <f t="shared" ca="1" si="105"/>
        <v>204.73755100772047</v>
      </c>
      <c r="Z108" s="103">
        <f t="shared" ca="1" si="105"/>
        <v>208.8323020278749</v>
      </c>
      <c r="AA108" s="103">
        <f t="shared" ca="1" si="105"/>
        <v>213.00894806843235</v>
      </c>
      <c r="AB108" s="103">
        <f t="shared" ca="1" si="105"/>
        <v>217.26912702980104</v>
      </c>
      <c r="AC108" s="103">
        <f t="shared" ca="1" si="105"/>
        <v>221.61450957039705</v>
      </c>
      <c r="AD108" s="103">
        <f t="shared" ca="1" si="105"/>
        <v>226.04679976180506</v>
      </c>
      <c r="AE108" s="103">
        <f t="shared" ca="1" si="105"/>
        <v>230.56773575704113</v>
      </c>
      <c r="AF108" s="103">
        <f t="shared" ca="1" si="105"/>
        <v>235.17909047218188</v>
      </c>
      <c r="AG108" s="103">
        <f t="shared" ca="1" si="105"/>
        <v>239.88267228162559</v>
      </c>
      <c r="AH108" s="103">
        <f t="shared" ca="1" si="105"/>
        <v>244.68032572725807</v>
      </c>
      <c r="AI108" s="103">
        <f t="shared" ca="1" si="105"/>
        <v>249.57393224180322</v>
      </c>
      <c r="AJ108" s="103">
        <f t="shared" ca="1" si="105"/>
        <v>-17.417070143139643</v>
      </c>
      <c r="AK108" s="103">
        <f t="shared" ca="1" si="105"/>
        <v>-14.070233914431592</v>
      </c>
      <c r="AL108" s="103">
        <f t="shared" ca="1" si="105"/>
        <v>-10.65646096114938</v>
      </c>
      <c r="AM108" s="103">
        <f t="shared" ca="1" si="105"/>
        <v>-7.1744125488015236</v>
      </c>
      <c r="AN108" s="103">
        <f t="shared" ca="1" si="105"/>
        <v>-3.62272316820671</v>
      </c>
      <c r="AO108" s="103">
        <f t="shared" ca="1" si="105"/>
        <v>0</v>
      </c>
      <c r="AP108" s="103">
        <f t="shared" ca="1" si="105"/>
        <v>0</v>
      </c>
      <c r="AQ108" s="103">
        <f t="shared" ca="1" si="105"/>
        <v>0</v>
      </c>
      <c r="AR108" s="103">
        <f t="shared" ca="1" si="105"/>
        <v>0</v>
      </c>
      <c r="AS108" s="103">
        <f t="shared" ca="1" si="105"/>
        <v>0</v>
      </c>
      <c r="AT108" s="103">
        <f t="shared" ca="1" si="105"/>
        <v>0</v>
      </c>
      <c r="AU108" s="103">
        <f t="shared" ca="1" si="105"/>
        <v>0</v>
      </c>
      <c r="AV108" s="103">
        <f t="shared" ca="1" si="105"/>
        <v>0</v>
      </c>
      <c r="AW108" s="103">
        <f t="shared" ca="1" si="105"/>
        <v>0</v>
      </c>
      <c r="AX108" s="103">
        <f t="shared" ca="1" si="105"/>
        <v>0</v>
      </c>
      <c r="AY108" s="103">
        <f t="shared" ca="1" si="105"/>
        <v>0</v>
      </c>
      <c r="AZ108" s="103">
        <f t="shared" ca="1" si="105"/>
        <v>0</v>
      </c>
      <c r="BA108" s="103">
        <f t="shared" ca="1" si="105"/>
        <v>0</v>
      </c>
      <c r="BB108" s="103">
        <f t="shared" ca="1" si="105"/>
        <v>0</v>
      </c>
      <c r="BC108" s="104"/>
      <c r="BD108" s="104"/>
    </row>
    <row r="109" spans="1:56" x14ac:dyDescent="0.2">
      <c r="A109" s="37"/>
      <c r="B109" s="37"/>
      <c r="C109" s="33" t="s">
        <v>355</v>
      </c>
      <c r="E109" s="146">
        <f ca="1">IF(E108&gt;0,E108/E6,0)</f>
        <v>0</v>
      </c>
      <c r="F109" s="146">
        <f t="shared" ref="F109:K109" ca="1" si="106">IF(F108&gt;0,F108/F6,0)</f>
        <v>0</v>
      </c>
      <c r="G109" s="146">
        <f t="shared" ca="1" si="106"/>
        <v>0</v>
      </c>
      <c r="H109" s="146">
        <f t="shared" ca="1" si="106"/>
        <v>0</v>
      </c>
      <c r="I109" s="146">
        <f t="shared" ca="1" si="106"/>
        <v>0</v>
      </c>
      <c r="J109" s="146">
        <f t="shared" ca="1" si="106"/>
        <v>0</v>
      </c>
      <c r="K109" s="146">
        <f t="shared" ca="1" si="106"/>
        <v>0</v>
      </c>
      <c r="L109" s="146">
        <f t="shared" ref="L109" ca="1" si="107">IF(L108&gt;0,L108/L6,0)</f>
        <v>0</v>
      </c>
      <c r="M109" s="146">
        <f t="shared" ref="M109" ca="1" si="108">IF(M108&gt;0,M108/M6,0)</f>
        <v>0</v>
      </c>
      <c r="N109" s="146">
        <f t="shared" ref="N109" ca="1" si="109">IF(N108&gt;0,N108/N6,0)</f>
        <v>0.22316959521843846</v>
      </c>
      <c r="O109" s="146">
        <f t="shared" ref="O109" ca="1" si="110">IF(O108&gt;0,O108/O6,0)</f>
        <v>0.23935596028625347</v>
      </c>
      <c r="P109" s="146">
        <f t="shared" ref="P109:Q109" ca="1" si="111">IF(P108&gt;0,P108/P6,0)</f>
        <v>0.24670648739486012</v>
      </c>
      <c r="Q109" s="146">
        <f t="shared" ca="1" si="111"/>
        <v>0.25051364116171737</v>
      </c>
      <c r="R109" s="146">
        <f t="shared" ref="R109" ca="1" si="112">IF(R108&gt;0,R108/R6,0)</f>
        <v>0.25051364116171737</v>
      </c>
      <c r="S109" s="146">
        <f t="shared" ref="S109" ca="1" si="113">IF(S108&gt;0,S108/S6,0)</f>
        <v>0.25051364116171726</v>
      </c>
      <c r="T109" s="146">
        <f t="shared" ref="T109" ca="1" si="114">IF(T108&gt;0,T108/T6,0)</f>
        <v>0.25051364116171737</v>
      </c>
      <c r="U109" s="146">
        <f t="shared" ref="U109" ca="1" si="115">IF(U108&gt;0,U108/U6,0)</f>
        <v>0.25051364116171737</v>
      </c>
      <c r="V109" s="146">
        <f t="shared" ref="V109:W109" ca="1" si="116">IF(V108&gt;0,V108/V6,0)</f>
        <v>0.25051364116171737</v>
      </c>
      <c r="W109" s="146">
        <f t="shared" ca="1" si="116"/>
        <v>0.25051364116171732</v>
      </c>
      <c r="X109" s="146">
        <f t="shared" ref="X109" ca="1" si="117">IF(X108&gt;0,X108/X6,0)</f>
        <v>0.25051364116171737</v>
      </c>
      <c r="Y109" s="146">
        <f t="shared" ref="Y109" ca="1" si="118">IF(Y108&gt;0,Y108/Y6,0)</f>
        <v>0.25051364116171737</v>
      </c>
      <c r="Z109" s="146">
        <f t="shared" ref="Z109" ca="1" si="119">IF(Z108&gt;0,Z108/Z6,0)</f>
        <v>0.25051364116171737</v>
      </c>
      <c r="AA109" s="146">
        <f t="shared" ref="AA109" ca="1" si="120">IF(AA108&gt;0,AA108/AA6,0)</f>
        <v>0.25051364116171732</v>
      </c>
      <c r="AB109" s="146">
        <f t="shared" ref="AB109:AC109" ca="1" si="121">IF(AB108&gt;0,AB108/AB6,0)</f>
        <v>0.25051364116171737</v>
      </c>
      <c r="AC109" s="146">
        <f t="shared" ca="1" si="121"/>
        <v>0.25051364116171732</v>
      </c>
      <c r="AD109" s="146">
        <f t="shared" ref="AD109" ca="1" si="122">IF(AD108&gt;0,AD108/AD6,0)</f>
        <v>0.25051364116171743</v>
      </c>
      <c r="AE109" s="146">
        <f t="shared" ref="AE109" ca="1" si="123">IF(AE108&gt;0,AE108/AE6,0)</f>
        <v>0.25051364116171737</v>
      </c>
      <c r="AF109" s="146">
        <f t="shared" ref="AF109" ca="1" si="124">IF(AF108&gt;0,AF108/AF6,0)</f>
        <v>0.25051364116171732</v>
      </c>
      <c r="AG109" s="146">
        <f t="shared" ref="AG109" ca="1" si="125">IF(AG108&gt;0,AG108/AG6,0)</f>
        <v>0.25051364116171737</v>
      </c>
      <c r="AH109" s="146">
        <f t="shared" ref="AH109:AI109" ca="1" si="126">IF(AH108&gt;0,AH108/AH6,0)</f>
        <v>0.25051364116171737</v>
      </c>
      <c r="AI109" s="146">
        <f t="shared" ca="1" si="126"/>
        <v>0.25051364116171732</v>
      </c>
      <c r="AJ109" s="146">
        <f t="shared" ref="AJ109" ca="1" si="127">IF(AJ108&gt;0,AJ108/AJ6,0)</f>
        <v>0</v>
      </c>
      <c r="AK109" s="146">
        <f t="shared" ref="AK109" ca="1" si="128">IF(AK108&gt;0,AK108/AK6,0)</f>
        <v>0</v>
      </c>
      <c r="AL109" s="146">
        <f t="shared" ref="AL109" ca="1" si="129">IF(AL108&gt;0,AL108/AL6,0)</f>
        <v>0</v>
      </c>
      <c r="AM109" s="146">
        <f t="shared" ref="AM109" ca="1" si="130">IF(AM108&gt;0,AM108/AM6,0)</f>
        <v>0</v>
      </c>
      <c r="AN109" s="146">
        <f t="shared" ref="AN109:AO109" ca="1" si="131">IF(AN108&gt;0,AN108/AN6,0)</f>
        <v>0</v>
      </c>
      <c r="AO109" s="146">
        <f t="shared" ca="1" si="131"/>
        <v>0</v>
      </c>
      <c r="AP109" s="146">
        <f t="shared" ref="AP109" ca="1" si="132">IF(AP108&gt;0,AP108/AP6,0)</f>
        <v>0</v>
      </c>
      <c r="AQ109" s="146">
        <f t="shared" ref="AQ109" ca="1" si="133">IF(AQ108&gt;0,AQ108/AQ6,0)</f>
        <v>0</v>
      </c>
      <c r="AR109" s="146">
        <f t="shared" ref="AR109" ca="1" si="134">IF(AR108&gt;0,AR108/AR6,0)</f>
        <v>0</v>
      </c>
      <c r="AS109" s="146">
        <f t="shared" ref="AS109" ca="1" si="135">IF(AS108&gt;0,AS108/AS6,0)</f>
        <v>0</v>
      </c>
      <c r="AT109" s="146">
        <f t="shared" ref="AT109:AU109" ca="1" si="136">IF(AT108&gt;0,AT108/AT6,0)</f>
        <v>0</v>
      </c>
      <c r="AU109" s="146">
        <f t="shared" ca="1" si="136"/>
        <v>0</v>
      </c>
      <c r="AV109" s="146">
        <f t="shared" ref="AV109" ca="1" si="137">IF(AV108&gt;0,AV108/AV6,0)</f>
        <v>0</v>
      </c>
      <c r="AW109" s="146">
        <f t="shared" ref="AW109" ca="1" si="138">IF(AW108&gt;0,AW108/AW6,0)</f>
        <v>0</v>
      </c>
      <c r="AX109" s="146">
        <f t="shared" ref="AX109" ca="1" si="139">IF(AX108&gt;0,AX108/AX6,0)</f>
        <v>0</v>
      </c>
      <c r="AY109" s="146">
        <f t="shared" ref="AY109" ca="1" si="140">IF(AY108&gt;0,AY108/AY6,0)</f>
        <v>0</v>
      </c>
      <c r="AZ109" s="146">
        <f t="shared" ref="AZ109:BA109" ca="1" si="141">IF(AZ108&gt;0,AZ108/AZ6,0)</f>
        <v>0</v>
      </c>
      <c r="BA109" s="146">
        <f t="shared" ca="1" si="141"/>
        <v>0</v>
      </c>
      <c r="BB109" s="146">
        <f t="shared" ref="BB109" ca="1" si="142">IF(BB108&gt;0,BB108/BB6,0)</f>
        <v>0</v>
      </c>
      <c r="BC109" s="38"/>
      <c r="BD109" s="38"/>
    </row>
    <row r="110" spans="1:56" x14ac:dyDescent="0.2">
      <c r="A110" s="37">
        <f t="shared" si="60"/>
        <v>1402.1560062927113</v>
      </c>
      <c r="B110" s="37">
        <f>NPV('Assumptions &amp; Results'!$C$129,Calculations!E110:BB110)</f>
        <v>837.37936200433103</v>
      </c>
      <c r="C110" s="78" t="s">
        <v>135</v>
      </c>
      <c r="D110" s="298" t="s">
        <v>75</v>
      </c>
      <c r="E110" s="51">
        <f>Capex!D4</f>
        <v>250</v>
      </c>
      <c r="F110" s="51">
        <f>Capex!E4</f>
        <v>255</v>
      </c>
      <c r="G110" s="51">
        <f>Capex!F4</f>
        <v>260.10000000000002</v>
      </c>
      <c r="H110" s="51">
        <f>Capex!G4</f>
        <v>265.30199999999996</v>
      </c>
      <c r="I110" s="51">
        <f>Capex!H4</f>
        <v>0</v>
      </c>
      <c r="J110" s="51">
        <f>Capex!I4</f>
        <v>11.040808032000001</v>
      </c>
      <c r="K110" s="51">
        <f>Capex!J4</f>
        <v>11.261624192640001</v>
      </c>
      <c r="L110" s="51">
        <f>Capex!K4</f>
        <v>11.486856676492801</v>
      </c>
      <c r="M110" s="51">
        <f>Capex!L4</f>
        <v>11.716593810022658</v>
      </c>
      <c r="N110" s="51">
        <f>Capex!M4</f>
        <v>11.95092568622311</v>
      </c>
      <c r="O110" s="51">
        <f>Capex!N4</f>
        <v>12.189944199947574</v>
      </c>
      <c r="P110" s="51">
        <f>Capex!O4</f>
        <v>12.433743083946524</v>
      </c>
      <c r="Q110" s="51">
        <f>Capex!P4</f>
        <v>12.682417945625454</v>
      </c>
      <c r="R110" s="51">
        <f>Capex!Q4</f>
        <v>12.936066304537963</v>
      </c>
      <c r="S110" s="51">
        <f>Capex!R4</f>
        <v>13.194787630628724</v>
      </c>
      <c r="T110" s="51">
        <f>Capex!S4</f>
        <v>13.458683383241299</v>
      </c>
      <c r="U110" s="51">
        <f>Capex!T4</f>
        <v>13.727857050906124</v>
      </c>
      <c r="V110" s="51">
        <f>Capex!U4</f>
        <v>14.002414191924249</v>
      </c>
      <c r="W110" s="51">
        <f>Capex!V4</f>
        <v>14.282462475762735</v>
      </c>
      <c r="X110" s="51">
        <f>Capex!W4</f>
        <v>14.568111725277987</v>
      </c>
      <c r="Y110" s="51">
        <f>Capex!X4</f>
        <v>14.85947395978355</v>
      </c>
      <c r="Z110" s="51">
        <f>Capex!Y4</f>
        <v>15.156663438979221</v>
      </c>
      <c r="AA110" s="51">
        <f>Capex!Z4</f>
        <v>15.459796707758805</v>
      </c>
      <c r="AB110" s="51">
        <f>Capex!AA4</f>
        <v>15.768992641913982</v>
      </c>
      <c r="AC110" s="51">
        <f>Capex!AB4</f>
        <v>16.084372494752262</v>
      </c>
      <c r="AD110" s="51">
        <f>Capex!AC4</f>
        <v>16.406059944647307</v>
      </c>
      <c r="AE110" s="51">
        <f>Capex!AD4</f>
        <v>16.734181143540251</v>
      </c>
      <c r="AF110" s="51">
        <f>Capex!AE4</f>
        <v>17.068864766411057</v>
      </c>
      <c r="AG110" s="51">
        <f>Capex!AF4</f>
        <v>17.410242061739282</v>
      </c>
      <c r="AH110" s="51">
        <f>Capex!AG4</f>
        <v>17.758446902974065</v>
      </c>
      <c r="AI110" s="51">
        <f>Capex!AH4</f>
        <v>18.11361584103355</v>
      </c>
      <c r="AJ110" s="51">
        <f>Capex!AI4</f>
        <v>0</v>
      </c>
      <c r="AK110" s="51">
        <f>Capex!AJ4</f>
        <v>0</v>
      </c>
      <c r="AL110" s="51">
        <f>Capex!AK4</f>
        <v>0</v>
      </c>
      <c r="AM110" s="51">
        <f>Capex!AL4</f>
        <v>0</v>
      </c>
      <c r="AN110" s="51">
        <f>Capex!AM4</f>
        <v>0</v>
      </c>
      <c r="AO110" s="51">
        <f>Capex!AN4</f>
        <v>0</v>
      </c>
      <c r="AP110" s="51">
        <f>Capex!AO4</f>
        <v>0</v>
      </c>
      <c r="AQ110" s="51">
        <f>Capex!AP4</f>
        <v>0</v>
      </c>
      <c r="AR110" s="51">
        <f>Capex!AQ4</f>
        <v>0</v>
      </c>
      <c r="AS110" s="51">
        <f>Capex!AR4</f>
        <v>0</v>
      </c>
      <c r="AT110" s="51">
        <f>Capex!AS4</f>
        <v>0</v>
      </c>
      <c r="AU110" s="51">
        <f>Capex!AT4</f>
        <v>0</v>
      </c>
      <c r="AV110" s="51">
        <f>Capex!AU4</f>
        <v>0</v>
      </c>
      <c r="AW110" s="51">
        <f>Capex!AV4</f>
        <v>0</v>
      </c>
      <c r="AX110" s="51">
        <f>Capex!AW4</f>
        <v>0</v>
      </c>
      <c r="AY110" s="51">
        <f>Capex!AX4</f>
        <v>0</v>
      </c>
      <c r="AZ110" s="51">
        <f>Capex!AY4</f>
        <v>0</v>
      </c>
      <c r="BA110" s="51">
        <f>Capex!AZ4</f>
        <v>0</v>
      </c>
      <c r="BB110" s="51">
        <f>Capex!BA4</f>
        <v>0</v>
      </c>
      <c r="BC110" s="38"/>
      <c r="BD110" s="38"/>
    </row>
    <row r="111" spans="1:56" x14ac:dyDescent="0.2">
      <c r="A111" s="37"/>
      <c r="B111" s="37"/>
      <c r="C111" s="11"/>
      <c r="D111" s="24"/>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38"/>
      <c r="BD111" s="38"/>
    </row>
    <row r="112" spans="1:56" x14ac:dyDescent="0.2">
      <c r="A112" s="37"/>
      <c r="B112" s="37"/>
      <c r="C112" s="11"/>
      <c r="D112" s="24"/>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38"/>
      <c r="BD112" s="38"/>
    </row>
    <row r="113" spans="1:84" s="306" customFormat="1" ht="15.75" x14ac:dyDescent="0.25">
      <c r="A113" s="309"/>
      <c r="B113" s="309"/>
      <c r="C113" s="307" t="s">
        <v>150</v>
      </c>
    </row>
    <row r="114" spans="1:84" x14ac:dyDescent="0.2">
      <c r="A114" s="365">
        <f t="shared" si="60"/>
        <v>8090.5598804544525</v>
      </c>
      <c r="B114" s="365">
        <f>NPV('Assumptions &amp; Results'!$C$129,Calculations!E114:BB114)</f>
        <v>706.25285453452602</v>
      </c>
      <c r="C114" s="11" t="s">
        <v>182</v>
      </c>
      <c r="D114" s="36" t="s">
        <v>75</v>
      </c>
      <c r="E114" s="51">
        <f t="shared" ref="E114:AJ114" si="143">SUM(E115:E117)</f>
        <v>-250</v>
      </c>
      <c r="F114" s="51">
        <f t="shared" si="143"/>
        <v>-255</v>
      </c>
      <c r="G114" s="51">
        <f t="shared" si="143"/>
        <v>-260.10000000000002</v>
      </c>
      <c r="H114" s="51">
        <f t="shared" si="143"/>
        <v>-265.30199999999996</v>
      </c>
      <c r="I114" s="51">
        <f t="shared" si="143"/>
        <v>125.483329498752</v>
      </c>
      <c r="J114" s="51">
        <f t="shared" si="143"/>
        <v>301.22857369866233</v>
      </c>
      <c r="K114" s="51">
        <f t="shared" si="143"/>
        <v>299.38577451165736</v>
      </c>
      <c r="L114" s="51">
        <f t="shared" si="143"/>
        <v>297.34877192769267</v>
      </c>
      <c r="M114" s="51">
        <f t="shared" si="143"/>
        <v>295.69519296168482</v>
      </c>
      <c r="N114" s="51">
        <f t="shared" si="143"/>
        <v>293.2601801365231</v>
      </c>
      <c r="O114" s="51">
        <f t="shared" si="143"/>
        <v>291.21776693674752</v>
      </c>
      <c r="P114" s="51">
        <f t="shared" si="143"/>
        <v>297.04212227548248</v>
      </c>
      <c r="Q114" s="51">
        <f t="shared" si="143"/>
        <v>302.98296472099213</v>
      </c>
      <c r="R114" s="51">
        <f t="shared" si="143"/>
        <v>309.04262401541189</v>
      </c>
      <c r="S114" s="51">
        <f t="shared" si="143"/>
        <v>315.22347649572021</v>
      </c>
      <c r="T114" s="51">
        <f t="shared" si="143"/>
        <v>321.52794602563461</v>
      </c>
      <c r="U114" s="51">
        <f t="shared" si="143"/>
        <v>327.95850494614729</v>
      </c>
      <c r="V114" s="51">
        <f t="shared" si="143"/>
        <v>334.51767504507029</v>
      </c>
      <c r="W114" s="51">
        <f t="shared" si="143"/>
        <v>341.20802854597173</v>
      </c>
      <c r="X114" s="51">
        <f t="shared" si="143"/>
        <v>348.03218911689112</v>
      </c>
      <c r="Y114" s="51">
        <f t="shared" si="143"/>
        <v>354.99283289922909</v>
      </c>
      <c r="Z114" s="51">
        <f t="shared" si="143"/>
        <v>362.09268955721365</v>
      </c>
      <c r="AA114" s="51">
        <f t="shared" si="143"/>
        <v>369.33454334835778</v>
      </c>
      <c r="AB114" s="51">
        <f t="shared" si="143"/>
        <v>376.72123421532501</v>
      </c>
      <c r="AC114" s="51">
        <f t="shared" si="143"/>
        <v>384.25565889963156</v>
      </c>
      <c r="AD114" s="51">
        <f t="shared" si="143"/>
        <v>391.94077207762422</v>
      </c>
      <c r="AE114" s="51">
        <f t="shared" si="143"/>
        <v>399.77958751917669</v>
      </c>
      <c r="AF114" s="51">
        <f t="shared" si="143"/>
        <v>407.77517926956017</v>
      </c>
      <c r="AG114" s="51">
        <f t="shared" si="143"/>
        <v>415.93068285495144</v>
      </c>
      <c r="AH114" s="51">
        <f t="shared" si="143"/>
        <v>424.24929651205042</v>
      </c>
      <c r="AI114" s="51">
        <f t="shared" si="143"/>
        <v>432.73428244229143</v>
      </c>
      <c r="AJ114" s="51">
        <f t="shared" si="143"/>
        <v>0</v>
      </c>
      <c r="AK114" s="51">
        <f t="shared" ref="AK114:BB114" si="144">SUM(AK115:AK117)</f>
        <v>0</v>
      </c>
      <c r="AL114" s="51">
        <f t="shared" si="144"/>
        <v>0</v>
      </c>
      <c r="AM114" s="51">
        <f t="shared" si="144"/>
        <v>0</v>
      </c>
      <c r="AN114" s="51">
        <f t="shared" si="144"/>
        <v>0</v>
      </c>
      <c r="AO114" s="51">
        <f t="shared" si="144"/>
        <v>0</v>
      </c>
      <c r="AP114" s="51">
        <f t="shared" si="144"/>
        <v>0</v>
      </c>
      <c r="AQ114" s="51">
        <f t="shared" si="144"/>
        <v>0</v>
      </c>
      <c r="AR114" s="51">
        <f t="shared" si="144"/>
        <v>0</v>
      </c>
      <c r="AS114" s="51">
        <f t="shared" si="144"/>
        <v>0</v>
      </c>
      <c r="AT114" s="51">
        <f t="shared" si="144"/>
        <v>0</v>
      </c>
      <c r="AU114" s="51">
        <f t="shared" si="144"/>
        <v>0</v>
      </c>
      <c r="AV114" s="51">
        <f t="shared" si="144"/>
        <v>0</v>
      </c>
      <c r="AW114" s="51">
        <f t="shared" si="144"/>
        <v>0</v>
      </c>
      <c r="AX114" s="51">
        <f t="shared" si="144"/>
        <v>0</v>
      </c>
      <c r="AY114" s="51">
        <f t="shared" si="144"/>
        <v>0</v>
      </c>
      <c r="AZ114" s="51">
        <f t="shared" si="144"/>
        <v>0</v>
      </c>
      <c r="BA114" s="51">
        <f t="shared" si="144"/>
        <v>0</v>
      </c>
      <c r="BB114" s="51">
        <f t="shared" si="144"/>
        <v>0</v>
      </c>
      <c r="BC114" s="38"/>
      <c r="BD114" s="38"/>
    </row>
    <row r="115" spans="1:84" x14ac:dyDescent="0.2">
      <c r="A115" s="37">
        <f t="shared" si="60"/>
        <v>20816.861658044567</v>
      </c>
      <c r="B115" s="37">
        <f>NPV('Assumptions &amp; Results'!$C$129,Calculations!E115:BB115)</f>
        <v>3338.2842489252616</v>
      </c>
      <c r="C115" s="8" t="s">
        <v>148</v>
      </c>
      <c r="D115" s="36" t="s">
        <v>75</v>
      </c>
      <c r="E115" s="51">
        <f t="shared" ref="E115:AJ115" si="145">E6</f>
        <v>0</v>
      </c>
      <c r="F115" s="51">
        <f t="shared" si="145"/>
        <v>0</v>
      </c>
      <c r="G115" s="51">
        <f t="shared" si="145"/>
        <v>0</v>
      </c>
      <c r="H115" s="51">
        <f t="shared" si="145"/>
        <v>0</v>
      </c>
      <c r="I115" s="51">
        <f t="shared" si="145"/>
        <v>255.88696262400001</v>
      </c>
      <c r="J115" s="51">
        <f t="shared" si="145"/>
        <v>644.78318906879997</v>
      </c>
      <c r="K115" s="51">
        <f t="shared" si="145"/>
        <v>649.79571591532806</v>
      </c>
      <c r="L115" s="51">
        <f t="shared" si="145"/>
        <v>654.75083056008964</v>
      </c>
      <c r="M115" s="51">
        <f t="shared" si="145"/>
        <v>660.23006119477679</v>
      </c>
      <c r="N115" s="51">
        <f t="shared" si="145"/>
        <v>665.06901443831612</v>
      </c>
      <c r="O115" s="51">
        <f t="shared" si="145"/>
        <v>670.44693099711651</v>
      </c>
      <c r="P115" s="51">
        <f t="shared" si="145"/>
        <v>683.85586961705883</v>
      </c>
      <c r="Q115" s="51">
        <f t="shared" si="145"/>
        <v>697.53298700940002</v>
      </c>
      <c r="R115" s="51">
        <f t="shared" si="145"/>
        <v>711.48364674958793</v>
      </c>
      <c r="S115" s="51">
        <f t="shared" si="145"/>
        <v>725.7133196845798</v>
      </c>
      <c r="T115" s="51">
        <f t="shared" si="145"/>
        <v>740.22758607827143</v>
      </c>
      <c r="U115" s="51">
        <f t="shared" si="145"/>
        <v>755.03213779983685</v>
      </c>
      <c r="V115" s="51">
        <f t="shared" si="145"/>
        <v>770.13278055583362</v>
      </c>
      <c r="W115" s="51">
        <f t="shared" si="145"/>
        <v>785.53543616695038</v>
      </c>
      <c r="X115" s="51">
        <f t="shared" si="145"/>
        <v>801.24614489028932</v>
      </c>
      <c r="Y115" s="51">
        <f t="shared" si="145"/>
        <v>817.27106778809525</v>
      </c>
      <c r="Z115" s="51">
        <f t="shared" si="145"/>
        <v>833.61648914385717</v>
      </c>
      <c r="AA115" s="51">
        <f t="shared" si="145"/>
        <v>850.28881892673428</v>
      </c>
      <c r="AB115" s="51">
        <f t="shared" si="145"/>
        <v>867.29459530526901</v>
      </c>
      <c r="AC115" s="51">
        <f t="shared" si="145"/>
        <v>884.64048721137442</v>
      </c>
      <c r="AD115" s="51">
        <f t="shared" si="145"/>
        <v>902.3332969556019</v>
      </c>
      <c r="AE115" s="51">
        <f t="shared" si="145"/>
        <v>920.37996289471391</v>
      </c>
      <c r="AF115" s="51">
        <f t="shared" si="145"/>
        <v>938.78756215260819</v>
      </c>
      <c r="AG115" s="51">
        <f t="shared" si="145"/>
        <v>957.56331339566043</v>
      </c>
      <c r="AH115" s="51">
        <f t="shared" si="145"/>
        <v>976.71457966357355</v>
      </c>
      <c r="AI115" s="51">
        <f t="shared" si="145"/>
        <v>996.24887125684518</v>
      </c>
      <c r="AJ115" s="51">
        <f t="shared" si="145"/>
        <v>0</v>
      </c>
      <c r="AK115" s="51">
        <f t="shared" ref="AK115:BB115" si="146">AK6</f>
        <v>0</v>
      </c>
      <c r="AL115" s="51">
        <f t="shared" si="146"/>
        <v>0</v>
      </c>
      <c r="AM115" s="51">
        <f t="shared" si="146"/>
        <v>0</v>
      </c>
      <c r="AN115" s="51">
        <f t="shared" si="146"/>
        <v>0</v>
      </c>
      <c r="AO115" s="51">
        <f t="shared" si="146"/>
        <v>0</v>
      </c>
      <c r="AP115" s="51">
        <f t="shared" si="146"/>
        <v>0</v>
      </c>
      <c r="AQ115" s="51">
        <f t="shared" si="146"/>
        <v>0</v>
      </c>
      <c r="AR115" s="51">
        <f t="shared" si="146"/>
        <v>0</v>
      </c>
      <c r="AS115" s="51">
        <f t="shared" si="146"/>
        <v>0</v>
      </c>
      <c r="AT115" s="51">
        <f t="shared" si="146"/>
        <v>0</v>
      </c>
      <c r="AU115" s="51">
        <f t="shared" si="146"/>
        <v>0</v>
      </c>
      <c r="AV115" s="51">
        <f t="shared" si="146"/>
        <v>0</v>
      </c>
      <c r="AW115" s="51">
        <f t="shared" si="146"/>
        <v>0</v>
      </c>
      <c r="AX115" s="51">
        <f t="shared" si="146"/>
        <v>0</v>
      </c>
      <c r="AY115" s="51">
        <f t="shared" si="146"/>
        <v>0</v>
      </c>
      <c r="AZ115" s="51">
        <f t="shared" si="146"/>
        <v>0</v>
      </c>
      <c r="BA115" s="51">
        <f t="shared" si="146"/>
        <v>0</v>
      </c>
      <c r="BB115" s="51">
        <f t="shared" si="146"/>
        <v>0</v>
      </c>
      <c r="BC115" s="38"/>
      <c r="BD115" s="38"/>
    </row>
    <row r="116" spans="1:84" x14ac:dyDescent="0.2">
      <c r="A116" s="37">
        <f t="shared" si="60"/>
        <v>-11324.145771297408</v>
      </c>
      <c r="B116" s="37">
        <f>NPV('Assumptions &amp; Results'!$C$129,Calculations!E116:BB116)</f>
        <v>-1794.6520323864036</v>
      </c>
      <c r="C116" s="8" t="s">
        <v>476</v>
      </c>
      <c r="D116" s="36" t="s">
        <v>75</v>
      </c>
      <c r="E116" s="51">
        <f>-E10-E12</f>
        <v>0</v>
      </c>
      <c r="F116" s="51">
        <f t="shared" ref="F116:BB116" si="147">-F10-F12</f>
        <v>0</v>
      </c>
      <c r="G116" s="51">
        <f t="shared" si="147"/>
        <v>0</v>
      </c>
      <c r="H116" s="51">
        <f t="shared" si="147"/>
        <v>0</v>
      </c>
      <c r="I116" s="51">
        <f t="shared" si="147"/>
        <v>-130.40363312524801</v>
      </c>
      <c r="J116" s="51">
        <f t="shared" si="147"/>
        <v>-332.51380733813761</v>
      </c>
      <c r="K116" s="51">
        <f t="shared" si="147"/>
        <v>-339.1483172110307</v>
      </c>
      <c r="L116" s="51">
        <f t="shared" si="147"/>
        <v>-345.91520195590419</v>
      </c>
      <c r="M116" s="51">
        <f t="shared" si="147"/>
        <v>-352.81827442306928</v>
      </c>
      <c r="N116" s="51">
        <f t="shared" si="147"/>
        <v>-359.8579086155699</v>
      </c>
      <c r="O116" s="51">
        <f t="shared" si="147"/>
        <v>-367.03921986042144</v>
      </c>
      <c r="P116" s="51">
        <f t="shared" si="147"/>
        <v>-374.38000425762982</v>
      </c>
      <c r="Q116" s="51">
        <f t="shared" si="147"/>
        <v>-381.86760434278244</v>
      </c>
      <c r="R116" s="51">
        <f t="shared" si="147"/>
        <v>-389.50495642963807</v>
      </c>
      <c r="S116" s="51">
        <f t="shared" si="147"/>
        <v>-397.2950555582309</v>
      </c>
      <c r="T116" s="51">
        <f t="shared" si="147"/>
        <v>-405.24095666939553</v>
      </c>
      <c r="U116" s="51">
        <f t="shared" si="147"/>
        <v>-413.34577580278341</v>
      </c>
      <c r="V116" s="51">
        <f t="shared" si="147"/>
        <v>-421.6126913188391</v>
      </c>
      <c r="W116" s="51">
        <f t="shared" si="147"/>
        <v>-430.04494514521593</v>
      </c>
      <c r="X116" s="51">
        <f t="shared" si="147"/>
        <v>-438.64584404812018</v>
      </c>
      <c r="Y116" s="51">
        <f t="shared" si="147"/>
        <v>-447.41876092908262</v>
      </c>
      <c r="Z116" s="51">
        <f t="shared" si="147"/>
        <v>-456.36713614766433</v>
      </c>
      <c r="AA116" s="51">
        <f t="shared" si="147"/>
        <v>-465.49447887061768</v>
      </c>
      <c r="AB116" s="51">
        <f t="shared" si="147"/>
        <v>-474.80436844803</v>
      </c>
      <c r="AC116" s="51">
        <f t="shared" si="147"/>
        <v>-484.30045581699062</v>
      </c>
      <c r="AD116" s="51">
        <f t="shared" si="147"/>
        <v>-493.98646493333035</v>
      </c>
      <c r="AE116" s="51">
        <f t="shared" si="147"/>
        <v>-503.86619423199699</v>
      </c>
      <c r="AF116" s="51">
        <f t="shared" si="147"/>
        <v>-513.94351811663694</v>
      </c>
      <c r="AG116" s="51">
        <f t="shared" si="147"/>
        <v>-524.22238847896972</v>
      </c>
      <c r="AH116" s="51">
        <f t="shared" si="147"/>
        <v>-534.70683624854905</v>
      </c>
      <c r="AI116" s="51">
        <f t="shared" si="147"/>
        <v>-545.4009729735202</v>
      </c>
      <c r="AJ116" s="51">
        <f t="shared" si="147"/>
        <v>0</v>
      </c>
      <c r="AK116" s="51">
        <f t="shared" si="147"/>
        <v>0</v>
      </c>
      <c r="AL116" s="51">
        <f t="shared" si="147"/>
        <v>0</v>
      </c>
      <c r="AM116" s="51">
        <f t="shared" si="147"/>
        <v>0</v>
      </c>
      <c r="AN116" s="51">
        <f t="shared" si="147"/>
        <v>0</v>
      </c>
      <c r="AO116" s="51">
        <f t="shared" si="147"/>
        <v>0</v>
      </c>
      <c r="AP116" s="51">
        <f t="shared" si="147"/>
        <v>0</v>
      </c>
      <c r="AQ116" s="51">
        <f t="shared" si="147"/>
        <v>0</v>
      </c>
      <c r="AR116" s="51">
        <f t="shared" si="147"/>
        <v>0</v>
      </c>
      <c r="AS116" s="51">
        <f t="shared" si="147"/>
        <v>0</v>
      </c>
      <c r="AT116" s="51">
        <f t="shared" si="147"/>
        <v>0</v>
      </c>
      <c r="AU116" s="51">
        <f t="shared" si="147"/>
        <v>0</v>
      </c>
      <c r="AV116" s="51">
        <f t="shared" si="147"/>
        <v>0</v>
      </c>
      <c r="AW116" s="51">
        <f t="shared" si="147"/>
        <v>0</v>
      </c>
      <c r="AX116" s="51">
        <f t="shared" si="147"/>
        <v>0</v>
      </c>
      <c r="AY116" s="51">
        <f t="shared" si="147"/>
        <v>0</v>
      </c>
      <c r="AZ116" s="51">
        <f t="shared" si="147"/>
        <v>0</v>
      </c>
      <c r="BA116" s="51">
        <f t="shared" si="147"/>
        <v>0</v>
      </c>
      <c r="BB116" s="51">
        <f t="shared" si="147"/>
        <v>0</v>
      </c>
      <c r="BC116" s="38"/>
      <c r="BD116" s="38"/>
    </row>
    <row r="117" spans="1:84" x14ac:dyDescent="0.2">
      <c r="A117" s="37">
        <f t="shared" si="60"/>
        <v>-1402.1560062927113</v>
      </c>
      <c r="B117" s="37">
        <f>NPV('Assumptions &amp; Results'!$C$129,Calculations!E117:BB117)</f>
        <v>-837.37936200433103</v>
      </c>
      <c r="C117" s="8" t="s">
        <v>135</v>
      </c>
      <c r="D117" s="36" t="s">
        <v>75</v>
      </c>
      <c r="E117" s="51">
        <f t="shared" ref="E117:AJ117" si="148">-E110</f>
        <v>-250</v>
      </c>
      <c r="F117" s="51">
        <f t="shared" si="148"/>
        <v>-255</v>
      </c>
      <c r="G117" s="51">
        <f t="shared" si="148"/>
        <v>-260.10000000000002</v>
      </c>
      <c r="H117" s="51">
        <f t="shared" si="148"/>
        <v>-265.30199999999996</v>
      </c>
      <c r="I117" s="51">
        <f t="shared" si="148"/>
        <v>0</v>
      </c>
      <c r="J117" s="51">
        <f t="shared" si="148"/>
        <v>-11.040808032000001</v>
      </c>
      <c r="K117" s="51">
        <f t="shared" si="148"/>
        <v>-11.261624192640001</v>
      </c>
      <c r="L117" s="51">
        <f t="shared" si="148"/>
        <v>-11.486856676492801</v>
      </c>
      <c r="M117" s="51">
        <f t="shared" si="148"/>
        <v>-11.716593810022658</v>
      </c>
      <c r="N117" s="51">
        <f t="shared" si="148"/>
        <v>-11.95092568622311</v>
      </c>
      <c r="O117" s="51">
        <f t="shared" si="148"/>
        <v>-12.189944199947574</v>
      </c>
      <c r="P117" s="51">
        <f t="shared" si="148"/>
        <v>-12.433743083946524</v>
      </c>
      <c r="Q117" s="51">
        <f t="shared" si="148"/>
        <v>-12.682417945625454</v>
      </c>
      <c r="R117" s="51">
        <f t="shared" si="148"/>
        <v>-12.936066304537963</v>
      </c>
      <c r="S117" s="51">
        <f t="shared" si="148"/>
        <v>-13.194787630628724</v>
      </c>
      <c r="T117" s="51">
        <f t="shared" si="148"/>
        <v>-13.458683383241299</v>
      </c>
      <c r="U117" s="51">
        <f t="shared" si="148"/>
        <v>-13.727857050906124</v>
      </c>
      <c r="V117" s="51">
        <f t="shared" si="148"/>
        <v>-14.002414191924249</v>
      </c>
      <c r="W117" s="51">
        <f t="shared" si="148"/>
        <v>-14.282462475762735</v>
      </c>
      <c r="X117" s="51">
        <f t="shared" si="148"/>
        <v>-14.568111725277987</v>
      </c>
      <c r="Y117" s="51">
        <f t="shared" si="148"/>
        <v>-14.85947395978355</v>
      </c>
      <c r="Z117" s="51">
        <f t="shared" si="148"/>
        <v>-15.156663438979221</v>
      </c>
      <c r="AA117" s="51">
        <f t="shared" si="148"/>
        <v>-15.459796707758805</v>
      </c>
      <c r="AB117" s="51">
        <f t="shared" si="148"/>
        <v>-15.768992641913982</v>
      </c>
      <c r="AC117" s="51">
        <f t="shared" si="148"/>
        <v>-16.084372494752262</v>
      </c>
      <c r="AD117" s="51">
        <f t="shared" si="148"/>
        <v>-16.406059944647307</v>
      </c>
      <c r="AE117" s="51">
        <f t="shared" si="148"/>
        <v>-16.734181143540251</v>
      </c>
      <c r="AF117" s="51">
        <f t="shared" si="148"/>
        <v>-17.068864766411057</v>
      </c>
      <c r="AG117" s="51">
        <f t="shared" si="148"/>
        <v>-17.410242061739282</v>
      </c>
      <c r="AH117" s="51">
        <f t="shared" si="148"/>
        <v>-17.758446902974065</v>
      </c>
      <c r="AI117" s="51">
        <f t="shared" si="148"/>
        <v>-18.11361584103355</v>
      </c>
      <c r="AJ117" s="51">
        <f t="shared" si="148"/>
        <v>0</v>
      </c>
      <c r="AK117" s="51">
        <f t="shared" ref="AK117:BB117" si="149">-AK110</f>
        <v>0</v>
      </c>
      <c r="AL117" s="51">
        <f t="shared" si="149"/>
        <v>0</v>
      </c>
      <c r="AM117" s="51">
        <f t="shared" si="149"/>
        <v>0</v>
      </c>
      <c r="AN117" s="51">
        <f t="shared" si="149"/>
        <v>0</v>
      </c>
      <c r="AO117" s="51">
        <f t="shared" si="149"/>
        <v>0</v>
      </c>
      <c r="AP117" s="51">
        <f t="shared" si="149"/>
        <v>0</v>
      </c>
      <c r="AQ117" s="51">
        <f t="shared" si="149"/>
        <v>0</v>
      </c>
      <c r="AR117" s="51">
        <f t="shared" si="149"/>
        <v>0</v>
      </c>
      <c r="AS117" s="51">
        <f t="shared" si="149"/>
        <v>0</v>
      </c>
      <c r="AT117" s="51">
        <f t="shared" si="149"/>
        <v>0</v>
      </c>
      <c r="AU117" s="51">
        <f t="shared" si="149"/>
        <v>0</v>
      </c>
      <c r="AV117" s="51">
        <f t="shared" si="149"/>
        <v>0</v>
      </c>
      <c r="AW117" s="51">
        <f t="shared" si="149"/>
        <v>0</v>
      </c>
      <c r="AX117" s="51">
        <f t="shared" si="149"/>
        <v>0</v>
      </c>
      <c r="AY117" s="51">
        <f t="shared" si="149"/>
        <v>0</v>
      </c>
      <c r="AZ117" s="51">
        <f t="shared" si="149"/>
        <v>0</v>
      </c>
      <c r="BA117" s="51">
        <f t="shared" si="149"/>
        <v>0</v>
      </c>
      <c r="BB117" s="51">
        <f t="shared" si="149"/>
        <v>0</v>
      </c>
      <c r="BC117" s="38"/>
      <c r="BD117" s="38"/>
    </row>
    <row r="118" spans="1:84" x14ac:dyDescent="0.2">
      <c r="A118" s="37"/>
      <c r="B118" s="37"/>
      <c r="C118" s="8"/>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38"/>
      <c r="BD118" s="38"/>
    </row>
    <row r="119" spans="1:84" x14ac:dyDescent="0.2">
      <c r="A119" s="37"/>
      <c r="B119" s="37"/>
      <c r="C119" s="101" t="s">
        <v>149</v>
      </c>
      <c r="D119" s="300">
        <f>IRR(E114:BB114)</f>
        <v>0.1994545316566152</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38"/>
      <c r="BD119" s="38"/>
    </row>
    <row r="120" spans="1:84" x14ac:dyDescent="0.2">
      <c r="A120" s="37"/>
      <c r="B120" s="37"/>
      <c r="C120" s="8"/>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38"/>
      <c r="BD120" s="38"/>
    </row>
    <row r="121" spans="1:84" x14ac:dyDescent="0.2">
      <c r="A121" s="37">
        <f t="shared" ca="1" si="60"/>
        <v>4643.4374755014414</v>
      </c>
      <c r="B121" s="37">
        <f ca="1">NPV('Assumptions &amp; Results'!$C$129,Calculations!E121:BB121)</f>
        <v>264.78875788251298</v>
      </c>
      <c r="C121" s="11" t="s">
        <v>358</v>
      </c>
      <c r="D121" s="36" t="s">
        <v>75</v>
      </c>
      <c r="E121" s="51">
        <f t="shared" ref="E121:AJ121" ca="1" si="150">SUM(E122:E126)</f>
        <v>-250</v>
      </c>
      <c r="F121" s="51">
        <f t="shared" ca="1" si="150"/>
        <v>-255</v>
      </c>
      <c r="G121" s="51">
        <f t="shared" ca="1" si="150"/>
        <v>-260.10000000000002</v>
      </c>
      <c r="H121" s="51">
        <f t="shared" ca="1" si="150"/>
        <v>-265.30199999999996</v>
      </c>
      <c r="I121" s="51">
        <f t="shared" ca="1" si="150"/>
        <v>112.688981367552</v>
      </c>
      <c r="J121" s="51">
        <f t="shared" ca="1" si="150"/>
        <v>268.98941424522235</v>
      </c>
      <c r="K121" s="51">
        <f t="shared" ca="1" si="150"/>
        <v>266.89598871589095</v>
      </c>
      <c r="L121" s="51">
        <f t="shared" ca="1" si="150"/>
        <v>264.61123039968817</v>
      </c>
      <c r="M121" s="51">
        <f t="shared" ca="1" si="150"/>
        <v>262.68368990194597</v>
      </c>
      <c r="N121" s="51">
        <f t="shared" ca="1" si="150"/>
        <v>180.08655409063243</v>
      </c>
      <c r="O121" s="51">
        <f t="shared" ca="1" si="150"/>
        <v>171.28555246931444</v>
      </c>
      <c r="P121" s="51">
        <f t="shared" ca="1" si="150"/>
        <v>172.00457830670075</v>
      </c>
      <c r="Q121" s="51">
        <f t="shared" ca="1" si="150"/>
        <v>174.01472315183474</v>
      </c>
      <c r="R121" s="51">
        <f t="shared" ca="1" si="150"/>
        <v>177.49501761487141</v>
      </c>
      <c r="S121" s="51">
        <f t="shared" ca="1" si="150"/>
        <v>181.04491796716889</v>
      </c>
      <c r="T121" s="51">
        <f t="shared" ca="1" si="150"/>
        <v>184.66581632651221</v>
      </c>
      <c r="U121" s="51">
        <f t="shared" ca="1" si="150"/>
        <v>188.35913265304251</v>
      </c>
      <c r="V121" s="51">
        <f t="shared" ca="1" si="150"/>
        <v>192.12631530610341</v>
      </c>
      <c r="W121" s="51">
        <f t="shared" ca="1" si="150"/>
        <v>195.96884161222548</v>
      </c>
      <c r="X121" s="51">
        <f t="shared" ca="1" si="150"/>
        <v>199.88821844446989</v>
      </c>
      <c r="Y121" s="51">
        <f t="shared" ca="1" si="150"/>
        <v>203.88598281335942</v>
      </c>
      <c r="Z121" s="51">
        <f t="shared" ca="1" si="150"/>
        <v>207.96370246962664</v>
      </c>
      <c r="AA121" s="51">
        <f t="shared" ca="1" si="150"/>
        <v>212.12297651901906</v>
      </c>
      <c r="AB121" s="51">
        <f t="shared" ca="1" si="150"/>
        <v>216.36543604939948</v>
      </c>
      <c r="AC121" s="51">
        <f t="shared" ca="1" si="150"/>
        <v>220.69274477038749</v>
      </c>
      <c r="AD121" s="51">
        <f t="shared" ca="1" si="150"/>
        <v>225.10659966579527</v>
      </c>
      <c r="AE121" s="51">
        <f t="shared" ca="1" si="150"/>
        <v>229.60873165911119</v>
      </c>
      <c r="AF121" s="51">
        <f t="shared" ca="1" si="150"/>
        <v>234.20090629229338</v>
      </c>
      <c r="AG121" s="51">
        <f t="shared" ca="1" si="150"/>
        <v>238.88492441813926</v>
      </c>
      <c r="AH121" s="51">
        <f t="shared" ca="1" si="150"/>
        <v>243.66262290650204</v>
      </c>
      <c r="AI121" s="51">
        <f t="shared" ca="1" si="150"/>
        <v>248.53587536463209</v>
      </c>
      <c r="AJ121" s="51">
        <f t="shared" ca="1" si="150"/>
        <v>0</v>
      </c>
      <c r="AK121" s="51">
        <f t="shared" ref="AK121:BB121" ca="1" si="151">SUM(AK122:AK126)</f>
        <v>0</v>
      </c>
      <c r="AL121" s="51">
        <f t="shared" ca="1" si="151"/>
        <v>0</v>
      </c>
      <c r="AM121" s="51">
        <f t="shared" ca="1" si="151"/>
        <v>0</v>
      </c>
      <c r="AN121" s="51">
        <f t="shared" ca="1" si="151"/>
        <v>0</v>
      </c>
      <c r="AO121" s="51">
        <f t="shared" ca="1" si="151"/>
        <v>0</v>
      </c>
      <c r="AP121" s="51">
        <f t="shared" ca="1" si="151"/>
        <v>0</v>
      </c>
      <c r="AQ121" s="51">
        <f t="shared" ca="1" si="151"/>
        <v>0</v>
      </c>
      <c r="AR121" s="51">
        <f t="shared" ca="1" si="151"/>
        <v>0</v>
      </c>
      <c r="AS121" s="51">
        <f t="shared" ca="1" si="151"/>
        <v>0</v>
      </c>
      <c r="AT121" s="51">
        <f t="shared" ca="1" si="151"/>
        <v>0</v>
      </c>
      <c r="AU121" s="51">
        <f t="shared" ca="1" si="151"/>
        <v>0</v>
      </c>
      <c r="AV121" s="51">
        <f t="shared" ca="1" si="151"/>
        <v>0</v>
      </c>
      <c r="AW121" s="51">
        <f t="shared" ca="1" si="151"/>
        <v>0</v>
      </c>
      <c r="AX121" s="51">
        <f t="shared" ca="1" si="151"/>
        <v>0</v>
      </c>
      <c r="AY121" s="51">
        <f t="shared" ca="1" si="151"/>
        <v>0</v>
      </c>
      <c r="AZ121" s="51">
        <f t="shared" ca="1" si="151"/>
        <v>0</v>
      </c>
      <c r="BA121" s="51">
        <f t="shared" ca="1" si="151"/>
        <v>0</v>
      </c>
      <c r="BB121" s="51">
        <f t="shared" ca="1" si="151"/>
        <v>0</v>
      </c>
      <c r="BC121" s="38"/>
      <c r="BD121" s="38"/>
    </row>
    <row r="122" spans="1:84" x14ac:dyDescent="0.2">
      <c r="A122" s="37">
        <f t="shared" si="60"/>
        <v>8090.5598804544525</v>
      </c>
      <c r="B122" s="37">
        <f>NPV('Assumptions &amp; Results'!$C$129,Calculations!E122:BB122)</f>
        <v>706.25285453452602</v>
      </c>
      <c r="C122" s="8" t="s">
        <v>183</v>
      </c>
      <c r="D122" s="36" t="s">
        <v>75</v>
      </c>
      <c r="E122" s="51">
        <f t="shared" ref="E122:AJ122" si="152">E114</f>
        <v>-250</v>
      </c>
      <c r="F122" s="51">
        <f t="shared" si="152"/>
        <v>-255</v>
      </c>
      <c r="G122" s="51">
        <f t="shared" si="152"/>
        <v>-260.10000000000002</v>
      </c>
      <c r="H122" s="51">
        <f t="shared" si="152"/>
        <v>-265.30199999999996</v>
      </c>
      <c r="I122" s="51">
        <f t="shared" si="152"/>
        <v>125.483329498752</v>
      </c>
      <c r="J122" s="51">
        <f t="shared" si="152"/>
        <v>301.22857369866233</v>
      </c>
      <c r="K122" s="51">
        <f t="shared" si="152"/>
        <v>299.38577451165736</v>
      </c>
      <c r="L122" s="51">
        <f t="shared" si="152"/>
        <v>297.34877192769267</v>
      </c>
      <c r="M122" s="51">
        <f t="shared" si="152"/>
        <v>295.69519296168482</v>
      </c>
      <c r="N122" s="51">
        <f t="shared" si="152"/>
        <v>293.2601801365231</v>
      </c>
      <c r="O122" s="51">
        <f t="shared" si="152"/>
        <v>291.21776693674752</v>
      </c>
      <c r="P122" s="51">
        <f t="shared" si="152"/>
        <v>297.04212227548248</v>
      </c>
      <c r="Q122" s="51">
        <f t="shared" si="152"/>
        <v>302.98296472099213</v>
      </c>
      <c r="R122" s="51">
        <f t="shared" si="152"/>
        <v>309.04262401541189</v>
      </c>
      <c r="S122" s="51">
        <f t="shared" si="152"/>
        <v>315.22347649572021</v>
      </c>
      <c r="T122" s="51">
        <f t="shared" si="152"/>
        <v>321.52794602563461</v>
      </c>
      <c r="U122" s="51">
        <f t="shared" si="152"/>
        <v>327.95850494614729</v>
      </c>
      <c r="V122" s="51">
        <f t="shared" si="152"/>
        <v>334.51767504507029</v>
      </c>
      <c r="W122" s="51">
        <f t="shared" si="152"/>
        <v>341.20802854597173</v>
      </c>
      <c r="X122" s="51">
        <f t="shared" si="152"/>
        <v>348.03218911689112</v>
      </c>
      <c r="Y122" s="51">
        <f t="shared" si="152"/>
        <v>354.99283289922909</v>
      </c>
      <c r="Z122" s="51">
        <f t="shared" si="152"/>
        <v>362.09268955721365</v>
      </c>
      <c r="AA122" s="51">
        <f t="shared" si="152"/>
        <v>369.33454334835778</v>
      </c>
      <c r="AB122" s="51">
        <f t="shared" si="152"/>
        <v>376.72123421532501</v>
      </c>
      <c r="AC122" s="51">
        <f t="shared" si="152"/>
        <v>384.25565889963156</v>
      </c>
      <c r="AD122" s="51">
        <f t="shared" si="152"/>
        <v>391.94077207762422</v>
      </c>
      <c r="AE122" s="51">
        <f t="shared" si="152"/>
        <v>399.77958751917669</v>
      </c>
      <c r="AF122" s="51">
        <f t="shared" si="152"/>
        <v>407.77517926956017</v>
      </c>
      <c r="AG122" s="51">
        <f t="shared" si="152"/>
        <v>415.93068285495144</v>
      </c>
      <c r="AH122" s="51">
        <f t="shared" si="152"/>
        <v>424.24929651205042</v>
      </c>
      <c r="AI122" s="51">
        <f t="shared" si="152"/>
        <v>432.73428244229143</v>
      </c>
      <c r="AJ122" s="51">
        <f t="shared" si="152"/>
        <v>0</v>
      </c>
      <c r="AK122" s="51">
        <f t="shared" ref="AK122:BB122" si="153">AK114</f>
        <v>0</v>
      </c>
      <c r="AL122" s="51">
        <f t="shared" si="153"/>
        <v>0</v>
      </c>
      <c r="AM122" s="51">
        <f t="shared" si="153"/>
        <v>0</v>
      </c>
      <c r="AN122" s="51">
        <f t="shared" si="153"/>
        <v>0</v>
      </c>
      <c r="AO122" s="51">
        <f t="shared" si="153"/>
        <v>0</v>
      </c>
      <c r="AP122" s="51">
        <f t="shared" si="153"/>
        <v>0</v>
      </c>
      <c r="AQ122" s="51">
        <f t="shared" si="153"/>
        <v>0</v>
      </c>
      <c r="AR122" s="51">
        <f t="shared" si="153"/>
        <v>0</v>
      </c>
      <c r="AS122" s="51">
        <f t="shared" si="153"/>
        <v>0</v>
      </c>
      <c r="AT122" s="51">
        <f t="shared" si="153"/>
        <v>0</v>
      </c>
      <c r="AU122" s="51">
        <f t="shared" si="153"/>
        <v>0</v>
      </c>
      <c r="AV122" s="51">
        <f t="shared" si="153"/>
        <v>0</v>
      </c>
      <c r="AW122" s="51">
        <f t="shared" si="153"/>
        <v>0</v>
      </c>
      <c r="AX122" s="51">
        <f t="shared" si="153"/>
        <v>0</v>
      </c>
      <c r="AY122" s="51">
        <f t="shared" si="153"/>
        <v>0</v>
      </c>
      <c r="AZ122" s="51">
        <f t="shared" si="153"/>
        <v>0</v>
      </c>
      <c r="BA122" s="51">
        <f t="shared" si="153"/>
        <v>0</v>
      </c>
      <c r="BB122" s="51">
        <f t="shared" si="153"/>
        <v>0</v>
      </c>
      <c r="BC122" s="38"/>
      <c r="BD122" s="38"/>
    </row>
    <row r="123" spans="1:84" x14ac:dyDescent="0.2">
      <c r="A123" s="37">
        <f t="shared" si="60"/>
        <v>0</v>
      </c>
      <c r="B123" s="37">
        <f>NPV('Assumptions &amp; Results'!$C$129,Calculations!E123:BB123)</f>
        <v>0</v>
      </c>
      <c r="C123" s="8" t="s">
        <v>136</v>
      </c>
      <c r="D123" s="36" t="s">
        <v>75</v>
      </c>
      <c r="E123" s="51">
        <f t="shared" ref="E123:AJ123" si="154">-E15</f>
        <v>0</v>
      </c>
      <c r="F123" s="51">
        <f t="shared" si="154"/>
        <v>0</v>
      </c>
      <c r="G123" s="51">
        <f t="shared" si="154"/>
        <v>0</v>
      </c>
      <c r="H123" s="51">
        <f t="shared" si="154"/>
        <v>0</v>
      </c>
      <c r="I123" s="51">
        <f t="shared" si="154"/>
        <v>0</v>
      </c>
      <c r="J123" s="51">
        <f t="shared" si="154"/>
        <v>0</v>
      </c>
      <c r="K123" s="51">
        <f t="shared" si="154"/>
        <v>0</v>
      </c>
      <c r="L123" s="51">
        <f t="shared" si="154"/>
        <v>0</v>
      </c>
      <c r="M123" s="51">
        <f t="shared" si="154"/>
        <v>0</v>
      </c>
      <c r="N123" s="51">
        <f t="shared" si="154"/>
        <v>0</v>
      </c>
      <c r="O123" s="51">
        <f t="shared" si="154"/>
        <v>0</v>
      </c>
      <c r="P123" s="51">
        <f t="shared" si="154"/>
        <v>0</v>
      </c>
      <c r="Q123" s="51">
        <f t="shared" si="154"/>
        <v>0</v>
      </c>
      <c r="R123" s="51">
        <f t="shared" si="154"/>
        <v>0</v>
      </c>
      <c r="S123" s="51">
        <f t="shared" si="154"/>
        <v>0</v>
      </c>
      <c r="T123" s="51">
        <f t="shared" si="154"/>
        <v>0</v>
      </c>
      <c r="U123" s="51">
        <f t="shared" si="154"/>
        <v>0</v>
      </c>
      <c r="V123" s="51">
        <f t="shared" si="154"/>
        <v>0</v>
      </c>
      <c r="W123" s="51">
        <f t="shared" si="154"/>
        <v>0</v>
      </c>
      <c r="X123" s="51">
        <f t="shared" si="154"/>
        <v>0</v>
      </c>
      <c r="Y123" s="51">
        <f t="shared" si="154"/>
        <v>0</v>
      </c>
      <c r="Z123" s="51">
        <f t="shared" si="154"/>
        <v>0</v>
      </c>
      <c r="AA123" s="51">
        <f t="shared" si="154"/>
        <v>0</v>
      </c>
      <c r="AB123" s="51">
        <f t="shared" si="154"/>
        <v>0</v>
      </c>
      <c r="AC123" s="51">
        <f t="shared" si="154"/>
        <v>0</v>
      </c>
      <c r="AD123" s="51">
        <f t="shared" si="154"/>
        <v>0</v>
      </c>
      <c r="AE123" s="51">
        <f t="shared" si="154"/>
        <v>0</v>
      </c>
      <c r="AF123" s="51">
        <f t="shared" si="154"/>
        <v>0</v>
      </c>
      <c r="AG123" s="51">
        <f t="shared" si="154"/>
        <v>0</v>
      </c>
      <c r="AH123" s="51">
        <f t="shared" si="154"/>
        <v>0</v>
      </c>
      <c r="AI123" s="51">
        <f t="shared" si="154"/>
        <v>0</v>
      </c>
      <c r="AJ123" s="51">
        <f t="shared" si="154"/>
        <v>0</v>
      </c>
      <c r="AK123" s="51">
        <f t="shared" ref="AK123:BB123" si="155">-AK15</f>
        <v>0</v>
      </c>
      <c r="AL123" s="51">
        <f t="shared" si="155"/>
        <v>0</v>
      </c>
      <c r="AM123" s="51">
        <f t="shared" si="155"/>
        <v>0</v>
      </c>
      <c r="AN123" s="51">
        <f t="shared" si="155"/>
        <v>0</v>
      </c>
      <c r="AO123" s="51">
        <f t="shared" si="155"/>
        <v>0</v>
      </c>
      <c r="AP123" s="51">
        <f t="shared" si="155"/>
        <v>0</v>
      </c>
      <c r="AQ123" s="51">
        <f t="shared" si="155"/>
        <v>0</v>
      </c>
      <c r="AR123" s="51">
        <f t="shared" si="155"/>
        <v>0</v>
      </c>
      <c r="AS123" s="51">
        <f t="shared" si="155"/>
        <v>0</v>
      </c>
      <c r="AT123" s="51">
        <f t="shared" si="155"/>
        <v>0</v>
      </c>
      <c r="AU123" s="51">
        <f t="shared" si="155"/>
        <v>0</v>
      </c>
      <c r="AV123" s="51">
        <f t="shared" si="155"/>
        <v>0</v>
      </c>
      <c r="AW123" s="51">
        <f t="shared" si="155"/>
        <v>0</v>
      </c>
      <c r="AX123" s="51">
        <f t="shared" si="155"/>
        <v>0</v>
      </c>
      <c r="AY123" s="51">
        <f t="shared" si="155"/>
        <v>0</v>
      </c>
      <c r="AZ123" s="51">
        <f t="shared" si="155"/>
        <v>0</v>
      </c>
      <c r="BA123" s="51">
        <f t="shared" si="155"/>
        <v>0</v>
      </c>
      <c r="BB123" s="51">
        <f t="shared" si="155"/>
        <v>0</v>
      </c>
      <c r="BC123" s="38"/>
      <c r="BD123" s="38"/>
    </row>
    <row r="124" spans="1:84" x14ac:dyDescent="0.2">
      <c r="A124" s="37">
        <f t="shared" si="60"/>
        <v>0</v>
      </c>
      <c r="B124" s="37">
        <f>NPV('Assumptions &amp; Results'!$C$129,Calculations!E124:BB124)</f>
        <v>0</v>
      </c>
      <c r="C124" s="8" t="s">
        <v>170</v>
      </c>
      <c r="D124" s="36" t="s">
        <v>75</v>
      </c>
      <c r="E124" s="51">
        <f t="shared" ref="E124:AJ124" si="156">-E16</f>
        <v>0</v>
      </c>
      <c r="F124" s="51">
        <f t="shared" si="156"/>
        <v>0</v>
      </c>
      <c r="G124" s="51">
        <f t="shared" si="156"/>
        <v>0</v>
      </c>
      <c r="H124" s="51">
        <f t="shared" si="156"/>
        <v>0</v>
      </c>
      <c r="I124" s="51">
        <f t="shared" si="156"/>
        <v>0</v>
      </c>
      <c r="J124" s="51">
        <f t="shared" si="156"/>
        <v>0</v>
      </c>
      <c r="K124" s="51">
        <f t="shared" si="156"/>
        <v>0</v>
      </c>
      <c r="L124" s="51">
        <f t="shared" si="156"/>
        <v>0</v>
      </c>
      <c r="M124" s="51">
        <f t="shared" si="156"/>
        <v>0</v>
      </c>
      <c r="N124" s="51">
        <f t="shared" si="156"/>
        <v>0</v>
      </c>
      <c r="O124" s="51">
        <f t="shared" si="156"/>
        <v>0</v>
      </c>
      <c r="P124" s="51">
        <f t="shared" si="156"/>
        <v>0</v>
      </c>
      <c r="Q124" s="51">
        <f t="shared" si="156"/>
        <v>0</v>
      </c>
      <c r="R124" s="51">
        <f t="shared" si="156"/>
        <v>0</v>
      </c>
      <c r="S124" s="51">
        <f t="shared" si="156"/>
        <v>0</v>
      </c>
      <c r="T124" s="51">
        <f t="shared" si="156"/>
        <v>0</v>
      </c>
      <c r="U124" s="51">
        <f t="shared" si="156"/>
        <v>0</v>
      </c>
      <c r="V124" s="51">
        <f t="shared" si="156"/>
        <v>0</v>
      </c>
      <c r="W124" s="51">
        <f t="shared" si="156"/>
        <v>0</v>
      </c>
      <c r="X124" s="51">
        <f t="shared" si="156"/>
        <v>0</v>
      </c>
      <c r="Y124" s="51">
        <f t="shared" si="156"/>
        <v>0</v>
      </c>
      <c r="Z124" s="51">
        <f t="shared" si="156"/>
        <v>0</v>
      </c>
      <c r="AA124" s="51">
        <f t="shared" si="156"/>
        <v>0</v>
      </c>
      <c r="AB124" s="51">
        <f t="shared" si="156"/>
        <v>0</v>
      </c>
      <c r="AC124" s="51">
        <f t="shared" si="156"/>
        <v>0</v>
      </c>
      <c r="AD124" s="51">
        <f t="shared" si="156"/>
        <v>0</v>
      </c>
      <c r="AE124" s="51">
        <f t="shared" si="156"/>
        <v>0</v>
      </c>
      <c r="AF124" s="51">
        <f t="shared" si="156"/>
        <v>0</v>
      </c>
      <c r="AG124" s="51">
        <f t="shared" si="156"/>
        <v>0</v>
      </c>
      <c r="AH124" s="51">
        <f t="shared" si="156"/>
        <v>0</v>
      </c>
      <c r="AI124" s="51">
        <f t="shared" si="156"/>
        <v>0</v>
      </c>
      <c r="AJ124" s="51">
        <f t="shared" si="156"/>
        <v>0</v>
      </c>
      <c r="AK124" s="51">
        <f t="shared" ref="AK124:BB124" si="157">-AK16</f>
        <v>0</v>
      </c>
      <c r="AL124" s="51">
        <f t="shared" si="157"/>
        <v>0</v>
      </c>
      <c r="AM124" s="51">
        <f t="shared" si="157"/>
        <v>0</v>
      </c>
      <c r="AN124" s="51">
        <f t="shared" si="157"/>
        <v>0</v>
      </c>
      <c r="AO124" s="51">
        <f t="shared" si="157"/>
        <v>0</v>
      </c>
      <c r="AP124" s="51">
        <f t="shared" si="157"/>
        <v>0</v>
      </c>
      <c r="AQ124" s="51">
        <f t="shared" si="157"/>
        <v>0</v>
      </c>
      <c r="AR124" s="51">
        <f t="shared" si="157"/>
        <v>0</v>
      </c>
      <c r="AS124" s="51">
        <f t="shared" si="157"/>
        <v>0</v>
      </c>
      <c r="AT124" s="51">
        <f t="shared" si="157"/>
        <v>0</v>
      </c>
      <c r="AU124" s="51">
        <f t="shared" si="157"/>
        <v>0</v>
      </c>
      <c r="AV124" s="51">
        <f t="shared" si="157"/>
        <v>0</v>
      </c>
      <c r="AW124" s="51">
        <f t="shared" si="157"/>
        <v>0</v>
      </c>
      <c r="AX124" s="51">
        <f t="shared" si="157"/>
        <v>0</v>
      </c>
      <c r="AY124" s="51">
        <f t="shared" si="157"/>
        <v>0</v>
      </c>
      <c r="AZ124" s="51">
        <f t="shared" si="157"/>
        <v>0</v>
      </c>
      <c r="BA124" s="51">
        <f t="shared" si="157"/>
        <v>0</v>
      </c>
      <c r="BB124" s="51">
        <f t="shared" si="157"/>
        <v>0</v>
      </c>
      <c r="BC124" s="38"/>
      <c r="BD124" s="38"/>
    </row>
    <row r="125" spans="1:84" x14ac:dyDescent="0.2">
      <c r="A125" s="37">
        <f t="shared" ca="1" si="60"/>
        <v>-1040.8430829022284</v>
      </c>
      <c r="B125" s="37">
        <f ca="1">NPV('Assumptions &amp; Results'!$C$129,Calculations!E125:BB125)</f>
        <v>-166.91421244626306</v>
      </c>
      <c r="C125" s="8" t="s">
        <v>402</v>
      </c>
      <c r="D125" s="36" t="s">
        <v>75</v>
      </c>
      <c r="E125" s="51">
        <f ca="1">-E18-E22-E40-E66-E73-E97</f>
        <v>0</v>
      </c>
      <c r="F125" s="51">
        <f t="shared" ref="F125:BB125" ca="1" si="158">-F18-F22-F40-F66-F73-F97</f>
        <v>0</v>
      </c>
      <c r="G125" s="51">
        <f t="shared" ca="1" si="158"/>
        <v>0</v>
      </c>
      <c r="H125" s="51">
        <f t="shared" ca="1" si="158"/>
        <v>0</v>
      </c>
      <c r="I125" s="51">
        <f t="shared" ca="1" si="158"/>
        <v>-12.794348131200001</v>
      </c>
      <c r="J125" s="51">
        <f t="shared" ca="1" si="158"/>
        <v>-32.239159453440003</v>
      </c>
      <c r="K125" s="51">
        <f t="shared" ca="1" si="158"/>
        <v>-32.489785795766402</v>
      </c>
      <c r="L125" s="51">
        <f t="shared" ca="1" si="158"/>
        <v>-32.737541528004485</v>
      </c>
      <c r="M125" s="51">
        <f t="shared" ca="1" si="158"/>
        <v>-33.011503059738843</v>
      </c>
      <c r="N125" s="51">
        <f t="shared" ca="1" si="158"/>
        <v>-33.253450721915804</v>
      </c>
      <c r="O125" s="51">
        <f t="shared" ca="1" si="158"/>
        <v>-33.522346549855826</v>
      </c>
      <c r="P125" s="51">
        <f t="shared" ca="1" si="158"/>
        <v>-34.192793480852941</v>
      </c>
      <c r="Q125" s="51">
        <f t="shared" ca="1" si="158"/>
        <v>-34.876649350470004</v>
      </c>
      <c r="R125" s="51">
        <f t="shared" ca="1" si="158"/>
        <v>-35.5741823374794</v>
      </c>
      <c r="S125" s="51">
        <f t="shared" ca="1" si="158"/>
        <v>-36.285665984228991</v>
      </c>
      <c r="T125" s="51">
        <f t="shared" ca="1" si="158"/>
        <v>-37.011379303913571</v>
      </c>
      <c r="U125" s="51">
        <f t="shared" ca="1" si="158"/>
        <v>-37.751606889991841</v>
      </c>
      <c r="V125" s="51">
        <f t="shared" ca="1" si="158"/>
        <v>-38.506639027791685</v>
      </c>
      <c r="W125" s="51">
        <f t="shared" ca="1" si="158"/>
        <v>-39.276771808347519</v>
      </c>
      <c r="X125" s="51">
        <f t="shared" ca="1" si="158"/>
        <v>-40.062307244514471</v>
      </c>
      <c r="Y125" s="51">
        <f t="shared" ca="1" si="158"/>
        <v>-40.863553389404764</v>
      </c>
      <c r="Z125" s="51">
        <f t="shared" ca="1" si="158"/>
        <v>-41.680824457192863</v>
      </c>
      <c r="AA125" s="51">
        <f t="shared" ca="1" si="158"/>
        <v>-42.51444094633672</v>
      </c>
      <c r="AB125" s="51">
        <f t="shared" ca="1" si="158"/>
        <v>-43.364729765263455</v>
      </c>
      <c r="AC125" s="51">
        <f t="shared" ca="1" si="158"/>
        <v>-44.232024360568722</v>
      </c>
      <c r="AD125" s="51">
        <f t="shared" ca="1" si="158"/>
        <v>-45.1166648477801</v>
      </c>
      <c r="AE125" s="51">
        <f t="shared" ca="1" si="158"/>
        <v>-46.018998144735697</v>
      </c>
      <c r="AF125" s="51">
        <f t="shared" ca="1" si="158"/>
        <v>-46.939378107630411</v>
      </c>
      <c r="AG125" s="51">
        <f t="shared" ca="1" si="158"/>
        <v>-47.878165669783023</v>
      </c>
      <c r="AH125" s="51">
        <f t="shared" ca="1" si="158"/>
        <v>-48.835728983178683</v>
      </c>
      <c r="AI125" s="51">
        <f t="shared" ca="1" si="158"/>
        <v>-49.812443562842262</v>
      </c>
      <c r="AJ125" s="51">
        <f t="shared" ca="1" si="158"/>
        <v>0</v>
      </c>
      <c r="AK125" s="51">
        <f t="shared" ca="1" si="158"/>
        <v>0</v>
      </c>
      <c r="AL125" s="51">
        <f t="shared" ca="1" si="158"/>
        <v>0</v>
      </c>
      <c r="AM125" s="51">
        <f t="shared" ca="1" si="158"/>
        <v>0</v>
      </c>
      <c r="AN125" s="51">
        <f t="shared" ca="1" si="158"/>
        <v>0</v>
      </c>
      <c r="AO125" s="51">
        <f t="shared" ca="1" si="158"/>
        <v>0</v>
      </c>
      <c r="AP125" s="51">
        <f t="shared" ca="1" si="158"/>
        <v>0</v>
      </c>
      <c r="AQ125" s="51">
        <f t="shared" ca="1" si="158"/>
        <v>0</v>
      </c>
      <c r="AR125" s="51">
        <f t="shared" ca="1" si="158"/>
        <v>0</v>
      </c>
      <c r="AS125" s="51">
        <f t="shared" ca="1" si="158"/>
        <v>0</v>
      </c>
      <c r="AT125" s="51">
        <f t="shared" ca="1" si="158"/>
        <v>0</v>
      </c>
      <c r="AU125" s="51">
        <f t="shared" ca="1" si="158"/>
        <v>0</v>
      </c>
      <c r="AV125" s="51">
        <f t="shared" ca="1" si="158"/>
        <v>0</v>
      </c>
      <c r="AW125" s="51">
        <f t="shared" ca="1" si="158"/>
        <v>0</v>
      </c>
      <c r="AX125" s="51">
        <f t="shared" ca="1" si="158"/>
        <v>0</v>
      </c>
      <c r="AY125" s="51">
        <f t="shared" ca="1" si="158"/>
        <v>0</v>
      </c>
      <c r="AZ125" s="51">
        <f t="shared" ca="1" si="158"/>
        <v>0</v>
      </c>
      <c r="BA125" s="51">
        <f t="shared" ca="1" si="158"/>
        <v>0</v>
      </c>
      <c r="BB125" s="51">
        <f t="shared" ca="1" si="158"/>
        <v>0</v>
      </c>
      <c r="BC125" s="51"/>
      <c r="BD125" s="51"/>
      <c r="BE125" s="51"/>
      <c r="BF125" s="51"/>
      <c r="BG125" s="51"/>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row>
    <row r="126" spans="1:84" x14ac:dyDescent="0.2">
      <c r="A126" s="37">
        <f t="shared" ca="1" si="60"/>
        <v>-2406.2793220507833</v>
      </c>
      <c r="B126" s="37">
        <f ca="1">NPV('Assumptions &amp; Results'!$C$129,Calculations!E126:BB126)</f>
        <v>-274.54988420575017</v>
      </c>
      <c r="C126" s="8" t="s">
        <v>97</v>
      </c>
      <c r="D126" s="36" t="s">
        <v>75</v>
      </c>
      <c r="E126" s="51">
        <f ca="1">-E98-E96</f>
        <v>0</v>
      </c>
      <c r="F126" s="51">
        <f t="shared" ref="F126:BB126" ca="1" si="159">-F98-F96</f>
        <v>0</v>
      </c>
      <c r="G126" s="51">
        <f t="shared" ca="1" si="159"/>
        <v>0</v>
      </c>
      <c r="H126" s="51">
        <f t="shared" ca="1" si="159"/>
        <v>0</v>
      </c>
      <c r="I126" s="51">
        <f t="shared" ca="1" si="159"/>
        <v>0</v>
      </c>
      <c r="J126" s="51">
        <f t="shared" ca="1" si="159"/>
        <v>0</v>
      </c>
      <c r="K126" s="51">
        <f t="shared" ca="1" si="159"/>
        <v>0</v>
      </c>
      <c r="L126" s="51">
        <f t="shared" ca="1" si="159"/>
        <v>0</v>
      </c>
      <c r="M126" s="51">
        <f t="shared" ca="1" si="159"/>
        <v>0</v>
      </c>
      <c r="N126" s="51">
        <f t="shared" ca="1" si="159"/>
        <v>-79.920175323974888</v>
      </c>
      <c r="O126" s="51">
        <f t="shared" ca="1" si="159"/>
        <v>-86.409867917577245</v>
      </c>
      <c r="P126" s="51">
        <f t="shared" ca="1" si="159"/>
        <v>-90.844750487928778</v>
      </c>
      <c r="Q126" s="51">
        <f t="shared" ca="1" si="159"/>
        <v>-94.091592218687367</v>
      </c>
      <c r="R126" s="51">
        <f t="shared" ca="1" si="159"/>
        <v>-95.973424063061103</v>
      </c>
      <c r="S126" s="51">
        <f t="shared" ca="1" si="159"/>
        <v>-97.892892544322308</v>
      </c>
      <c r="T126" s="51">
        <f t="shared" ca="1" si="159"/>
        <v>-99.850750395208792</v>
      </c>
      <c r="U126" s="51">
        <f t="shared" ca="1" si="159"/>
        <v>-101.84776540311296</v>
      </c>
      <c r="V126" s="51">
        <f t="shared" ca="1" si="159"/>
        <v>-103.88472071117522</v>
      </c>
      <c r="W126" s="51">
        <f t="shared" ca="1" si="159"/>
        <v>-105.96241512539873</v>
      </c>
      <c r="X126" s="51">
        <f t="shared" ca="1" si="159"/>
        <v>-108.08166342790672</v>
      </c>
      <c r="Y126" s="51">
        <f t="shared" ca="1" si="159"/>
        <v>-110.24329669646487</v>
      </c>
      <c r="Z126" s="51">
        <f t="shared" ca="1" si="159"/>
        <v>-112.44816263039417</v>
      </c>
      <c r="AA126" s="51">
        <f t="shared" ca="1" si="159"/>
        <v>-114.69712588300202</v>
      </c>
      <c r="AB126" s="51">
        <f t="shared" ca="1" si="159"/>
        <v>-116.99106840066209</v>
      </c>
      <c r="AC126" s="51">
        <f t="shared" ca="1" si="159"/>
        <v>-119.33088976867532</v>
      </c>
      <c r="AD126" s="51">
        <f t="shared" ca="1" si="159"/>
        <v>-121.71750756404886</v>
      </c>
      <c r="AE126" s="51">
        <f t="shared" ca="1" si="159"/>
        <v>-124.15185771532983</v>
      </c>
      <c r="AF126" s="51">
        <f t="shared" ca="1" si="159"/>
        <v>-126.63489486963637</v>
      </c>
      <c r="AG126" s="51">
        <f t="shared" ca="1" si="159"/>
        <v>-129.16759276702916</v>
      </c>
      <c r="AH126" s="51">
        <f t="shared" ca="1" si="159"/>
        <v>-131.7509446223697</v>
      </c>
      <c r="AI126" s="51">
        <f t="shared" ca="1" si="159"/>
        <v>-134.38596351481709</v>
      </c>
      <c r="AJ126" s="51">
        <f t="shared" ca="1" si="159"/>
        <v>0</v>
      </c>
      <c r="AK126" s="51">
        <f t="shared" ca="1" si="159"/>
        <v>0</v>
      </c>
      <c r="AL126" s="51">
        <f t="shared" ca="1" si="159"/>
        <v>0</v>
      </c>
      <c r="AM126" s="51">
        <f t="shared" ca="1" si="159"/>
        <v>0</v>
      </c>
      <c r="AN126" s="51">
        <f t="shared" ca="1" si="159"/>
        <v>0</v>
      </c>
      <c r="AO126" s="51">
        <f t="shared" ca="1" si="159"/>
        <v>0</v>
      </c>
      <c r="AP126" s="51">
        <f t="shared" ca="1" si="159"/>
        <v>0</v>
      </c>
      <c r="AQ126" s="51">
        <f t="shared" ca="1" si="159"/>
        <v>0</v>
      </c>
      <c r="AR126" s="51">
        <f t="shared" ca="1" si="159"/>
        <v>0</v>
      </c>
      <c r="AS126" s="51">
        <f t="shared" ca="1" si="159"/>
        <v>0</v>
      </c>
      <c r="AT126" s="51">
        <f t="shared" ca="1" si="159"/>
        <v>0</v>
      </c>
      <c r="AU126" s="51">
        <f t="shared" ca="1" si="159"/>
        <v>0</v>
      </c>
      <c r="AV126" s="51">
        <f t="shared" ca="1" si="159"/>
        <v>0</v>
      </c>
      <c r="AW126" s="51">
        <f t="shared" ca="1" si="159"/>
        <v>0</v>
      </c>
      <c r="AX126" s="51">
        <f t="shared" ca="1" si="159"/>
        <v>0</v>
      </c>
      <c r="AY126" s="51">
        <f t="shared" ca="1" si="159"/>
        <v>0</v>
      </c>
      <c r="AZ126" s="51">
        <f t="shared" ca="1" si="159"/>
        <v>0</v>
      </c>
      <c r="BA126" s="51">
        <f t="shared" ca="1" si="159"/>
        <v>0</v>
      </c>
      <c r="BB126" s="51">
        <f t="shared" ca="1" si="159"/>
        <v>0</v>
      </c>
      <c r="BC126" s="51"/>
      <c r="BD126" s="51"/>
    </row>
    <row r="127" spans="1:84" x14ac:dyDescent="0.2">
      <c r="A127" s="37"/>
      <c r="B127" s="37"/>
      <c r="C127" s="1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38"/>
      <c r="BD127" s="38"/>
    </row>
    <row r="128" spans="1:84" x14ac:dyDescent="0.2">
      <c r="A128" s="365">
        <f t="shared" ca="1" si="60"/>
        <v>4643.4374755014414</v>
      </c>
      <c r="B128" s="365">
        <f ca="1">NPV('Assumptions &amp; Results'!$C$129,Calculations!E128:BB128)</f>
        <v>264.78875788251298</v>
      </c>
      <c r="C128" s="11" t="s">
        <v>180</v>
      </c>
      <c r="D128" s="36" t="s">
        <v>75</v>
      </c>
      <c r="E128" s="51">
        <f t="shared" ref="E128:AJ128" ca="1" si="160">SUM(E129:E130)</f>
        <v>-250</v>
      </c>
      <c r="F128" s="51">
        <f t="shared" ca="1" si="160"/>
        <v>-255</v>
      </c>
      <c r="G128" s="51">
        <f t="shared" ca="1" si="160"/>
        <v>-260.10000000000002</v>
      </c>
      <c r="H128" s="51">
        <f t="shared" ca="1" si="160"/>
        <v>-265.30199999999996</v>
      </c>
      <c r="I128" s="51">
        <f t="shared" ca="1" si="160"/>
        <v>112.688981367552</v>
      </c>
      <c r="J128" s="51">
        <f t="shared" ca="1" si="160"/>
        <v>268.98941424522235</v>
      </c>
      <c r="K128" s="51">
        <f t="shared" ca="1" si="160"/>
        <v>266.89598871589095</v>
      </c>
      <c r="L128" s="51">
        <f t="shared" ca="1" si="160"/>
        <v>264.61123039968817</v>
      </c>
      <c r="M128" s="51">
        <f t="shared" ca="1" si="160"/>
        <v>262.68368990194597</v>
      </c>
      <c r="N128" s="51">
        <f t="shared" ca="1" si="160"/>
        <v>180.08655409063243</v>
      </c>
      <c r="O128" s="51">
        <f t="shared" ca="1" si="160"/>
        <v>171.28555246931444</v>
      </c>
      <c r="P128" s="51">
        <f t="shared" ca="1" si="160"/>
        <v>172.00457830670075</v>
      </c>
      <c r="Q128" s="51">
        <f t="shared" ca="1" si="160"/>
        <v>174.01472315183474</v>
      </c>
      <c r="R128" s="51">
        <f t="shared" ca="1" si="160"/>
        <v>177.49501761487141</v>
      </c>
      <c r="S128" s="51">
        <f t="shared" ca="1" si="160"/>
        <v>181.04491796716889</v>
      </c>
      <c r="T128" s="51">
        <f t="shared" ca="1" si="160"/>
        <v>184.66581632651221</v>
      </c>
      <c r="U128" s="51">
        <f t="shared" ca="1" si="160"/>
        <v>188.35913265304251</v>
      </c>
      <c r="V128" s="51">
        <f t="shared" ca="1" si="160"/>
        <v>192.12631530610341</v>
      </c>
      <c r="W128" s="51">
        <f t="shared" ca="1" si="160"/>
        <v>195.96884161222548</v>
      </c>
      <c r="X128" s="51">
        <f t="shared" ca="1" si="160"/>
        <v>199.88821844446989</v>
      </c>
      <c r="Y128" s="51">
        <f t="shared" ca="1" si="160"/>
        <v>203.88598281335942</v>
      </c>
      <c r="Z128" s="51">
        <f t="shared" ca="1" si="160"/>
        <v>207.96370246962664</v>
      </c>
      <c r="AA128" s="51">
        <f t="shared" ca="1" si="160"/>
        <v>212.12297651901906</v>
      </c>
      <c r="AB128" s="51">
        <f t="shared" ca="1" si="160"/>
        <v>216.36543604939948</v>
      </c>
      <c r="AC128" s="51">
        <f t="shared" ca="1" si="160"/>
        <v>220.69274477038749</v>
      </c>
      <c r="AD128" s="51">
        <f t="shared" ca="1" si="160"/>
        <v>225.10659966579527</v>
      </c>
      <c r="AE128" s="51">
        <f t="shared" ca="1" si="160"/>
        <v>229.60873165911119</v>
      </c>
      <c r="AF128" s="51">
        <f t="shared" ca="1" si="160"/>
        <v>234.20090629229338</v>
      </c>
      <c r="AG128" s="51">
        <f t="shared" ca="1" si="160"/>
        <v>238.88492441813926</v>
      </c>
      <c r="AH128" s="51">
        <f t="shared" ca="1" si="160"/>
        <v>243.66262290650204</v>
      </c>
      <c r="AI128" s="51">
        <f t="shared" ca="1" si="160"/>
        <v>248.53587536463209</v>
      </c>
      <c r="AJ128" s="51">
        <f t="shared" ca="1" si="160"/>
        <v>0</v>
      </c>
      <c r="AK128" s="51">
        <f t="shared" ref="AK128:BB128" ca="1" si="161">SUM(AK129:AK130)</f>
        <v>0</v>
      </c>
      <c r="AL128" s="51">
        <f t="shared" ca="1" si="161"/>
        <v>0</v>
      </c>
      <c r="AM128" s="51">
        <f t="shared" ca="1" si="161"/>
        <v>0</v>
      </c>
      <c r="AN128" s="51">
        <f t="shared" ca="1" si="161"/>
        <v>0</v>
      </c>
      <c r="AO128" s="51">
        <f t="shared" ca="1" si="161"/>
        <v>0</v>
      </c>
      <c r="AP128" s="51">
        <f t="shared" ca="1" si="161"/>
        <v>0</v>
      </c>
      <c r="AQ128" s="51">
        <f t="shared" ca="1" si="161"/>
        <v>0</v>
      </c>
      <c r="AR128" s="51">
        <f t="shared" ca="1" si="161"/>
        <v>0</v>
      </c>
      <c r="AS128" s="51">
        <f t="shared" ca="1" si="161"/>
        <v>0</v>
      </c>
      <c r="AT128" s="51">
        <f t="shared" ca="1" si="161"/>
        <v>0</v>
      </c>
      <c r="AU128" s="51">
        <f t="shared" ca="1" si="161"/>
        <v>0</v>
      </c>
      <c r="AV128" s="51">
        <f t="shared" ca="1" si="161"/>
        <v>0</v>
      </c>
      <c r="AW128" s="51">
        <f t="shared" ca="1" si="161"/>
        <v>0</v>
      </c>
      <c r="AX128" s="51">
        <f t="shared" ca="1" si="161"/>
        <v>0</v>
      </c>
      <c r="AY128" s="51">
        <f t="shared" ca="1" si="161"/>
        <v>0</v>
      </c>
      <c r="AZ128" s="51">
        <f t="shared" ca="1" si="161"/>
        <v>0</v>
      </c>
      <c r="BA128" s="51">
        <f t="shared" ca="1" si="161"/>
        <v>0</v>
      </c>
      <c r="BB128" s="51">
        <f t="shared" ca="1" si="161"/>
        <v>0</v>
      </c>
      <c r="BC128" s="38"/>
      <c r="BD128" s="38"/>
    </row>
    <row r="129" spans="1:56" x14ac:dyDescent="0.2">
      <c r="A129" s="37">
        <f t="shared" ca="1" si="60"/>
        <v>4643.4374755014414</v>
      </c>
      <c r="B129" s="37">
        <f ca="1">NPV('Assumptions &amp; Results'!$C$129,Calculations!E129:BB129)</f>
        <v>264.78875788251298</v>
      </c>
      <c r="C129" s="8" t="s">
        <v>137</v>
      </c>
      <c r="D129" s="36" t="s">
        <v>75</v>
      </c>
      <c r="E129" s="51">
        <f t="shared" ref="E129:AJ129" ca="1" si="162">E121</f>
        <v>-250</v>
      </c>
      <c r="F129" s="51">
        <f t="shared" ca="1" si="162"/>
        <v>-255</v>
      </c>
      <c r="G129" s="51">
        <f t="shared" ca="1" si="162"/>
        <v>-260.10000000000002</v>
      </c>
      <c r="H129" s="51">
        <f t="shared" ca="1" si="162"/>
        <v>-265.30199999999996</v>
      </c>
      <c r="I129" s="51">
        <f t="shared" ca="1" si="162"/>
        <v>112.688981367552</v>
      </c>
      <c r="J129" s="51">
        <f t="shared" ca="1" si="162"/>
        <v>268.98941424522235</v>
      </c>
      <c r="K129" s="51">
        <f t="shared" ca="1" si="162"/>
        <v>266.89598871589095</v>
      </c>
      <c r="L129" s="51">
        <f t="shared" ca="1" si="162"/>
        <v>264.61123039968817</v>
      </c>
      <c r="M129" s="51">
        <f t="shared" ca="1" si="162"/>
        <v>262.68368990194597</v>
      </c>
      <c r="N129" s="51">
        <f t="shared" ca="1" si="162"/>
        <v>180.08655409063243</v>
      </c>
      <c r="O129" s="51">
        <f t="shared" ca="1" si="162"/>
        <v>171.28555246931444</v>
      </c>
      <c r="P129" s="51">
        <f t="shared" ca="1" si="162"/>
        <v>172.00457830670075</v>
      </c>
      <c r="Q129" s="51">
        <f t="shared" ca="1" si="162"/>
        <v>174.01472315183474</v>
      </c>
      <c r="R129" s="51">
        <f t="shared" ca="1" si="162"/>
        <v>177.49501761487141</v>
      </c>
      <c r="S129" s="51">
        <f t="shared" ca="1" si="162"/>
        <v>181.04491796716889</v>
      </c>
      <c r="T129" s="51">
        <f t="shared" ca="1" si="162"/>
        <v>184.66581632651221</v>
      </c>
      <c r="U129" s="51">
        <f t="shared" ca="1" si="162"/>
        <v>188.35913265304251</v>
      </c>
      <c r="V129" s="51">
        <f t="shared" ca="1" si="162"/>
        <v>192.12631530610341</v>
      </c>
      <c r="W129" s="51">
        <f t="shared" ca="1" si="162"/>
        <v>195.96884161222548</v>
      </c>
      <c r="X129" s="51">
        <f t="shared" ca="1" si="162"/>
        <v>199.88821844446989</v>
      </c>
      <c r="Y129" s="51">
        <f t="shared" ca="1" si="162"/>
        <v>203.88598281335942</v>
      </c>
      <c r="Z129" s="51">
        <f t="shared" ca="1" si="162"/>
        <v>207.96370246962664</v>
      </c>
      <c r="AA129" s="51">
        <f t="shared" ca="1" si="162"/>
        <v>212.12297651901906</v>
      </c>
      <c r="AB129" s="51">
        <f t="shared" ca="1" si="162"/>
        <v>216.36543604939948</v>
      </c>
      <c r="AC129" s="51">
        <f t="shared" ca="1" si="162"/>
        <v>220.69274477038749</v>
      </c>
      <c r="AD129" s="51">
        <f t="shared" ca="1" si="162"/>
        <v>225.10659966579527</v>
      </c>
      <c r="AE129" s="51">
        <f t="shared" ca="1" si="162"/>
        <v>229.60873165911119</v>
      </c>
      <c r="AF129" s="51">
        <f t="shared" ca="1" si="162"/>
        <v>234.20090629229338</v>
      </c>
      <c r="AG129" s="51">
        <f t="shared" ca="1" si="162"/>
        <v>238.88492441813926</v>
      </c>
      <c r="AH129" s="51">
        <f t="shared" ca="1" si="162"/>
        <v>243.66262290650204</v>
      </c>
      <c r="AI129" s="51">
        <f t="shared" ca="1" si="162"/>
        <v>248.53587536463209</v>
      </c>
      <c r="AJ129" s="51">
        <f t="shared" ca="1" si="162"/>
        <v>0</v>
      </c>
      <c r="AK129" s="51">
        <f t="shared" ref="AK129:BB129" ca="1" si="163">AK121</f>
        <v>0</v>
      </c>
      <c r="AL129" s="51">
        <f t="shared" ca="1" si="163"/>
        <v>0</v>
      </c>
      <c r="AM129" s="51">
        <f t="shared" ca="1" si="163"/>
        <v>0</v>
      </c>
      <c r="AN129" s="51">
        <f t="shared" ca="1" si="163"/>
        <v>0</v>
      </c>
      <c r="AO129" s="51">
        <f t="shared" ca="1" si="163"/>
        <v>0</v>
      </c>
      <c r="AP129" s="51">
        <f t="shared" ca="1" si="163"/>
        <v>0</v>
      </c>
      <c r="AQ129" s="51">
        <f t="shared" ca="1" si="163"/>
        <v>0</v>
      </c>
      <c r="AR129" s="51">
        <f t="shared" ca="1" si="163"/>
        <v>0</v>
      </c>
      <c r="AS129" s="51">
        <f t="shared" ca="1" si="163"/>
        <v>0</v>
      </c>
      <c r="AT129" s="51">
        <f t="shared" ca="1" si="163"/>
        <v>0</v>
      </c>
      <c r="AU129" s="51">
        <f t="shared" ca="1" si="163"/>
        <v>0</v>
      </c>
      <c r="AV129" s="51">
        <f t="shared" ca="1" si="163"/>
        <v>0</v>
      </c>
      <c r="AW129" s="51">
        <f t="shared" ca="1" si="163"/>
        <v>0</v>
      </c>
      <c r="AX129" s="51">
        <f t="shared" ca="1" si="163"/>
        <v>0</v>
      </c>
      <c r="AY129" s="51">
        <f t="shared" ca="1" si="163"/>
        <v>0</v>
      </c>
      <c r="AZ129" s="51">
        <f t="shared" ca="1" si="163"/>
        <v>0</v>
      </c>
      <c r="BA129" s="51">
        <f t="shared" ca="1" si="163"/>
        <v>0</v>
      </c>
      <c r="BB129" s="51">
        <f t="shared" ca="1" si="163"/>
        <v>0</v>
      </c>
      <c r="BC129" s="38"/>
      <c r="BD129" s="38"/>
    </row>
    <row r="130" spans="1:56" x14ac:dyDescent="0.2">
      <c r="A130" s="37">
        <f t="shared" si="60"/>
        <v>0</v>
      </c>
      <c r="B130" s="37">
        <f>NPV('Assumptions &amp; Results'!$C$129,Calculations!E130:BB130)</f>
        <v>0</v>
      </c>
      <c r="C130" s="8" t="str">
        <f>C99</f>
        <v>Resource Rent Tax</v>
      </c>
      <c r="D130" s="36" t="s">
        <v>75</v>
      </c>
      <c r="E130" s="51">
        <f t="shared" ref="E130:AJ130" si="164">-E99</f>
        <v>0</v>
      </c>
      <c r="F130" s="51">
        <f t="shared" si="164"/>
        <v>0</v>
      </c>
      <c r="G130" s="51">
        <f t="shared" si="164"/>
        <v>0</v>
      </c>
      <c r="H130" s="51">
        <f t="shared" si="164"/>
        <v>0</v>
      </c>
      <c r="I130" s="51">
        <f t="shared" si="164"/>
        <v>0</v>
      </c>
      <c r="J130" s="51">
        <f t="shared" si="164"/>
        <v>0</v>
      </c>
      <c r="K130" s="51">
        <f t="shared" si="164"/>
        <v>0</v>
      </c>
      <c r="L130" s="51">
        <f t="shared" si="164"/>
        <v>0</v>
      </c>
      <c r="M130" s="51">
        <f t="shared" si="164"/>
        <v>0</v>
      </c>
      <c r="N130" s="51">
        <f t="shared" si="164"/>
        <v>0</v>
      </c>
      <c r="O130" s="51">
        <f t="shared" si="164"/>
        <v>0</v>
      </c>
      <c r="P130" s="51">
        <f t="shared" si="164"/>
        <v>0</v>
      </c>
      <c r="Q130" s="51">
        <f t="shared" si="164"/>
        <v>0</v>
      </c>
      <c r="R130" s="51">
        <f t="shared" si="164"/>
        <v>0</v>
      </c>
      <c r="S130" s="51">
        <f t="shared" si="164"/>
        <v>0</v>
      </c>
      <c r="T130" s="51">
        <f t="shared" si="164"/>
        <v>0</v>
      </c>
      <c r="U130" s="51">
        <f t="shared" si="164"/>
        <v>0</v>
      </c>
      <c r="V130" s="51">
        <f t="shared" si="164"/>
        <v>0</v>
      </c>
      <c r="W130" s="51">
        <f t="shared" si="164"/>
        <v>0</v>
      </c>
      <c r="X130" s="51">
        <f t="shared" si="164"/>
        <v>0</v>
      </c>
      <c r="Y130" s="51">
        <f t="shared" si="164"/>
        <v>0</v>
      </c>
      <c r="Z130" s="51">
        <f t="shared" si="164"/>
        <v>0</v>
      </c>
      <c r="AA130" s="51">
        <f t="shared" si="164"/>
        <v>0</v>
      </c>
      <c r="AB130" s="51">
        <f t="shared" si="164"/>
        <v>0</v>
      </c>
      <c r="AC130" s="51">
        <f t="shared" si="164"/>
        <v>0</v>
      </c>
      <c r="AD130" s="51">
        <f t="shared" si="164"/>
        <v>0</v>
      </c>
      <c r="AE130" s="51">
        <f t="shared" si="164"/>
        <v>0</v>
      </c>
      <c r="AF130" s="51">
        <f t="shared" si="164"/>
        <v>0</v>
      </c>
      <c r="AG130" s="51">
        <f t="shared" si="164"/>
        <v>0</v>
      </c>
      <c r="AH130" s="51">
        <f t="shared" si="164"/>
        <v>0</v>
      </c>
      <c r="AI130" s="51">
        <f t="shared" si="164"/>
        <v>0</v>
      </c>
      <c r="AJ130" s="51">
        <f t="shared" si="164"/>
        <v>0</v>
      </c>
      <c r="AK130" s="51">
        <f t="shared" ref="AK130:BB130" si="165">-AK99</f>
        <v>0</v>
      </c>
      <c r="AL130" s="51">
        <f t="shared" si="165"/>
        <v>0</v>
      </c>
      <c r="AM130" s="51">
        <f t="shared" si="165"/>
        <v>0</v>
      </c>
      <c r="AN130" s="51">
        <f t="shared" si="165"/>
        <v>0</v>
      </c>
      <c r="AO130" s="51">
        <f t="shared" si="165"/>
        <v>0</v>
      </c>
      <c r="AP130" s="51">
        <f t="shared" si="165"/>
        <v>0</v>
      </c>
      <c r="AQ130" s="51">
        <f t="shared" si="165"/>
        <v>0</v>
      </c>
      <c r="AR130" s="51">
        <f t="shared" si="165"/>
        <v>0</v>
      </c>
      <c r="AS130" s="51">
        <f t="shared" si="165"/>
        <v>0</v>
      </c>
      <c r="AT130" s="51">
        <f t="shared" si="165"/>
        <v>0</v>
      </c>
      <c r="AU130" s="51">
        <f t="shared" si="165"/>
        <v>0</v>
      </c>
      <c r="AV130" s="51">
        <f t="shared" si="165"/>
        <v>0</v>
      </c>
      <c r="AW130" s="51">
        <f t="shared" si="165"/>
        <v>0</v>
      </c>
      <c r="AX130" s="51">
        <f t="shared" si="165"/>
        <v>0</v>
      </c>
      <c r="AY130" s="51">
        <f t="shared" si="165"/>
        <v>0</v>
      </c>
      <c r="AZ130" s="51">
        <f t="shared" si="165"/>
        <v>0</v>
      </c>
      <c r="BA130" s="51">
        <f t="shared" si="165"/>
        <v>0</v>
      </c>
      <c r="BB130" s="51">
        <f t="shared" si="165"/>
        <v>0</v>
      </c>
      <c r="BC130" s="38"/>
      <c r="BD130" s="38"/>
    </row>
    <row r="131" spans="1:56" x14ac:dyDescent="0.2">
      <c r="A131" s="37"/>
      <c r="B131" s="37"/>
      <c r="C131" s="11" t="s">
        <v>359</v>
      </c>
      <c r="D131" s="36" t="s">
        <v>75</v>
      </c>
      <c r="E131" s="51">
        <f ca="1">E128</f>
        <v>-250</v>
      </c>
      <c r="F131" s="51">
        <f ca="1">F128+E131</f>
        <v>-505</v>
      </c>
      <c r="G131" s="51">
        <f t="shared" ref="G131:BB131" ca="1" si="166">G128+F131</f>
        <v>-765.1</v>
      </c>
      <c r="H131" s="51">
        <f t="shared" ca="1" si="166"/>
        <v>-1030.402</v>
      </c>
      <c r="I131" s="51">
        <f t="shared" ca="1" si="166"/>
        <v>-917.71301863244798</v>
      </c>
      <c r="J131" s="51">
        <f t="shared" ca="1" si="166"/>
        <v>-648.72360438722558</v>
      </c>
      <c r="K131" s="51">
        <f t="shared" ca="1" si="166"/>
        <v>-381.82761567133463</v>
      </c>
      <c r="L131" s="51">
        <f t="shared" ca="1" si="166"/>
        <v>-117.21638527164646</v>
      </c>
      <c r="M131" s="51">
        <f t="shared" ca="1" si="166"/>
        <v>145.46730463029951</v>
      </c>
      <c r="N131" s="51">
        <f t="shared" ca="1" si="166"/>
        <v>325.55385872093194</v>
      </c>
      <c r="O131" s="51">
        <f t="shared" ca="1" si="166"/>
        <v>496.83941119024638</v>
      </c>
      <c r="P131" s="51">
        <f t="shared" ca="1" si="166"/>
        <v>668.84398949694719</v>
      </c>
      <c r="Q131" s="51">
        <f t="shared" ca="1" si="166"/>
        <v>842.85871264878188</v>
      </c>
      <c r="R131" s="51">
        <f t="shared" ca="1" si="166"/>
        <v>1020.3537302636532</v>
      </c>
      <c r="S131" s="51">
        <f t="shared" ca="1" si="166"/>
        <v>1201.3986482308221</v>
      </c>
      <c r="T131" s="51">
        <f t="shared" ca="1" si="166"/>
        <v>1386.0644645573343</v>
      </c>
      <c r="U131" s="51">
        <f t="shared" ca="1" si="166"/>
        <v>1574.4235972103768</v>
      </c>
      <c r="V131" s="51">
        <f t="shared" ca="1" si="166"/>
        <v>1766.5499125164802</v>
      </c>
      <c r="W131" s="51">
        <f t="shared" ca="1" si="166"/>
        <v>1962.5187541287057</v>
      </c>
      <c r="X131" s="51">
        <f t="shared" ca="1" si="166"/>
        <v>2162.4069725731756</v>
      </c>
      <c r="Y131" s="51">
        <f t="shared" ca="1" si="166"/>
        <v>2366.2929553865351</v>
      </c>
      <c r="Z131" s="51">
        <f t="shared" ca="1" si="166"/>
        <v>2574.2566578561618</v>
      </c>
      <c r="AA131" s="51">
        <f t="shared" ca="1" si="166"/>
        <v>2786.379634375181</v>
      </c>
      <c r="AB131" s="51">
        <f t="shared" ca="1" si="166"/>
        <v>3002.7450704245803</v>
      </c>
      <c r="AC131" s="51">
        <f t="shared" ca="1" si="166"/>
        <v>3223.4378151949677</v>
      </c>
      <c r="AD131" s="51">
        <f t="shared" ca="1" si="166"/>
        <v>3448.544414860763</v>
      </c>
      <c r="AE131" s="51">
        <f t="shared" ca="1" si="166"/>
        <v>3678.1531465198741</v>
      </c>
      <c r="AF131" s="51">
        <f t="shared" ca="1" si="166"/>
        <v>3912.3540528121675</v>
      </c>
      <c r="AG131" s="51">
        <f t="shared" ca="1" si="166"/>
        <v>4151.2389772303068</v>
      </c>
      <c r="AH131" s="51">
        <f t="shared" ca="1" si="166"/>
        <v>4394.9016001368091</v>
      </c>
      <c r="AI131" s="51">
        <f t="shared" ca="1" si="166"/>
        <v>4643.4374755014414</v>
      </c>
      <c r="AJ131" s="51">
        <f t="shared" ca="1" si="166"/>
        <v>4643.4374755014414</v>
      </c>
      <c r="AK131" s="51">
        <f t="shared" ca="1" si="166"/>
        <v>4643.4374755014414</v>
      </c>
      <c r="AL131" s="51">
        <f t="shared" ca="1" si="166"/>
        <v>4643.4374755014414</v>
      </c>
      <c r="AM131" s="51">
        <f t="shared" ca="1" si="166"/>
        <v>4643.4374755014414</v>
      </c>
      <c r="AN131" s="51">
        <f t="shared" ca="1" si="166"/>
        <v>4643.4374755014414</v>
      </c>
      <c r="AO131" s="51">
        <f t="shared" ca="1" si="166"/>
        <v>4643.4374755014414</v>
      </c>
      <c r="AP131" s="51">
        <f t="shared" ca="1" si="166"/>
        <v>4643.4374755014414</v>
      </c>
      <c r="AQ131" s="51">
        <f t="shared" ca="1" si="166"/>
        <v>4643.4374755014414</v>
      </c>
      <c r="AR131" s="51">
        <f t="shared" ca="1" si="166"/>
        <v>4643.4374755014414</v>
      </c>
      <c r="AS131" s="51">
        <f t="shared" ca="1" si="166"/>
        <v>4643.4374755014414</v>
      </c>
      <c r="AT131" s="51">
        <f t="shared" ca="1" si="166"/>
        <v>4643.4374755014414</v>
      </c>
      <c r="AU131" s="51">
        <f t="shared" ca="1" si="166"/>
        <v>4643.4374755014414</v>
      </c>
      <c r="AV131" s="51">
        <f t="shared" ca="1" si="166"/>
        <v>4643.4374755014414</v>
      </c>
      <c r="AW131" s="51">
        <f t="shared" ca="1" si="166"/>
        <v>4643.4374755014414</v>
      </c>
      <c r="AX131" s="51">
        <f t="shared" ca="1" si="166"/>
        <v>4643.4374755014414</v>
      </c>
      <c r="AY131" s="51">
        <f t="shared" ca="1" si="166"/>
        <v>4643.4374755014414</v>
      </c>
      <c r="AZ131" s="51">
        <f t="shared" ca="1" si="166"/>
        <v>4643.4374755014414</v>
      </c>
      <c r="BA131" s="51">
        <f t="shared" ca="1" si="166"/>
        <v>4643.4374755014414</v>
      </c>
      <c r="BB131" s="51">
        <f t="shared" ca="1" si="166"/>
        <v>4643.4374755014414</v>
      </c>
      <c r="BC131" s="38"/>
      <c r="BD131" s="38"/>
    </row>
    <row r="132" spans="1:56" x14ac:dyDescent="0.2">
      <c r="A132" s="37">
        <f t="shared" ca="1" si="60"/>
        <v>8.4462263542719409</v>
      </c>
      <c r="B132" s="37">
        <f ca="1">NPV('Assumptions &amp; Results'!$C$129,Calculations!E132:BB132)</f>
        <v>3.4112891642077692</v>
      </c>
      <c r="C132" s="11" t="s">
        <v>360</v>
      </c>
      <c r="D132" s="36" t="s">
        <v>75</v>
      </c>
      <c r="E132" s="51">
        <f ca="1">IF(AND(E131&lt;=0,F131&gt;0),E2+(-E131/F128),0)</f>
        <v>0</v>
      </c>
      <c r="F132" s="51">
        <f t="shared" ref="F132:I132" ca="1" si="167">IF(AND(F131&lt;=0,G131&gt;0),F2+(-F131/G128),0)</f>
        <v>0</v>
      </c>
      <c r="G132" s="51">
        <f t="shared" ca="1" si="167"/>
        <v>0</v>
      </c>
      <c r="H132" s="51">
        <f t="shared" ca="1" si="167"/>
        <v>0</v>
      </c>
      <c r="I132" s="51">
        <f t="shared" ca="1" si="167"/>
        <v>0</v>
      </c>
      <c r="J132" s="51">
        <f t="shared" ref="J132" ca="1" si="168">IF(AND(J131&lt;=0,K131&gt;0),J2+(-J131/K128),0)</f>
        <v>0</v>
      </c>
      <c r="K132" s="51">
        <f t="shared" ref="K132" ca="1" si="169">IF(AND(K131&lt;=0,L131&gt;0),K2+(-K131/L128),0)</f>
        <v>0</v>
      </c>
      <c r="L132" s="51">
        <f t="shared" ref="L132" ca="1" si="170">IF(AND(L131&lt;=0,M131&gt;0),L2+(-L131/M128),0)</f>
        <v>8.4462263542719409</v>
      </c>
      <c r="M132" s="51">
        <f t="shared" ref="M132" ca="1" si="171">IF(AND(M131&lt;=0,N131&gt;0),M2+(-M131/N128),0)</f>
        <v>0</v>
      </c>
      <c r="N132" s="51">
        <f t="shared" ref="N132" ca="1" si="172">IF(AND(N131&lt;=0,O131&gt;0),N2+(-N131/O128),0)</f>
        <v>0</v>
      </c>
      <c r="O132" s="51">
        <f t="shared" ref="O132" ca="1" si="173">IF(AND(O131&lt;=0,P131&gt;0),O2+(-O131/P128),0)</f>
        <v>0</v>
      </c>
      <c r="P132" s="51">
        <f t="shared" ref="P132" ca="1" si="174">IF(AND(P131&lt;=0,Q131&gt;0),P2+(-P131/Q128),0)</f>
        <v>0</v>
      </c>
      <c r="Q132" s="51">
        <f t="shared" ref="Q132" ca="1" si="175">IF(AND(Q131&lt;=0,R131&gt;0),Q2+(-Q131/R128),0)</f>
        <v>0</v>
      </c>
      <c r="R132" s="51">
        <f t="shared" ref="R132" ca="1" si="176">IF(AND(R131&lt;=0,S131&gt;0),R2+(-R131/S128),0)</f>
        <v>0</v>
      </c>
      <c r="S132" s="51">
        <f t="shared" ref="S132" ca="1" si="177">IF(AND(S131&lt;=0,T131&gt;0),S2+(-S131/T128),0)</f>
        <v>0</v>
      </c>
      <c r="T132" s="51">
        <f t="shared" ref="T132" ca="1" si="178">IF(AND(T131&lt;=0,U131&gt;0),T2+(-T131/U128),0)</f>
        <v>0</v>
      </c>
      <c r="U132" s="51">
        <f t="shared" ref="U132" ca="1" si="179">IF(AND(U131&lt;=0,V131&gt;0),U2+(-U131/V128),0)</f>
        <v>0</v>
      </c>
      <c r="V132" s="51">
        <f t="shared" ref="V132" ca="1" si="180">IF(AND(V131&lt;=0,W131&gt;0),V2+(-V131/W128),0)</f>
        <v>0</v>
      </c>
      <c r="W132" s="51">
        <f t="shared" ref="W132" ca="1" si="181">IF(AND(W131&lt;=0,X131&gt;0),W2+(-W131/X128),0)</f>
        <v>0</v>
      </c>
      <c r="X132" s="51">
        <f t="shared" ref="X132" ca="1" si="182">IF(AND(X131&lt;=0,Y131&gt;0),X2+(-X131/Y128),0)</f>
        <v>0</v>
      </c>
      <c r="Y132" s="51">
        <f t="shared" ref="Y132" ca="1" si="183">IF(AND(Y131&lt;=0,Z131&gt;0),Y2+(-Y131/Z128),0)</f>
        <v>0</v>
      </c>
      <c r="Z132" s="51">
        <f t="shared" ref="Z132" ca="1" si="184">IF(AND(Z131&lt;=0,AA131&gt;0),Z2+(-Z131/AA128),0)</f>
        <v>0</v>
      </c>
      <c r="AA132" s="51">
        <f t="shared" ref="AA132" ca="1" si="185">IF(AND(AA131&lt;=0,AB131&gt;0),AA2+(-AA131/AB128),0)</f>
        <v>0</v>
      </c>
      <c r="AB132" s="51">
        <f t="shared" ref="AB132" ca="1" si="186">IF(AND(AB131&lt;=0,AC131&gt;0),AB2+(-AB131/AC128),0)</f>
        <v>0</v>
      </c>
      <c r="AC132" s="51">
        <f t="shared" ref="AC132" ca="1" si="187">IF(AND(AC131&lt;=0,AD131&gt;0),AC2+(-AC131/AD128),0)</f>
        <v>0</v>
      </c>
      <c r="AD132" s="51">
        <f t="shared" ref="AD132" ca="1" si="188">IF(AND(AD131&lt;=0,AE131&gt;0),AD2+(-AD131/AE128),0)</f>
        <v>0</v>
      </c>
      <c r="AE132" s="51">
        <f t="shared" ref="AE132" ca="1" si="189">IF(AND(AE131&lt;=0,AF131&gt;0),AE2+(-AE131/AF128),0)</f>
        <v>0</v>
      </c>
      <c r="AF132" s="51">
        <f t="shared" ref="AF132" ca="1" si="190">IF(AND(AF131&lt;=0,AG131&gt;0),AF2+(-AF131/AG128),0)</f>
        <v>0</v>
      </c>
      <c r="AG132" s="51">
        <f t="shared" ref="AG132" ca="1" si="191">IF(AND(AG131&lt;=0,AH131&gt;0),AG2+(-AG131/AH128),0)</f>
        <v>0</v>
      </c>
      <c r="AH132" s="51">
        <f t="shared" ref="AH132" ca="1" si="192">IF(AND(AH131&lt;=0,AI131&gt;0),AH2+(-AH131/AI128),0)</f>
        <v>0</v>
      </c>
      <c r="AI132" s="51">
        <f t="shared" ref="AI132" ca="1" si="193">IF(AND(AI131&lt;=0,AJ131&gt;0),AI2+(-AI131/AJ128),0)</f>
        <v>0</v>
      </c>
      <c r="AJ132" s="51">
        <f t="shared" ref="AJ132" ca="1" si="194">IF(AND(AJ131&lt;=0,AK131&gt;0),AJ2+(-AJ131/AK128),0)</f>
        <v>0</v>
      </c>
      <c r="AK132" s="51">
        <f t="shared" ref="AK132" ca="1" si="195">IF(AND(AK131&lt;=0,AL131&gt;0),AK2+(-AK131/AL128),0)</f>
        <v>0</v>
      </c>
      <c r="AL132" s="51">
        <f t="shared" ref="AL132" ca="1" si="196">IF(AND(AL131&lt;=0,AM131&gt;0),AL2+(-AL131/AM128),0)</f>
        <v>0</v>
      </c>
      <c r="AM132" s="51">
        <f t="shared" ref="AM132" ca="1" si="197">IF(AND(AM131&lt;=0,AN131&gt;0),AM2+(-AM131/AN128),0)</f>
        <v>0</v>
      </c>
      <c r="AN132" s="51">
        <f t="shared" ref="AN132" ca="1" si="198">IF(AND(AN131&lt;=0,AO131&gt;0),AN2+(-AN131/AO128),0)</f>
        <v>0</v>
      </c>
      <c r="AO132" s="51">
        <f t="shared" ref="AO132" ca="1" si="199">IF(AND(AO131&lt;=0,AP131&gt;0),AO2+(-AO131/AP128),0)</f>
        <v>0</v>
      </c>
      <c r="AP132" s="51">
        <f t="shared" ref="AP132" ca="1" si="200">IF(AND(AP131&lt;=0,AQ131&gt;0),AP2+(-AP131/AQ128),0)</f>
        <v>0</v>
      </c>
      <c r="AQ132" s="51">
        <f t="shared" ref="AQ132" ca="1" si="201">IF(AND(AQ131&lt;=0,AR131&gt;0),AQ2+(-AQ131/AR128),0)</f>
        <v>0</v>
      </c>
      <c r="AR132" s="51">
        <f t="shared" ref="AR132" ca="1" si="202">IF(AND(AR131&lt;=0,AS131&gt;0),AR2+(-AR131/AS128),0)</f>
        <v>0</v>
      </c>
      <c r="AS132" s="51">
        <f t="shared" ref="AS132" ca="1" si="203">IF(AND(AS131&lt;=0,AT131&gt;0),AS2+(-AS131/AT128),0)</f>
        <v>0</v>
      </c>
      <c r="AT132" s="51">
        <f t="shared" ref="AT132" ca="1" si="204">IF(AND(AT131&lt;=0,AU131&gt;0),AT2+(-AT131/AU128),0)</f>
        <v>0</v>
      </c>
      <c r="AU132" s="51">
        <f t="shared" ref="AU132" ca="1" si="205">IF(AND(AU131&lt;=0,AV131&gt;0),AU2+(-AU131/AV128),0)</f>
        <v>0</v>
      </c>
      <c r="AV132" s="51">
        <f t="shared" ref="AV132" ca="1" si="206">IF(AND(AV131&lt;=0,AW131&gt;0),AV2+(-AV131/AW128),0)</f>
        <v>0</v>
      </c>
      <c r="AW132" s="51">
        <f t="shared" ref="AW132" ca="1" si="207">IF(AND(AW131&lt;=0,AX131&gt;0),AW2+(-AW131/AX128),0)</f>
        <v>0</v>
      </c>
      <c r="AX132" s="51">
        <f t="shared" ref="AX132" ca="1" si="208">IF(AND(AX131&lt;=0,AY131&gt;0),AX2+(-AX131/AY128),0)</f>
        <v>0</v>
      </c>
      <c r="AY132" s="51">
        <f t="shared" ref="AY132" ca="1" si="209">IF(AND(AY131&lt;=0,AZ131&gt;0),AY2+(-AY131/AZ128),0)</f>
        <v>0</v>
      </c>
      <c r="AZ132" s="51">
        <f t="shared" ref="AZ132" ca="1" si="210">IF(AND(AZ131&lt;=0,BA131&gt;0),AZ2+(-AZ131/BA128),0)</f>
        <v>0</v>
      </c>
      <c r="BA132" s="51">
        <f t="shared" ref="BA132" ca="1" si="211">IF(AND(BA131&lt;=0,BB131&gt;0),BA2+(-BA131/BB128),0)</f>
        <v>0</v>
      </c>
      <c r="BB132" s="51">
        <f t="shared" ref="BB132" ca="1" si="212">IF(AND(BB131&lt;=0,BC131&gt;0),BB2+(-BB131/BC128),0)</f>
        <v>0</v>
      </c>
      <c r="BC132" s="38"/>
      <c r="BD132" s="38"/>
    </row>
    <row r="133" spans="1:56" x14ac:dyDescent="0.2">
      <c r="A133" s="37"/>
      <c r="B133" s="37"/>
      <c r="C133" s="101" t="s">
        <v>213</v>
      </c>
      <c r="D133" s="300">
        <f ca="1">IRR(E128:BB128)</f>
        <v>0.15700455736792307</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38"/>
      <c r="BD133" s="38"/>
    </row>
    <row r="134" spans="1:56" x14ac:dyDescent="0.2">
      <c r="A134" s="37"/>
      <c r="B134" s="37"/>
      <c r="C134" s="78"/>
      <c r="D134" s="145"/>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38"/>
      <c r="BD134" s="38"/>
    </row>
    <row r="135" spans="1:56" x14ac:dyDescent="0.2">
      <c r="A135" s="37"/>
      <c r="B135" s="37"/>
      <c r="C135" s="11"/>
      <c r="D135" s="79"/>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38"/>
      <c r="BD135" s="38"/>
    </row>
    <row r="136" spans="1:56" s="306" customFormat="1" ht="15.75" x14ac:dyDescent="0.25">
      <c r="A136" s="309"/>
      <c r="B136" s="309"/>
      <c r="C136" s="307" t="s">
        <v>235</v>
      </c>
    </row>
    <row r="137" spans="1:56" x14ac:dyDescent="0.2">
      <c r="A137" s="37">
        <f t="shared" ca="1" si="60"/>
        <v>5673.8394755014424</v>
      </c>
      <c r="B137" s="37">
        <f ca="1">NPV('Assumptions &amp; Results'!$C$129,Calculations!E137:BB137)</f>
        <v>1045.0257420655355</v>
      </c>
      <c r="C137" s="77" t="s">
        <v>154</v>
      </c>
      <c r="D137" s="36" t="s">
        <v>75</v>
      </c>
      <c r="E137" s="51">
        <f ca="1">E138+E139+E141+E140</f>
        <v>0</v>
      </c>
      <c r="F137" s="51">
        <f t="shared" ref="F137:BB137" ca="1" si="213">F138+F139+F141+F140</f>
        <v>0</v>
      </c>
      <c r="G137" s="51">
        <f t="shared" ca="1" si="213"/>
        <v>0</v>
      </c>
      <c r="H137" s="51">
        <f t="shared" ca="1" si="213"/>
        <v>0</v>
      </c>
      <c r="I137" s="51">
        <f t="shared" ca="1" si="213"/>
        <v>112.688981367552</v>
      </c>
      <c r="J137" s="51">
        <f t="shared" ca="1" si="213"/>
        <v>268.98941424522235</v>
      </c>
      <c r="K137" s="51">
        <f t="shared" ca="1" si="213"/>
        <v>266.89598871589095</v>
      </c>
      <c r="L137" s="51">
        <f t="shared" ca="1" si="213"/>
        <v>264.61123039968817</v>
      </c>
      <c r="M137" s="51">
        <f t="shared" ca="1" si="213"/>
        <v>262.68368990194597</v>
      </c>
      <c r="N137" s="51">
        <f t="shared" ca="1" si="213"/>
        <v>180.08655409063243</v>
      </c>
      <c r="O137" s="51">
        <f t="shared" ca="1" si="213"/>
        <v>171.28555246931444</v>
      </c>
      <c r="P137" s="51">
        <f t="shared" ca="1" si="213"/>
        <v>172.00457830670075</v>
      </c>
      <c r="Q137" s="51">
        <f t="shared" ca="1" si="213"/>
        <v>174.01472315183474</v>
      </c>
      <c r="R137" s="51">
        <f t="shared" ca="1" si="213"/>
        <v>177.49501761487141</v>
      </c>
      <c r="S137" s="51">
        <f t="shared" ca="1" si="213"/>
        <v>181.04491796716889</v>
      </c>
      <c r="T137" s="51">
        <f t="shared" ca="1" si="213"/>
        <v>184.66581632651221</v>
      </c>
      <c r="U137" s="51">
        <f t="shared" ca="1" si="213"/>
        <v>188.35913265304251</v>
      </c>
      <c r="V137" s="51">
        <f t="shared" ca="1" si="213"/>
        <v>192.12631530610341</v>
      </c>
      <c r="W137" s="51">
        <f t="shared" ca="1" si="213"/>
        <v>195.96884161222548</v>
      </c>
      <c r="X137" s="51">
        <f t="shared" ca="1" si="213"/>
        <v>199.88821844446989</v>
      </c>
      <c r="Y137" s="51">
        <f t="shared" ca="1" si="213"/>
        <v>203.88598281335942</v>
      </c>
      <c r="Z137" s="51">
        <f t="shared" ca="1" si="213"/>
        <v>207.96370246962664</v>
      </c>
      <c r="AA137" s="51">
        <f t="shared" ca="1" si="213"/>
        <v>212.12297651901906</v>
      </c>
      <c r="AB137" s="51">
        <f t="shared" ca="1" si="213"/>
        <v>216.36543604939948</v>
      </c>
      <c r="AC137" s="51">
        <f t="shared" ca="1" si="213"/>
        <v>220.69274477038749</v>
      </c>
      <c r="AD137" s="51">
        <f t="shared" ca="1" si="213"/>
        <v>225.10659966579527</v>
      </c>
      <c r="AE137" s="51">
        <f t="shared" ca="1" si="213"/>
        <v>229.60873165911119</v>
      </c>
      <c r="AF137" s="51">
        <f t="shared" ca="1" si="213"/>
        <v>234.20090629229338</v>
      </c>
      <c r="AG137" s="51">
        <f t="shared" ca="1" si="213"/>
        <v>238.88492441813926</v>
      </c>
      <c r="AH137" s="51">
        <f t="shared" ca="1" si="213"/>
        <v>243.66262290650204</v>
      </c>
      <c r="AI137" s="51">
        <f t="shared" ca="1" si="213"/>
        <v>248.53587536463209</v>
      </c>
      <c r="AJ137" s="51">
        <f t="shared" ca="1" si="213"/>
        <v>0</v>
      </c>
      <c r="AK137" s="51">
        <f t="shared" ca="1" si="213"/>
        <v>0</v>
      </c>
      <c r="AL137" s="51">
        <f t="shared" ca="1" si="213"/>
        <v>0</v>
      </c>
      <c r="AM137" s="51">
        <f t="shared" ca="1" si="213"/>
        <v>0</v>
      </c>
      <c r="AN137" s="51">
        <f t="shared" ca="1" si="213"/>
        <v>0</v>
      </c>
      <c r="AO137" s="51">
        <f t="shared" ca="1" si="213"/>
        <v>0</v>
      </c>
      <c r="AP137" s="51">
        <f t="shared" ca="1" si="213"/>
        <v>0</v>
      </c>
      <c r="AQ137" s="51">
        <f t="shared" ca="1" si="213"/>
        <v>0</v>
      </c>
      <c r="AR137" s="51">
        <f t="shared" ca="1" si="213"/>
        <v>0</v>
      </c>
      <c r="AS137" s="51">
        <f t="shared" ca="1" si="213"/>
        <v>0</v>
      </c>
      <c r="AT137" s="51">
        <f t="shared" ca="1" si="213"/>
        <v>0</v>
      </c>
      <c r="AU137" s="51">
        <f t="shared" ca="1" si="213"/>
        <v>0</v>
      </c>
      <c r="AV137" s="51">
        <f t="shared" ca="1" si="213"/>
        <v>0</v>
      </c>
      <c r="AW137" s="51">
        <f t="shared" ca="1" si="213"/>
        <v>0</v>
      </c>
      <c r="AX137" s="51">
        <f t="shared" ca="1" si="213"/>
        <v>0</v>
      </c>
      <c r="AY137" s="51">
        <f t="shared" ca="1" si="213"/>
        <v>0</v>
      </c>
      <c r="AZ137" s="51">
        <f t="shared" ca="1" si="213"/>
        <v>0</v>
      </c>
      <c r="BA137" s="51">
        <f t="shared" ca="1" si="213"/>
        <v>0</v>
      </c>
      <c r="BB137" s="51">
        <f t="shared" ca="1" si="213"/>
        <v>0</v>
      </c>
      <c r="BC137" s="38"/>
      <c r="BD137" s="38"/>
    </row>
    <row r="138" spans="1:56" x14ac:dyDescent="0.2">
      <c r="A138" s="37">
        <f t="shared" ca="1" si="60"/>
        <v>4643.4374755014414</v>
      </c>
      <c r="B138" s="37">
        <f ca="1">NPV('Assumptions &amp; Results'!$C$129,Calculations!E138:BB138)</f>
        <v>264.78875788251298</v>
      </c>
      <c r="C138" s="8" t="s">
        <v>180</v>
      </c>
      <c r="D138" s="36" t="s">
        <v>75</v>
      </c>
      <c r="E138" s="51">
        <f t="shared" ref="E138:AJ138" ca="1" si="214">E128</f>
        <v>-250</v>
      </c>
      <c r="F138" s="51">
        <f t="shared" ca="1" si="214"/>
        <v>-255</v>
      </c>
      <c r="G138" s="51">
        <f t="shared" ca="1" si="214"/>
        <v>-260.10000000000002</v>
      </c>
      <c r="H138" s="51">
        <f t="shared" ca="1" si="214"/>
        <v>-265.30199999999996</v>
      </c>
      <c r="I138" s="51">
        <f t="shared" ca="1" si="214"/>
        <v>112.688981367552</v>
      </c>
      <c r="J138" s="51">
        <f t="shared" ca="1" si="214"/>
        <v>268.98941424522235</v>
      </c>
      <c r="K138" s="51">
        <f t="shared" ca="1" si="214"/>
        <v>266.89598871589095</v>
      </c>
      <c r="L138" s="51">
        <f t="shared" ca="1" si="214"/>
        <v>264.61123039968817</v>
      </c>
      <c r="M138" s="51">
        <f t="shared" ca="1" si="214"/>
        <v>262.68368990194597</v>
      </c>
      <c r="N138" s="51">
        <f t="shared" ca="1" si="214"/>
        <v>180.08655409063243</v>
      </c>
      <c r="O138" s="51">
        <f t="shared" ca="1" si="214"/>
        <v>171.28555246931444</v>
      </c>
      <c r="P138" s="51">
        <f t="shared" ca="1" si="214"/>
        <v>172.00457830670075</v>
      </c>
      <c r="Q138" s="51">
        <f t="shared" ca="1" si="214"/>
        <v>174.01472315183474</v>
      </c>
      <c r="R138" s="51">
        <f t="shared" ca="1" si="214"/>
        <v>177.49501761487141</v>
      </c>
      <c r="S138" s="51">
        <f t="shared" ca="1" si="214"/>
        <v>181.04491796716889</v>
      </c>
      <c r="T138" s="51">
        <f t="shared" ca="1" si="214"/>
        <v>184.66581632651221</v>
      </c>
      <c r="U138" s="51">
        <f t="shared" ca="1" si="214"/>
        <v>188.35913265304251</v>
      </c>
      <c r="V138" s="51">
        <f t="shared" ca="1" si="214"/>
        <v>192.12631530610341</v>
      </c>
      <c r="W138" s="51">
        <f t="shared" ca="1" si="214"/>
        <v>195.96884161222548</v>
      </c>
      <c r="X138" s="51">
        <f t="shared" ca="1" si="214"/>
        <v>199.88821844446989</v>
      </c>
      <c r="Y138" s="51">
        <f t="shared" ca="1" si="214"/>
        <v>203.88598281335942</v>
      </c>
      <c r="Z138" s="51">
        <f t="shared" ca="1" si="214"/>
        <v>207.96370246962664</v>
      </c>
      <c r="AA138" s="51">
        <f t="shared" ca="1" si="214"/>
        <v>212.12297651901906</v>
      </c>
      <c r="AB138" s="51">
        <f t="shared" ca="1" si="214"/>
        <v>216.36543604939948</v>
      </c>
      <c r="AC138" s="51">
        <f t="shared" ca="1" si="214"/>
        <v>220.69274477038749</v>
      </c>
      <c r="AD138" s="51">
        <f t="shared" ca="1" si="214"/>
        <v>225.10659966579527</v>
      </c>
      <c r="AE138" s="51">
        <f t="shared" ca="1" si="214"/>
        <v>229.60873165911119</v>
      </c>
      <c r="AF138" s="51">
        <f t="shared" ca="1" si="214"/>
        <v>234.20090629229338</v>
      </c>
      <c r="AG138" s="51">
        <f t="shared" ca="1" si="214"/>
        <v>238.88492441813926</v>
      </c>
      <c r="AH138" s="51">
        <f t="shared" ca="1" si="214"/>
        <v>243.66262290650204</v>
      </c>
      <c r="AI138" s="51">
        <f t="shared" ca="1" si="214"/>
        <v>248.53587536463209</v>
      </c>
      <c r="AJ138" s="51">
        <f t="shared" ca="1" si="214"/>
        <v>0</v>
      </c>
      <c r="AK138" s="51">
        <f t="shared" ref="AK138:BB138" ca="1" si="215">AK128</f>
        <v>0</v>
      </c>
      <c r="AL138" s="51">
        <f t="shared" ca="1" si="215"/>
        <v>0</v>
      </c>
      <c r="AM138" s="51">
        <f t="shared" ca="1" si="215"/>
        <v>0</v>
      </c>
      <c r="AN138" s="51">
        <f t="shared" ca="1" si="215"/>
        <v>0</v>
      </c>
      <c r="AO138" s="51">
        <f t="shared" ca="1" si="215"/>
        <v>0</v>
      </c>
      <c r="AP138" s="51">
        <f t="shared" ca="1" si="215"/>
        <v>0</v>
      </c>
      <c r="AQ138" s="51">
        <f t="shared" ca="1" si="215"/>
        <v>0</v>
      </c>
      <c r="AR138" s="51">
        <f t="shared" ca="1" si="215"/>
        <v>0</v>
      </c>
      <c r="AS138" s="51">
        <f t="shared" ca="1" si="215"/>
        <v>0</v>
      </c>
      <c r="AT138" s="51">
        <f t="shared" ca="1" si="215"/>
        <v>0</v>
      </c>
      <c r="AU138" s="51">
        <f t="shared" ca="1" si="215"/>
        <v>0</v>
      </c>
      <c r="AV138" s="51">
        <f t="shared" ca="1" si="215"/>
        <v>0</v>
      </c>
      <c r="AW138" s="51">
        <f t="shared" ca="1" si="215"/>
        <v>0</v>
      </c>
      <c r="AX138" s="51">
        <f t="shared" ca="1" si="215"/>
        <v>0</v>
      </c>
      <c r="AY138" s="51">
        <f t="shared" ca="1" si="215"/>
        <v>0</v>
      </c>
      <c r="AZ138" s="51">
        <f t="shared" ca="1" si="215"/>
        <v>0</v>
      </c>
      <c r="BA138" s="51">
        <f t="shared" ca="1" si="215"/>
        <v>0</v>
      </c>
      <c r="BB138" s="51">
        <f t="shared" ca="1" si="215"/>
        <v>0</v>
      </c>
      <c r="BC138" s="38"/>
      <c r="BD138" s="38"/>
    </row>
    <row r="139" spans="1:56" x14ac:dyDescent="0.2">
      <c r="A139" s="37">
        <f t="shared" si="60"/>
        <v>721.28139999999985</v>
      </c>
      <c r="B139" s="37">
        <f>NPV('Assumptions &amp; Results'!$C$129,Calculations!E139:BB139)</f>
        <v>546.16588892811569</v>
      </c>
      <c r="C139" s="8" t="s">
        <v>5</v>
      </c>
      <c r="D139" s="36" t="s">
        <v>75</v>
      </c>
      <c r="E139" s="51">
        <f>'Debt &amp; Equity'!D18</f>
        <v>175</v>
      </c>
      <c r="F139" s="51">
        <f>'Debt &amp; Equity'!E18</f>
        <v>178.5</v>
      </c>
      <c r="G139" s="51">
        <f>'Debt &amp; Equity'!F18</f>
        <v>182.07</v>
      </c>
      <c r="H139" s="51">
        <f>'Debt &amp; Equity'!G18</f>
        <v>185.71139999999997</v>
      </c>
      <c r="I139" s="51">
        <f>'Debt &amp; Equity'!H18</f>
        <v>0</v>
      </c>
      <c r="J139" s="51">
        <f>'Debt &amp; Equity'!I18</f>
        <v>0</v>
      </c>
      <c r="K139" s="51">
        <f>'Debt &amp; Equity'!J18</f>
        <v>0</v>
      </c>
      <c r="L139" s="51">
        <f>'Debt &amp; Equity'!K18</f>
        <v>0</v>
      </c>
      <c r="M139" s="51">
        <f>'Debt &amp; Equity'!L18</f>
        <v>0</v>
      </c>
      <c r="N139" s="51">
        <f>'Debt &amp; Equity'!M18</f>
        <v>0</v>
      </c>
      <c r="O139" s="51">
        <f>'Debt &amp; Equity'!N18</f>
        <v>0</v>
      </c>
      <c r="P139" s="51">
        <f>'Debt &amp; Equity'!O18</f>
        <v>0</v>
      </c>
      <c r="Q139" s="51">
        <f>'Debt &amp; Equity'!P18</f>
        <v>0</v>
      </c>
      <c r="R139" s="51">
        <f>'Debt &amp; Equity'!Q18</f>
        <v>0</v>
      </c>
      <c r="S139" s="51">
        <f>'Debt &amp; Equity'!R18</f>
        <v>0</v>
      </c>
      <c r="T139" s="51">
        <f>'Debt &amp; Equity'!S18</f>
        <v>0</v>
      </c>
      <c r="U139" s="51">
        <f>'Debt &amp; Equity'!T18</f>
        <v>0</v>
      </c>
      <c r="V139" s="51">
        <f>'Debt &amp; Equity'!U18</f>
        <v>0</v>
      </c>
      <c r="W139" s="51">
        <f>'Debt &amp; Equity'!V18</f>
        <v>0</v>
      </c>
      <c r="X139" s="51">
        <f>'Debt &amp; Equity'!W18</f>
        <v>0</v>
      </c>
      <c r="Y139" s="51">
        <f>'Debt &amp; Equity'!X18</f>
        <v>0</v>
      </c>
      <c r="Z139" s="51">
        <f>'Debt &amp; Equity'!Y18</f>
        <v>0</v>
      </c>
      <c r="AA139" s="51">
        <f>'Debt &amp; Equity'!Z18</f>
        <v>0</v>
      </c>
      <c r="AB139" s="51">
        <f>'Debt &amp; Equity'!AA18</f>
        <v>0</v>
      </c>
      <c r="AC139" s="51">
        <f>'Debt &amp; Equity'!AB18</f>
        <v>0</v>
      </c>
      <c r="AD139" s="51">
        <f>'Debt &amp; Equity'!AC18</f>
        <v>0</v>
      </c>
      <c r="AE139" s="51">
        <f>'Debt &amp; Equity'!AD18</f>
        <v>0</v>
      </c>
      <c r="AF139" s="51">
        <f>'Debt &amp; Equity'!AE18</f>
        <v>0</v>
      </c>
      <c r="AG139" s="51">
        <f>'Debt &amp; Equity'!AF18</f>
        <v>0</v>
      </c>
      <c r="AH139" s="51">
        <f>'Debt &amp; Equity'!AG18</f>
        <v>0</v>
      </c>
      <c r="AI139" s="51">
        <f>'Debt &amp; Equity'!AH18</f>
        <v>0</v>
      </c>
      <c r="AJ139" s="51">
        <f>'Debt &amp; Equity'!AI18</f>
        <v>0</v>
      </c>
      <c r="AK139" s="51">
        <f>'Debt &amp; Equity'!AJ18</f>
        <v>0</v>
      </c>
      <c r="AL139" s="51">
        <f>'Debt &amp; Equity'!AK18</f>
        <v>0</v>
      </c>
      <c r="AM139" s="51">
        <f>'Debt &amp; Equity'!AL18</f>
        <v>0</v>
      </c>
      <c r="AN139" s="51">
        <f>'Debt &amp; Equity'!AM18</f>
        <v>0</v>
      </c>
      <c r="AO139" s="51">
        <f>'Debt &amp; Equity'!AN18</f>
        <v>0</v>
      </c>
      <c r="AP139" s="51">
        <f>'Debt &amp; Equity'!AO18</f>
        <v>0</v>
      </c>
      <c r="AQ139" s="51">
        <f>'Debt &amp; Equity'!AP18</f>
        <v>0</v>
      </c>
      <c r="AR139" s="51">
        <f>'Debt &amp; Equity'!AQ18</f>
        <v>0</v>
      </c>
      <c r="AS139" s="51">
        <f>'Debt &amp; Equity'!AR18</f>
        <v>0</v>
      </c>
      <c r="AT139" s="51">
        <f>'Debt &amp; Equity'!AS18</f>
        <v>0</v>
      </c>
      <c r="AU139" s="51">
        <f>'Debt &amp; Equity'!AT18</f>
        <v>0</v>
      </c>
      <c r="AV139" s="51">
        <f>'Debt &amp; Equity'!AU18</f>
        <v>0</v>
      </c>
      <c r="AW139" s="51">
        <f>'Debt &amp; Equity'!AV18</f>
        <v>0</v>
      </c>
      <c r="AX139" s="51">
        <f>'Debt &amp; Equity'!AW18</f>
        <v>0</v>
      </c>
      <c r="AY139" s="51">
        <f>'Debt &amp; Equity'!AX18</f>
        <v>0</v>
      </c>
      <c r="AZ139" s="51">
        <f>'Debt &amp; Equity'!AY18</f>
        <v>0</v>
      </c>
      <c r="BA139" s="51">
        <f>'Debt &amp; Equity'!AZ18</f>
        <v>0</v>
      </c>
      <c r="BB139" s="51">
        <f>'Debt &amp; Equity'!BA18</f>
        <v>0</v>
      </c>
      <c r="BC139" s="38"/>
      <c r="BD139" s="38"/>
    </row>
    <row r="140" spans="1:56" x14ac:dyDescent="0.2">
      <c r="A140" s="37">
        <f t="shared" si="60"/>
        <v>0</v>
      </c>
      <c r="B140" s="37">
        <f>NPV('Assumptions &amp; Results'!$C$129,Calculations!E140:BB140)</f>
        <v>0</v>
      </c>
      <c r="C140" s="8" t="s">
        <v>216</v>
      </c>
      <c r="D140" s="36" t="s">
        <v>75</v>
      </c>
      <c r="E140" s="51">
        <f>E155</f>
        <v>0</v>
      </c>
      <c r="F140" s="51">
        <f t="shared" ref="F140:BB140" si="216">F155</f>
        <v>0</v>
      </c>
      <c r="G140" s="51">
        <f t="shared" si="216"/>
        <v>0</v>
      </c>
      <c r="H140" s="51">
        <f t="shared" si="216"/>
        <v>0</v>
      </c>
      <c r="I140" s="51">
        <f t="shared" si="216"/>
        <v>0</v>
      </c>
      <c r="J140" s="51">
        <f t="shared" si="216"/>
        <v>0</v>
      </c>
      <c r="K140" s="51">
        <f t="shared" si="216"/>
        <v>0</v>
      </c>
      <c r="L140" s="51">
        <f t="shared" si="216"/>
        <v>0</v>
      </c>
      <c r="M140" s="51">
        <f t="shared" si="216"/>
        <v>0</v>
      </c>
      <c r="N140" s="51">
        <f t="shared" si="216"/>
        <v>0</v>
      </c>
      <c r="O140" s="51">
        <f t="shared" si="216"/>
        <v>0</v>
      </c>
      <c r="P140" s="51">
        <f t="shared" si="216"/>
        <v>0</v>
      </c>
      <c r="Q140" s="51">
        <f t="shared" si="216"/>
        <v>0</v>
      </c>
      <c r="R140" s="51">
        <f t="shared" si="216"/>
        <v>0</v>
      </c>
      <c r="S140" s="51">
        <f t="shared" si="216"/>
        <v>0</v>
      </c>
      <c r="T140" s="51">
        <f t="shared" si="216"/>
        <v>0</v>
      </c>
      <c r="U140" s="51">
        <f t="shared" si="216"/>
        <v>0</v>
      </c>
      <c r="V140" s="51">
        <f t="shared" si="216"/>
        <v>0</v>
      </c>
      <c r="W140" s="51">
        <f t="shared" si="216"/>
        <v>0</v>
      </c>
      <c r="X140" s="51">
        <f t="shared" si="216"/>
        <v>0</v>
      </c>
      <c r="Y140" s="51">
        <f t="shared" si="216"/>
        <v>0</v>
      </c>
      <c r="Z140" s="51">
        <f t="shared" si="216"/>
        <v>0</v>
      </c>
      <c r="AA140" s="51">
        <f t="shared" si="216"/>
        <v>0</v>
      </c>
      <c r="AB140" s="51">
        <f t="shared" si="216"/>
        <v>0</v>
      </c>
      <c r="AC140" s="51">
        <f t="shared" si="216"/>
        <v>0</v>
      </c>
      <c r="AD140" s="51">
        <f t="shared" si="216"/>
        <v>0</v>
      </c>
      <c r="AE140" s="51">
        <f t="shared" si="216"/>
        <v>0</v>
      </c>
      <c r="AF140" s="51">
        <f t="shared" si="216"/>
        <v>0</v>
      </c>
      <c r="AG140" s="51">
        <f t="shared" si="216"/>
        <v>0</v>
      </c>
      <c r="AH140" s="51">
        <f t="shared" si="216"/>
        <v>0</v>
      </c>
      <c r="AI140" s="51">
        <f t="shared" si="216"/>
        <v>0</v>
      </c>
      <c r="AJ140" s="51">
        <f t="shared" si="216"/>
        <v>0</v>
      </c>
      <c r="AK140" s="51">
        <f t="shared" si="216"/>
        <v>0</v>
      </c>
      <c r="AL140" s="51">
        <f t="shared" si="216"/>
        <v>0</v>
      </c>
      <c r="AM140" s="51">
        <f t="shared" si="216"/>
        <v>0</v>
      </c>
      <c r="AN140" s="51">
        <f t="shared" si="216"/>
        <v>0</v>
      </c>
      <c r="AO140" s="51">
        <f t="shared" si="216"/>
        <v>0</v>
      </c>
      <c r="AP140" s="51">
        <f t="shared" si="216"/>
        <v>0</v>
      </c>
      <c r="AQ140" s="51">
        <f t="shared" si="216"/>
        <v>0</v>
      </c>
      <c r="AR140" s="51">
        <f t="shared" si="216"/>
        <v>0</v>
      </c>
      <c r="AS140" s="51">
        <f t="shared" si="216"/>
        <v>0</v>
      </c>
      <c r="AT140" s="51">
        <f t="shared" si="216"/>
        <v>0</v>
      </c>
      <c r="AU140" s="51">
        <f t="shared" si="216"/>
        <v>0</v>
      </c>
      <c r="AV140" s="51">
        <f t="shared" si="216"/>
        <v>0</v>
      </c>
      <c r="AW140" s="51">
        <f t="shared" si="216"/>
        <v>0</v>
      </c>
      <c r="AX140" s="51">
        <f t="shared" si="216"/>
        <v>0</v>
      </c>
      <c r="AY140" s="51">
        <f t="shared" si="216"/>
        <v>0</v>
      </c>
      <c r="AZ140" s="51">
        <f t="shared" si="216"/>
        <v>0</v>
      </c>
      <c r="BA140" s="51">
        <f t="shared" si="216"/>
        <v>0</v>
      </c>
      <c r="BB140" s="51">
        <f t="shared" si="216"/>
        <v>0</v>
      </c>
      <c r="BC140" s="38"/>
      <c r="BD140" s="38"/>
    </row>
    <row r="141" spans="1:56" x14ac:dyDescent="0.2">
      <c r="A141" s="37">
        <f t="shared" si="60"/>
        <v>309.12060000000002</v>
      </c>
      <c r="B141" s="37">
        <f>NPV('Assumptions &amp; Results'!$C$129,Calculations!E141:BB141)</f>
        <v>234.07109525490677</v>
      </c>
      <c r="C141" s="8" t="s">
        <v>217</v>
      </c>
      <c r="D141" s="36" t="s">
        <v>75</v>
      </c>
      <c r="E141" s="51">
        <f>'Debt &amp; Equity'!D19-E140</f>
        <v>75</v>
      </c>
      <c r="F141" s="51">
        <f>'Debt &amp; Equity'!E19-F140</f>
        <v>76.5</v>
      </c>
      <c r="G141" s="51">
        <f>'Debt &amp; Equity'!F19-G140</f>
        <v>78.03000000000003</v>
      </c>
      <c r="H141" s="51">
        <f>'Debt &amp; Equity'!G19-H140</f>
        <v>79.590599999999995</v>
      </c>
      <c r="I141" s="51">
        <f>'Debt &amp; Equity'!H19-I140</f>
        <v>0</v>
      </c>
      <c r="J141" s="51">
        <f>'Debt &amp; Equity'!I19-J140</f>
        <v>0</v>
      </c>
      <c r="K141" s="51">
        <f>'Debt &amp; Equity'!J19-K140</f>
        <v>0</v>
      </c>
      <c r="L141" s="51">
        <f>'Debt &amp; Equity'!K19-L140</f>
        <v>0</v>
      </c>
      <c r="M141" s="51">
        <f>'Debt &amp; Equity'!L19-M140</f>
        <v>0</v>
      </c>
      <c r="N141" s="51">
        <f>'Debt &amp; Equity'!M19-N140</f>
        <v>0</v>
      </c>
      <c r="O141" s="51">
        <f>'Debt &amp; Equity'!N19-O140</f>
        <v>0</v>
      </c>
      <c r="P141" s="51">
        <f>'Debt &amp; Equity'!O19-P140</f>
        <v>0</v>
      </c>
      <c r="Q141" s="51">
        <f>'Debt &amp; Equity'!P19-Q140</f>
        <v>0</v>
      </c>
      <c r="R141" s="51">
        <f>'Debt &amp; Equity'!Q19-R140</f>
        <v>0</v>
      </c>
      <c r="S141" s="51">
        <f>'Debt &amp; Equity'!R19-S140</f>
        <v>0</v>
      </c>
      <c r="T141" s="51">
        <f>'Debt &amp; Equity'!S19-T140</f>
        <v>0</v>
      </c>
      <c r="U141" s="51">
        <f>'Debt &amp; Equity'!T19-U140</f>
        <v>0</v>
      </c>
      <c r="V141" s="51">
        <f>'Debt &amp; Equity'!U19-V140</f>
        <v>0</v>
      </c>
      <c r="W141" s="51">
        <f>'Debt &amp; Equity'!V19-W140</f>
        <v>0</v>
      </c>
      <c r="X141" s="51">
        <f>'Debt &amp; Equity'!W19-X140</f>
        <v>0</v>
      </c>
      <c r="Y141" s="51">
        <f>'Debt &amp; Equity'!X19-Y140</f>
        <v>0</v>
      </c>
      <c r="Z141" s="51">
        <f>'Debt &amp; Equity'!Y19-Z140</f>
        <v>0</v>
      </c>
      <c r="AA141" s="51">
        <f>'Debt &amp; Equity'!Z19-AA140</f>
        <v>0</v>
      </c>
      <c r="AB141" s="51">
        <f>'Debt &amp; Equity'!AA19-AB140</f>
        <v>0</v>
      </c>
      <c r="AC141" s="51">
        <f>'Debt &amp; Equity'!AB19-AC140</f>
        <v>0</v>
      </c>
      <c r="AD141" s="51">
        <f>'Debt &amp; Equity'!AC19-AD140</f>
        <v>0</v>
      </c>
      <c r="AE141" s="51">
        <f>'Debt &amp; Equity'!AD19-AE140</f>
        <v>0</v>
      </c>
      <c r="AF141" s="51">
        <f>'Debt &amp; Equity'!AE19-AF140</f>
        <v>0</v>
      </c>
      <c r="AG141" s="51">
        <f>'Debt &amp; Equity'!AF19-AG140</f>
        <v>0</v>
      </c>
      <c r="AH141" s="51">
        <f>'Debt &amp; Equity'!AG19-AH140</f>
        <v>0</v>
      </c>
      <c r="AI141" s="51">
        <f>'Debt &amp; Equity'!AH19-AI140</f>
        <v>0</v>
      </c>
      <c r="AJ141" s="51">
        <f>'Debt &amp; Equity'!AI19-AJ140</f>
        <v>0</v>
      </c>
      <c r="AK141" s="51">
        <f>'Debt &amp; Equity'!AJ19-AK140</f>
        <v>0</v>
      </c>
      <c r="AL141" s="51">
        <f>'Debt &amp; Equity'!AK19-AL140</f>
        <v>0</v>
      </c>
      <c r="AM141" s="51">
        <f>'Debt &amp; Equity'!AL19-AM140</f>
        <v>0</v>
      </c>
      <c r="AN141" s="51">
        <f>'Debt &amp; Equity'!AM19-AN140</f>
        <v>0</v>
      </c>
      <c r="AO141" s="51">
        <f>'Debt &amp; Equity'!AN19-AO140</f>
        <v>0</v>
      </c>
      <c r="AP141" s="51">
        <f>'Debt &amp; Equity'!AO19-AP140</f>
        <v>0</v>
      </c>
      <c r="AQ141" s="51">
        <f>'Debt &amp; Equity'!AP19-AQ140</f>
        <v>0</v>
      </c>
      <c r="AR141" s="51">
        <f>'Debt &amp; Equity'!AQ19-AR140</f>
        <v>0</v>
      </c>
      <c r="AS141" s="51">
        <f>'Debt &amp; Equity'!AR19-AS140</f>
        <v>0</v>
      </c>
      <c r="AT141" s="51">
        <f>'Debt &amp; Equity'!AS19-AT140</f>
        <v>0</v>
      </c>
      <c r="AU141" s="51">
        <f>'Debt &amp; Equity'!AT19-AU140</f>
        <v>0</v>
      </c>
      <c r="AV141" s="51">
        <f>'Debt &amp; Equity'!AU19-AV140</f>
        <v>0</v>
      </c>
      <c r="AW141" s="51">
        <f>'Debt &amp; Equity'!AV19-AW140</f>
        <v>0</v>
      </c>
      <c r="AX141" s="51">
        <f>'Debt &amp; Equity'!AW19-AX140</f>
        <v>0</v>
      </c>
      <c r="AY141" s="51">
        <f>'Debt &amp; Equity'!AX19-AY140</f>
        <v>0</v>
      </c>
      <c r="AZ141" s="51">
        <f>'Debt &amp; Equity'!AY19-AZ140</f>
        <v>0</v>
      </c>
      <c r="BA141" s="51">
        <f>'Debt &amp; Equity'!AZ19-BA140</f>
        <v>0</v>
      </c>
      <c r="BB141" s="51">
        <f>'Debt &amp; Equity'!BA19-BB140</f>
        <v>0</v>
      </c>
      <c r="BC141" s="38"/>
      <c r="BD141" s="38"/>
    </row>
    <row r="142" spans="1:56" x14ac:dyDescent="0.2">
      <c r="A142" s="37">
        <f t="shared" si="60"/>
        <v>1161.5679590000002</v>
      </c>
      <c r="B142" s="37">
        <f>NPV('Assumptions &amp; Results'!$C$129,Calculations!E142:BB142)</f>
        <v>546.16588764168785</v>
      </c>
      <c r="C142" s="77" t="s">
        <v>155</v>
      </c>
      <c r="D142" s="36" t="s">
        <v>75</v>
      </c>
      <c r="E142" s="51">
        <f t="shared" ref="E142:AJ142" si="217">E143+E144</f>
        <v>0</v>
      </c>
      <c r="F142" s="51">
        <f t="shared" si="217"/>
        <v>35.227997000000002</v>
      </c>
      <c r="G142" s="51">
        <f t="shared" si="217"/>
        <v>71.160554000000005</v>
      </c>
      <c r="H142" s="51">
        <f t="shared" si="217"/>
        <v>107.811763</v>
      </c>
      <c r="I142" s="51">
        <f t="shared" si="217"/>
        <v>145.19599499999998</v>
      </c>
      <c r="J142" s="51">
        <f t="shared" si="217"/>
        <v>145.19599499999998</v>
      </c>
      <c r="K142" s="51">
        <f t="shared" si="217"/>
        <v>145.19599500000001</v>
      </c>
      <c r="L142" s="51">
        <f t="shared" si="217"/>
        <v>145.19599500000001</v>
      </c>
      <c r="M142" s="51">
        <f t="shared" si="217"/>
        <v>145.19599499999998</v>
      </c>
      <c r="N142" s="51">
        <f t="shared" si="217"/>
        <v>109.96799799999999</v>
      </c>
      <c r="O142" s="51">
        <f t="shared" si="217"/>
        <v>74.035440000000008</v>
      </c>
      <c r="P142" s="51">
        <f t="shared" si="217"/>
        <v>37.384232000000004</v>
      </c>
      <c r="Q142" s="51">
        <f t="shared" si="217"/>
        <v>0</v>
      </c>
      <c r="R142" s="51">
        <f t="shared" si="217"/>
        <v>0</v>
      </c>
      <c r="S142" s="51">
        <f t="shared" si="217"/>
        <v>0</v>
      </c>
      <c r="T142" s="51">
        <f t="shared" si="217"/>
        <v>0</v>
      </c>
      <c r="U142" s="51">
        <f t="shared" si="217"/>
        <v>0</v>
      </c>
      <c r="V142" s="51">
        <f t="shared" si="217"/>
        <v>0</v>
      </c>
      <c r="W142" s="51">
        <f t="shared" si="217"/>
        <v>0</v>
      </c>
      <c r="X142" s="51">
        <f t="shared" si="217"/>
        <v>0</v>
      </c>
      <c r="Y142" s="51">
        <f t="shared" si="217"/>
        <v>0</v>
      </c>
      <c r="Z142" s="51">
        <f t="shared" si="217"/>
        <v>0</v>
      </c>
      <c r="AA142" s="51">
        <f t="shared" si="217"/>
        <v>0</v>
      </c>
      <c r="AB142" s="51">
        <f t="shared" si="217"/>
        <v>0</v>
      </c>
      <c r="AC142" s="51">
        <f t="shared" si="217"/>
        <v>0</v>
      </c>
      <c r="AD142" s="51">
        <f t="shared" si="217"/>
        <v>0</v>
      </c>
      <c r="AE142" s="51">
        <f t="shared" si="217"/>
        <v>0</v>
      </c>
      <c r="AF142" s="51">
        <f t="shared" si="217"/>
        <v>0</v>
      </c>
      <c r="AG142" s="51">
        <f t="shared" si="217"/>
        <v>0</v>
      </c>
      <c r="AH142" s="51">
        <f t="shared" si="217"/>
        <v>0</v>
      </c>
      <c r="AI142" s="51">
        <f t="shared" si="217"/>
        <v>0</v>
      </c>
      <c r="AJ142" s="51">
        <f t="shared" si="217"/>
        <v>0</v>
      </c>
      <c r="AK142" s="51">
        <f t="shared" ref="AK142:BB142" si="218">AK143+AK144</f>
        <v>0</v>
      </c>
      <c r="AL142" s="51">
        <f t="shared" si="218"/>
        <v>0</v>
      </c>
      <c r="AM142" s="51">
        <f t="shared" si="218"/>
        <v>0</v>
      </c>
      <c r="AN142" s="51">
        <f t="shared" si="218"/>
        <v>0</v>
      </c>
      <c r="AO142" s="51">
        <f t="shared" si="218"/>
        <v>0</v>
      </c>
      <c r="AP142" s="51">
        <f t="shared" si="218"/>
        <v>0</v>
      </c>
      <c r="AQ142" s="51">
        <f t="shared" si="218"/>
        <v>0</v>
      </c>
      <c r="AR142" s="51">
        <f t="shared" si="218"/>
        <v>0</v>
      </c>
      <c r="AS142" s="51">
        <f t="shared" si="218"/>
        <v>0</v>
      </c>
      <c r="AT142" s="51">
        <f t="shared" si="218"/>
        <v>0</v>
      </c>
      <c r="AU142" s="51">
        <f t="shared" si="218"/>
        <v>0</v>
      </c>
      <c r="AV142" s="51">
        <f t="shared" si="218"/>
        <v>0</v>
      </c>
      <c r="AW142" s="51">
        <f t="shared" si="218"/>
        <v>0</v>
      </c>
      <c r="AX142" s="51">
        <f t="shared" si="218"/>
        <v>0</v>
      </c>
      <c r="AY142" s="51">
        <f t="shared" si="218"/>
        <v>0</v>
      </c>
      <c r="AZ142" s="51">
        <f t="shared" si="218"/>
        <v>0</v>
      </c>
      <c r="BA142" s="51">
        <f t="shared" si="218"/>
        <v>0</v>
      </c>
      <c r="BB142" s="51">
        <f t="shared" si="218"/>
        <v>0</v>
      </c>
      <c r="BC142" s="38"/>
      <c r="BD142" s="38"/>
    </row>
    <row r="143" spans="1:56" x14ac:dyDescent="0.2">
      <c r="A143" s="37">
        <f t="shared" si="60"/>
        <v>721.28139800000008</v>
      </c>
      <c r="B143" s="37">
        <f>NPV('Assumptions &amp; Results'!$C$129,Calculations!E143:BB143)</f>
        <v>317.17741791033689</v>
      </c>
      <c r="C143" s="8" t="s">
        <v>7</v>
      </c>
      <c r="D143" s="36" t="s">
        <v>75</v>
      </c>
      <c r="E143" s="51">
        <f>'Debt &amp; Equity'!D275</f>
        <v>0</v>
      </c>
      <c r="F143" s="51">
        <f>'Debt &amp; Equity'!E275</f>
        <v>14.227997</v>
      </c>
      <c r="G143" s="51">
        <f>'Debt &amp; Equity'!F275</f>
        <v>30.447914000000001</v>
      </c>
      <c r="H143" s="51">
        <f>'Debt &amp; Equity'!G275</f>
        <v>48.904471999999998</v>
      </c>
      <c r="I143" s="51">
        <f>'Debt &amp; Equity'!H275</f>
        <v>69.871872999999994</v>
      </c>
      <c r="J143" s="51">
        <f>'Debt &amp; Equity'!I275</f>
        <v>78.256497999999993</v>
      </c>
      <c r="K143" s="51">
        <f>'Debt &amp; Equity'!J275</f>
        <v>87.647278</v>
      </c>
      <c r="L143" s="51">
        <f>'Debt &amp; Equity'!K275</f>
        <v>98.164951000000002</v>
      </c>
      <c r="M143" s="51">
        <f>'Debt &amp; Equity'!L275</f>
        <v>109.944745</v>
      </c>
      <c r="N143" s="51">
        <f>'Debt &amp; Equity'!M275</f>
        <v>87.910117</v>
      </c>
      <c r="O143" s="51">
        <f>'Debt &amp; Equity'!N275</f>
        <v>62.526774000000003</v>
      </c>
      <c r="P143" s="51">
        <f>'Debt &amp; Equity'!O275</f>
        <v>33.378779000000002</v>
      </c>
      <c r="Q143" s="51">
        <f>'Debt &amp; Equity'!P275</f>
        <v>0</v>
      </c>
      <c r="R143" s="51">
        <f>'Debt &amp; Equity'!Q275</f>
        <v>0</v>
      </c>
      <c r="S143" s="51">
        <f>'Debt &amp; Equity'!R275</f>
        <v>0</v>
      </c>
      <c r="T143" s="51">
        <f>'Debt &amp; Equity'!S275</f>
        <v>0</v>
      </c>
      <c r="U143" s="51">
        <f>'Debt &amp; Equity'!T275</f>
        <v>0</v>
      </c>
      <c r="V143" s="51">
        <f>'Debt &amp; Equity'!U275</f>
        <v>0</v>
      </c>
      <c r="W143" s="51">
        <f>'Debt &amp; Equity'!V275</f>
        <v>0</v>
      </c>
      <c r="X143" s="51">
        <f>'Debt &amp; Equity'!W275</f>
        <v>0</v>
      </c>
      <c r="Y143" s="51">
        <f>'Debt &amp; Equity'!X275</f>
        <v>0</v>
      </c>
      <c r="Z143" s="51">
        <f>'Debt &amp; Equity'!Y275</f>
        <v>0</v>
      </c>
      <c r="AA143" s="51">
        <f>'Debt &amp; Equity'!Z275</f>
        <v>0</v>
      </c>
      <c r="AB143" s="51">
        <f>'Debt &amp; Equity'!AA275</f>
        <v>0</v>
      </c>
      <c r="AC143" s="51">
        <f>'Debt &amp; Equity'!AB275</f>
        <v>0</v>
      </c>
      <c r="AD143" s="51">
        <f>'Debt &amp; Equity'!AC275</f>
        <v>0</v>
      </c>
      <c r="AE143" s="51">
        <f>'Debt &amp; Equity'!AD275</f>
        <v>0</v>
      </c>
      <c r="AF143" s="51">
        <f>'Debt &amp; Equity'!AE275</f>
        <v>0</v>
      </c>
      <c r="AG143" s="51">
        <f>'Debt &amp; Equity'!AF275</f>
        <v>0</v>
      </c>
      <c r="AH143" s="51">
        <f>'Debt &amp; Equity'!AG275</f>
        <v>0</v>
      </c>
      <c r="AI143" s="51">
        <f>'Debt &amp; Equity'!AH275</f>
        <v>0</v>
      </c>
      <c r="AJ143" s="51">
        <f>'Debt &amp; Equity'!AI275</f>
        <v>0</v>
      </c>
      <c r="AK143" s="51">
        <f>'Debt &amp; Equity'!AJ275</f>
        <v>0</v>
      </c>
      <c r="AL143" s="51">
        <f>'Debt &amp; Equity'!AK275</f>
        <v>0</v>
      </c>
      <c r="AM143" s="51">
        <f>'Debt &amp; Equity'!AL275</f>
        <v>0</v>
      </c>
      <c r="AN143" s="51">
        <f>'Debt &amp; Equity'!AM275</f>
        <v>0</v>
      </c>
      <c r="AO143" s="51">
        <f>'Debt &amp; Equity'!AN275</f>
        <v>0</v>
      </c>
      <c r="AP143" s="51">
        <f>'Debt &amp; Equity'!AO275</f>
        <v>0</v>
      </c>
      <c r="AQ143" s="51">
        <f>'Debt &amp; Equity'!AP275</f>
        <v>0</v>
      </c>
      <c r="AR143" s="51">
        <f>'Debt &amp; Equity'!AQ275</f>
        <v>0</v>
      </c>
      <c r="AS143" s="51">
        <f>'Debt &amp; Equity'!AR275</f>
        <v>0</v>
      </c>
      <c r="AT143" s="51">
        <f>'Debt &amp; Equity'!AS275</f>
        <v>0</v>
      </c>
      <c r="AU143" s="51">
        <f>'Debt &amp; Equity'!AT275</f>
        <v>0</v>
      </c>
      <c r="AV143" s="51">
        <f>'Debt &amp; Equity'!AU275</f>
        <v>0</v>
      </c>
      <c r="AW143" s="51">
        <f>'Debt &amp; Equity'!AV275</f>
        <v>0</v>
      </c>
      <c r="AX143" s="51">
        <f>'Debt &amp; Equity'!AW275</f>
        <v>0</v>
      </c>
      <c r="AY143" s="51">
        <f>'Debt &amp; Equity'!AX275</f>
        <v>0</v>
      </c>
      <c r="AZ143" s="51">
        <f>'Debt &amp; Equity'!AY275</f>
        <v>0</v>
      </c>
      <c r="BA143" s="51">
        <f>'Debt &amp; Equity'!AZ275</f>
        <v>0</v>
      </c>
      <c r="BB143" s="51">
        <f>'Debt &amp; Equity'!BA275</f>
        <v>0</v>
      </c>
      <c r="BC143" s="38"/>
      <c r="BD143" s="38"/>
    </row>
    <row r="144" spans="1:56" x14ac:dyDescent="0.2">
      <c r="A144" s="37">
        <f t="shared" si="60"/>
        <v>440.28656100000001</v>
      </c>
      <c r="B144" s="37">
        <f>NPV('Assumptions &amp; Results'!$C$129,Calculations!E144:BB144)</f>
        <v>228.98846973135096</v>
      </c>
      <c r="C144" s="8" t="s">
        <v>8</v>
      </c>
      <c r="D144" s="36" t="s">
        <v>75</v>
      </c>
      <c r="E144" s="51">
        <f t="shared" ref="E144:AJ144" si="219">E74</f>
        <v>0</v>
      </c>
      <c r="F144" s="51">
        <f t="shared" si="219"/>
        <v>21</v>
      </c>
      <c r="G144" s="51">
        <f t="shared" si="219"/>
        <v>40.71264</v>
      </c>
      <c r="H144" s="51">
        <f t="shared" si="219"/>
        <v>58.907291000000001</v>
      </c>
      <c r="I144" s="51">
        <f t="shared" si="219"/>
        <v>75.324122000000003</v>
      </c>
      <c r="J144" s="51">
        <f t="shared" si="219"/>
        <v>66.939497000000003</v>
      </c>
      <c r="K144" s="51">
        <f t="shared" si="219"/>
        <v>57.548717000000003</v>
      </c>
      <c r="L144" s="51">
        <f t="shared" si="219"/>
        <v>47.031044000000001</v>
      </c>
      <c r="M144" s="51">
        <f t="shared" si="219"/>
        <v>35.251249999999999</v>
      </c>
      <c r="N144" s="51">
        <f t="shared" si="219"/>
        <v>22.057880999999998</v>
      </c>
      <c r="O144" s="51">
        <f t="shared" si="219"/>
        <v>11.508666</v>
      </c>
      <c r="P144" s="51">
        <f t="shared" si="219"/>
        <v>4.0054530000000002</v>
      </c>
      <c r="Q144" s="51">
        <f t="shared" si="219"/>
        <v>0</v>
      </c>
      <c r="R144" s="51">
        <f t="shared" si="219"/>
        <v>0</v>
      </c>
      <c r="S144" s="51">
        <f t="shared" si="219"/>
        <v>0</v>
      </c>
      <c r="T144" s="51">
        <f t="shared" si="219"/>
        <v>0</v>
      </c>
      <c r="U144" s="51">
        <f t="shared" si="219"/>
        <v>0</v>
      </c>
      <c r="V144" s="51">
        <f t="shared" si="219"/>
        <v>0</v>
      </c>
      <c r="W144" s="51">
        <f t="shared" si="219"/>
        <v>0</v>
      </c>
      <c r="X144" s="51">
        <f t="shared" si="219"/>
        <v>0</v>
      </c>
      <c r="Y144" s="51">
        <f t="shared" si="219"/>
        <v>0</v>
      </c>
      <c r="Z144" s="51">
        <f t="shared" si="219"/>
        <v>0</v>
      </c>
      <c r="AA144" s="51">
        <f t="shared" si="219"/>
        <v>0</v>
      </c>
      <c r="AB144" s="51">
        <f t="shared" si="219"/>
        <v>0</v>
      </c>
      <c r="AC144" s="51">
        <f t="shared" si="219"/>
        <v>0</v>
      </c>
      <c r="AD144" s="51">
        <f t="shared" si="219"/>
        <v>0</v>
      </c>
      <c r="AE144" s="51">
        <f t="shared" si="219"/>
        <v>0</v>
      </c>
      <c r="AF144" s="51">
        <f t="shared" si="219"/>
        <v>0</v>
      </c>
      <c r="AG144" s="51">
        <f t="shared" si="219"/>
        <v>0</v>
      </c>
      <c r="AH144" s="51">
        <f t="shared" si="219"/>
        <v>0</v>
      </c>
      <c r="AI144" s="51">
        <f t="shared" si="219"/>
        <v>0</v>
      </c>
      <c r="AJ144" s="51">
        <f t="shared" si="219"/>
        <v>0</v>
      </c>
      <c r="AK144" s="51">
        <f t="shared" ref="AK144:BB144" si="220">AK74</f>
        <v>0</v>
      </c>
      <c r="AL144" s="51">
        <f t="shared" si="220"/>
        <v>0</v>
      </c>
      <c r="AM144" s="51">
        <f t="shared" si="220"/>
        <v>0</v>
      </c>
      <c r="AN144" s="51">
        <f t="shared" si="220"/>
        <v>0</v>
      </c>
      <c r="AO144" s="51">
        <f t="shared" si="220"/>
        <v>0</v>
      </c>
      <c r="AP144" s="51">
        <f t="shared" si="220"/>
        <v>0</v>
      </c>
      <c r="AQ144" s="51">
        <f t="shared" si="220"/>
        <v>0</v>
      </c>
      <c r="AR144" s="51">
        <f t="shared" si="220"/>
        <v>0</v>
      </c>
      <c r="AS144" s="51">
        <f t="shared" si="220"/>
        <v>0</v>
      </c>
      <c r="AT144" s="51">
        <f t="shared" si="220"/>
        <v>0</v>
      </c>
      <c r="AU144" s="51">
        <f t="shared" si="220"/>
        <v>0</v>
      </c>
      <c r="AV144" s="51">
        <f t="shared" si="220"/>
        <v>0</v>
      </c>
      <c r="AW144" s="51">
        <f t="shared" si="220"/>
        <v>0</v>
      </c>
      <c r="AX144" s="51">
        <f t="shared" si="220"/>
        <v>0</v>
      </c>
      <c r="AY144" s="51">
        <f t="shared" si="220"/>
        <v>0</v>
      </c>
      <c r="AZ144" s="51">
        <f t="shared" si="220"/>
        <v>0</v>
      </c>
      <c r="BA144" s="51">
        <f t="shared" si="220"/>
        <v>0</v>
      </c>
      <c r="BB144" s="51">
        <f t="shared" si="220"/>
        <v>0</v>
      </c>
      <c r="BC144" s="38"/>
      <c r="BD144" s="38"/>
    </row>
    <row r="145" spans="1:56" x14ac:dyDescent="0.2">
      <c r="A145" s="37">
        <f t="shared" ref="A145:A167" ca="1" si="221">SUM(E145:BB145)</f>
        <v>4512.2715165014415</v>
      </c>
      <c r="B145" s="37">
        <f ca="1">NPV('Assumptions &amp; Results'!$C$129,Calculations!E145:BB145)</f>
        <v>498.85985442384765</v>
      </c>
      <c r="C145" s="77" t="s">
        <v>156</v>
      </c>
      <c r="D145" s="36" t="s">
        <v>75</v>
      </c>
      <c r="E145" s="51">
        <f t="shared" ref="E145:AJ145" ca="1" si="222">+E137-E142</f>
        <v>0</v>
      </c>
      <c r="F145" s="51">
        <f t="shared" ca="1" si="222"/>
        <v>-35.227997000000002</v>
      </c>
      <c r="G145" s="51">
        <f t="shared" ca="1" si="222"/>
        <v>-71.160554000000005</v>
      </c>
      <c r="H145" s="51">
        <f t="shared" ca="1" si="222"/>
        <v>-107.811763</v>
      </c>
      <c r="I145" s="51">
        <f t="shared" ca="1" si="222"/>
        <v>-32.507013632447979</v>
      </c>
      <c r="J145" s="51">
        <f t="shared" ca="1" si="222"/>
        <v>123.79341924522237</v>
      </c>
      <c r="K145" s="51">
        <f t="shared" ca="1" si="222"/>
        <v>121.69999371589094</v>
      </c>
      <c r="L145" s="51">
        <f t="shared" ca="1" si="222"/>
        <v>119.41523539968816</v>
      </c>
      <c r="M145" s="51">
        <f t="shared" ca="1" si="222"/>
        <v>117.48769490194599</v>
      </c>
      <c r="N145" s="51">
        <f t="shared" ca="1" si="222"/>
        <v>70.118556090632438</v>
      </c>
      <c r="O145" s="51">
        <f t="shared" ca="1" si="222"/>
        <v>97.250112469314431</v>
      </c>
      <c r="P145" s="51">
        <f t="shared" ca="1" si="222"/>
        <v>134.62034630670075</v>
      </c>
      <c r="Q145" s="51">
        <f t="shared" ca="1" si="222"/>
        <v>174.01472315183474</v>
      </c>
      <c r="R145" s="51">
        <f t="shared" ca="1" si="222"/>
        <v>177.49501761487141</v>
      </c>
      <c r="S145" s="51">
        <f t="shared" ca="1" si="222"/>
        <v>181.04491796716889</v>
      </c>
      <c r="T145" s="51">
        <f t="shared" ca="1" si="222"/>
        <v>184.66581632651221</v>
      </c>
      <c r="U145" s="51">
        <f t="shared" ca="1" si="222"/>
        <v>188.35913265304251</v>
      </c>
      <c r="V145" s="51">
        <f t="shared" ca="1" si="222"/>
        <v>192.12631530610341</v>
      </c>
      <c r="W145" s="51">
        <f t="shared" ca="1" si="222"/>
        <v>195.96884161222548</v>
      </c>
      <c r="X145" s="51">
        <f t="shared" ca="1" si="222"/>
        <v>199.88821844446989</v>
      </c>
      <c r="Y145" s="51">
        <f t="shared" ca="1" si="222"/>
        <v>203.88598281335942</v>
      </c>
      <c r="Z145" s="51">
        <f t="shared" ca="1" si="222"/>
        <v>207.96370246962664</v>
      </c>
      <c r="AA145" s="51">
        <f t="shared" ca="1" si="222"/>
        <v>212.12297651901906</v>
      </c>
      <c r="AB145" s="51">
        <f t="shared" ca="1" si="222"/>
        <v>216.36543604939948</v>
      </c>
      <c r="AC145" s="51">
        <f t="shared" ca="1" si="222"/>
        <v>220.69274477038749</v>
      </c>
      <c r="AD145" s="51">
        <f t="shared" ca="1" si="222"/>
        <v>225.10659966579527</v>
      </c>
      <c r="AE145" s="51">
        <f t="shared" ca="1" si="222"/>
        <v>229.60873165911119</v>
      </c>
      <c r="AF145" s="51">
        <f t="shared" ca="1" si="222"/>
        <v>234.20090629229338</v>
      </c>
      <c r="AG145" s="51">
        <f t="shared" ca="1" si="222"/>
        <v>238.88492441813926</v>
      </c>
      <c r="AH145" s="51">
        <f t="shared" ca="1" si="222"/>
        <v>243.66262290650204</v>
      </c>
      <c r="AI145" s="51">
        <f t="shared" ca="1" si="222"/>
        <v>248.53587536463209</v>
      </c>
      <c r="AJ145" s="51">
        <f t="shared" ca="1" si="222"/>
        <v>0</v>
      </c>
      <c r="AK145" s="51">
        <f t="shared" ref="AK145:BB145" ca="1" si="223">+AK137-AK142</f>
        <v>0</v>
      </c>
      <c r="AL145" s="51">
        <f t="shared" ca="1" si="223"/>
        <v>0</v>
      </c>
      <c r="AM145" s="51">
        <f t="shared" ca="1" si="223"/>
        <v>0</v>
      </c>
      <c r="AN145" s="51">
        <f t="shared" ca="1" si="223"/>
        <v>0</v>
      </c>
      <c r="AO145" s="51">
        <f t="shared" ca="1" si="223"/>
        <v>0</v>
      </c>
      <c r="AP145" s="51">
        <f t="shared" ca="1" si="223"/>
        <v>0</v>
      </c>
      <c r="AQ145" s="51">
        <f t="shared" ca="1" si="223"/>
        <v>0</v>
      </c>
      <c r="AR145" s="51">
        <f t="shared" ca="1" si="223"/>
        <v>0</v>
      </c>
      <c r="AS145" s="51">
        <f t="shared" ca="1" si="223"/>
        <v>0</v>
      </c>
      <c r="AT145" s="51">
        <f t="shared" ca="1" si="223"/>
        <v>0</v>
      </c>
      <c r="AU145" s="51">
        <f t="shared" ca="1" si="223"/>
        <v>0</v>
      </c>
      <c r="AV145" s="51">
        <f t="shared" ca="1" si="223"/>
        <v>0</v>
      </c>
      <c r="AW145" s="51">
        <f t="shared" ca="1" si="223"/>
        <v>0</v>
      </c>
      <c r="AX145" s="51">
        <f t="shared" ca="1" si="223"/>
        <v>0</v>
      </c>
      <c r="AY145" s="51">
        <f t="shared" ca="1" si="223"/>
        <v>0</v>
      </c>
      <c r="AZ145" s="51">
        <f t="shared" ca="1" si="223"/>
        <v>0</v>
      </c>
      <c r="BA145" s="51">
        <f t="shared" ca="1" si="223"/>
        <v>0</v>
      </c>
      <c r="BB145" s="51">
        <f t="shared" ca="1" si="223"/>
        <v>0</v>
      </c>
      <c r="BC145" s="38"/>
      <c r="BD145" s="38"/>
    </row>
    <row r="146" spans="1:56" x14ac:dyDescent="0.2">
      <c r="A146" s="37">
        <f t="shared" ca="1" si="221"/>
        <v>4111.7577213316799</v>
      </c>
      <c r="B146" s="37">
        <f ca="1">NPV('Assumptions &amp; Results'!$C$129,Calculations!E146:BB146)</f>
        <v>574.17616946599355</v>
      </c>
      <c r="C146" s="77" t="s">
        <v>153</v>
      </c>
      <c r="D146" s="36" t="s">
        <v>75</v>
      </c>
      <c r="E146" s="51">
        <f t="shared" ref="E146:AX146" ca="1" si="224">E147-E148</f>
        <v>0</v>
      </c>
      <c r="F146" s="51">
        <f t="shared" ca="1" si="224"/>
        <v>0</v>
      </c>
      <c r="G146" s="51">
        <f t="shared" ca="1" si="224"/>
        <v>0</v>
      </c>
      <c r="H146" s="51">
        <f t="shared" ca="1" si="224"/>
        <v>0</v>
      </c>
      <c r="I146" s="51">
        <f t="shared" ca="1" si="224"/>
        <v>0</v>
      </c>
      <c r="J146" s="51">
        <f t="shared" ca="1" si="224"/>
        <v>106.95751422787212</v>
      </c>
      <c r="K146" s="51">
        <f t="shared" ca="1" si="224"/>
        <v>105.14879457052977</v>
      </c>
      <c r="L146" s="51">
        <f t="shared" ca="1" si="224"/>
        <v>103.17476338533056</v>
      </c>
      <c r="M146" s="51">
        <f t="shared" ca="1" si="224"/>
        <v>101.50936839528133</v>
      </c>
      <c r="N146" s="51">
        <f t="shared" ca="1" si="224"/>
        <v>60.582432462306421</v>
      </c>
      <c r="O146" s="51">
        <f t="shared" ca="1" si="224"/>
        <v>84.024097173487661</v>
      </c>
      <c r="P146" s="51">
        <f t="shared" ca="1" si="224"/>
        <v>116.31197920898946</v>
      </c>
      <c r="Q146" s="51">
        <f t="shared" ca="1" si="224"/>
        <v>150.34872080318522</v>
      </c>
      <c r="R146" s="51">
        <f t="shared" ca="1" si="224"/>
        <v>153.3556952192489</v>
      </c>
      <c r="S146" s="51">
        <f t="shared" ca="1" si="224"/>
        <v>156.4228091236339</v>
      </c>
      <c r="T146" s="51">
        <f t="shared" ca="1" si="224"/>
        <v>159.55126530610656</v>
      </c>
      <c r="U146" s="51">
        <f t="shared" ca="1" si="224"/>
        <v>162.74229061222874</v>
      </c>
      <c r="V146" s="51">
        <f t="shared" ca="1" si="224"/>
        <v>165.99713642447335</v>
      </c>
      <c r="W146" s="51">
        <f t="shared" ca="1" si="224"/>
        <v>169.3170791529628</v>
      </c>
      <c r="X146" s="51">
        <f t="shared" ca="1" si="224"/>
        <v>172.70342073602197</v>
      </c>
      <c r="Y146" s="51">
        <f t="shared" ca="1" si="224"/>
        <v>176.15748915074255</v>
      </c>
      <c r="Z146" s="51">
        <f t="shared" ca="1" si="224"/>
        <v>179.68063893375739</v>
      </c>
      <c r="AA146" s="51">
        <f t="shared" ca="1" si="224"/>
        <v>183.27425171243246</v>
      </c>
      <c r="AB146" s="51">
        <f t="shared" ca="1" si="224"/>
        <v>186.93973674668115</v>
      </c>
      <c r="AC146" s="51">
        <f t="shared" ca="1" si="224"/>
        <v>190.67853148161478</v>
      </c>
      <c r="AD146" s="51">
        <f t="shared" ca="1" si="224"/>
        <v>194.49210211124711</v>
      </c>
      <c r="AE146" s="51">
        <f t="shared" ca="1" si="224"/>
        <v>198.38194415347206</v>
      </c>
      <c r="AF146" s="51">
        <f t="shared" ca="1" si="224"/>
        <v>202.34958303654147</v>
      </c>
      <c r="AG146" s="51">
        <f t="shared" ca="1" si="224"/>
        <v>206.39657469727231</v>
      </c>
      <c r="AH146" s="51">
        <f t="shared" ca="1" si="224"/>
        <v>210.52450619121774</v>
      </c>
      <c r="AI146" s="51">
        <f t="shared" ca="1" si="224"/>
        <v>214.73499631504214</v>
      </c>
      <c r="AJ146" s="51">
        <f t="shared" ca="1" si="224"/>
        <v>0</v>
      </c>
      <c r="AK146" s="51">
        <f t="shared" ca="1" si="224"/>
        <v>0</v>
      </c>
      <c r="AL146" s="51">
        <f t="shared" ca="1" si="224"/>
        <v>0</v>
      </c>
      <c r="AM146" s="51">
        <f t="shared" ca="1" si="224"/>
        <v>0</v>
      </c>
      <c r="AN146" s="51">
        <f t="shared" ca="1" si="224"/>
        <v>0</v>
      </c>
      <c r="AO146" s="51">
        <f t="shared" ca="1" si="224"/>
        <v>0</v>
      </c>
      <c r="AP146" s="51">
        <f t="shared" ca="1" si="224"/>
        <v>0</v>
      </c>
      <c r="AQ146" s="51">
        <f t="shared" ca="1" si="224"/>
        <v>0</v>
      </c>
      <c r="AR146" s="51">
        <f t="shared" ca="1" si="224"/>
        <v>0</v>
      </c>
      <c r="AS146" s="51">
        <f t="shared" ca="1" si="224"/>
        <v>0</v>
      </c>
      <c r="AT146" s="51">
        <f t="shared" ca="1" si="224"/>
        <v>0</v>
      </c>
      <c r="AU146" s="51">
        <f t="shared" ca="1" si="224"/>
        <v>0</v>
      </c>
      <c r="AV146" s="51">
        <f t="shared" ca="1" si="224"/>
        <v>0</v>
      </c>
      <c r="AW146" s="51">
        <f t="shared" ca="1" si="224"/>
        <v>0</v>
      </c>
      <c r="AX146" s="51">
        <f t="shared" ca="1" si="224"/>
        <v>0</v>
      </c>
      <c r="AY146" s="51">
        <f ca="1">AY147+AY148</f>
        <v>0</v>
      </c>
      <c r="AZ146" s="51">
        <f ca="1">AZ147+AZ148</f>
        <v>0</v>
      </c>
      <c r="BA146" s="51">
        <f ca="1">BA147+BA148</f>
        <v>0</v>
      </c>
      <c r="BB146" s="51">
        <f ca="1">BB147+BB148</f>
        <v>0</v>
      </c>
      <c r="BC146" s="38"/>
      <c r="BD146" s="38"/>
    </row>
    <row r="147" spans="1:56" x14ac:dyDescent="0.2">
      <c r="A147" s="37">
        <f t="shared" ca="1" si="221"/>
        <v>4283.0809597205007</v>
      </c>
      <c r="B147" s="37">
        <f ca="1">NPV('Assumptions &amp; Results'!$C$129,Calculations!E147:BB147)</f>
        <v>598.10017652707643</v>
      </c>
      <c r="C147" s="8" t="s">
        <v>152</v>
      </c>
      <c r="D147" s="36" t="s">
        <v>75</v>
      </c>
      <c r="E147" s="51">
        <f ca="1">IF(E145&gt;0,(+E145-E167),0)</f>
        <v>0</v>
      </c>
      <c r="F147" s="51">
        <f t="shared" ref="F147:BB147" ca="1" si="225">IF(F145&gt;0,(+F145-F167),0)</f>
        <v>0</v>
      </c>
      <c r="G147" s="51">
        <f t="shared" ca="1" si="225"/>
        <v>0</v>
      </c>
      <c r="H147" s="51">
        <f t="shared" ca="1" si="225"/>
        <v>0</v>
      </c>
      <c r="I147" s="51">
        <f t="shared" ca="1" si="225"/>
        <v>0</v>
      </c>
      <c r="J147" s="51">
        <f t="shared" ca="1" si="225"/>
        <v>111.41407732070013</v>
      </c>
      <c r="K147" s="51">
        <f t="shared" ca="1" si="225"/>
        <v>109.52999434430184</v>
      </c>
      <c r="L147" s="51">
        <f t="shared" ca="1" si="225"/>
        <v>107.47371185971934</v>
      </c>
      <c r="M147" s="51">
        <f t="shared" ca="1" si="225"/>
        <v>105.73892541175138</v>
      </c>
      <c r="N147" s="51">
        <f t="shared" ca="1" si="225"/>
        <v>63.106700481569192</v>
      </c>
      <c r="O147" s="51">
        <f t="shared" ca="1" si="225"/>
        <v>87.525101222382986</v>
      </c>
      <c r="P147" s="51">
        <f t="shared" ca="1" si="225"/>
        <v>121.15831167603068</v>
      </c>
      <c r="Q147" s="51">
        <f t="shared" ca="1" si="225"/>
        <v>156.61325083665128</v>
      </c>
      <c r="R147" s="51">
        <f t="shared" ca="1" si="225"/>
        <v>159.74551585338426</v>
      </c>
      <c r="S147" s="51">
        <f t="shared" ca="1" si="225"/>
        <v>162.94042617045199</v>
      </c>
      <c r="T147" s="51">
        <f t="shared" ca="1" si="225"/>
        <v>166.199234693861</v>
      </c>
      <c r="U147" s="51">
        <f t="shared" ca="1" si="225"/>
        <v>169.52321938773827</v>
      </c>
      <c r="V147" s="51">
        <f t="shared" ca="1" si="225"/>
        <v>172.91368377549307</v>
      </c>
      <c r="W147" s="51">
        <f t="shared" ca="1" si="225"/>
        <v>176.37195745100291</v>
      </c>
      <c r="X147" s="51">
        <f t="shared" ca="1" si="225"/>
        <v>179.8993966000229</v>
      </c>
      <c r="Y147" s="51">
        <f t="shared" ca="1" si="225"/>
        <v>183.49738453202349</v>
      </c>
      <c r="Z147" s="51">
        <f t="shared" ca="1" si="225"/>
        <v>187.16733222266396</v>
      </c>
      <c r="AA147" s="51">
        <f t="shared" ca="1" si="225"/>
        <v>190.91067886711716</v>
      </c>
      <c r="AB147" s="51">
        <f t="shared" ca="1" si="225"/>
        <v>194.72889244445952</v>
      </c>
      <c r="AC147" s="51">
        <f t="shared" ca="1" si="225"/>
        <v>198.62347029334873</v>
      </c>
      <c r="AD147" s="51">
        <f t="shared" ca="1" si="225"/>
        <v>202.59593969921573</v>
      </c>
      <c r="AE147" s="51">
        <f t="shared" ca="1" si="225"/>
        <v>206.64785849320006</v>
      </c>
      <c r="AF147" s="51">
        <f t="shared" ca="1" si="225"/>
        <v>210.78081566306403</v>
      </c>
      <c r="AG147" s="51">
        <f t="shared" ca="1" si="225"/>
        <v>214.99643197632534</v>
      </c>
      <c r="AH147" s="51">
        <f t="shared" ca="1" si="225"/>
        <v>219.29636061585182</v>
      </c>
      <c r="AI147" s="51">
        <f t="shared" ca="1" si="225"/>
        <v>223.68228782816888</v>
      </c>
      <c r="AJ147" s="51">
        <f t="shared" ca="1" si="225"/>
        <v>0</v>
      </c>
      <c r="AK147" s="51">
        <f t="shared" ca="1" si="225"/>
        <v>0</v>
      </c>
      <c r="AL147" s="51">
        <f t="shared" ca="1" si="225"/>
        <v>0</v>
      </c>
      <c r="AM147" s="51">
        <f t="shared" ca="1" si="225"/>
        <v>0</v>
      </c>
      <c r="AN147" s="51">
        <f t="shared" ca="1" si="225"/>
        <v>0</v>
      </c>
      <c r="AO147" s="51">
        <f t="shared" ca="1" si="225"/>
        <v>0</v>
      </c>
      <c r="AP147" s="51">
        <f t="shared" ca="1" si="225"/>
        <v>0</v>
      </c>
      <c r="AQ147" s="51">
        <f t="shared" ca="1" si="225"/>
        <v>0</v>
      </c>
      <c r="AR147" s="51">
        <f t="shared" ca="1" si="225"/>
        <v>0</v>
      </c>
      <c r="AS147" s="51">
        <f t="shared" ca="1" si="225"/>
        <v>0</v>
      </c>
      <c r="AT147" s="51">
        <f t="shared" ca="1" si="225"/>
        <v>0</v>
      </c>
      <c r="AU147" s="51">
        <f t="shared" ca="1" si="225"/>
        <v>0</v>
      </c>
      <c r="AV147" s="51">
        <f t="shared" ca="1" si="225"/>
        <v>0</v>
      </c>
      <c r="AW147" s="51">
        <f t="shared" ca="1" si="225"/>
        <v>0</v>
      </c>
      <c r="AX147" s="51">
        <f t="shared" ca="1" si="225"/>
        <v>0</v>
      </c>
      <c r="AY147" s="51">
        <f t="shared" ca="1" si="225"/>
        <v>0</v>
      </c>
      <c r="AZ147" s="51">
        <f t="shared" ca="1" si="225"/>
        <v>0</v>
      </c>
      <c r="BA147" s="51">
        <f t="shared" ca="1" si="225"/>
        <v>0</v>
      </c>
      <c r="BB147" s="51">
        <f t="shared" ca="1" si="225"/>
        <v>0</v>
      </c>
      <c r="BC147" s="38"/>
      <c r="BD147" s="38"/>
    </row>
    <row r="148" spans="1:56" x14ac:dyDescent="0.2">
      <c r="A148" s="37">
        <f t="shared" ca="1" si="221"/>
        <v>171.32323838881999</v>
      </c>
      <c r="B148" s="37">
        <f ca="1">NPV('Assumptions &amp; Results'!$C$129,Calculations!E148:BB148)</f>
        <v>23.924007061083053</v>
      </c>
      <c r="C148" s="8" t="s">
        <v>157</v>
      </c>
      <c r="D148" s="36" t="s">
        <v>75</v>
      </c>
      <c r="E148" s="51">
        <f ca="1">E147*'Assumptions &amp; Results'!$C$88*(1-'Assumptions &amp; Results'!$C$141)</f>
        <v>0</v>
      </c>
      <c r="F148" s="51">
        <f ca="1">F147*'Assumptions &amp; Results'!$C$88*(1-'Assumptions &amp; Results'!$C$141)</f>
        <v>0</v>
      </c>
      <c r="G148" s="51">
        <f ca="1">G147*'Assumptions &amp; Results'!$C$88*(1-'Assumptions &amp; Results'!$C$141)</f>
        <v>0</v>
      </c>
      <c r="H148" s="51">
        <f ca="1">H147*'Assumptions &amp; Results'!$C$88*(1-'Assumptions &amp; Results'!$C$141)</f>
        <v>0</v>
      </c>
      <c r="I148" s="51">
        <f ca="1">I147*'Assumptions &amp; Results'!$C$88*(1-'Assumptions &amp; Results'!$C$141)</f>
        <v>0</v>
      </c>
      <c r="J148" s="51">
        <f ca="1">J147*'Assumptions &amp; Results'!$C$88*(1-'Assumptions &amp; Results'!$C$141)</f>
        <v>4.4565630928280049</v>
      </c>
      <c r="K148" s="51">
        <f ca="1">K147*'Assumptions &amp; Results'!$C$88*(1-'Assumptions &amp; Results'!$C$141)</f>
        <v>4.3811997737720736</v>
      </c>
      <c r="L148" s="51">
        <f ca="1">L147*'Assumptions &amp; Results'!$C$88*(1-'Assumptions &amp; Results'!$C$141)</f>
        <v>4.2989484743887738</v>
      </c>
      <c r="M148" s="51">
        <f ca="1">M147*'Assumptions &amp; Results'!$C$88*(1-'Assumptions &amp; Results'!$C$141)</f>
        <v>4.2295570164700553</v>
      </c>
      <c r="N148" s="51">
        <f ca="1">N147*'Assumptions &amp; Results'!$C$88*(1-'Assumptions &amp; Results'!$C$141)</f>
        <v>2.5242680192627676</v>
      </c>
      <c r="O148" s="51">
        <f ca="1">O147*'Assumptions &amp; Results'!$C$88*(1-'Assumptions &amp; Results'!$C$141)</f>
        <v>3.5010040488953194</v>
      </c>
      <c r="P148" s="51">
        <f ca="1">P147*'Assumptions &amp; Results'!$C$88*(1-'Assumptions &amp; Results'!$C$141)</f>
        <v>4.8463324670412273</v>
      </c>
      <c r="Q148" s="51">
        <f ca="1">Q147*'Assumptions &amp; Results'!$C$88*(1-'Assumptions &amp; Results'!$C$141)</f>
        <v>6.264530033466051</v>
      </c>
      <c r="R148" s="51">
        <f ca="1">R147*'Assumptions &amp; Results'!$C$88*(1-'Assumptions &amp; Results'!$C$141)</f>
        <v>6.3898206341353703</v>
      </c>
      <c r="S148" s="51">
        <f ca="1">S147*'Assumptions &amp; Results'!$C$88*(1-'Assumptions &amp; Results'!$C$141)</f>
        <v>6.5176170468180796</v>
      </c>
      <c r="T148" s="51">
        <f ca="1">T147*'Assumptions &amp; Results'!$C$88*(1-'Assumptions &amp; Results'!$C$141)</f>
        <v>6.6479693877544399</v>
      </c>
      <c r="U148" s="51">
        <f ca="1">U147*'Assumptions &amp; Results'!$C$88*(1-'Assumptions &amp; Results'!$C$141)</f>
        <v>6.7809287755095307</v>
      </c>
      <c r="V148" s="51">
        <f ca="1">V147*'Assumptions &amp; Results'!$C$88*(1-'Assumptions &amp; Results'!$C$141)</f>
        <v>6.9165473510197231</v>
      </c>
      <c r="W148" s="51">
        <f ca="1">W147*'Assumptions &amp; Results'!$C$88*(1-'Assumptions &amp; Results'!$C$141)</f>
        <v>7.0548782980401166</v>
      </c>
      <c r="X148" s="51">
        <f ca="1">X147*'Assumptions &amp; Results'!$C$88*(1-'Assumptions &amp; Results'!$C$141)</f>
        <v>7.1959758640009159</v>
      </c>
      <c r="Y148" s="51">
        <f ca="1">Y147*'Assumptions &amp; Results'!$C$88*(1-'Assumptions &amp; Results'!$C$141)</f>
        <v>7.3398953812809395</v>
      </c>
      <c r="Z148" s="51">
        <f ca="1">Z147*'Assumptions &amp; Results'!$C$88*(1-'Assumptions &amp; Results'!$C$141)</f>
        <v>7.4866932889065581</v>
      </c>
      <c r="AA148" s="51">
        <f ca="1">AA147*'Assumptions &amp; Results'!$C$88*(1-'Assumptions &amp; Results'!$C$141)</f>
        <v>7.6364271546846867</v>
      </c>
      <c r="AB148" s="51">
        <f ca="1">AB147*'Assumptions &amp; Results'!$C$88*(1-'Assumptions &amp; Results'!$C$141)</f>
        <v>7.7891556977783809</v>
      </c>
      <c r="AC148" s="51">
        <f ca="1">AC147*'Assumptions &amp; Results'!$C$88*(1-'Assumptions &amp; Results'!$C$141)</f>
        <v>7.944938811733949</v>
      </c>
      <c r="AD148" s="51">
        <f ca="1">AD147*'Assumptions &amp; Results'!$C$88*(1-'Assumptions &amp; Results'!$C$141)</f>
        <v>8.1038375879686289</v>
      </c>
      <c r="AE148" s="51">
        <f ca="1">AE147*'Assumptions &amp; Results'!$C$88*(1-'Assumptions &amp; Results'!$C$141)</f>
        <v>8.2659143397280026</v>
      </c>
      <c r="AF148" s="51">
        <f ca="1">AF147*'Assumptions &amp; Results'!$C$88*(1-'Assumptions &amp; Results'!$C$141)</f>
        <v>8.4312326265225614</v>
      </c>
      <c r="AG148" s="51">
        <f ca="1">AG147*'Assumptions &amp; Results'!$C$88*(1-'Assumptions &amp; Results'!$C$141)</f>
        <v>8.5998572790530137</v>
      </c>
      <c r="AH148" s="51">
        <f ca="1">AH147*'Assumptions &amp; Results'!$C$88*(1-'Assumptions &amp; Results'!$C$141)</f>
        <v>8.7718544246340731</v>
      </c>
      <c r="AI148" s="51">
        <f ca="1">AI147*'Assumptions &amp; Results'!$C$88*(1-'Assumptions &amp; Results'!$C$141)</f>
        <v>8.9472915131267552</v>
      </c>
      <c r="AJ148" s="51">
        <f ca="1">AJ147*'Assumptions &amp; Results'!$C$88*(1-'Assumptions &amp; Results'!$C$141)</f>
        <v>0</v>
      </c>
      <c r="AK148" s="51">
        <f ca="1">AK147*'Assumptions &amp; Results'!$C$88*(1-'Assumptions &amp; Results'!$C$141)</f>
        <v>0</v>
      </c>
      <c r="AL148" s="51">
        <f ca="1">AL147*'Assumptions &amp; Results'!$C$88*(1-'Assumptions &amp; Results'!$C$141)</f>
        <v>0</v>
      </c>
      <c r="AM148" s="51">
        <f ca="1">AM147*'Assumptions &amp; Results'!$C$88*(1-'Assumptions &amp; Results'!$C$141)</f>
        <v>0</v>
      </c>
      <c r="AN148" s="51">
        <f ca="1">AN147*'Assumptions &amp; Results'!$C$88*(1-'Assumptions &amp; Results'!$C$141)</f>
        <v>0</v>
      </c>
      <c r="AO148" s="51">
        <f ca="1">AO147*'Assumptions &amp; Results'!$C$88*(1-'Assumptions &amp; Results'!$C$141)</f>
        <v>0</v>
      </c>
      <c r="AP148" s="51">
        <f ca="1">AP147*'Assumptions &amp; Results'!$C$88*(1-'Assumptions &amp; Results'!$C$141)</f>
        <v>0</v>
      </c>
      <c r="AQ148" s="51">
        <f ca="1">AQ147*'Assumptions &amp; Results'!$C$88*(1-'Assumptions &amp; Results'!$C$141)</f>
        <v>0</v>
      </c>
      <c r="AR148" s="51">
        <f ca="1">AR147*'Assumptions &amp; Results'!$C$88*(1-'Assumptions &amp; Results'!$C$141)</f>
        <v>0</v>
      </c>
      <c r="AS148" s="51">
        <f ca="1">AS147*'Assumptions &amp; Results'!$C$88*(1-'Assumptions &amp; Results'!$C$141)</f>
        <v>0</v>
      </c>
      <c r="AT148" s="51">
        <f ca="1">AT147*'Assumptions &amp; Results'!$C$88*(1-'Assumptions &amp; Results'!$C$141)</f>
        <v>0</v>
      </c>
      <c r="AU148" s="51">
        <f ca="1">AU147*'Assumptions &amp; Results'!$C$88*(1-'Assumptions &amp; Results'!$C$141)</f>
        <v>0</v>
      </c>
      <c r="AV148" s="51">
        <f ca="1">AV147*'Assumptions &amp; Results'!$C$88*(1-'Assumptions &amp; Results'!$C$141)</f>
        <v>0</v>
      </c>
      <c r="AW148" s="51">
        <f ca="1">AW147*'Assumptions &amp; Results'!$C$88*(1-'Assumptions &amp; Results'!$C$141)</f>
        <v>0</v>
      </c>
      <c r="AX148" s="51">
        <f ca="1">AX147*'Assumptions &amp; Results'!$C$88*(1-'Assumptions &amp; Results'!$C$141)</f>
        <v>0</v>
      </c>
      <c r="AY148" s="51">
        <f ca="1">AY147*'Assumptions &amp; Results'!$C$88*(1-'Assumptions &amp; Results'!$C$141)</f>
        <v>0</v>
      </c>
      <c r="AZ148" s="51">
        <f ca="1">AZ147*'Assumptions &amp; Results'!$C$88*(1-'Assumptions &amp; Results'!$C$141)</f>
        <v>0</v>
      </c>
      <c r="BA148" s="51">
        <f ca="1">BA147*'Assumptions &amp; Results'!$C$88*(1-'Assumptions &amp; Results'!$C$141)</f>
        <v>0</v>
      </c>
      <c r="BB148" s="51">
        <f ca="1">BB147*'Assumptions &amp; Results'!$C$88*(1-'Assumptions &amp; Results'!$C$141)</f>
        <v>0</v>
      </c>
      <c r="BC148" s="38"/>
      <c r="BD148" s="38"/>
    </row>
    <row r="149" spans="1:56" s="105" customFormat="1" x14ac:dyDescent="0.2">
      <c r="A149" s="365">
        <f t="shared" ca="1" si="221"/>
        <v>3802.6371213316802</v>
      </c>
      <c r="B149" s="365">
        <f ca="1">NPV('Assumptions &amp; Results'!$C$129,Calculations!E149:BB149)</f>
        <v>340.10507421108662</v>
      </c>
      <c r="C149" s="101" t="s">
        <v>214</v>
      </c>
      <c r="D149" s="102" t="s">
        <v>75</v>
      </c>
      <c r="E149" s="103">
        <f ca="1">-E141+E146</f>
        <v>-75</v>
      </c>
      <c r="F149" s="103">
        <f t="shared" ref="F149:BB149" ca="1" si="226">-F141+F146</f>
        <v>-76.5</v>
      </c>
      <c r="G149" s="103">
        <f t="shared" ca="1" si="226"/>
        <v>-78.03000000000003</v>
      </c>
      <c r="H149" s="103">
        <f t="shared" ca="1" si="226"/>
        <v>-79.590599999999995</v>
      </c>
      <c r="I149" s="103">
        <f t="shared" ca="1" si="226"/>
        <v>0</v>
      </c>
      <c r="J149" s="103">
        <f t="shared" ca="1" si="226"/>
        <v>106.95751422787212</v>
      </c>
      <c r="K149" s="103">
        <f t="shared" ca="1" si="226"/>
        <v>105.14879457052977</v>
      </c>
      <c r="L149" s="103">
        <f t="shared" ca="1" si="226"/>
        <v>103.17476338533056</v>
      </c>
      <c r="M149" s="103">
        <f t="shared" ca="1" si="226"/>
        <v>101.50936839528133</v>
      </c>
      <c r="N149" s="103">
        <f t="shared" ca="1" si="226"/>
        <v>60.582432462306421</v>
      </c>
      <c r="O149" s="103">
        <f t="shared" ca="1" si="226"/>
        <v>84.024097173487661</v>
      </c>
      <c r="P149" s="103">
        <f t="shared" ca="1" si="226"/>
        <v>116.31197920898946</v>
      </c>
      <c r="Q149" s="103">
        <f t="shared" ca="1" si="226"/>
        <v>150.34872080318522</v>
      </c>
      <c r="R149" s="103">
        <f t="shared" ca="1" si="226"/>
        <v>153.3556952192489</v>
      </c>
      <c r="S149" s="103">
        <f t="shared" ca="1" si="226"/>
        <v>156.4228091236339</v>
      </c>
      <c r="T149" s="103">
        <f t="shared" ca="1" si="226"/>
        <v>159.55126530610656</v>
      </c>
      <c r="U149" s="103">
        <f t="shared" ca="1" si="226"/>
        <v>162.74229061222874</v>
      </c>
      <c r="V149" s="103">
        <f t="shared" ca="1" si="226"/>
        <v>165.99713642447335</v>
      </c>
      <c r="W149" s="103">
        <f t="shared" ca="1" si="226"/>
        <v>169.3170791529628</v>
      </c>
      <c r="X149" s="103">
        <f t="shared" ca="1" si="226"/>
        <v>172.70342073602197</v>
      </c>
      <c r="Y149" s="103">
        <f t="shared" ca="1" si="226"/>
        <v>176.15748915074255</v>
      </c>
      <c r="Z149" s="103">
        <f t="shared" ca="1" si="226"/>
        <v>179.68063893375739</v>
      </c>
      <c r="AA149" s="103">
        <f t="shared" ca="1" si="226"/>
        <v>183.27425171243246</v>
      </c>
      <c r="AB149" s="103">
        <f t="shared" ca="1" si="226"/>
        <v>186.93973674668115</v>
      </c>
      <c r="AC149" s="103">
        <f t="shared" ca="1" si="226"/>
        <v>190.67853148161478</v>
      </c>
      <c r="AD149" s="103">
        <f t="shared" ca="1" si="226"/>
        <v>194.49210211124711</v>
      </c>
      <c r="AE149" s="103">
        <f t="shared" ca="1" si="226"/>
        <v>198.38194415347206</v>
      </c>
      <c r="AF149" s="103">
        <f t="shared" ca="1" si="226"/>
        <v>202.34958303654147</v>
      </c>
      <c r="AG149" s="103">
        <f t="shared" ca="1" si="226"/>
        <v>206.39657469727231</v>
      </c>
      <c r="AH149" s="103">
        <f t="shared" ca="1" si="226"/>
        <v>210.52450619121774</v>
      </c>
      <c r="AI149" s="103">
        <f t="shared" ca="1" si="226"/>
        <v>214.73499631504214</v>
      </c>
      <c r="AJ149" s="103">
        <f t="shared" ca="1" si="226"/>
        <v>0</v>
      </c>
      <c r="AK149" s="103">
        <f t="shared" ca="1" si="226"/>
        <v>0</v>
      </c>
      <c r="AL149" s="103">
        <f t="shared" ca="1" si="226"/>
        <v>0</v>
      </c>
      <c r="AM149" s="103">
        <f t="shared" ca="1" si="226"/>
        <v>0</v>
      </c>
      <c r="AN149" s="103">
        <f t="shared" ca="1" si="226"/>
        <v>0</v>
      </c>
      <c r="AO149" s="103">
        <f t="shared" ca="1" si="226"/>
        <v>0</v>
      </c>
      <c r="AP149" s="103">
        <f t="shared" ca="1" si="226"/>
        <v>0</v>
      </c>
      <c r="AQ149" s="103">
        <f t="shared" ca="1" si="226"/>
        <v>0</v>
      </c>
      <c r="AR149" s="103">
        <f t="shared" ca="1" si="226"/>
        <v>0</v>
      </c>
      <c r="AS149" s="103">
        <f t="shared" ca="1" si="226"/>
        <v>0</v>
      </c>
      <c r="AT149" s="103">
        <f t="shared" ca="1" si="226"/>
        <v>0</v>
      </c>
      <c r="AU149" s="103">
        <f t="shared" ca="1" si="226"/>
        <v>0</v>
      </c>
      <c r="AV149" s="103">
        <f t="shared" ca="1" si="226"/>
        <v>0</v>
      </c>
      <c r="AW149" s="103">
        <f t="shared" ca="1" si="226"/>
        <v>0</v>
      </c>
      <c r="AX149" s="103">
        <f t="shared" ca="1" si="226"/>
        <v>0</v>
      </c>
      <c r="AY149" s="103">
        <f t="shared" ca="1" si="226"/>
        <v>0</v>
      </c>
      <c r="AZ149" s="103">
        <f t="shared" ca="1" si="226"/>
        <v>0</v>
      </c>
      <c r="BA149" s="103">
        <f t="shared" ca="1" si="226"/>
        <v>0</v>
      </c>
      <c r="BB149" s="103">
        <f t="shared" ca="1" si="226"/>
        <v>0</v>
      </c>
      <c r="BC149" s="112"/>
      <c r="BD149" s="112"/>
    </row>
    <row r="150" spans="1:56" x14ac:dyDescent="0.2">
      <c r="A150" s="37"/>
      <c r="B150" s="37"/>
      <c r="C150" s="2"/>
    </row>
    <row r="151" spans="1:56" x14ac:dyDescent="0.2">
      <c r="A151" s="37"/>
      <c r="B151" s="37"/>
      <c r="C151" s="101" t="s">
        <v>461</v>
      </c>
      <c r="D151" s="300">
        <f ca="1">IRR(E149:BB149)</f>
        <v>0.2200298491293935</v>
      </c>
      <c r="I151" s="316"/>
      <c r="J151" s="316"/>
      <c r="K151" s="316"/>
      <c r="L151" s="316"/>
      <c r="M151" s="316"/>
      <c r="N151" s="316"/>
      <c r="O151" s="316"/>
      <c r="P151" s="316"/>
      <c r="Q151" s="316"/>
    </row>
    <row r="152" spans="1:56" x14ac:dyDescent="0.2">
      <c r="A152" s="37"/>
      <c r="B152" s="37"/>
    </row>
    <row r="153" spans="1:56" s="306" customFormat="1" ht="15.75" x14ac:dyDescent="0.25">
      <c r="A153" s="309"/>
      <c r="B153" s="309"/>
      <c r="C153" s="307" t="s">
        <v>230</v>
      </c>
    </row>
    <row r="154" spans="1:56" ht="15" x14ac:dyDescent="0.25">
      <c r="A154" s="37"/>
      <c r="B154" s="37"/>
      <c r="C154" s="148"/>
    </row>
    <row r="155" spans="1:56" x14ac:dyDescent="0.2">
      <c r="A155" s="37">
        <f t="shared" si="221"/>
        <v>0</v>
      </c>
      <c r="B155" s="37">
        <f>NPV('Assumptions &amp; Results'!$C$131,Calculations!E155:BB155)</f>
        <v>0</v>
      </c>
      <c r="C155" s="2" t="s">
        <v>234</v>
      </c>
      <c r="D155" s="36" t="s">
        <v>75</v>
      </c>
      <c r="E155" s="152">
        <f xml:space="preserve"> ('Assumptions &amp; Results'!$C$84)*'Debt &amp; Equity'!D19</f>
        <v>0</v>
      </c>
      <c r="F155" s="152">
        <f xml:space="preserve"> ('Assumptions &amp; Results'!$C$84)*'Debt &amp; Equity'!E19</f>
        <v>0</v>
      </c>
      <c r="G155" s="152">
        <f xml:space="preserve"> ('Assumptions &amp; Results'!$C$84)*'Debt &amp; Equity'!F19</f>
        <v>0</v>
      </c>
      <c r="H155" s="152">
        <f xml:space="preserve"> ('Assumptions &amp; Results'!$C$84)*'Debt &amp; Equity'!G19</f>
        <v>0</v>
      </c>
      <c r="I155" s="152">
        <f xml:space="preserve"> ('Assumptions &amp; Results'!$C$84)*'Debt &amp; Equity'!H19</f>
        <v>0</v>
      </c>
      <c r="J155" s="152">
        <f xml:space="preserve"> ('Assumptions &amp; Results'!$C$84)*'Debt &amp; Equity'!I19</f>
        <v>0</v>
      </c>
      <c r="K155" s="152">
        <f xml:space="preserve"> ('Assumptions &amp; Results'!$C$84)*'Debt &amp; Equity'!J19</f>
        <v>0</v>
      </c>
      <c r="L155" s="152">
        <f xml:space="preserve"> ('Assumptions &amp; Results'!$C$84)*'Debt &amp; Equity'!K19</f>
        <v>0</v>
      </c>
      <c r="M155" s="152">
        <f xml:space="preserve"> ('Assumptions &amp; Results'!$C$84)*'Debt &amp; Equity'!L19</f>
        <v>0</v>
      </c>
      <c r="N155" s="152">
        <f xml:space="preserve"> ('Assumptions &amp; Results'!$C$84)*'Debt &amp; Equity'!M19</f>
        <v>0</v>
      </c>
      <c r="O155" s="152">
        <f xml:space="preserve"> ('Assumptions &amp; Results'!$C$84)*'Debt &amp; Equity'!N19</f>
        <v>0</v>
      </c>
      <c r="P155" s="152">
        <f xml:space="preserve"> ('Assumptions &amp; Results'!$C$84)*'Debt &amp; Equity'!O19</f>
        <v>0</v>
      </c>
      <c r="Q155" s="152">
        <f xml:space="preserve"> ('Assumptions &amp; Results'!$C$84)*'Debt &amp; Equity'!P19</f>
        <v>0</v>
      </c>
      <c r="R155" s="152">
        <f xml:space="preserve"> ('Assumptions &amp; Results'!$C$84)*'Debt &amp; Equity'!Q19</f>
        <v>0</v>
      </c>
      <c r="S155" s="152">
        <f xml:space="preserve"> ('Assumptions &amp; Results'!$C$84)*'Debt &amp; Equity'!R19</f>
        <v>0</v>
      </c>
      <c r="T155" s="152">
        <f xml:space="preserve"> ('Assumptions &amp; Results'!$C$84)*'Debt &amp; Equity'!S19</f>
        <v>0</v>
      </c>
      <c r="U155" s="152">
        <f xml:space="preserve"> ('Assumptions &amp; Results'!$C$84)*'Debt &amp; Equity'!T19</f>
        <v>0</v>
      </c>
      <c r="V155" s="152">
        <f xml:space="preserve"> ('Assumptions &amp; Results'!$C$84)*'Debt &amp; Equity'!U19</f>
        <v>0</v>
      </c>
      <c r="W155" s="152">
        <f xml:space="preserve"> ('Assumptions &amp; Results'!$C$84)*'Debt &amp; Equity'!V19</f>
        <v>0</v>
      </c>
      <c r="X155" s="152">
        <f xml:space="preserve"> ('Assumptions &amp; Results'!$C$84)*'Debt &amp; Equity'!W19</f>
        <v>0</v>
      </c>
      <c r="Y155" s="152">
        <f xml:space="preserve"> ('Assumptions &amp; Results'!$C$84)*'Debt &amp; Equity'!X19</f>
        <v>0</v>
      </c>
      <c r="Z155" s="152">
        <f xml:space="preserve"> ('Assumptions &amp; Results'!$C$84)*'Debt &amp; Equity'!Y19</f>
        <v>0</v>
      </c>
      <c r="AA155" s="152">
        <f xml:space="preserve"> ('Assumptions &amp; Results'!$C$84)*'Debt &amp; Equity'!Z19</f>
        <v>0</v>
      </c>
      <c r="AB155" s="152">
        <f xml:space="preserve"> ('Assumptions &amp; Results'!$C$84)*'Debt &amp; Equity'!AA19</f>
        <v>0</v>
      </c>
      <c r="AC155" s="152">
        <f xml:space="preserve"> ('Assumptions &amp; Results'!$C$84)*'Debt &amp; Equity'!AB19</f>
        <v>0</v>
      </c>
      <c r="AD155" s="152">
        <f xml:space="preserve"> ('Assumptions &amp; Results'!$C$84)*'Debt &amp; Equity'!AC19</f>
        <v>0</v>
      </c>
      <c r="AE155" s="152">
        <f xml:space="preserve"> ('Assumptions &amp; Results'!$C$84)*'Debt &amp; Equity'!AD19</f>
        <v>0</v>
      </c>
      <c r="AF155" s="152">
        <f xml:space="preserve"> ('Assumptions &amp; Results'!$C$84)*'Debt &amp; Equity'!AE19</f>
        <v>0</v>
      </c>
      <c r="AG155" s="152">
        <f xml:space="preserve"> ('Assumptions &amp; Results'!$C$84)*'Debt &amp; Equity'!AF19</f>
        <v>0</v>
      </c>
      <c r="AH155" s="152">
        <f xml:space="preserve"> ('Assumptions &amp; Results'!$C$84)*'Debt &amp; Equity'!AG19</f>
        <v>0</v>
      </c>
      <c r="AI155" s="152">
        <f xml:space="preserve"> ('Assumptions &amp; Results'!$C$84)*'Debt &amp; Equity'!AH19</f>
        <v>0</v>
      </c>
      <c r="AJ155" s="152">
        <f xml:space="preserve"> ('Assumptions &amp; Results'!$C$84)*'Debt &amp; Equity'!AI19</f>
        <v>0</v>
      </c>
      <c r="AK155" s="152">
        <f xml:space="preserve"> ('Assumptions &amp; Results'!$C$84)*'Debt &amp; Equity'!AJ19</f>
        <v>0</v>
      </c>
      <c r="AL155" s="152">
        <f xml:space="preserve"> ('Assumptions &amp; Results'!$C$84)*'Debt &amp; Equity'!AK19</f>
        <v>0</v>
      </c>
      <c r="AM155" s="152">
        <f xml:space="preserve"> ('Assumptions &amp; Results'!$C$84)*'Debt &amp; Equity'!AL19</f>
        <v>0</v>
      </c>
      <c r="AN155" s="152">
        <f xml:space="preserve"> ('Assumptions &amp; Results'!$C$84)*'Debt &amp; Equity'!AM19</f>
        <v>0</v>
      </c>
      <c r="AO155" s="152">
        <f xml:space="preserve"> ('Assumptions &amp; Results'!$C$84)*'Debt &amp; Equity'!AN19</f>
        <v>0</v>
      </c>
      <c r="AP155" s="152">
        <f xml:space="preserve"> ('Assumptions &amp; Results'!$C$84)*'Debt &amp; Equity'!AO19</f>
        <v>0</v>
      </c>
      <c r="AQ155" s="152">
        <f xml:space="preserve"> ('Assumptions &amp; Results'!$C$84)*'Debt &amp; Equity'!AP19</f>
        <v>0</v>
      </c>
      <c r="AR155" s="152">
        <f xml:space="preserve"> ('Assumptions &amp; Results'!$C$84)*'Debt &amp; Equity'!AQ19</f>
        <v>0</v>
      </c>
      <c r="AS155" s="152">
        <f xml:space="preserve"> ('Assumptions &amp; Results'!$C$84)*'Debt &amp; Equity'!AR19</f>
        <v>0</v>
      </c>
      <c r="AT155" s="152">
        <f xml:space="preserve"> ('Assumptions &amp; Results'!$C$84)*'Debt &amp; Equity'!AS19</f>
        <v>0</v>
      </c>
      <c r="AU155" s="152">
        <f xml:space="preserve"> ('Assumptions &amp; Results'!$C$84)*'Debt &amp; Equity'!AT19</f>
        <v>0</v>
      </c>
      <c r="AV155" s="152">
        <f xml:space="preserve"> ('Assumptions &amp; Results'!$C$84)*'Debt &amp; Equity'!AU19</f>
        <v>0</v>
      </c>
      <c r="AW155" s="152">
        <f xml:space="preserve"> ('Assumptions &amp; Results'!$C$84)*'Debt &amp; Equity'!AV19</f>
        <v>0</v>
      </c>
      <c r="AX155" s="152">
        <f xml:space="preserve"> ('Assumptions &amp; Results'!$C$84)*'Debt &amp; Equity'!AW19</f>
        <v>0</v>
      </c>
      <c r="AY155" s="152">
        <f xml:space="preserve"> ('Assumptions &amp; Results'!$C$84)*'Debt &amp; Equity'!AX19</f>
        <v>0</v>
      </c>
      <c r="AZ155" s="152">
        <f xml:space="preserve"> ('Assumptions &amp; Results'!$C$84)*'Debt &amp; Equity'!AY19</f>
        <v>0</v>
      </c>
      <c r="BA155" s="152">
        <f xml:space="preserve"> ('Assumptions &amp; Results'!$C$84)*'Debt &amp; Equity'!AZ19</f>
        <v>0</v>
      </c>
      <c r="BB155" s="152">
        <f xml:space="preserve"> ('Assumptions &amp; Results'!$C$84)*'Debt &amp; Equity'!BA19</f>
        <v>0</v>
      </c>
    </row>
    <row r="156" spans="1:56" x14ac:dyDescent="0.2">
      <c r="A156" s="37">
        <f t="shared" ca="1" si="221"/>
        <v>0</v>
      </c>
      <c r="B156" s="37">
        <f ca="1">NPV('Assumptions &amp; Results'!$C$131,Calculations!E156:BB156)</f>
        <v>0</v>
      </c>
      <c r="C156" s="370" t="s">
        <v>221</v>
      </c>
      <c r="D156" s="36" t="s">
        <v>75</v>
      </c>
      <c r="E156" s="152">
        <f ca="1">IF(E145&gt;0,('Assumptions &amp; Results'!$C$84+'Assumptions &amp; Results'!$C$86)*(Calculations!E145),0)</f>
        <v>0</v>
      </c>
      <c r="F156" s="152">
        <f ca="1">IF(F145&gt;0,('Assumptions &amp; Results'!$C$84+'Assumptions &amp; Results'!$C$86)*(Calculations!F145),0)</f>
        <v>0</v>
      </c>
      <c r="G156" s="152">
        <f ca="1">IF(G145&gt;0,('Assumptions &amp; Results'!$C$84+'Assumptions &amp; Results'!$C$86)*(Calculations!G145),0)</f>
        <v>0</v>
      </c>
      <c r="H156" s="152">
        <f ca="1">IF(H145&gt;0,('Assumptions &amp; Results'!$C$84+'Assumptions &amp; Results'!$C$86)*(Calculations!H145),0)</f>
        <v>0</v>
      </c>
      <c r="I156" s="152">
        <f ca="1">IF(I145&gt;0,('Assumptions &amp; Results'!$C$84+'Assumptions &amp; Results'!$C$86)*(Calculations!I145),0)</f>
        <v>0</v>
      </c>
      <c r="J156" s="152">
        <f ca="1">IF(J145&gt;0,('Assumptions &amp; Results'!$C$84+'Assumptions &amp; Results'!$C$86)*(Calculations!J145),0)</f>
        <v>0</v>
      </c>
      <c r="K156" s="152">
        <f ca="1">IF(K145&gt;0,('Assumptions &amp; Results'!$C$84+'Assumptions &amp; Results'!$C$86)*(Calculations!K145),0)</f>
        <v>0</v>
      </c>
      <c r="L156" s="152">
        <f ca="1">IF(L145&gt;0,('Assumptions &amp; Results'!$C$84+'Assumptions &amp; Results'!$C$86)*(Calculations!L145),0)</f>
        <v>0</v>
      </c>
      <c r="M156" s="152">
        <f ca="1">IF(M145&gt;0,('Assumptions &amp; Results'!$C$84+'Assumptions &amp; Results'!$C$86)*(Calculations!M145),0)</f>
        <v>0</v>
      </c>
      <c r="N156" s="152">
        <f ca="1">IF(N145&gt;0,('Assumptions &amp; Results'!$C$84+'Assumptions &amp; Results'!$C$86)*(Calculations!N145),0)</f>
        <v>0</v>
      </c>
      <c r="O156" s="152">
        <f ca="1">IF(O145&gt;0,('Assumptions &amp; Results'!$C$84+'Assumptions &amp; Results'!$C$86)*(Calculations!O145),0)</f>
        <v>0</v>
      </c>
      <c r="P156" s="152">
        <f ca="1">IF(P145&gt;0,('Assumptions &amp; Results'!$C$84+'Assumptions &amp; Results'!$C$86)*(Calculations!P145),0)</f>
        <v>0</v>
      </c>
      <c r="Q156" s="152">
        <f ca="1">IF(Q145&gt;0,('Assumptions &amp; Results'!$C$84+'Assumptions &amp; Results'!$C$86)*(Calculations!Q145),0)</f>
        <v>0</v>
      </c>
      <c r="R156" s="152">
        <f ca="1">IF(R145&gt;0,('Assumptions &amp; Results'!$C$84+'Assumptions &amp; Results'!$C$86)*(Calculations!R145),0)</f>
        <v>0</v>
      </c>
      <c r="S156" s="152">
        <f ca="1">IF(S145&gt;0,('Assumptions &amp; Results'!$C$84+'Assumptions &amp; Results'!$C$86)*(Calculations!S145),0)</f>
        <v>0</v>
      </c>
      <c r="T156" s="152">
        <f ca="1">IF(T145&gt;0,('Assumptions &amp; Results'!$C$84+'Assumptions &amp; Results'!$C$86)*(Calculations!T145),0)</f>
        <v>0</v>
      </c>
      <c r="U156" s="152">
        <f ca="1">IF(U145&gt;0,('Assumptions &amp; Results'!$C$84+'Assumptions &amp; Results'!$C$86)*(Calculations!U145),0)</f>
        <v>0</v>
      </c>
      <c r="V156" s="152">
        <f ca="1">IF(V145&gt;0,('Assumptions &amp; Results'!$C$84+'Assumptions &amp; Results'!$C$86)*(Calculations!V145),0)</f>
        <v>0</v>
      </c>
      <c r="W156" s="152">
        <f ca="1">IF(W145&gt;0,('Assumptions &amp; Results'!$C$84+'Assumptions &amp; Results'!$C$86)*(Calculations!W145),0)</f>
        <v>0</v>
      </c>
      <c r="X156" s="152">
        <f ca="1">IF(X145&gt;0,('Assumptions &amp; Results'!$C$84+'Assumptions &amp; Results'!$C$86)*(Calculations!X145),0)</f>
        <v>0</v>
      </c>
      <c r="Y156" s="152">
        <f ca="1">IF(Y145&gt;0,('Assumptions &amp; Results'!$C$84+'Assumptions &amp; Results'!$C$86)*(Calculations!Y145),0)</f>
        <v>0</v>
      </c>
      <c r="Z156" s="152">
        <f ca="1">IF(Z145&gt;0,('Assumptions &amp; Results'!$C$84+'Assumptions &amp; Results'!$C$86)*(Calculations!Z145),0)</f>
        <v>0</v>
      </c>
      <c r="AA156" s="152">
        <f ca="1">IF(AA145&gt;0,('Assumptions &amp; Results'!$C$84+'Assumptions &amp; Results'!$C$86)*(Calculations!AA145),0)</f>
        <v>0</v>
      </c>
      <c r="AB156" s="152">
        <f ca="1">IF(AB145&gt;0,('Assumptions &amp; Results'!$C$84+'Assumptions &amp; Results'!$C$86)*(Calculations!AB145),0)</f>
        <v>0</v>
      </c>
      <c r="AC156" s="152">
        <f ca="1">IF(AC145&gt;0,('Assumptions &amp; Results'!$C$84+'Assumptions &amp; Results'!$C$86)*(Calculations!AC145),0)</f>
        <v>0</v>
      </c>
      <c r="AD156" s="152">
        <f ca="1">IF(AD145&gt;0,('Assumptions &amp; Results'!$C$84+'Assumptions &amp; Results'!$C$86)*(Calculations!AD145),0)</f>
        <v>0</v>
      </c>
      <c r="AE156" s="152">
        <f ca="1">IF(AE145&gt;0,('Assumptions &amp; Results'!$C$84+'Assumptions &amp; Results'!$C$86)*(Calculations!AE145),0)</f>
        <v>0</v>
      </c>
      <c r="AF156" s="152">
        <f ca="1">IF(AF145&gt;0,('Assumptions &amp; Results'!$C$84+'Assumptions &amp; Results'!$C$86)*(Calculations!AF145),0)</f>
        <v>0</v>
      </c>
      <c r="AG156" s="152">
        <f ca="1">IF(AG145&gt;0,('Assumptions &amp; Results'!$C$84+'Assumptions &amp; Results'!$C$86)*(Calculations!AG145),0)</f>
        <v>0</v>
      </c>
      <c r="AH156" s="152">
        <f ca="1">IF(AH145&gt;0,('Assumptions &amp; Results'!$C$84+'Assumptions &amp; Results'!$C$86)*(Calculations!AH145),0)</f>
        <v>0</v>
      </c>
      <c r="AI156" s="152">
        <f ca="1">IF(AI145&gt;0,('Assumptions &amp; Results'!$C$84+'Assumptions &amp; Results'!$C$86)*(Calculations!AI145),0)</f>
        <v>0</v>
      </c>
      <c r="AJ156" s="152">
        <f ca="1">IF(AJ145&gt;0,('Assumptions &amp; Results'!$C$84+'Assumptions &amp; Results'!$C$86)*(Calculations!AJ145),0)</f>
        <v>0</v>
      </c>
      <c r="AK156" s="152">
        <f ca="1">IF(AK145&gt;0,('Assumptions &amp; Results'!$C$84+'Assumptions &amp; Results'!$C$86)*(Calculations!AK145),0)</f>
        <v>0</v>
      </c>
      <c r="AL156" s="152">
        <f ca="1">IF(AL145&gt;0,('Assumptions &amp; Results'!$C$84+'Assumptions &amp; Results'!$C$86)*(Calculations!AL145),0)</f>
        <v>0</v>
      </c>
      <c r="AM156" s="152">
        <f ca="1">IF(AM145&gt;0,('Assumptions &amp; Results'!$C$84+'Assumptions &amp; Results'!$C$86)*(Calculations!AM145),0)</f>
        <v>0</v>
      </c>
      <c r="AN156" s="152">
        <f ca="1">IF(AN145&gt;0,('Assumptions &amp; Results'!$C$84+'Assumptions &amp; Results'!$C$86)*(Calculations!AN145),0)</f>
        <v>0</v>
      </c>
      <c r="AO156" s="152">
        <f ca="1">IF(AO145&gt;0,('Assumptions &amp; Results'!$C$84+'Assumptions &amp; Results'!$C$86)*(Calculations!AO145),0)</f>
        <v>0</v>
      </c>
      <c r="AP156" s="152">
        <f ca="1">IF(AP145&gt;0,('Assumptions &amp; Results'!$C$84+'Assumptions &amp; Results'!$C$86)*(Calculations!AP145),0)</f>
        <v>0</v>
      </c>
      <c r="AQ156" s="152">
        <f ca="1">IF(AQ145&gt;0,('Assumptions &amp; Results'!$C$84+'Assumptions &amp; Results'!$C$86)*(Calculations!AQ145),0)</f>
        <v>0</v>
      </c>
      <c r="AR156" s="152">
        <f ca="1">IF(AR145&gt;0,('Assumptions &amp; Results'!$C$84+'Assumptions &amp; Results'!$C$86)*(Calculations!AR145),0)</f>
        <v>0</v>
      </c>
      <c r="AS156" s="152">
        <f ca="1">IF(AS145&gt;0,('Assumptions &amp; Results'!$C$84+'Assumptions &amp; Results'!$C$86)*(Calculations!AS145),0)</f>
        <v>0</v>
      </c>
      <c r="AT156" s="152">
        <f ca="1">IF(AT145&gt;0,('Assumptions &amp; Results'!$C$84+'Assumptions &amp; Results'!$C$86)*(Calculations!AT145),0)</f>
        <v>0</v>
      </c>
      <c r="AU156" s="152">
        <f ca="1">IF(AU145&gt;0,('Assumptions &amp; Results'!$C$84+'Assumptions &amp; Results'!$C$86)*(Calculations!AU145),0)</f>
        <v>0</v>
      </c>
      <c r="AV156" s="152">
        <f ca="1">IF(AV145&gt;0,('Assumptions &amp; Results'!$C$84+'Assumptions &amp; Results'!$C$86)*(Calculations!AV145),0)</f>
        <v>0</v>
      </c>
      <c r="AW156" s="152">
        <f ca="1">IF(AW145&gt;0,('Assumptions &amp; Results'!$C$84+'Assumptions &amp; Results'!$C$86)*(Calculations!AW145),0)</f>
        <v>0</v>
      </c>
      <c r="AX156" s="152">
        <f ca="1">IF(AX145&gt;0,('Assumptions &amp; Results'!$C$84+'Assumptions &amp; Results'!$C$86)*(Calculations!AX145),0)</f>
        <v>0</v>
      </c>
      <c r="AY156" s="152">
        <f ca="1">IF(AY145&gt;0,('Assumptions &amp; Results'!$C$84+'Assumptions &amp; Results'!$C$86)*(Calculations!AY145),0)</f>
        <v>0</v>
      </c>
      <c r="AZ156" s="152">
        <f ca="1">IF(AZ145&gt;0,('Assumptions &amp; Results'!$C$84+'Assumptions &amp; Results'!$C$86)*(Calculations!AZ145),0)</f>
        <v>0</v>
      </c>
      <c r="BA156" s="152">
        <f ca="1">IF(BA145&gt;0,('Assumptions &amp; Results'!$C$84+'Assumptions &amp; Results'!$C$86)*(Calculations!BA145),0)</f>
        <v>0</v>
      </c>
      <c r="BB156" s="152">
        <f ca="1">IF(BB145&gt;0,('Assumptions &amp; Results'!$C$84+'Assumptions &amp; Results'!$C$86)*(Calculations!BB145),0)</f>
        <v>0</v>
      </c>
    </row>
    <row r="157" spans="1:56" ht="15" x14ac:dyDescent="0.25">
      <c r="A157" s="37"/>
      <c r="B157" s="37"/>
      <c r="C157" s="149" t="s">
        <v>222</v>
      </c>
      <c r="E157" s="152"/>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2"/>
      <c r="AE157" s="152"/>
      <c r="AF157" s="152"/>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row>
    <row r="158" spans="1:56" x14ac:dyDescent="0.2">
      <c r="A158" s="37">
        <f t="shared" ca="1" si="221"/>
        <v>0</v>
      </c>
      <c r="B158" s="37">
        <f ca="1">NPV('Assumptions &amp; Results'!$C$131,Calculations!E158:BB158)</f>
        <v>0</v>
      </c>
      <c r="C158" s="150" t="s">
        <v>223</v>
      </c>
      <c r="D158" s="36" t="s">
        <v>75</v>
      </c>
      <c r="E158" s="152">
        <v>0</v>
      </c>
      <c r="F158" s="152">
        <f ca="1">E163</f>
        <v>0</v>
      </c>
      <c r="G158" s="152">
        <f t="shared" ref="G158:BB158" ca="1" si="227">F163</f>
        <v>0</v>
      </c>
      <c r="H158" s="152">
        <f t="shared" ca="1" si="227"/>
        <v>0</v>
      </c>
      <c r="I158" s="152">
        <f t="shared" ca="1" si="227"/>
        <v>0</v>
      </c>
      <c r="J158" s="152">
        <f t="shared" ca="1" si="227"/>
        <v>0</v>
      </c>
      <c r="K158" s="152">
        <f t="shared" ca="1" si="227"/>
        <v>0</v>
      </c>
      <c r="L158" s="152">
        <f t="shared" ca="1" si="227"/>
        <v>0</v>
      </c>
      <c r="M158" s="152">
        <f t="shared" ca="1" si="227"/>
        <v>0</v>
      </c>
      <c r="N158" s="152">
        <f t="shared" ca="1" si="227"/>
        <v>0</v>
      </c>
      <c r="O158" s="152">
        <f t="shared" ca="1" si="227"/>
        <v>0</v>
      </c>
      <c r="P158" s="152">
        <f t="shared" ca="1" si="227"/>
        <v>0</v>
      </c>
      <c r="Q158" s="152">
        <f t="shared" ca="1" si="227"/>
        <v>0</v>
      </c>
      <c r="R158" s="152">
        <f t="shared" ca="1" si="227"/>
        <v>0</v>
      </c>
      <c r="S158" s="152">
        <f t="shared" ca="1" si="227"/>
        <v>0</v>
      </c>
      <c r="T158" s="152">
        <f t="shared" ca="1" si="227"/>
        <v>0</v>
      </c>
      <c r="U158" s="152">
        <f t="shared" ca="1" si="227"/>
        <v>0</v>
      </c>
      <c r="V158" s="152">
        <f t="shared" ca="1" si="227"/>
        <v>0</v>
      </c>
      <c r="W158" s="152">
        <f t="shared" ca="1" si="227"/>
        <v>0</v>
      </c>
      <c r="X158" s="152">
        <f t="shared" ca="1" si="227"/>
        <v>0</v>
      </c>
      <c r="Y158" s="152">
        <f t="shared" ca="1" si="227"/>
        <v>0</v>
      </c>
      <c r="Z158" s="152">
        <f t="shared" ca="1" si="227"/>
        <v>0</v>
      </c>
      <c r="AA158" s="152">
        <f t="shared" ca="1" si="227"/>
        <v>0</v>
      </c>
      <c r="AB158" s="152">
        <f t="shared" ca="1" si="227"/>
        <v>0</v>
      </c>
      <c r="AC158" s="152">
        <f t="shared" ca="1" si="227"/>
        <v>0</v>
      </c>
      <c r="AD158" s="152">
        <f t="shared" ca="1" si="227"/>
        <v>0</v>
      </c>
      <c r="AE158" s="152">
        <f t="shared" ca="1" si="227"/>
        <v>0</v>
      </c>
      <c r="AF158" s="152">
        <f t="shared" ca="1" si="227"/>
        <v>0</v>
      </c>
      <c r="AG158" s="152">
        <f t="shared" ca="1" si="227"/>
        <v>0</v>
      </c>
      <c r="AH158" s="152">
        <f t="shared" ca="1" si="227"/>
        <v>0</v>
      </c>
      <c r="AI158" s="152">
        <f t="shared" ca="1" si="227"/>
        <v>0</v>
      </c>
      <c r="AJ158" s="152">
        <f t="shared" ca="1" si="227"/>
        <v>0</v>
      </c>
      <c r="AK158" s="152">
        <f t="shared" ca="1" si="227"/>
        <v>0</v>
      </c>
      <c r="AL158" s="152">
        <f t="shared" ca="1" si="227"/>
        <v>0</v>
      </c>
      <c r="AM158" s="152">
        <f t="shared" ca="1" si="227"/>
        <v>0</v>
      </c>
      <c r="AN158" s="152">
        <f t="shared" ca="1" si="227"/>
        <v>0</v>
      </c>
      <c r="AO158" s="152">
        <f t="shared" ca="1" si="227"/>
        <v>0</v>
      </c>
      <c r="AP158" s="152">
        <f t="shared" ca="1" si="227"/>
        <v>0</v>
      </c>
      <c r="AQ158" s="152">
        <f t="shared" ca="1" si="227"/>
        <v>0</v>
      </c>
      <c r="AR158" s="152">
        <f t="shared" ca="1" si="227"/>
        <v>0</v>
      </c>
      <c r="AS158" s="152">
        <f t="shared" ca="1" si="227"/>
        <v>0</v>
      </c>
      <c r="AT158" s="152">
        <f t="shared" ca="1" si="227"/>
        <v>0</v>
      </c>
      <c r="AU158" s="152">
        <f t="shared" ca="1" si="227"/>
        <v>0</v>
      </c>
      <c r="AV158" s="152">
        <f t="shared" ca="1" si="227"/>
        <v>0</v>
      </c>
      <c r="AW158" s="152">
        <f t="shared" ca="1" si="227"/>
        <v>0</v>
      </c>
      <c r="AX158" s="152">
        <f t="shared" ca="1" si="227"/>
        <v>0</v>
      </c>
      <c r="AY158" s="152">
        <f t="shared" ca="1" si="227"/>
        <v>0</v>
      </c>
      <c r="AZ158" s="152">
        <f t="shared" ca="1" si="227"/>
        <v>0</v>
      </c>
      <c r="BA158" s="152">
        <f t="shared" ca="1" si="227"/>
        <v>0</v>
      </c>
      <c r="BB158" s="152">
        <f t="shared" ca="1" si="227"/>
        <v>0</v>
      </c>
    </row>
    <row r="159" spans="1:56" x14ac:dyDescent="0.2">
      <c r="A159" s="37">
        <f t="shared" si="221"/>
        <v>0</v>
      </c>
      <c r="B159" s="37">
        <f>NPV('Assumptions &amp; Results'!$C$131,Calculations!E159:BB159)</f>
        <v>0</v>
      </c>
      <c r="C159" s="150" t="s">
        <v>224</v>
      </c>
      <c r="D159" s="36" t="s">
        <v>75</v>
      </c>
      <c r="E159" s="152">
        <f>'Assumptions &amp; Results'!$C$86*'Debt &amp; Equity'!D19</f>
        <v>0</v>
      </c>
      <c r="F159" s="152">
        <f>'Assumptions &amp; Results'!$C$86*'Debt &amp; Equity'!E19</f>
        <v>0</v>
      </c>
      <c r="G159" s="152">
        <f>'Assumptions &amp; Results'!$C$86*'Debt &amp; Equity'!F19</f>
        <v>0</v>
      </c>
      <c r="H159" s="152">
        <f>'Assumptions &amp; Results'!$C$86*'Debt &amp; Equity'!G19</f>
        <v>0</v>
      </c>
      <c r="I159" s="152">
        <f>'Assumptions &amp; Results'!$C$86*'Debt &amp; Equity'!H19</f>
        <v>0</v>
      </c>
      <c r="J159" s="152">
        <f>'Assumptions &amp; Results'!$C$86*'Debt &amp; Equity'!I19</f>
        <v>0</v>
      </c>
      <c r="K159" s="152">
        <f>'Assumptions &amp; Results'!$C$86*'Debt &amp; Equity'!J19</f>
        <v>0</v>
      </c>
      <c r="L159" s="152">
        <f>'Assumptions &amp; Results'!$C$86*'Debt &amp; Equity'!K19</f>
        <v>0</v>
      </c>
      <c r="M159" s="152">
        <f>'Assumptions &amp; Results'!$C$86*'Debt &amp; Equity'!L19</f>
        <v>0</v>
      </c>
      <c r="N159" s="152">
        <f>'Assumptions &amp; Results'!$C$86*'Debt &amp; Equity'!M19</f>
        <v>0</v>
      </c>
      <c r="O159" s="152">
        <f>'Assumptions &amp; Results'!$C$86*'Debt &amp; Equity'!N19</f>
        <v>0</v>
      </c>
      <c r="P159" s="152">
        <f>'Assumptions &amp; Results'!$C$86*'Debt &amp; Equity'!O19</f>
        <v>0</v>
      </c>
      <c r="Q159" s="152">
        <f>'Assumptions &amp; Results'!$C$86*'Debt &amp; Equity'!P19</f>
        <v>0</v>
      </c>
      <c r="R159" s="152">
        <f>'Assumptions &amp; Results'!$C$86*'Debt &amp; Equity'!Q19</f>
        <v>0</v>
      </c>
      <c r="S159" s="152">
        <f>'Assumptions &amp; Results'!$C$86*'Debt &amp; Equity'!R19</f>
        <v>0</v>
      </c>
      <c r="T159" s="152">
        <f>'Assumptions &amp; Results'!$C$86*'Debt &amp; Equity'!S19</f>
        <v>0</v>
      </c>
      <c r="U159" s="152">
        <f>'Assumptions &amp; Results'!$C$86*'Debt &amp; Equity'!T19</f>
        <v>0</v>
      </c>
      <c r="V159" s="152">
        <f>'Assumptions &amp; Results'!$C$86*'Debt &amp; Equity'!U19</f>
        <v>0</v>
      </c>
      <c r="W159" s="152">
        <f>'Assumptions &amp; Results'!$C$86*'Debt &amp; Equity'!V19</f>
        <v>0</v>
      </c>
      <c r="X159" s="152">
        <f>'Assumptions &amp; Results'!$C$86*'Debt &amp; Equity'!W19</f>
        <v>0</v>
      </c>
      <c r="Y159" s="152">
        <f>'Assumptions &amp; Results'!$C$86*'Debt &amp; Equity'!X19</f>
        <v>0</v>
      </c>
      <c r="Z159" s="152">
        <f>'Assumptions &amp; Results'!$C$86*'Debt &amp; Equity'!Y19</f>
        <v>0</v>
      </c>
      <c r="AA159" s="152">
        <f>'Assumptions &amp; Results'!$C$86*'Debt &amp; Equity'!Z19</f>
        <v>0</v>
      </c>
      <c r="AB159" s="152">
        <f>'Assumptions &amp; Results'!$C$86*'Debt &amp; Equity'!AA19</f>
        <v>0</v>
      </c>
      <c r="AC159" s="152">
        <f>'Assumptions &amp; Results'!$C$86*'Debt &amp; Equity'!AB19</f>
        <v>0</v>
      </c>
      <c r="AD159" s="152">
        <f>'Assumptions &amp; Results'!$C$86*'Debt &amp; Equity'!AC19</f>
        <v>0</v>
      </c>
      <c r="AE159" s="152">
        <f>'Assumptions &amp; Results'!$C$86*'Debt &amp; Equity'!AD19</f>
        <v>0</v>
      </c>
      <c r="AF159" s="152">
        <f>'Assumptions &amp; Results'!$C$86*'Debt &amp; Equity'!AE19</f>
        <v>0</v>
      </c>
      <c r="AG159" s="152">
        <f>'Assumptions &amp; Results'!$C$86*'Debt &amp; Equity'!AF19</f>
        <v>0</v>
      </c>
      <c r="AH159" s="152">
        <f>'Assumptions &amp; Results'!$C$86*'Debt &amp; Equity'!AG19</f>
        <v>0</v>
      </c>
      <c r="AI159" s="152">
        <f>'Assumptions &amp; Results'!$C$86*'Debt &amp; Equity'!AH19</f>
        <v>0</v>
      </c>
      <c r="AJ159" s="152">
        <f>'Assumptions &amp; Results'!$C$86*'Debt &amp; Equity'!AI19</f>
        <v>0</v>
      </c>
      <c r="AK159" s="152">
        <f>'Assumptions &amp; Results'!$C$86*'Debt &amp; Equity'!AJ19</f>
        <v>0</v>
      </c>
      <c r="AL159" s="152">
        <f>'Assumptions &amp; Results'!$C$86*'Debt &amp; Equity'!AK19</f>
        <v>0</v>
      </c>
      <c r="AM159" s="152">
        <f>'Assumptions &amp; Results'!$C$86*'Debt &amp; Equity'!AL19</f>
        <v>0</v>
      </c>
      <c r="AN159" s="152">
        <f>'Assumptions &amp; Results'!$C$86*'Debt &amp; Equity'!AM19</f>
        <v>0</v>
      </c>
      <c r="AO159" s="152">
        <f>'Assumptions &amp; Results'!$C$86*'Debt &amp; Equity'!AN19</f>
        <v>0</v>
      </c>
      <c r="AP159" s="152">
        <f>'Assumptions &amp; Results'!$C$86*'Debt &amp; Equity'!AO19</f>
        <v>0</v>
      </c>
      <c r="AQ159" s="152">
        <f>'Assumptions &amp; Results'!$C$86*'Debt &amp; Equity'!AP19</f>
        <v>0</v>
      </c>
      <c r="AR159" s="152">
        <f>'Assumptions &amp; Results'!$C$86*'Debt &amp; Equity'!AQ19</f>
        <v>0</v>
      </c>
      <c r="AS159" s="152">
        <f>'Assumptions &amp; Results'!$C$86*'Debt &amp; Equity'!AR19</f>
        <v>0</v>
      </c>
      <c r="AT159" s="152">
        <f>'Assumptions &amp; Results'!$C$86*'Debt &amp; Equity'!AS19</f>
        <v>0</v>
      </c>
      <c r="AU159" s="152">
        <f>'Assumptions &amp; Results'!$C$86*'Debt &amp; Equity'!AT19</f>
        <v>0</v>
      </c>
      <c r="AV159" s="152">
        <f>'Assumptions &amp; Results'!$C$86*'Debt &amp; Equity'!AU19</f>
        <v>0</v>
      </c>
      <c r="AW159" s="152">
        <f>'Assumptions &amp; Results'!$C$86*'Debt &amp; Equity'!AV19</f>
        <v>0</v>
      </c>
      <c r="AX159" s="152">
        <f>'Assumptions &amp; Results'!$C$86*'Debt &amp; Equity'!AW19</f>
        <v>0</v>
      </c>
      <c r="AY159" s="152">
        <f>'Assumptions &amp; Results'!$C$86*'Debt &amp; Equity'!AX19</f>
        <v>0</v>
      </c>
      <c r="AZ159" s="152">
        <f>'Assumptions &amp; Results'!$C$86*'Debt &amp; Equity'!AY19</f>
        <v>0</v>
      </c>
      <c r="BA159" s="152">
        <f>'Assumptions &amp; Results'!$C$86*'Debt &amp; Equity'!AZ19</f>
        <v>0</v>
      </c>
      <c r="BB159" s="152">
        <f>'Assumptions &amp; Results'!$C$86*'Debt &amp; Equity'!BA19</f>
        <v>0</v>
      </c>
    </row>
    <row r="160" spans="1:56" x14ac:dyDescent="0.2">
      <c r="A160" s="37">
        <f t="shared" ca="1" si="221"/>
        <v>0</v>
      </c>
      <c r="B160" s="37">
        <f ca="1">NPV('Assumptions &amp; Results'!$C$131,Calculations!E160:BB160)</f>
        <v>0</v>
      </c>
      <c r="C160" s="150" t="s">
        <v>225</v>
      </c>
      <c r="D160" s="36" t="s">
        <v>75</v>
      </c>
      <c r="E160" s="152">
        <f>'Assumptions &amp; Results'!$C$87*Calculations!E158</f>
        <v>0</v>
      </c>
      <c r="F160" s="152">
        <f ca="1">'Assumptions &amp; Results'!$C$87*Calculations!F158</f>
        <v>0</v>
      </c>
      <c r="G160" s="152">
        <f ca="1">'Assumptions &amp; Results'!$C$87*Calculations!G158</f>
        <v>0</v>
      </c>
      <c r="H160" s="152">
        <f ca="1">'Assumptions &amp; Results'!$C$87*Calculations!H158</f>
        <v>0</v>
      </c>
      <c r="I160" s="152">
        <f ca="1">'Assumptions &amp; Results'!$C$87*Calculations!I158</f>
        <v>0</v>
      </c>
      <c r="J160" s="152">
        <f ca="1">'Assumptions &amp; Results'!$C$87*Calculations!J158</f>
        <v>0</v>
      </c>
      <c r="K160" s="152">
        <f ca="1">'Assumptions &amp; Results'!$C$87*Calculations!K158</f>
        <v>0</v>
      </c>
      <c r="L160" s="152">
        <f ca="1">'Assumptions &amp; Results'!$C$87*Calculations!L158</f>
        <v>0</v>
      </c>
      <c r="M160" s="152">
        <f ca="1">'Assumptions &amp; Results'!$C$87*Calculations!M158</f>
        <v>0</v>
      </c>
      <c r="N160" s="152">
        <f ca="1">'Assumptions &amp; Results'!$C$87*Calculations!N158</f>
        <v>0</v>
      </c>
      <c r="O160" s="152">
        <f ca="1">'Assumptions &amp; Results'!$C$87*Calculations!O158</f>
        <v>0</v>
      </c>
      <c r="P160" s="152">
        <f ca="1">'Assumptions &amp; Results'!$C$87*Calculations!P158</f>
        <v>0</v>
      </c>
      <c r="Q160" s="152">
        <f ca="1">'Assumptions &amp; Results'!$C$87*Calculations!Q158</f>
        <v>0</v>
      </c>
      <c r="R160" s="152">
        <f ca="1">'Assumptions &amp; Results'!$C$87*Calculations!R158</f>
        <v>0</v>
      </c>
      <c r="S160" s="152">
        <f ca="1">'Assumptions &amp; Results'!$C$87*Calculations!S158</f>
        <v>0</v>
      </c>
      <c r="T160" s="152">
        <f ca="1">'Assumptions &amp; Results'!$C$87*Calculations!T158</f>
        <v>0</v>
      </c>
      <c r="U160" s="152">
        <f ca="1">'Assumptions &amp; Results'!$C$87*Calculations!U158</f>
        <v>0</v>
      </c>
      <c r="V160" s="152">
        <f ca="1">'Assumptions &amp; Results'!$C$87*Calculations!V158</f>
        <v>0</v>
      </c>
      <c r="W160" s="152">
        <f ca="1">'Assumptions &amp; Results'!$C$87*Calculations!W158</f>
        <v>0</v>
      </c>
      <c r="X160" s="152">
        <f ca="1">'Assumptions &amp; Results'!$C$87*Calculations!X158</f>
        <v>0</v>
      </c>
      <c r="Y160" s="152">
        <f ca="1">'Assumptions &amp; Results'!$C$87*Calculations!Y158</f>
        <v>0</v>
      </c>
      <c r="Z160" s="152">
        <f ca="1">'Assumptions &amp; Results'!$C$87*Calculations!Z158</f>
        <v>0</v>
      </c>
      <c r="AA160" s="152">
        <f ca="1">'Assumptions &amp; Results'!$C$87*Calculations!AA158</f>
        <v>0</v>
      </c>
      <c r="AB160" s="152">
        <f ca="1">'Assumptions &amp; Results'!$C$87*Calculations!AB158</f>
        <v>0</v>
      </c>
      <c r="AC160" s="152">
        <f ca="1">'Assumptions &amp; Results'!$C$87*Calculations!AC158</f>
        <v>0</v>
      </c>
      <c r="AD160" s="152">
        <f ca="1">'Assumptions &amp; Results'!$C$87*Calculations!AD158</f>
        <v>0</v>
      </c>
      <c r="AE160" s="152">
        <f ca="1">'Assumptions &amp; Results'!$C$87*Calculations!AE158</f>
        <v>0</v>
      </c>
      <c r="AF160" s="152">
        <f ca="1">'Assumptions &amp; Results'!$C$87*Calculations!AF158</f>
        <v>0</v>
      </c>
      <c r="AG160" s="152">
        <f ca="1">'Assumptions &amp; Results'!$C$87*Calculations!AG158</f>
        <v>0</v>
      </c>
      <c r="AH160" s="152">
        <f ca="1">'Assumptions &amp; Results'!$C$87*Calculations!AH158</f>
        <v>0</v>
      </c>
      <c r="AI160" s="152">
        <f ca="1">'Assumptions &amp; Results'!$C$87*Calculations!AI158</f>
        <v>0</v>
      </c>
      <c r="AJ160" s="152">
        <f ca="1">'Assumptions &amp; Results'!$C$87*Calculations!AJ158</f>
        <v>0</v>
      </c>
      <c r="AK160" s="152">
        <f ca="1">'Assumptions &amp; Results'!$C$87*Calculations!AK158</f>
        <v>0</v>
      </c>
      <c r="AL160" s="152">
        <f ca="1">'Assumptions &amp; Results'!$C$87*Calculations!AL158</f>
        <v>0</v>
      </c>
      <c r="AM160" s="152">
        <f ca="1">'Assumptions &amp; Results'!$C$87*Calculations!AM158</f>
        <v>0</v>
      </c>
      <c r="AN160" s="152">
        <f ca="1">'Assumptions &amp; Results'!$C$87*Calculations!AN158</f>
        <v>0</v>
      </c>
      <c r="AO160" s="152">
        <f ca="1">'Assumptions &amp; Results'!$C$87*Calculations!AO158</f>
        <v>0</v>
      </c>
      <c r="AP160" s="152">
        <f ca="1">'Assumptions &amp; Results'!$C$87*Calculations!AP158</f>
        <v>0</v>
      </c>
      <c r="AQ160" s="152">
        <f ca="1">'Assumptions &amp; Results'!$C$87*Calculations!AQ158</f>
        <v>0</v>
      </c>
      <c r="AR160" s="152">
        <f ca="1">'Assumptions &amp; Results'!$C$87*Calculations!AR158</f>
        <v>0</v>
      </c>
      <c r="AS160" s="152">
        <f ca="1">'Assumptions &amp; Results'!$C$87*Calculations!AS158</f>
        <v>0</v>
      </c>
      <c r="AT160" s="152">
        <f ca="1">'Assumptions &amp; Results'!$C$87*Calculations!AT158</f>
        <v>0</v>
      </c>
      <c r="AU160" s="152">
        <f ca="1">'Assumptions &amp; Results'!$C$87*Calculations!AU158</f>
        <v>0</v>
      </c>
      <c r="AV160" s="152">
        <f ca="1">'Assumptions &amp; Results'!$C$87*Calculations!AV158</f>
        <v>0</v>
      </c>
      <c r="AW160" s="152">
        <f ca="1">'Assumptions &amp; Results'!$C$87*Calculations!AW158</f>
        <v>0</v>
      </c>
      <c r="AX160" s="152">
        <f ca="1">'Assumptions &amp; Results'!$C$87*Calculations!AX158</f>
        <v>0</v>
      </c>
      <c r="AY160" s="152">
        <f ca="1">'Assumptions &amp; Results'!$C$87*Calculations!AY158</f>
        <v>0</v>
      </c>
      <c r="AZ160" s="152">
        <f ca="1">'Assumptions &amp; Results'!$C$87*Calculations!AZ158</f>
        <v>0</v>
      </c>
      <c r="BA160" s="152">
        <f ca="1">'Assumptions &amp; Results'!$C$87*Calculations!BA158</f>
        <v>0</v>
      </c>
      <c r="BB160" s="152">
        <f ca="1">'Assumptions &amp; Results'!$C$87*Calculations!BB158</f>
        <v>0</v>
      </c>
    </row>
    <row r="161" spans="1:54" x14ac:dyDescent="0.2">
      <c r="A161" s="37">
        <f t="shared" ca="1" si="221"/>
        <v>0</v>
      </c>
      <c r="B161" s="37">
        <f ca="1">NPV('Assumptions &amp; Results'!$C$131,Calculations!E161:BB161)</f>
        <v>0</v>
      </c>
      <c r="C161" s="150" t="s">
        <v>231</v>
      </c>
      <c r="D161" s="36" t="s">
        <v>75</v>
      </c>
      <c r="E161" s="152">
        <f>E158+E159+E160</f>
        <v>0</v>
      </c>
      <c r="F161" s="152">
        <f t="shared" ref="F161:BB161" ca="1" si="228">F158+F159+F160</f>
        <v>0</v>
      </c>
      <c r="G161" s="152">
        <f t="shared" ca="1" si="228"/>
        <v>0</v>
      </c>
      <c r="H161" s="152">
        <f t="shared" ca="1" si="228"/>
        <v>0</v>
      </c>
      <c r="I161" s="152">
        <f t="shared" ca="1" si="228"/>
        <v>0</v>
      </c>
      <c r="J161" s="152">
        <f t="shared" ca="1" si="228"/>
        <v>0</v>
      </c>
      <c r="K161" s="152">
        <f t="shared" ca="1" si="228"/>
        <v>0</v>
      </c>
      <c r="L161" s="152">
        <f t="shared" ca="1" si="228"/>
        <v>0</v>
      </c>
      <c r="M161" s="152">
        <f t="shared" ca="1" si="228"/>
        <v>0</v>
      </c>
      <c r="N161" s="152">
        <f t="shared" ca="1" si="228"/>
        <v>0</v>
      </c>
      <c r="O161" s="152">
        <f t="shared" ca="1" si="228"/>
        <v>0</v>
      </c>
      <c r="P161" s="152">
        <f t="shared" ca="1" si="228"/>
        <v>0</v>
      </c>
      <c r="Q161" s="152">
        <f t="shared" ca="1" si="228"/>
        <v>0</v>
      </c>
      <c r="R161" s="152">
        <f t="shared" ca="1" si="228"/>
        <v>0</v>
      </c>
      <c r="S161" s="152">
        <f t="shared" ca="1" si="228"/>
        <v>0</v>
      </c>
      <c r="T161" s="152">
        <f t="shared" ca="1" si="228"/>
        <v>0</v>
      </c>
      <c r="U161" s="152">
        <f t="shared" ca="1" si="228"/>
        <v>0</v>
      </c>
      <c r="V161" s="152">
        <f t="shared" ca="1" si="228"/>
        <v>0</v>
      </c>
      <c r="W161" s="152">
        <f t="shared" ca="1" si="228"/>
        <v>0</v>
      </c>
      <c r="X161" s="152">
        <f t="shared" ca="1" si="228"/>
        <v>0</v>
      </c>
      <c r="Y161" s="152">
        <f t="shared" ca="1" si="228"/>
        <v>0</v>
      </c>
      <c r="Z161" s="152">
        <f t="shared" ca="1" si="228"/>
        <v>0</v>
      </c>
      <c r="AA161" s="152">
        <f t="shared" ca="1" si="228"/>
        <v>0</v>
      </c>
      <c r="AB161" s="152">
        <f t="shared" ca="1" si="228"/>
        <v>0</v>
      </c>
      <c r="AC161" s="152">
        <f t="shared" ca="1" si="228"/>
        <v>0</v>
      </c>
      <c r="AD161" s="152">
        <f t="shared" ca="1" si="228"/>
        <v>0</v>
      </c>
      <c r="AE161" s="152">
        <f t="shared" ca="1" si="228"/>
        <v>0</v>
      </c>
      <c r="AF161" s="152">
        <f t="shared" ca="1" si="228"/>
        <v>0</v>
      </c>
      <c r="AG161" s="152">
        <f t="shared" ca="1" si="228"/>
        <v>0</v>
      </c>
      <c r="AH161" s="152">
        <f t="shared" ca="1" si="228"/>
        <v>0</v>
      </c>
      <c r="AI161" s="152">
        <f t="shared" ca="1" si="228"/>
        <v>0</v>
      </c>
      <c r="AJ161" s="152">
        <f t="shared" ca="1" si="228"/>
        <v>0</v>
      </c>
      <c r="AK161" s="152">
        <f t="shared" ca="1" si="228"/>
        <v>0</v>
      </c>
      <c r="AL161" s="152">
        <f t="shared" ca="1" si="228"/>
        <v>0</v>
      </c>
      <c r="AM161" s="152">
        <f t="shared" ca="1" si="228"/>
        <v>0</v>
      </c>
      <c r="AN161" s="152">
        <f t="shared" ca="1" si="228"/>
        <v>0</v>
      </c>
      <c r="AO161" s="152">
        <f t="shared" ca="1" si="228"/>
        <v>0</v>
      </c>
      <c r="AP161" s="152">
        <f t="shared" ca="1" si="228"/>
        <v>0</v>
      </c>
      <c r="AQ161" s="152">
        <f t="shared" ca="1" si="228"/>
        <v>0</v>
      </c>
      <c r="AR161" s="152">
        <f t="shared" ca="1" si="228"/>
        <v>0</v>
      </c>
      <c r="AS161" s="152">
        <f t="shared" ca="1" si="228"/>
        <v>0</v>
      </c>
      <c r="AT161" s="152">
        <f t="shared" ca="1" si="228"/>
        <v>0</v>
      </c>
      <c r="AU161" s="152">
        <f t="shared" ca="1" si="228"/>
        <v>0</v>
      </c>
      <c r="AV161" s="152">
        <f t="shared" ca="1" si="228"/>
        <v>0</v>
      </c>
      <c r="AW161" s="152">
        <f t="shared" ca="1" si="228"/>
        <v>0</v>
      </c>
      <c r="AX161" s="152">
        <f t="shared" ca="1" si="228"/>
        <v>0</v>
      </c>
      <c r="AY161" s="152">
        <f t="shared" ca="1" si="228"/>
        <v>0</v>
      </c>
      <c r="AZ161" s="152">
        <f t="shared" ca="1" si="228"/>
        <v>0</v>
      </c>
      <c r="BA161" s="152">
        <f t="shared" ca="1" si="228"/>
        <v>0</v>
      </c>
      <c r="BB161" s="152">
        <f t="shared" ca="1" si="228"/>
        <v>0</v>
      </c>
    </row>
    <row r="162" spans="1:54" x14ac:dyDescent="0.2">
      <c r="A162" s="37">
        <f t="shared" ca="1" si="221"/>
        <v>0</v>
      </c>
      <c r="B162" s="37">
        <f ca="1">NPV('Assumptions &amp; Results'!$C$131,Calculations!E162:BB162)</f>
        <v>0</v>
      </c>
      <c r="C162" s="150" t="s">
        <v>226</v>
      </c>
      <c r="D162" s="36" t="s">
        <v>75</v>
      </c>
      <c r="E162" s="152">
        <f ca="1">IF(E145&gt;0,MIN(E145*'Assumptions &amp; Results'!$C$86,E161),0)</f>
        <v>0</v>
      </c>
      <c r="F162" s="152">
        <f ca="1">IF(F145&gt;0,MIN(F145*'Assumptions &amp; Results'!$C$86,F161),0)</f>
        <v>0</v>
      </c>
      <c r="G162" s="152">
        <f ca="1">IF(G145&gt;0,MIN(G145*'Assumptions &amp; Results'!$C$86,G161),0)</f>
        <v>0</v>
      </c>
      <c r="H162" s="152">
        <f ca="1">IF(H145&gt;0,MIN(H145*'Assumptions &amp; Results'!$C$86,H161),0)</f>
        <v>0</v>
      </c>
      <c r="I162" s="152">
        <f ca="1">IF(I145&gt;0,MIN(I145*'Assumptions &amp; Results'!$C$86,I161),0)</f>
        <v>0</v>
      </c>
      <c r="J162" s="152">
        <f ca="1">IF(J145&gt;0,MIN(J145*'Assumptions &amp; Results'!$C$86,J161),0)</f>
        <v>0</v>
      </c>
      <c r="K162" s="152">
        <f ca="1">IF(K145&gt;0,MIN(K145*'Assumptions &amp; Results'!$C$86,K161),0)</f>
        <v>0</v>
      </c>
      <c r="L162" s="152">
        <f ca="1">IF(L145&gt;0,MIN(L145*'Assumptions &amp; Results'!$C$86,L161),0)</f>
        <v>0</v>
      </c>
      <c r="M162" s="152">
        <f ca="1">IF(M145&gt;0,MIN(M145*'Assumptions &amp; Results'!$C$86,M161),0)</f>
        <v>0</v>
      </c>
      <c r="N162" s="152">
        <f ca="1">IF(N145&gt;0,MIN(N145*'Assumptions &amp; Results'!$C$86,N161),0)</f>
        <v>0</v>
      </c>
      <c r="O162" s="152">
        <f ca="1">IF(O145&gt;0,MIN(O145*'Assumptions &amp; Results'!$C$86,O161),0)</f>
        <v>0</v>
      </c>
      <c r="P162" s="152">
        <f ca="1">IF(P145&gt;0,MIN(P145*'Assumptions &amp; Results'!$C$86,P161),0)</f>
        <v>0</v>
      </c>
      <c r="Q162" s="152">
        <f ca="1">IF(Q145&gt;0,MIN(Q145*'Assumptions &amp; Results'!$C$86,Q161),0)</f>
        <v>0</v>
      </c>
      <c r="R162" s="152">
        <f ca="1">IF(R145&gt;0,MIN(R145*'Assumptions &amp; Results'!$C$86,R161),0)</f>
        <v>0</v>
      </c>
      <c r="S162" s="152">
        <f ca="1">IF(S145&gt;0,MIN(S145*'Assumptions &amp; Results'!$C$86,S161),0)</f>
        <v>0</v>
      </c>
      <c r="T162" s="152">
        <f ca="1">IF(T145&gt;0,MIN(T145*'Assumptions &amp; Results'!$C$86,T161),0)</f>
        <v>0</v>
      </c>
      <c r="U162" s="152">
        <f ca="1">IF(U145&gt;0,MIN(U145*'Assumptions &amp; Results'!$C$86,U161),0)</f>
        <v>0</v>
      </c>
      <c r="V162" s="152">
        <f ca="1">IF(V145&gt;0,MIN(V145*'Assumptions &amp; Results'!$C$86,V161),0)</f>
        <v>0</v>
      </c>
      <c r="W162" s="152">
        <f ca="1">IF(W145&gt;0,MIN(W145*'Assumptions &amp; Results'!$C$86,W161),0)</f>
        <v>0</v>
      </c>
      <c r="X162" s="152">
        <f ca="1">IF(X145&gt;0,MIN(X145*'Assumptions &amp; Results'!$C$86,X161),0)</f>
        <v>0</v>
      </c>
      <c r="Y162" s="152">
        <f ca="1">IF(Y145&gt;0,MIN(Y145*'Assumptions &amp; Results'!$C$86,Y161),0)</f>
        <v>0</v>
      </c>
      <c r="Z162" s="152">
        <f ca="1">IF(Z145&gt;0,MIN(Z145*'Assumptions &amp; Results'!$C$86,Z161),0)</f>
        <v>0</v>
      </c>
      <c r="AA162" s="152">
        <f ca="1">IF(AA145&gt;0,MIN(AA145*'Assumptions &amp; Results'!$C$86,AA161),0)</f>
        <v>0</v>
      </c>
      <c r="AB162" s="152">
        <f ca="1">IF(AB145&gt;0,MIN(AB145*'Assumptions &amp; Results'!$C$86,AB161),0)</f>
        <v>0</v>
      </c>
      <c r="AC162" s="152">
        <f ca="1">IF(AC145&gt;0,MIN(AC145*'Assumptions &amp; Results'!$C$86,AC161),0)</f>
        <v>0</v>
      </c>
      <c r="AD162" s="152">
        <f ca="1">IF(AD145&gt;0,MIN(AD145*'Assumptions &amp; Results'!$C$86,AD161),0)</f>
        <v>0</v>
      </c>
      <c r="AE162" s="152">
        <f ca="1">IF(AE145&gt;0,MIN(AE145*'Assumptions &amp; Results'!$C$86,AE161),0)</f>
        <v>0</v>
      </c>
      <c r="AF162" s="152">
        <f ca="1">IF(AF145&gt;0,MIN(AF145*'Assumptions &amp; Results'!$C$86,AF161),0)</f>
        <v>0</v>
      </c>
      <c r="AG162" s="152">
        <f ca="1">IF(AG145&gt;0,MIN(AG145*'Assumptions &amp; Results'!$C$86,AG161),0)</f>
        <v>0</v>
      </c>
      <c r="AH162" s="152">
        <f ca="1">IF(AH145&gt;0,MIN(AH145*'Assumptions &amp; Results'!$C$86,AH161),0)</f>
        <v>0</v>
      </c>
      <c r="AI162" s="152">
        <f ca="1">IF(AI145&gt;0,MIN(AI145*'Assumptions &amp; Results'!$C$86,AI161),0)</f>
        <v>0</v>
      </c>
      <c r="AJ162" s="152">
        <f ca="1">IF(AJ145&gt;0,MIN(AJ145*'Assumptions &amp; Results'!$C$86,AJ161),0)</f>
        <v>0</v>
      </c>
      <c r="AK162" s="152">
        <f ca="1">IF(AK145&gt;0,MIN(AK145*'Assumptions &amp; Results'!$C$86,AK161),0)</f>
        <v>0</v>
      </c>
      <c r="AL162" s="152">
        <f ca="1">IF(AL145&gt;0,MIN(AL145*'Assumptions &amp; Results'!$C$86,AL161),0)</f>
        <v>0</v>
      </c>
      <c r="AM162" s="152">
        <f ca="1">IF(AM145&gt;0,MIN(AM145*'Assumptions &amp; Results'!$C$86,AM161),0)</f>
        <v>0</v>
      </c>
      <c r="AN162" s="152">
        <f ca="1">IF(AN145&gt;0,MIN(AN145*'Assumptions &amp; Results'!$C$86,AN161),0)</f>
        <v>0</v>
      </c>
      <c r="AO162" s="152">
        <f ca="1">IF(AO145&gt;0,MIN(AO145*'Assumptions &amp; Results'!$C$86,AO161),0)</f>
        <v>0</v>
      </c>
      <c r="AP162" s="152">
        <f ca="1">IF(AP145&gt;0,MIN(AP145*'Assumptions &amp; Results'!$C$86,AP161),0)</f>
        <v>0</v>
      </c>
      <c r="AQ162" s="152">
        <f ca="1">IF(AQ145&gt;0,MIN(AQ145*'Assumptions &amp; Results'!$C$86,AQ161),0)</f>
        <v>0</v>
      </c>
      <c r="AR162" s="152">
        <f ca="1">IF(AR145&gt;0,MIN(AR145*'Assumptions &amp; Results'!$C$86,AR161),0)</f>
        <v>0</v>
      </c>
      <c r="AS162" s="152">
        <f ca="1">IF(AS145&gt;0,MIN(AS145*'Assumptions &amp; Results'!$C$86,AS161),0)</f>
        <v>0</v>
      </c>
      <c r="AT162" s="152">
        <f ca="1">IF(AT145&gt;0,MIN(AT145*'Assumptions &amp; Results'!$C$86,AT161),0)</f>
        <v>0</v>
      </c>
      <c r="AU162" s="152">
        <f ca="1">IF(AU145&gt;0,MIN(AU145*'Assumptions &amp; Results'!$C$86,AU161),0)</f>
        <v>0</v>
      </c>
      <c r="AV162" s="152">
        <f ca="1">IF(AV145&gt;0,MIN(AV145*'Assumptions &amp; Results'!$C$86,AV161),0)</f>
        <v>0</v>
      </c>
      <c r="AW162" s="152">
        <f ca="1">IF(AW145&gt;0,MIN(AW145*'Assumptions &amp; Results'!$C$86,AW161),0)</f>
        <v>0</v>
      </c>
      <c r="AX162" s="152">
        <f ca="1">IF(AX145&gt;0,MIN(AX145*'Assumptions &amp; Results'!$C$86,AX161),0)</f>
        <v>0</v>
      </c>
      <c r="AY162" s="152">
        <f ca="1">IF(AY145&gt;0,MIN(AY145*'Assumptions &amp; Results'!$C$86,AY161),0)</f>
        <v>0</v>
      </c>
      <c r="AZ162" s="152">
        <f ca="1">IF(AZ145&gt;0,MIN(AZ145*'Assumptions &amp; Results'!$C$86,AZ161),0)</f>
        <v>0</v>
      </c>
      <c r="BA162" s="152">
        <f ca="1">IF(BA145&gt;0,MIN(BA145*'Assumptions &amp; Results'!$C$86,BA161),0)</f>
        <v>0</v>
      </c>
      <c r="BB162" s="152">
        <f ca="1">IF(BB145&gt;0,MIN(BB145*'Assumptions &amp; Results'!$C$86,BB161),0)</f>
        <v>0</v>
      </c>
    </row>
    <row r="163" spans="1:54" x14ac:dyDescent="0.2">
      <c r="A163" s="37">
        <f t="shared" ca="1" si="221"/>
        <v>0</v>
      </c>
      <c r="B163" s="37">
        <f ca="1">NPV('Assumptions &amp; Results'!$C$131,Calculations!E163:BB163)</f>
        <v>0</v>
      </c>
      <c r="C163" s="150" t="s">
        <v>227</v>
      </c>
      <c r="D163" s="36" t="s">
        <v>75</v>
      </c>
      <c r="E163" s="152">
        <f ca="1">E161-E162</f>
        <v>0</v>
      </c>
      <c r="F163" s="152">
        <f t="shared" ref="F163:BB163" ca="1" si="229">F161-F162</f>
        <v>0</v>
      </c>
      <c r="G163" s="152">
        <f t="shared" ca="1" si="229"/>
        <v>0</v>
      </c>
      <c r="H163" s="152">
        <f t="shared" ca="1" si="229"/>
        <v>0</v>
      </c>
      <c r="I163" s="152">
        <f t="shared" ca="1" si="229"/>
        <v>0</v>
      </c>
      <c r="J163" s="152">
        <f t="shared" ca="1" si="229"/>
        <v>0</v>
      </c>
      <c r="K163" s="152">
        <f t="shared" ca="1" si="229"/>
        <v>0</v>
      </c>
      <c r="L163" s="152">
        <f t="shared" ca="1" si="229"/>
        <v>0</v>
      </c>
      <c r="M163" s="152">
        <f t="shared" ca="1" si="229"/>
        <v>0</v>
      </c>
      <c r="N163" s="152">
        <f t="shared" ca="1" si="229"/>
        <v>0</v>
      </c>
      <c r="O163" s="152">
        <f t="shared" ca="1" si="229"/>
        <v>0</v>
      </c>
      <c r="P163" s="152">
        <f t="shared" ca="1" si="229"/>
        <v>0</v>
      </c>
      <c r="Q163" s="152">
        <f t="shared" ca="1" si="229"/>
        <v>0</v>
      </c>
      <c r="R163" s="152">
        <f t="shared" ca="1" si="229"/>
        <v>0</v>
      </c>
      <c r="S163" s="152">
        <f t="shared" ca="1" si="229"/>
        <v>0</v>
      </c>
      <c r="T163" s="152">
        <f t="shared" ca="1" si="229"/>
        <v>0</v>
      </c>
      <c r="U163" s="152">
        <f t="shared" ca="1" si="229"/>
        <v>0</v>
      </c>
      <c r="V163" s="152">
        <f t="shared" ca="1" si="229"/>
        <v>0</v>
      </c>
      <c r="W163" s="152">
        <f t="shared" ca="1" si="229"/>
        <v>0</v>
      </c>
      <c r="X163" s="152">
        <f t="shared" ca="1" si="229"/>
        <v>0</v>
      </c>
      <c r="Y163" s="152">
        <f t="shared" ca="1" si="229"/>
        <v>0</v>
      </c>
      <c r="Z163" s="152">
        <f t="shared" ca="1" si="229"/>
        <v>0</v>
      </c>
      <c r="AA163" s="152">
        <f t="shared" ca="1" si="229"/>
        <v>0</v>
      </c>
      <c r="AB163" s="152">
        <f t="shared" ca="1" si="229"/>
        <v>0</v>
      </c>
      <c r="AC163" s="152">
        <f t="shared" ca="1" si="229"/>
        <v>0</v>
      </c>
      <c r="AD163" s="152">
        <f t="shared" ca="1" si="229"/>
        <v>0</v>
      </c>
      <c r="AE163" s="152">
        <f t="shared" ca="1" si="229"/>
        <v>0</v>
      </c>
      <c r="AF163" s="152">
        <f t="shared" ca="1" si="229"/>
        <v>0</v>
      </c>
      <c r="AG163" s="152">
        <f t="shared" ca="1" si="229"/>
        <v>0</v>
      </c>
      <c r="AH163" s="152">
        <f t="shared" ca="1" si="229"/>
        <v>0</v>
      </c>
      <c r="AI163" s="152">
        <f t="shared" ca="1" si="229"/>
        <v>0</v>
      </c>
      <c r="AJ163" s="152">
        <f t="shared" ca="1" si="229"/>
        <v>0</v>
      </c>
      <c r="AK163" s="152">
        <f t="shared" ca="1" si="229"/>
        <v>0</v>
      </c>
      <c r="AL163" s="152">
        <f t="shared" ca="1" si="229"/>
        <v>0</v>
      </c>
      <c r="AM163" s="152">
        <f t="shared" ca="1" si="229"/>
        <v>0</v>
      </c>
      <c r="AN163" s="152">
        <f t="shared" ca="1" si="229"/>
        <v>0</v>
      </c>
      <c r="AO163" s="152">
        <f t="shared" ca="1" si="229"/>
        <v>0</v>
      </c>
      <c r="AP163" s="152">
        <f t="shared" ca="1" si="229"/>
        <v>0</v>
      </c>
      <c r="AQ163" s="152">
        <f t="shared" ca="1" si="229"/>
        <v>0</v>
      </c>
      <c r="AR163" s="152">
        <f t="shared" ca="1" si="229"/>
        <v>0</v>
      </c>
      <c r="AS163" s="152">
        <f t="shared" ca="1" si="229"/>
        <v>0</v>
      </c>
      <c r="AT163" s="152">
        <f t="shared" ca="1" si="229"/>
        <v>0</v>
      </c>
      <c r="AU163" s="152">
        <f t="shared" ca="1" si="229"/>
        <v>0</v>
      </c>
      <c r="AV163" s="152">
        <f t="shared" ca="1" si="229"/>
        <v>0</v>
      </c>
      <c r="AW163" s="152">
        <f t="shared" ca="1" si="229"/>
        <v>0</v>
      </c>
      <c r="AX163" s="152">
        <f t="shared" ca="1" si="229"/>
        <v>0</v>
      </c>
      <c r="AY163" s="152">
        <f t="shared" ca="1" si="229"/>
        <v>0</v>
      </c>
      <c r="AZ163" s="152">
        <f t="shared" ca="1" si="229"/>
        <v>0</v>
      </c>
      <c r="BA163" s="152">
        <f t="shared" ca="1" si="229"/>
        <v>0</v>
      </c>
      <c r="BB163" s="152">
        <f t="shared" ca="1" si="229"/>
        <v>0</v>
      </c>
    </row>
    <row r="164" spans="1:54" x14ac:dyDescent="0.2">
      <c r="A164" s="37"/>
      <c r="B164" s="37"/>
      <c r="C164"/>
      <c r="E164" s="152"/>
      <c r="F164" s="152"/>
      <c r="G164" s="152"/>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row>
    <row r="165" spans="1:54" ht="15" x14ac:dyDescent="0.25">
      <c r="A165" s="37">
        <f t="shared" ca="1" si="221"/>
        <v>475.89788441338874</v>
      </c>
      <c r="B165" s="37">
        <f ca="1">NPV('Assumptions &amp; Results'!$C$131,Calculations!E165:BB165)</f>
        <v>66.455575169675171</v>
      </c>
      <c r="C165" s="371" t="s">
        <v>228</v>
      </c>
      <c r="D165" s="36" t="s">
        <v>75</v>
      </c>
      <c r="E165" s="152">
        <f ca="1">IF(E145&gt;0, E145*'Assumptions &amp; Results'!$C$83,0)</f>
        <v>0</v>
      </c>
      <c r="F165" s="152">
        <f ca="1">IF(F145&gt;0, F145*'Assumptions &amp; Results'!$C$83,0)</f>
        <v>0</v>
      </c>
      <c r="G165" s="152">
        <f ca="1">IF(G145&gt;0, G145*'Assumptions &amp; Results'!$C$83,0)</f>
        <v>0</v>
      </c>
      <c r="H165" s="152">
        <f ca="1">IF(H145&gt;0, H145*'Assumptions &amp; Results'!$C$83,0)</f>
        <v>0</v>
      </c>
      <c r="I165" s="152">
        <f ca="1">IF(I145&gt;0, I145*'Assumptions &amp; Results'!$C$83,0)</f>
        <v>0</v>
      </c>
      <c r="J165" s="152">
        <f ca="1">IF(J145&gt;0, J145*'Assumptions &amp; Results'!$C$83,0)</f>
        <v>12.379341924522237</v>
      </c>
      <c r="K165" s="152">
        <f ca="1">IF(K145&gt;0, K145*'Assumptions &amp; Results'!$C$83,0)</f>
        <v>12.169999371589094</v>
      </c>
      <c r="L165" s="152">
        <f ca="1">IF(L145&gt;0, L145*'Assumptions &amp; Results'!$C$83,0)</f>
        <v>11.941523539968816</v>
      </c>
      <c r="M165" s="152">
        <f ca="1">IF(M145&gt;0, M145*'Assumptions &amp; Results'!$C$83,0)</f>
        <v>11.748769490194599</v>
      </c>
      <c r="N165" s="152">
        <f ca="1">IF(N145&gt;0, N145*'Assumptions &amp; Results'!$C$83,0)</f>
        <v>7.011855609063244</v>
      </c>
      <c r="O165" s="152">
        <f ca="1">IF(O145&gt;0, O145*'Assumptions &amp; Results'!$C$83,0)</f>
        <v>9.7250112469314445</v>
      </c>
      <c r="P165" s="152">
        <f ca="1">IF(P145&gt;0, P145*'Assumptions &amp; Results'!$C$83,0)</f>
        <v>13.462034630670075</v>
      </c>
      <c r="Q165" s="152">
        <f ca="1">IF(Q145&gt;0, Q145*'Assumptions &amp; Results'!$C$83,0)</f>
        <v>17.401472315183476</v>
      </c>
      <c r="R165" s="152">
        <f ca="1">IF(R145&gt;0, R145*'Assumptions &amp; Results'!$C$83,0)</f>
        <v>17.749501761487142</v>
      </c>
      <c r="S165" s="152">
        <f ca="1">IF(S145&gt;0, S145*'Assumptions &amp; Results'!$C$83,0)</f>
        <v>18.104491796716889</v>
      </c>
      <c r="T165" s="152">
        <f ca="1">IF(T145&gt;0, T145*'Assumptions &amp; Results'!$C$83,0)</f>
        <v>18.466581632651224</v>
      </c>
      <c r="U165" s="152">
        <f ca="1">IF(U145&gt;0, U145*'Assumptions &amp; Results'!$C$83,0)</f>
        <v>18.835913265304253</v>
      </c>
      <c r="V165" s="152">
        <f ca="1">IF(V145&gt;0, V145*'Assumptions &amp; Results'!$C$83,0)</f>
        <v>19.212631530610341</v>
      </c>
      <c r="W165" s="152">
        <f ca="1">IF(W145&gt;0, W145*'Assumptions &amp; Results'!$C$83,0)</f>
        <v>19.596884161222548</v>
      </c>
      <c r="X165" s="152">
        <f ca="1">IF(X145&gt;0, X145*'Assumptions &amp; Results'!$C$83,0)</f>
        <v>19.988821844446989</v>
      </c>
      <c r="Y165" s="152">
        <f ca="1">IF(Y145&gt;0, Y145*'Assumptions &amp; Results'!$C$83,0)</f>
        <v>20.388598281335945</v>
      </c>
      <c r="Z165" s="152">
        <f ca="1">IF(Z145&gt;0, Z145*'Assumptions &amp; Results'!$C$83,0)</f>
        <v>20.796370246962667</v>
      </c>
      <c r="AA165" s="152">
        <f ca="1">IF(AA145&gt;0, AA145*'Assumptions &amp; Results'!$C$83,0)</f>
        <v>21.212297651901906</v>
      </c>
      <c r="AB165" s="152">
        <f ca="1">IF(AB145&gt;0, AB145*'Assumptions &amp; Results'!$C$83,0)</f>
        <v>21.636543604939948</v>
      </c>
      <c r="AC165" s="152">
        <f ca="1">IF(AC145&gt;0, AC145*'Assumptions &amp; Results'!$C$83,0)</f>
        <v>22.06927447703875</v>
      </c>
      <c r="AD165" s="152">
        <f ca="1">IF(AD145&gt;0, AD145*'Assumptions &amp; Results'!$C$83,0)</f>
        <v>22.510659966579528</v>
      </c>
      <c r="AE165" s="152">
        <f ca="1">IF(AE145&gt;0, AE145*'Assumptions &amp; Results'!$C$83,0)</f>
        <v>22.960873165911121</v>
      </c>
      <c r="AF165" s="152">
        <f ca="1">IF(AF145&gt;0, AF145*'Assumptions &amp; Results'!$C$83,0)</f>
        <v>23.420090629229339</v>
      </c>
      <c r="AG165" s="152">
        <f ca="1">IF(AG145&gt;0, AG145*'Assumptions &amp; Results'!$C$83,0)</f>
        <v>23.888492441813927</v>
      </c>
      <c r="AH165" s="152">
        <f ca="1">IF(AH145&gt;0, AH145*'Assumptions &amp; Results'!$C$83,0)</f>
        <v>24.366262290650205</v>
      </c>
      <c r="AI165" s="152">
        <f ca="1">IF(AI145&gt;0, AI145*'Assumptions &amp; Results'!$C$83,0)</f>
        <v>24.853587536463209</v>
      </c>
      <c r="AJ165" s="152">
        <f ca="1">IF(AJ145&gt;0, AJ145*'Assumptions &amp; Results'!$C$83,0)</f>
        <v>0</v>
      </c>
      <c r="AK165" s="152">
        <f ca="1">IF(AK145&gt;0, AK145*'Assumptions &amp; Results'!$C$83,0)</f>
        <v>0</v>
      </c>
      <c r="AL165" s="152">
        <f ca="1">IF(AL145&gt;0, AL145*'Assumptions &amp; Results'!$C$83,0)</f>
        <v>0</v>
      </c>
      <c r="AM165" s="152">
        <f ca="1">IF(AM145&gt;0, AM145*'Assumptions &amp; Results'!$C$83,0)</f>
        <v>0</v>
      </c>
      <c r="AN165" s="152">
        <f ca="1">IF(AN145&gt;0, AN145*'Assumptions &amp; Results'!$C$83,0)</f>
        <v>0</v>
      </c>
      <c r="AO165" s="152">
        <f ca="1">IF(AO145&gt;0, AO145*'Assumptions &amp; Results'!$C$83,0)</f>
        <v>0</v>
      </c>
      <c r="AP165" s="152">
        <f ca="1">IF(AP145&gt;0, AP145*'Assumptions &amp; Results'!$C$83,0)</f>
        <v>0</v>
      </c>
      <c r="AQ165" s="152">
        <f ca="1">IF(AQ145&gt;0, AQ145*'Assumptions &amp; Results'!$C$83,0)</f>
        <v>0</v>
      </c>
      <c r="AR165" s="152">
        <f ca="1">IF(AR145&gt;0, AR145*'Assumptions &amp; Results'!$C$83,0)</f>
        <v>0</v>
      </c>
      <c r="AS165" s="152">
        <f ca="1">IF(AS145&gt;0, AS145*'Assumptions &amp; Results'!$C$83,0)</f>
        <v>0</v>
      </c>
      <c r="AT165" s="152">
        <f ca="1">IF(AT145&gt;0, AT145*'Assumptions &amp; Results'!$C$83,0)</f>
        <v>0</v>
      </c>
      <c r="AU165" s="152">
        <f ca="1">IF(AU145&gt;0, AU145*'Assumptions &amp; Results'!$C$83,0)</f>
        <v>0</v>
      </c>
      <c r="AV165" s="152">
        <f ca="1">IF(AV145&gt;0, AV145*'Assumptions &amp; Results'!$C$83,0)</f>
        <v>0</v>
      </c>
      <c r="AW165" s="152">
        <f ca="1">IF(AW145&gt;0, AW145*'Assumptions &amp; Results'!$C$83,0)</f>
        <v>0</v>
      </c>
      <c r="AX165" s="152">
        <f ca="1">IF(AX145&gt;0, AX145*'Assumptions &amp; Results'!$C$83,0)</f>
        <v>0</v>
      </c>
      <c r="AY165" s="152">
        <f ca="1">IF(AY145&gt;0, AY145*'Assumptions &amp; Results'!$C$83,0)</f>
        <v>0</v>
      </c>
      <c r="AZ165" s="152">
        <f ca="1">IF(AZ145&gt;0, AZ145*'Assumptions &amp; Results'!$C$83,0)</f>
        <v>0</v>
      </c>
      <c r="BA165" s="152">
        <f ca="1">IF(BA145&gt;0, BA145*'Assumptions &amp; Results'!$C$83,0)</f>
        <v>0</v>
      </c>
      <c r="BB165" s="152">
        <f ca="1">IF(BB145&gt;0, BB145*'Assumptions &amp; Results'!$C$83,0)</f>
        <v>0</v>
      </c>
    </row>
    <row r="166" spans="1:54" ht="15" x14ac:dyDescent="0.25">
      <c r="A166" s="37">
        <f t="shared" ca="1" si="221"/>
        <v>0</v>
      </c>
      <c r="B166" s="37">
        <f ca="1">NPV('Assumptions &amp; Results'!$C$131,Calculations!E166:BB166)</f>
        <v>0</v>
      </c>
      <c r="C166" s="151" t="s">
        <v>490</v>
      </c>
      <c r="D166" s="36" t="s">
        <v>75</v>
      </c>
      <c r="E166" s="152">
        <f ca="1">E156-E162</f>
        <v>0</v>
      </c>
      <c r="F166" s="152">
        <f t="shared" ref="F166:BB166" ca="1" si="230">F156-F162</f>
        <v>0</v>
      </c>
      <c r="G166" s="152">
        <f t="shared" ca="1" si="230"/>
        <v>0</v>
      </c>
      <c r="H166" s="152">
        <f t="shared" ca="1" si="230"/>
        <v>0</v>
      </c>
      <c r="I166" s="152">
        <f t="shared" ca="1" si="230"/>
        <v>0</v>
      </c>
      <c r="J166" s="152">
        <f ca="1">J156-J162</f>
        <v>0</v>
      </c>
      <c r="K166" s="152">
        <f t="shared" ca="1" si="230"/>
        <v>0</v>
      </c>
      <c r="L166" s="152">
        <f t="shared" ca="1" si="230"/>
        <v>0</v>
      </c>
      <c r="M166" s="152">
        <f t="shared" ca="1" si="230"/>
        <v>0</v>
      </c>
      <c r="N166" s="152">
        <f t="shared" ca="1" si="230"/>
        <v>0</v>
      </c>
      <c r="O166" s="152">
        <f t="shared" ca="1" si="230"/>
        <v>0</v>
      </c>
      <c r="P166" s="152">
        <f t="shared" ca="1" si="230"/>
        <v>0</v>
      </c>
      <c r="Q166" s="152">
        <f t="shared" ca="1" si="230"/>
        <v>0</v>
      </c>
      <c r="R166" s="152">
        <f t="shared" ca="1" si="230"/>
        <v>0</v>
      </c>
      <c r="S166" s="152">
        <f t="shared" ca="1" si="230"/>
        <v>0</v>
      </c>
      <c r="T166" s="152">
        <f t="shared" ca="1" si="230"/>
        <v>0</v>
      </c>
      <c r="U166" s="152">
        <f t="shared" ca="1" si="230"/>
        <v>0</v>
      </c>
      <c r="V166" s="152">
        <f t="shared" ca="1" si="230"/>
        <v>0</v>
      </c>
      <c r="W166" s="152">
        <f t="shared" ca="1" si="230"/>
        <v>0</v>
      </c>
      <c r="X166" s="152">
        <f t="shared" ca="1" si="230"/>
        <v>0</v>
      </c>
      <c r="Y166" s="152">
        <f t="shared" ca="1" si="230"/>
        <v>0</v>
      </c>
      <c r="Z166" s="152">
        <f t="shared" ca="1" si="230"/>
        <v>0</v>
      </c>
      <c r="AA166" s="152">
        <f t="shared" ca="1" si="230"/>
        <v>0</v>
      </c>
      <c r="AB166" s="152">
        <f t="shared" ca="1" si="230"/>
        <v>0</v>
      </c>
      <c r="AC166" s="152">
        <f t="shared" ca="1" si="230"/>
        <v>0</v>
      </c>
      <c r="AD166" s="152">
        <f t="shared" ca="1" si="230"/>
        <v>0</v>
      </c>
      <c r="AE166" s="152">
        <f t="shared" ca="1" si="230"/>
        <v>0</v>
      </c>
      <c r="AF166" s="152">
        <f t="shared" ca="1" si="230"/>
        <v>0</v>
      </c>
      <c r="AG166" s="152">
        <f t="shared" ca="1" si="230"/>
        <v>0</v>
      </c>
      <c r="AH166" s="152">
        <f t="shared" ca="1" si="230"/>
        <v>0</v>
      </c>
      <c r="AI166" s="152">
        <f t="shared" ca="1" si="230"/>
        <v>0</v>
      </c>
      <c r="AJ166" s="152">
        <f t="shared" ca="1" si="230"/>
        <v>0</v>
      </c>
      <c r="AK166" s="152">
        <f t="shared" ca="1" si="230"/>
        <v>0</v>
      </c>
      <c r="AL166" s="152">
        <f t="shared" ca="1" si="230"/>
        <v>0</v>
      </c>
      <c r="AM166" s="152">
        <f t="shared" ca="1" si="230"/>
        <v>0</v>
      </c>
      <c r="AN166" s="152">
        <f t="shared" ca="1" si="230"/>
        <v>0</v>
      </c>
      <c r="AO166" s="152">
        <f t="shared" ca="1" si="230"/>
        <v>0</v>
      </c>
      <c r="AP166" s="152">
        <f t="shared" ca="1" si="230"/>
        <v>0</v>
      </c>
      <c r="AQ166" s="152">
        <f t="shared" ca="1" si="230"/>
        <v>0</v>
      </c>
      <c r="AR166" s="152">
        <f t="shared" ca="1" si="230"/>
        <v>0</v>
      </c>
      <c r="AS166" s="152">
        <f t="shared" ca="1" si="230"/>
        <v>0</v>
      </c>
      <c r="AT166" s="152">
        <f t="shared" ca="1" si="230"/>
        <v>0</v>
      </c>
      <c r="AU166" s="152">
        <f t="shared" ca="1" si="230"/>
        <v>0</v>
      </c>
      <c r="AV166" s="152">
        <f t="shared" ca="1" si="230"/>
        <v>0</v>
      </c>
      <c r="AW166" s="152">
        <f t="shared" ca="1" si="230"/>
        <v>0</v>
      </c>
      <c r="AX166" s="152">
        <f t="shared" ca="1" si="230"/>
        <v>0</v>
      </c>
      <c r="AY166" s="152">
        <f t="shared" ca="1" si="230"/>
        <v>0</v>
      </c>
      <c r="AZ166" s="152">
        <f t="shared" ca="1" si="230"/>
        <v>0</v>
      </c>
      <c r="BA166" s="152">
        <f t="shared" ca="1" si="230"/>
        <v>0</v>
      </c>
      <c r="BB166" s="152">
        <f t="shared" ca="1" si="230"/>
        <v>0</v>
      </c>
    </row>
    <row r="167" spans="1:54" s="105" customFormat="1" ht="15" x14ac:dyDescent="0.25">
      <c r="A167" s="100">
        <f t="shared" ca="1" si="221"/>
        <v>475.89788441338874</v>
      </c>
      <c r="B167" s="100">
        <f ca="1">NPV('Assumptions &amp; Results'!$C$131,Calculations!E167:BB167)</f>
        <v>66.455575169675171</v>
      </c>
      <c r="C167" s="299" t="s">
        <v>229</v>
      </c>
      <c r="D167" s="102" t="s">
        <v>75</v>
      </c>
      <c r="E167" s="112">
        <f ca="1">E165+E166</f>
        <v>0</v>
      </c>
      <c r="F167" s="112">
        <f t="shared" ref="F167:BB167" ca="1" si="231">F165+F166</f>
        <v>0</v>
      </c>
      <c r="G167" s="112">
        <f t="shared" ca="1" si="231"/>
        <v>0</v>
      </c>
      <c r="H167" s="112">
        <f t="shared" ca="1" si="231"/>
        <v>0</v>
      </c>
      <c r="I167" s="112">
        <f t="shared" ca="1" si="231"/>
        <v>0</v>
      </c>
      <c r="J167" s="112">
        <f t="shared" ca="1" si="231"/>
        <v>12.379341924522237</v>
      </c>
      <c r="K167" s="112">
        <f t="shared" ca="1" si="231"/>
        <v>12.169999371589094</v>
      </c>
      <c r="L167" s="112">
        <f t="shared" ca="1" si="231"/>
        <v>11.941523539968816</v>
      </c>
      <c r="M167" s="112">
        <f t="shared" ca="1" si="231"/>
        <v>11.748769490194599</v>
      </c>
      <c r="N167" s="112">
        <f t="shared" ca="1" si="231"/>
        <v>7.011855609063244</v>
      </c>
      <c r="O167" s="112">
        <f t="shared" ca="1" si="231"/>
        <v>9.7250112469314445</v>
      </c>
      <c r="P167" s="112">
        <f t="shared" ca="1" si="231"/>
        <v>13.462034630670075</v>
      </c>
      <c r="Q167" s="112">
        <f t="shared" ca="1" si="231"/>
        <v>17.401472315183476</v>
      </c>
      <c r="R167" s="112">
        <f t="shared" ca="1" si="231"/>
        <v>17.749501761487142</v>
      </c>
      <c r="S167" s="112">
        <f t="shared" ca="1" si="231"/>
        <v>18.104491796716889</v>
      </c>
      <c r="T167" s="112">
        <f t="shared" ca="1" si="231"/>
        <v>18.466581632651224</v>
      </c>
      <c r="U167" s="112">
        <f t="shared" ca="1" si="231"/>
        <v>18.835913265304253</v>
      </c>
      <c r="V167" s="112">
        <f t="shared" ca="1" si="231"/>
        <v>19.212631530610341</v>
      </c>
      <c r="W167" s="112">
        <f t="shared" ca="1" si="231"/>
        <v>19.596884161222548</v>
      </c>
      <c r="X167" s="112">
        <f t="shared" ca="1" si="231"/>
        <v>19.988821844446989</v>
      </c>
      <c r="Y167" s="112">
        <f t="shared" ca="1" si="231"/>
        <v>20.388598281335945</v>
      </c>
      <c r="Z167" s="112">
        <f t="shared" ca="1" si="231"/>
        <v>20.796370246962667</v>
      </c>
      <c r="AA167" s="112">
        <f t="shared" ca="1" si="231"/>
        <v>21.212297651901906</v>
      </c>
      <c r="AB167" s="112">
        <f t="shared" ca="1" si="231"/>
        <v>21.636543604939948</v>
      </c>
      <c r="AC167" s="112">
        <f t="shared" ca="1" si="231"/>
        <v>22.06927447703875</v>
      </c>
      <c r="AD167" s="112">
        <f t="shared" ca="1" si="231"/>
        <v>22.510659966579528</v>
      </c>
      <c r="AE167" s="112">
        <f t="shared" ca="1" si="231"/>
        <v>22.960873165911121</v>
      </c>
      <c r="AF167" s="112">
        <f t="shared" ca="1" si="231"/>
        <v>23.420090629229339</v>
      </c>
      <c r="AG167" s="112">
        <f t="shared" ca="1" si="231"/>
        <v>23.888492441813927</v>
      </c>
      <c r="AH167" s="112">
        <f t="shared" ca="1" si="231"/>
        <v>24.366262290650205</v>
      </c>
      <c r="AI167" s="112">
        <f t="shared" ca="1" si="231"/>
        <v>24.853587536463209</v>
      </c>
      <c r="AJ167" s="112">
        <f t="shared" ca="1" si="231"/>
        <v>0</v>
      </c>
      <c r="AK167" s="112">
        <f t="shared" ca="1" si="231"/>
        <v>0</v>
      </c>
      <c r="AL167" s="112">
        <f t="shared" ca="1" si="231"/>
        <v>0</v>
      </c>
      <c r="AM167" s="112">
        <f t="shared" ca="1" si="231"/>
        <v>0</v>
      </c>
      <c r="AN167" s="112">
        <f t="shared" ca="1" si="231"/>
        <v>0</v>
      </c>
      <c r="AO167" s="112">
        <f t="shared" ca="1" si="231"/>
        <v>0</v>
      </c>
      <c r="AP167" s="112">
        <f t="shared" ca="1" si="231"/>
        <v>0</v>
      </c>
      <c r="AQ167" s="112">
        <f t="shared" ca="1" si="231"/>
        <v>0</v>
      </c>
      <c r="AR167" s="112">
        <f t="shared" ca="1" si="231"/>
        <v>0</v>
      </c>
      <c r="AS167" s="112">
        <f t="shared" ca="1" si="231"/>
        <v>0</v>
      </c>
      <c r="AT167" s="112">
        <f t="shared" ca="1" si="231"/>
        <v>0</v>
      </c>
      <c r="AU167" s="112">
        <f t="shared" ca="1" si="231"/>
        <v>0</v>
      </c>
      <c r="AV167" s="112">
        <f t="shared" ca="1" si="231"/>
        <v>0</v>
      </c>
      <c r="AW167" s="112">
        <f t="shared" ca="1" si="231"/>
        <v>0</v>
      </c>
      <c r="AX167" s="112">
        <f t="shared" ca="1" si="231"/>
        <v>0</v>
      </c>
      <c r="AY167" s="112">
        <f t="shared" ca="1" si="231"/>
        <v>0</v>
      </c>
      <c r="AZ167" s="112">
        <f t="shared" ca="1" si="231"/>
        <v>0</v>
      </c>
      <c r="BA167" s="112">
        <f t="shared" ca="1" si="231"/>
        <v>0</v>
      </c>
      <c r="BB167" s="112">
        <f t="shared" ca="1" si="231"/>
        <v>0</v>
      </c>
    </row>
    <row r="197" spans="3:4" x14ac:dyDescent="0.2">
      <c r="C197" s="8"/>
      <c r="D197" s="7"/>
    </row>
  </sheetData>
  <phoneticPr fontId="0" type="noConversion"/>
  <pageMargins left="0.75" right="0.75" top="1" bottom="1" header="0" footer="0"/>
  <pageSetup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59999389629810485"/>
  </sheetPr>
  <dimension ref="A1:BD61"/>
  <sheetViews>
    <sheetView zoomScale="125" zoomScaleNormal="125" zoomScalePageLayoutView="125" workbookViewId="0">
      <pane xSplit="3" ySplit="4" topLeftCell="D5" activePane="bottomRight" state="frozen"/>
      <selection pane="topRight" activeCell="D1" sqref="D1"/>
      <selection pane="bottomLeft" activeCell="A5" sqref="A5"/>
      <selection pane="bottomRight" activeCell="F32" sqref="F32"/>
    </sheetView>
  </sheetViews>
  <sheetFormatPr defaultColWidth="11.42578125" defaultRowHeight="12.75" x14ac:dyDescent="0.2"/>
  <cols>
    <col min="3" max="3" width="33.42578125" customWidth="1"/>
    <col min="11" max="11" width="10.7109375" customWidth="1"/>
    <col min="17" max="17" width="10.7109375" customWidth="1"/>
  </cols>
  <sheetData>
    <row r="1" spans="1:56" s="7" customFormat="1" x14ac:dyDescent="0.2">
      <c r="D1" s="36"/>
      <c r="E1" s="36">
        <f>Inputs!D1</f>
        <v>2015</v>
      </c>
      <c r="F1" s="36">
        <f>Inputs!E1</f>
        <v>2016</v>
      </c>
      <c r="G1" s="36">
        <f>Inputs!F1</f>
        <v>2017</v>
      </c>
      <c r="H1" s="36">
        <f>Inputs!G1</f>
        <v>2018</v>
      </c>
      <c r="I1" s="36">
        <f>Inputs!H1</f>
        <v>2019</v>
      </c>
      <c r="J1" s="36">
        <f>Inputs!I1</f>
        <v>2020</v>
      </c>
      <c r="K1" s="36">
        <f>Inputs!J1</f>
        <v>2021</v>
      </c>
      <c r="L1" s="36">
        <f>Inputs!K1</f>
        <v>2022</v>
      </c>
      <c r="M1" s="36">
        <f>Inputs!L1</f>
        <v>2023</v>
      </c>
      <c r="N1" s="36">
        <f>Inputs!M1</f>
        <v>2024</v>
      </c>
      <c r="O1" s="36">
        <f>Inputs!N1</f>
        <v>2025</v>
      </c>
      <c r="P1" s="36">
        <f>Inputs!O1</f>
        <v>2026</v>
      </c>
      <c r="Q1" s="36">
        <f>Inputs!P1</f>
        <v>2027</v>
      </c>
      <c r="R1" s="36">
        <f>Inputs!Q1</f>
        <v>2028</v>
      </c>
      <c r="S1" s="36">
        <f>Inputs!R1</f>
        <v>2029</v>
      </c>
      <c r="T1" s="36">
        <f>Inputs!S1</f>
        <v>2030</v>
      </c>
      <c r="U1" s="36">
        <f>Inputs!T1</f>
        <v>2031</v>
      </c>
      <c r="V1" s="36">
        <f>Inputs!U1</f>
        <v>2032</v>
      </c>
      <c r="W1" s="36">
        <f>Inputs!V1</f>
        <v>2033</v>
      </c>
      <c r="X1" s="36">
        <f>Inputs!W1</f>
        <v>2034</v>
      </c>
      <c r="Y1" s="36">
        <f>Inputs!X1</f>
        <v>2035</v>
      </c>
      <c r="Z1" s="36">
        <f>Inputs!Y1</f>
        <v>2036</v>
      </c>
      <c r="AA1" s="36">
        <f>Inputs!Z1</f>
        <v>2037</v>
      </c>
      <c r="AB1" s="36">
        <f>Inputs!AA1</f>
        <v>2038</v>
      </c>
      <c r="AC1" s="36">
        <f>Inputs!AB1</f>
        <v>2039</v>
      </c>
      <c r="AD1" s="36">
        <f>Inputs!AC1</f>
        <v>2040</v>
      </c>
      <c r="AE1" s="36">
        <f>Inputs!AD1</f>
        <v>2041</v>
      </c>
      <c r="AF1" s="36">
        <f>Inputs!AE1</f>
        <v>2042</v>
      </c>
      <c r="AG1" s="36">
        <f>Inputs!AF1</f>
        <v>2043</v>
      </c>
      <c r="AH1" s="36">
        <f>Inputs!AG1</f>
        <v>2044</v>
      </c>
      <c r="AI1" s="36">
        <f>Inputs!AH1</f>
        <v>2045</v>
      </c>
      <c r="AJ1" s="36">
        <f>Inputs!AI1</f>
        <v>2046</v>
      </c>
      <c r="AK1" s="36">
        <f>Inputs!AJ1</f>
        <v>2047</v>
      </c>
      <c r="AL1" s="36">
        <f>Inputs!AK1</f>
        <v>2048</v>
      </c>
      <c r="AM1" s="36">
        <f>Inputs!AL1</f>
        <v>2049</v>
      </c>
      <c r="AN1" s="36">
        <f>Inputs!AM1</f>
        <v>2050</v>
      </c>
      <c r="AO1" s="36">
        <f>Inputs!AN1</f>
        <v>2051</v>
      </c>
      <c r="AP1" s="36">
        <f>Inputs!AO1</f>
        <v>2052</v>
      </c>
      <c r="AQ1" s="36">
        <f>Inputs!AP1</f>
        <v>2053</v>
      </c>
      <c r="AR1" s="36">
        <f>Inputs!AQ1</f>
        <v>2054</v>
      </c>
      <c r="AS1" s="36">
        <f>Inputs!AR1</f>
        <v>2055</v>
      </c>
      <c r="AT1" s="36">
        <f>Inputs!AS1</f>
        <v>2056</v>
      </c>
      <c r="AU1" s="36">
        <f>Inputs!AT1</f>
        <v>2057</v>
      </c>
      <c r="AV1" s="36">
        <f>Inputs!AU1</f>
        <v>2058</v>
      </c>
      <c r="AW1" s="36">
        <f>Inputs!AV1</f>
        <v>2059</v>
      </c>
      <c r="AX1" s="36">
        <f>Inputs!AW1</f>
        <v>2060</v>
      </c>
      <c r="AY1" s="36">
        <f>Inputs!AX1</f>
        <v>2061</v>
      </c>
      <c r="AZ1" s="36">
        <f>Inputs!AY1</f>
        <v>2062</v>
      </c>
      <c r="BA1" s="36">
        <f>Inputs!AZ1</f>
        <v>2063</v>
      </c>
      <c r="BB1" s="36">
        <f>Inputs!BA1</f>
        <v>2064</v>
      </c>
      <c r="BC1" s="36"/>
      <c r="BD1" s="36"/>
    </row>
    <row r="2" spans="1:56" s="7" customFormat="1" x14ac:dyDescent="0.2">
      <c r="A2" s="275" t="s">
        <v>372</v>
      </c>
      <c r="B2" s="275" t="s">
        <v>2</v>
      </c>
      <c r="D2" s="36" t="s">
        <v>0</v>
      </c>
      <c r="E2" s="36">
        <f>Inputs!D2</f>
        <v>1</v>
      </c>
      <c r="F2" s="36">
        <f>Inputs!E2</f>
        <v>2</v>
      </c>
      <c r="G2" s="36">
        <f>Inputs!F2</f>
        <v>3</v>
      </c>
      <c r="H2" s="36">
        <f>Inputs!G2</f>
        <v>4</v>
      </c>
      <c r="I2" s="36">
        <f>Inputs!H2</f>
        <v>5</v>
      </c>
      <c r="J2" s="36">
        <f>Inputs!I2</f>
        <v>6</v>
      </c>
      <c r="K2" s="36">
        <f>Inputs!J2</f>
        <v>7</v>
      </c>
      <c r="L2" s="36">
        <f>Inputs!K2</f>
        <v>8</v>
      </c>
      <c r="M2" s="36">
        <f>Inputs!L2</f>
        <v>9</v>
      </c>
      <c r="N2" s="36">
        <f>Inputs!M2</f>
        <v>10</v>
      </c>
      <c r="O2" s="36">
        <f>Inputs!N2</f>
        <v>11</v>
      </c>
      <c r="P2" s="36">
        <f>Inputs!O2</f>
        <v>12</v>
      </c>
      <c r="Q2" s="36">
        <f>Inputs!P2</f>
        <v>13</v>
      </c>
      <c r="R2" s="36">
        <f>Inputs!Q2</f>
        <v>14</v>
      </c>
      <c r="S2" s="36">
        <f>Inputs!R2</f>
        <v>15</v>
      </c>
      <c r="T2" s="36">
        <f>Inputs!S2</f>
        <v>16</v>
      </c>
      <c r="U2" s="36">
        <f>Inputs!T2</f>
        <v>17</v>
      </c>
      <c r="V2" s="36">
        <f>Inputs!U2</f>
        <v>18</v>
      </c>
      <c r="W2" s="36">
        <f>Inputs!V2</f>
        <v>19</v>
      </c>
      <c r="X2" s="36">
        <f>Inputs!W2</f>
        <v>20</v>
      </c>
      <c r="Y2" s="36">
        <f>Inputs!X2</f>
        <v>21</v>
      </c>
      <c r="Z2" s="36">
        <f>Inputs!Y2</f>
        <v>22</v>
      </c>
      <c r="AA2" s="36">
        <f>Inputs!Z2</f>
        <v>23</v>
      </c>
      <c r="AB2" s="36">
        <f>Inputs!AA2</f>
        <v>24</v>
      </c>
      <c r="AC2" s="36">
        <f>Inputs!AB2</f>
        <v>25</v>
      </c>
      <c r="AD2" s="36">
        <f>Inputs!AC2</f>
        <v>26</v>
      </c>
      <c r="AE2" s="36">
        <f>Inputs!AD2</f>
        <v>27</v>
      </c>
      <c r="AF2" s="36">
        <f>Inputs!AE2</f>
        <v>28</v>
      </c>
      <c r="AG2" s="36">
        <f>Inputs!AF2</f>
        <v>29</v>
      </c>
      <c r="AH2" s="36">
        <f>Inputs!AG2</f>
        <v>30</v>
      </c>
      <c r="AI2" s="36">
        <f>Inputs!AH2</f>
        <v>31</v>
      </c>
      <c r="AJ2" s="36">
        <f>Inputs!AI2</f>
        <v>32</v>
      </c>
      <c r="AK2" s="36">
        <f>Inputs!AJ2</f>
        <v>33</v>
      </c>
      <c r="AL2" s="36">
        <f>Inputs!AK2</f>
        <v>34</v>
      </c>
      <c r="AM2" s="36">
        <f>Inputs!AL2</f>
        <v>35</v>
      </c>
      <c r="AN2" s="36">
        <f>Inputs!AM2</f>
        <v>36</v>
      </c>
      <c r="AO2" s="36">
        <f>Inputs!AN2</f>
        <v>37</v>
      </c>
      <c r="AP2" s="36">
        <f>Inputs!AO2</f>
        <v>38</v>
      </c>
      <c r="AQ2" s="36">
        <f>Inputs!AP2</f>
        <v>39</v>
      </c>
      <c r="AR2" s="36">
        <f>Inputs!AQ2</f>
        <v>40</v>
      </c>
      <c r="AS2" s="36">
        <f>Inputs!AR2</f>
        <v>41</v>
      </c>
      <c r="AT2" s="36">
        <f>Inputs!AS2</f>
        <v>42</v>
      </c>
      <c r="AU2" s="36">
        <f>Inputs!AT2</f>
        <v>43</v>
      </c>
      <c r="AV2" s="36">
        <f>Inputs!AU2</f>
        <v>44</v>
      </c>
      <c r="AW2" s="36">
        <f>Inputs!AV2</f>
        <v>45</v>
      </c>
      <c r="AX2" s="36">
        <f>Inputs!AW2</f>
        <v>46</v>
      </c>
      <c r="AY2" s="36">
        <f>Inputs!AX2</f>
        <v>47</v>
      </c>
      <c r="AZ2" s="36">
        <f>Inputs!AY2</f>
        <v>48</v>
      </c>
      <c r="BA2" s="36">
        <f>Inputs!AZ2</f>
        <v>49</v>
      </c>
      <c r="BB2" s="36">
        <f>Inputs!BA2</f>
        <v>50</v>
      </c>
      <c r="BC2" s="36"/>
      <c r="BD2" s="36"/>
    </row>
    <row r="3" spans="1:56" s="32" customFormat="1" x14ac:dyDescent="0.2">
      <c r="C3" s="78"/>
      <c r="D3" s="43"/>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144"/>
      <c r="BD3" s="144"/>
    </row>
    <row r="4" spans="1:56" s="108" customFormat="1" x14ac:dyDescent="0.2">
      <c r="A4" s="100">
        <f ca="1">SUM(E4:BB4)</f>
        <v>3555.9297936992321</v>
      </c>
      <c r="B4" s="100">
        <f ca="1">NPV('Assumptions &amp; Results'!$C$129,'Cash Flows'!E4:BB4)</f>
        <v>174.40917693818258</v>
      </c>
      <c r="C4" s="101" t="s">
        <v>151</v>
      </c>
      <c r="D4" s="109" t="s">
        <v>75</v>
      </c>
      <c r="E4" s="110">
        <f t="shared" ref="E4:AJ4" ca="1" si="0">SUM(E5:E19)</f>
        <v>-75</v>
      </c>
      <c r="F4" s="110">
        <f t="shared" ca="1" si="0"/>
        <v>-111.727997</v>
      </c>
      <c r="G4" s="110">
        <f t="shared" ca="1" si="0"/>
        <v>-149.19055400000002</v>
      </c>
      <c r="H4" s="110">
        <f t="shared" ca="1" si="0"/>
        <v>-187.40236299999998</v>
      </c>
      <c r="I4" s="110">
        <f t="shared" ca="1" si="0"/>
        <v>-32.507013632447979</v>
      </c>
      <c r="J4" s="110">
        <f t="shared" ca="1" si="0"/>
        <v>106.9575142278721</v>
      </c>
      <c r="K4" s="110">
        <f t="shared" ca="1" si="0"/>
        <v>105.14879457052977</v>
      </c>
      <c r="L4" s="110">
        <f t="shared" ca="1" si="0"/>
        <v>103.17476338533051</v>
      </c>
      <c r="M4" s="110">
        <f t="shared" ca="1" si="0"/>
        <v>101.50936839528131</v>
      </c>
      <c r="N4" s="110">
        <f t="shared" ca="1" si="0"/>
        <v>60.582432462306457</v>
      </c>
      <c r="O4" s="110">
        <f t="shared" ca="1" si="0"/>
        <v>84.024097173487661</v>
      </c>
      <c r="P4" s="110">
        <f t="shared" ca="1" si="0"/>
        <v>116.31197920898944</v>
      </c>
      <c r="Q4" s="110">
        <f t="shared" ca="1" si="0"/>
        <v>150.34872080318522</v>
      </c>
      <c r="R4" s="110">
        <f t="shared" ca="1" si="0"/>
        <v>153.3556952192489</v>
      </c>
      <c r="S4" s="110">
        <f t="shared" ca="1" si="0"/>
        <v>156.42280912363384</v>
      </c>
      <c r="T4" s="110">
        <f t="shared" ca="1" si="0"/>
        <v>159.5512653061065</v>
      </c>
      <c r="U4" s="110">
        <f t="shared" ca="1" si="0"/>
        <v>162.74229061222874</v>
      </c>
      <c r="V4" s="110">
        <f t="shared" ca="1" si="0"/>
        <v>165.9971364244733</v>
      </c>
      <c r="W4" s="110">
        <f t="shared" ca="1" si="0"/>
        <v>169.31707915296278</v>
      </c>
      <c r="X4" s="110">
        <f t="shared" ca="1" si="0"/>
        <v>172.70342073602203</v>
      </c>
      <c r="Y4" s="110">
        <f t="shared" ca="1" si="0"/>
        <v>176.15748915074255</v>
      </c>
      <c r="Z4" s="110">
        <f t="shared" ca="1" si="0"/>
        <v>179.68063893375734</v>
      </c>
      <c r="AA4" s="110">
        <f t="shared" ca="1" si="0"/>
        <v>183.27425171243246</v>
      </c>
      <c r="AB4" s="110">
        <f t="shared" ca="1" si="0"/>
        <v>186.93973674668121</v>
      </c>
      <c r="AC4" s="110">
        <f t="shared" ca="1" si="0"/>
        <v>190.67853148161473</v>
      </c>
      <c r="AD4" s="110">
        <f t="shared" ca="1" si="0"/>
        <v>194.49210211124722</v>
      </c>
      <c r="AE4" s="110">
        <f t="shared" ca="1" si="0"/>
        <v>198.38194415347201</v>
      </c>
      <c r="AF4" s="110">
        <f t="shared" ca="1" si="0"/>
        <v>202.34958303654147</v>
      </c>
      <c r="AG4" s="110">
        <f t="shared" ca="1" si="0"/>
        <v>206.39657469727231</v>
      </c>
      <c r="AH4" s="110">
        <f t="shared" ca="1" si="0"/>
        <v>210.5245061912178</v>
      </c>
      <c r="AI4" s="110">
        <f t="shared" ca="1" si="0"/>
        <v>214.73499631504214</v>
      </c>
      <c r="AJ4" s="110">
        <f t="shared" ca="1" si="0"/>
        <v>0</v>
      </c>
      <c r="AK4" s="110">
        <f t="shared" ref="AK4:BB4" ca="1" si="1">SUM(AK5:AK19)</f>
        <v>0</v>
      </c>
      <c r="AL4" s="110">
        <f t="shared" ca="1" si="1"/>
        <v>0</v>
      </c>
      <c r="AM4" s="110">
        <f t="shared" ca="1" si="1"/>
        <v>0</v>
      </c>
      <c r="AN4" s="110">
        <f t="shared" ca="1" si="1"/>
        <v>0</v>
      </c>
      <c r="AO4" s="110">
        <f t="shared" ca="1" si="1"/>
        <v>0</v>
      </c>
      <c r="AP4" s="110">
        <f t="shared" ca="1" si="1"/>
        <v>0</v>
      </c>
      <c r="AQ4" s="110">
        <f t="shared" ca="1" si="1"/>
        <v>0</v>
      </c>
      <c r="AR4" s="110">
        <f t="shared" ca="1" si="1"/>
        <v>0</v>
      </c>
      <c r="AS4" s="110">
        <f t="shared" ca="1" si="1"/>
        <v>0</v>
      </c>
      <c r="AT4" s="110">
        <f t="shared" ca="1" si="1"/>
        <v>0</v>
      </c>
      <c r="AU4" s="110">
        <f t="shared" ca="1" si="1"/>
        <v>0</v>
      </c>
      <c r="AV4" s="110">
        <f t="shared" ca="1" si="1"/>
        <v>0</v>
      </c>
      <c r="AW4" s="110">
        <f t="shared" ca="1" si="1"/>
        <v>0</v>
      </c>
      <c r="AX4" s="110">
        <f t="shared" ca="1" si="1"/>
        <v>0</v>
      </c>
      <c r="AY4" s="110">
        <f t="shared" ca="1" si="1"/>
        <v>0</v>
      </c>
      <c r="AZ4" s="110">
        <f t="shared" ca="1" si="1"/>
        <v>0</v>
      </c>
      <c r="BA4" s="110">
        <f t="shared" ca="1" si="1"/>
        <v>0</v>
      </c>
      <c r="BB4" s="110">
        <f t="shared" ca="1" si="1"/>
        <v>0</v>
      </c>
      <c r="BC4" s="111"/>
      <c r="BD4" s="111"/>
    </row>
    <row r="5" spans="1:56" s="77" customFormat="1" x14ac:dyDescent="0.2">
      <c r="A5" s="37">
        <f t="shared" ref="A5:A14" si="2">SUM(E5:BB5)</f>
        <v>20816.861658044567</v>
      </c>
      <c r="B5" s="37">
        <f>NPV('Assumptions &amp; Results'!$C$129,'Cash Flows'!E5:BB5)</f>
        <v>3338.2842489252616</v>
      </c>
      <c r="C5" s="8" t="s">
        <v>85</v>
      </c>
      <c r="D5" s="36" t="s">
        <v>75</v>
      </c>
      <c r="E5" s="51">
        <f>Calculations!E6</f>
        <v>0</v>
      </c>
      <c r="F5" s="51">
        <f>Calculations!F6</f>
        <v>0</v>
      </c>
      <c r="G5" s="51">
        <f>Calculations!G6</f>
        <v>0</v>
      </c>
      <c r="H5" s="51">
        <f>Calculations!H6</f>
        <v>0</v>
      </c>
      <c r="I5" s="51">
        <f>Calculations!I6</f>
        <v>255.88696262400001</v>
      </c>
      <c r="J5" s="51">
        <f>Calculations!J6</f>
        <v>644.78318906879997</v>
      </c>
      <c r="K5" s="51">
        <f>Calculations!K6</f>
        <v>649.79571591532806</v>
      </c>
      <c r="L5" s="51">
        <f>Calculations!L6</f>
        <v>654.75083056008964</v>
      </c>
      <c r="M5" s="51">
        <f>Calculations!M6</f>
        <v>660.23006119477679</v>
      </c>
      <c r="N5" s="51">
        <f>Calculations!N6</f>
        <v>665.06901443831612</v>
      </c>
      <c r="O5" s="51">
        <f>Calculations!O6</f>
        <v>670.44693099711651</v>
      </c>
      <c r="P5" s="51">
        <f>Calculations!P6</f>
        <v>683.85586961705883</v>
      </c>
      <c r="Q5" s="51">
        <f>Calculations!Q6</f>
        <v>697.53298700940002</v>
      </c>
      <c r="R5" s="51">
        <f>Calculations!R6</f>
        <v>711.48364674958793</v>
      </c>
      <c r="S5" s="51">
        <f>Calculations!S6</f>
        <v>725.7133196845798</v>
      </c>
      <c r="T5" s="51">
        <f>Calculations!T6</f>
        <v>740.22758607827143</v>
      </c>
      <c r="U5" s="51">
        <f>Calculations!U6</f>
        <v>755.03213779983685</v>
      </c>
      <c r="V5" s="51">
        <f>Calculations!V6</f>
        <v>770.13278055583362</v>
      </c>
      <c r="W5" s="51">
        <f>Calculations!W6</f>
        <v>785.53543616695038</v>
      </c>
      <c r="X5" s="51">
        <f>Calculations!X6</f>
        <v>801.24614489028932</v>
      </c>
      <c r="Y5" s="51">
        <f>Calculations!Y6</f>
        <v>817.27106778809525</v>
      </c>
      <c r="Z5" s="51">
        <f>Calculations!Z6</f>
        <v>833.61648914385717</v>
      </c>
      <c r="AA5" s="51">
        <f>Calculations!AA6</f>
        <v>850.28881892673428</v>
      </c>
      <c r="AB5" s="51">
        <f>Calculations!AB6</f>
        <v>867.29459530526901</v>
      </c>
      <c r="AC5" s="51">
        <f>Calculations!AC6</f>
        <v>884.64048721137442</v>
      </c>
      <c r="AD5" s="51">
        <f>Calculations!AD6</f>
        <v>902.3332969556019</v>
      </c>
      <c r="AE5" s="51">
        <f>Calculations!AE6</f>
        <v>920.37996289471391</v>
      </c>
      <c r="AF5" s="51">
        <f>Calculations!AF6</f>
        <v>938.78756215260819</v>
      </c>
      <c r="AG5" s="51">
        <f>Calculations!AG6</f>
        <v>957.56331339566043</v>
      </c>
      <c r="AH5" s="51">
        <f>Calculations!AH6</f>
        <v>976.71457966357355</v>
      </c>
      <c r="AI5" s="51">
        <f>Calculations!AI6</f>
        <v>996.24887125684518</v>
      </c>
      <c r="AJ5" s="51">
        <f>Calculations!AJ6</f>
        <v>0</v>
      </c>
      <c r="AK5" s="51">
        <f>Calculations!AK6</f>
        <v>0</v>
      </c>
      <c r="AL5" s="51">
        <f>Calculations!AL6</f>
        <v>0</v>
      </c>
      <c r="AM5" s="51">
        <f>Calculations!AM6</f>
        <v>0</v>
      </c>
      <c r="AN5" s="51">
        <f>Calculations!AN6</f>
        <v>0</v>
      </c>
      <c r="AO5" s="51">
        <f>Calculations!AO6</f>
        <v>0</v>
      </c>
      <c r="AP5" s="51">
        <f>Calculations!AP6</f>
        <v>0</v>
      </c>
      <c r="AQ5" s="51">
        <f>Calculations!AQ6</f>
        <v>0</v>
      </c>
      <c r="AR5" s="51">
        <f>Calculations!AR6</f>
        <v>0</v>
      </c>
      <c r="AS5" s="51">
        <f>Calculations!AS6</f>
        <v>0</v>
      </c>
      <c r="AT5" s="51">
        <f>Calculations!AT6</f>
        <v>0</v>
      </c>
      <c r="AU5" s="51">
        <f>Calculations!AU6</f>
        <v>0</v>
      </c>
      <c r="AV5" s="51">
        <f>Calculations!AV6</f>
        <v>0</v>
      </c>
      <c r="AW5" s="51">
        <f>Calculations!AW6</f>
        <v>0</v>
      </c>
      <c r="AX5" s="51">
        <f>Calculations!AX6</f>
        <v>0</v>
      </c>
      <c r="AY5" s="51">
        <f>Calculations!AY6</f>
        <v>0</v>
      </c>
      <c r="AZ5" s="51">
        <f>Calculations!AZ6</f>
        <v>0</v>
      </c>
      <c r="BA5" s="51">
        <f>Calculations!BA6</f>
        <v>0</v>
      </c>
      <c r="BB5" s="51">
        <f>Calculations!BB6</f>
        <v>0</v>
      </c>
    </row>
    <row r="6" spans="1:56" s="77" customFormat="1" x14ac:dyDescent="0.2">
      <c r="A6" s="37">
        <f t="shared" si="2"/>
        <v>0</v>
      </c>
      <c r="B6" s="37">
        <f>NPV('Assumptions &amp; Results'!$C$129,'Cash Flows'!E6:BB6)</f>
        <v>0</v>
      </c>
      <c r="C6" s="8" t="s">
        <v>136</v>
      </c>
      <c r="D6" s="36" t="s">
        <v>75</v>
      </c>
      <c r="E6" s="51">
        <f>-Calculations!E15</f>
        <v>0</v>
      </c>
      <c r="F6" s="51">
        <f>-Calculations!F15</f>
        <v>0</v>
      </c>
      <c r="G6" s="51">
        <f>-Calculations!G15</f>
        <v>0</v>
      </c>
      <c r="H6" s="51">
        <f>-Calculations!H15</f>
        <v>0</v>
      </c>
      <c r="I6" s="51">
        <f>-Calculations!I15</f>
        <v>0</v>
      </c>
      <c r="J6" s="51">
        <f>-Calculations!J15</f>
        <v>0</v>
      </c>
      <c r="K6" s="51">
        <f>-Calculations!K15</f>
        <v>0</v>
      </c>
      <c r="L6" s="51">
        <f>-Calculations!L15</f>
        <v>0</v>
      </c>
      <c r="M6" s="51">
        <f>-Calculations!M15</f>
        <v>0</v>
      </c>
      <c r="N6" s="51">
        <f>-Calculations!N15</f>
        <v>0</v>
      </c>
      <c r="O6" s="51">
        <f>-Calculations!O15</f>
        <v>0</v>
      </c>
      <c r="P6" s="51">
        <f>-Calculations!P15</f>
        <v>0</v>
      </c>
      <c r="Q6" s="51">
        <f>-Calculations!Q15</f>
        <v>0</v>
      </c>
      <c r="R6" s="51">
        <f>-Calculations!R15</f>
        <v>0</v>
      </c>
      <c r="S6" s="51">
        <f>-Calculations!S15</f>
        <v>0</v>
      </c>
      <c r="T6" s="51">
        <f>-Calculations!T15</f>
        <v>0</v>
      </c>
      <c r="U6" s="51">
        <f>-Calculations!U15</f>
        <v>0</v>
      </c>
      <c r="V6" s="51">
        <f>-Calculations!V15</f>
        <v>0</v>
      </c>
      <c r="W6" s="51">
        <f>-Calculations!W15</f>
        <v>0</v>
      </c>
      <c r="X6" s="51">
        <f>-Calculations!X15</f>
        <v>0</v>
      </c>
      <c r="Y6" s="51">
        <f>-Calculations!Y15</f>
        <v>0</v>
      </c>
      <c r="Z6" s="51">
        <f>-Calculations!Z15</f>
        <v>0</v>
      </c>
      <c r="AA6" s="51">
        <f>-Calculations!AA15</f>
        <v>0</v>
      </c>
      <c r="AB6" s="51">
        <f>-Calculations!AB15</f>
        <v>0</v>
      </c>
      <c r="AC6" s="51">
        <f>-Calculations!AC15</f>
        <v>0</v>
      </c>
      <c r="AD6" s="51">
        <f>-Calculations!AD15</f>
        <v>0</v>
      </c>
      <c r="AE6" s="51">
        <f>-Calculations!AE15</f>
        <v>0</v>
      </c>
      <c r="AF6" s="51">
        <f>-Calculations!AF15</f>
        <v>0</v>
      </c>
      <c r="AG6" s="51">
        <f>-Calculations!AG15</f>
        <v>0</v>
      </c>
      <c r="AH6" s="51">
        <f>-Calculations!AH15</f>
        <v>0</v>
      </c>
      <c r="AI6" s="51">
        <f>-Calculations!AI15</f>
        <v>0</v>
      </c>
      <c r="AJ6" s="51">
        <f>-Calculations!AJ15</f>
        <v>0</v>
      </c>
      <c r="AK6" s="51">
        <f>-Calculations!AK15</f>
        <v>0</v>
      </c>
      <c r="AL6" s="51">
        <f>-Calculations!AL15</f>
        <v>0</v>
      </c>
      <c r="AM6" s="51">
        <f>-Calculations!AM15</f>
        <v>0</v>
      </c>
      <c r="AN6" s="51">
        <f>-Calculations!AN15</f>
        <v>0</v>
      </c>
      <c r="AO6" s="51">
        <f>-Calculations!AO15</f>
        <v>0</v>
      </c>
      <c r="AP6" s="51">
        <f>-Calculations!AP15</f>
        <v>0</v>
      </c>
      <c r="AQ6" s="51">
        <f>-Calculations!AQ15</f>
        <v>0</v>
      </c>
      <c r="AR6" s="51">
        <f>-Calculations!AR15</f>
        <v>0</v>
      </c>
      <c r="AS6" s="51">
        <f>-Calculations!AS15</f>
        <v>0</v>
      </c>
      <c r="AT6" s="51">
        <f>-Calculations!AT15</f>
        <v>0</v>
      </c>
      <c r="AU6" s="51">
        <f>-Calculations!AU15</f>
        <v>0</v>
      </c>
      <c r="AV6" s="51">
        <f>-Calculations!AV15</f>
        <v>0</v>
      </c>
      <c r="AW6" s="51">
        <f>-Calculations!AW15</f>
        <v>0</v>
      </c>
      <c r="AX6" s="51">
        <f>-Calculations!AX15</f>
        <v>0</v>
      </c>
      <c r="AY6" s="51">
        <f>-Calculations!AY15</f>
        <v>0</v>
      </c>
      <c r="AZ6" s="51">
        <f>-Calculations!AZ15</f>
        <v>0</v>
      </c>
      <c r="BA6" s="51">
        <f>-Calculations!BA15</f>
        <v>0</v>
      </c>
      <c r="BB6" s="51">
        <f>-Calculations!BB15</f>
        <v>0</v>
      </c>
    </row>
    <row r="7" spans="1:56" s="77" customFormat="1" x14ac:dyDescent="0.2">
      <c r="A7" s="37">
        <f t="shared" si="2"/>
        <v>0</v>
      </c>
      <c r="B7" s="37">
        <f>NPV('Assumptions &amp; Results'!$C$129,'Cash Flows'!E7:BB7)</f>
        <v>0</v>
      </c>
      <c r="C7" s="2" t="s">
        <v>170</v>
      </c>
      <c r="D7" s="24" t="s">
        <v>75</v>
      </c>
      <c r="E7" s="51">
        <f>-Calculations!E16</f>
        <v>0</v>
      </c>
      <c r="F7" s="51">
        <f>-Calculations!F16</f>
        <v>0</v>
      </c>
      <c r="G7" s="51">
        <f>-Calculations!G16</f>
        <v>0</v>
      </c>
      <c r="H7" s="51">
        <f>-Calculations!H16</f>
        <v>0</v>
      </c>
      <c r="I7" s="51">
        <f>-Calculations!I16</f>
        <v>0</v>
      </c>
      <c r="J7" s="51">
        <f>-Calculations!J16</f>
        <v>0</v>
      </c>
      <c r="K7" s="51">
        <f>-Calculations!K16</f>
        <v>0</v>
      </c>
      <c r="L7" s="51">
        <f>-Calculations!L16</f>
        <v>0</v>
      </c>
      <c r="M7" s="51">
        <f>-Calculations!M16</f>
        <v>0</v>
      </c>
      <c r="N7" s="51">
        <f>-Calculations!N16</f>
        <v>0</v>
      </c>
      <c r="O7" s="51">
        <f>-Calculations!O16</f>
        <v>0</v>
      </c>
      <c r="P7" s="51">
        <f>-Calculations!P16</f>
        <v>0</v>
      </c>
      <c r="Q7" s="51">
        <f>-Calculations!Q16</f>
        <v>0</v>
      </c>
      <c r="R7" s="51">
        <f>-Calculations!R16</f>
        <v>0</v>
      </c>
      <c r="S7" s="51">
        <f>-Calculations!S16</f>
        <v>0</v>
      </c>
      <c r="T7" s="51">
        <f>-Calculations!T16</f>
        <v>0</v>
      </c>
      <c r="U7" s="51">
        <f>-Calculations!U16</f>
        <v>0</v>
      </c>
      <c r="V7" s="51">
        <f>-Calculations!V16</f>
        <v>0</v>
      </c>
      <c r="W7" s="51">
        <f>-Calculations!W16</f>
        <v>0</v>
      </c>
      <c r="X7" s="51">
        <f>-Calculations!X16</f>
        <v>0</v>
      </c>
      <c r="Y7" s="51">
        <f>-Calculations!Y16</f>
        <v>0</v>
      </c>
      <c r="Z7" s="51">
        <f>-Calculations!Z16</f>
        <v>0</v>
      </c>
      <c r="AA7" s="51">
        <f>-Calculations!AA16</f>
        <v>0</v>
      </c>
      <c r="AB7" s="51">
        <f>-Calculations!AB16</f>
        <v>0</v>
      </c>
      <c r="AC7" s="51">
        <f>-Calculations!AC16</f>
        <v>0</v>
      </c>
      <c r="AD7" s="51">
        <f>-Calculations!AD16</f>
        <v>0</v>
      </c>
      <c r="AE7" s="51">
        <f>-Calculations!AE16</f>
        <v>0</v>
      </c>
      <c r="AF7" s="51">
        <f>-Calculations!AF16</f>
        <v>0</v>
      </c>
      <c r="AG7" s="51">
        <f>-Calculations!AG16</f>
        <v>0</v>
      </c>
      <c r="AH7" s="51">
        <f>-Calculations!AH16</f>
        <v>0</v>
      </c>
      <c r="AI7" s="51">
        <f>-Calculations!AI16</f>
        <v>0</v>
      </c>
      <c r="AJ7" s="51">
        <f>-Calculations!AJ16</f>
        <v>0</v>
      </c>
      <c r="AK7" s="51">
        <f>-Calculations!AK16</f>
        <v>0</v>
      </c>
      <c r="AL7" s="51">
        <f>-Calculations!AL16</f>
        <v>0</v>
      </c>
      <c r="AM7" s="51">
        <f>-Calculations!AM16</f>
        <v>0</v>
      </c>
      <c r="AN7" s="51">
        <f>-Calculations!AN16</f>
        <v>0</v>
      </c>
      <c r="AO7" s="51">
        <f>-Calculations!AO16</f>
        <v>0</v>
      </c>
      <c r="AP7" s="51">
        <f>-Calculations!AP16</f>
        <v>0</v>
      </c>
      <c r="AQ7" s="51">
        <f>-Calculations!AQ16</f>
        <v>0</v>
      </c>
      <c r="AR7" s="51">
        <f>-Calculations!AR16</f>
        <v>0</v>
      </c>
      <c r="AS7" s="51">
        <f>-Calculations!AS16</f>
        <v>0</v>
      </c>
      <c r="AT7" s="51">
        <f>-Calculations!AT16</f>
        <v>0</v>
      </c>
      <c r="AU7" s="51">
        <f>-Calculations!AU16</f>
        <v>0</v>
      </c>
      <c r="AV7" s="51">
        <f>-Calculations!AV16</f>
        <v>0</v>
      </c>
      <c r="AW7" s="51">
        <f>-Calculations!AW16</f>
        <v>0</v>
      </c>
      <c r="AX7" s="51">
        <f>-Calculations!AX16</f>
        <v>0</v>
      </c>
      <c r="AY7" s="51">
        <f>-Calculations!AY16</f>
        <v>0</v>
      </c>
      <c r="AZ7" s="51">
        <f>-Calculations!AZ16</f>
        <v>0</v>
      </c>
      <c r="BA7" s="51">
        <f>-Calculations!BA16</f>
        <v>0</v>
      </c>
      <c r="BB7" s="51">
        <f>-Calculations!BB16</f>
        <v>0</v>
      </c>
    </row>
    <row r="8" spans="1:56" s="77" customFormat="1" x14ac:dyDescent="0.2">
      <c r="A8" s="37">
        <f ca="1">SUM(E8:BB8)</f>
        <v>-1040.8430829022284</v>
      </c>
      <c r="B8" s="37">
        <f ca="1">NPV('Assumptions &amp; Results'!$C$129,'Cash Flows'!E8:BB8)</f>
        <v>-166.91421244626306</v>
      </c>
      <c r="C8" s="8" t="s">
        <v>350</v>
      </c>
      <c r="D8" s="36" t="s">
        <v>75</v>
      </c>
      <c r="E8" s="51">
        <f ca="1">-Calculations!E18-Calculations!E22-Calculations!E40-Calculations!E66-Calculations!E73-Calculations!E97</f>
        <v>0</v>
      </c>
      <c r="F8" s="51">
        <f ca="1">-Calculations!F18-Calculations!F22-Calculations!F40-Calculations!F66-Calculations!F73-Calculations!F97</f>
        <v>0</v>
      </c>
      <c r="G8" s="51">
        <f ca="1">-Calculations!G18-Calculations!G22-Calculations!G40-Calculations!G66-Calculations!G73-Calculations!G97</f>
        <v>0</v>
      </c>
      <c r="H8" s="51">
        <f ca="1">-Calculations!H18-Calculations!H22-Calculations!H40-Calculations!H66-Calculations!H73-Calculations!H97</f>
        <v>0</v>
      </c>
      <c r="I8" s="51">
        <f ca="1">-Calculations!I18-Calculations!I22-Calculations!I40-Calculations!I66-Calculations!I73-Calculations!I97</f>
        <v>-12.794348131200001</v>
      </c>
      <c r="J8" s="51">
        <f ca="1">-Calculations!J18-Calculations!J22-Calculations!J40-Calculations!J66-Calculations!J73-Calculations!J97</f>
        <v>-32.239159453440003</v>
      </c>
      <c r="K8" s="51">
        <f ca="1">-Calculations!K18-Calculations!K22-Calculations!K40-Calculations!K66-Calculations!K73-Calculations!K97</f>
        <v>-32.489785795766402</v>
      </c>
      <c r="L8" s="51">
        <f ca="1">-Calculations!L18-Calculations!L22-Calculations!L40-Calculations!L66-Calculations!L73-Calculations!L97</f>
        <v>-32.737541528004485</v>
      </c>
      <c r="M8" s="51">
        <f ca="1">-Calculations!M18-Calculations!M22-Calculations!M40-Calculations!M66-Calculations!M73-Calculations!M97</f>
        <v>-33.011503059738843</v>
      </c>
      <c r="N8" s="51">
        <f ca="1">-Calculations!N18-Calculations!N22-Calculations!N40-Calculations!N66-Calculations!N73-Calculations!N97</f>
        <v>-33.253450721915804</v>
      </c>
      <c r="O8" s="51">
        <f ca="1">-Calculations!O18-Calculations!O22-Calculations!O40-Calculations!O66-Calculations!O73-Calculations!O97</f>
        <v>-33.522346549855826</v>
      </c>
      <c r="P8" s="51">
        <f ca="1">-Calculations!P18-Calculations!P22-Calculations!P40-Calculations!P66-Calculations!P73-Calculations!P97</f>
        <v>-34.192793480852941</v>
      </c>
      <c r="Q8" s="51">
        <f ca="1">-Calculations!Q18-Calculations!Q22-Calculations!Q40-Calculations!Q66-Calculations!Q73-Calculations!Q97</f>
        <v>-34.876649350470004</v>
      </c>
      <c r="R8" s="51">
        <f ca="1">-Calculations!R18-Calculations!R22-Calculations!R40-Calculations!R66-Calculations!R73-Calculations!R97</f>
        <v>-35.5741823374794</v>
      </c>
      <c r="S8" s="51">
        <f ca="1">-Calculations!S18-Calculations!S22-Calculations!S40-Calculations!S66-Calculations!S73-Calculations!S97</f>
        <v>-36.285665984228991</v>
      </c>
      <c r="T8" s="51">
        <f ca="1">-Calculations!T18-Calculations!T22-Calculations!T40-Calculations!T66-Calculations!T73-Calculations!T97</f>
        <v>-37.011379303913571</v>
      </c>
      <c r="U8" s="51">
        <f ca="1">-Calculations!U18-Calculations!U22-Calculations!U40-Calculations!U66-Calculations!U73-Calculations!U97</f>
        <v>-37.751606889991841</v>
      </c>
      <c r="V8" s="51">
        <f ca="1">-Calculations!V18-Calculations!V22-Calculations!V40-Calculations!V66-Calculations!V73-Calculations!V97</f>
        <v>-38.506639027791685</v>
      </c>
      <c r="W8" s="51">
        <f ca="1">-Calculations!W18-Calculations!W22-Calculations!W40-Calculations!W66-Calculations!W73-Calculations!W97</f>
        <v>-39.276771808347519</v>
      </c>
      <c r="X8" s="51">
        <f ca="1">-Calculations!X18-Calculations!X22-Calculations!X40-Calculations!X66-Calculations!X73-Calculations!X97</f>
        <v>-40.062307244514471</v>
      </c>
      <c r="Y8" s="51">
        <f ca="1">-Calculations!Y18-Calculations!Y22-Calculations!Y40-Calculations!Y66-Calculations!Y73-Calculations!Y97</f>
        <v>-40.863553389404764</v>
      </c>
      <c r="Z8" s="51">
        <f ca="1">-Calculations!Z18-Calculations!Z22-Calculations!Z40-Calculations!Z66-Calculations!Z73-Calculations!Z97</f>
        <v>-41.680824457192863</v>
      </c>
      <c r="AA8" s="51">
        <f ca="1">-Calculations!AA18-Calculations!AA22-Calculations!AA40-Calculations!AA66-Calculations!AA73-Calculations!AA97</f>
        <v>-42.51444094633672</v>
      </c>
      <c r="AB8" s="51">
        <f ca="1">-Calculations!AB18-Calculations!AB22-Calculations!AB40-Calculations!AB66-Calculations!AB73-Calculations!AB97</f>
        <v>-43.364729765263455</v>
      </c>
      <c r="AC8" s="51">
        <f ca="1">-Calculations!AC18-Calculations!AC22-Calculations!AC40-Calculations!AC66-Calculations!AC73-Calculations!AC97</f>
        <v>-44.232024360568722</v>
      </c>
      <c r="AD8" s="51">
        <f ca="1">-Calculations!AD18-Calculations!AD22-Calculations!AD40-Calculations!AD66-Calculations!AD73-Calculations!AD97</f>
        <v>-45.1166648477801</v>
      </c>
      <c r="AE8" s="51">
        <f ca="1">-Calculations!AE18-Calculations!AE22-Calculations!AE40-Calculations!AE66-Calculations!AE73-Calculations!AE97</f>
        <v>-46.018998144735697</v>
      </c>
      <c r="AF8" s="51">
        <f ca="1">-Calculations!AF18-Calculations!AF22-Calculations!AF40-Calculations!AF66-Calculations!AF73-Calculations!AF97</f>
        <v>-46.939378107630411</v>
      </c>
      <c r="AG8" s="51">
        <f ca="1">-Calculations!AG18-Calculations!AG22-Calculations!AG40-Calculations!AG66-Calculations!AG73-Calculations!AG97</f>
        <v>-47.878165669783023</v>
      </c>
      <c r="AH8" s="51">
        <f ca="1">-Calculations!AH18-Calculations!AH22-Calculations!AH40-Calculations!AH66-Calculations!AH73-Calculations!AH97</f>
        <v>-48.835728983178683</v>
      </c>
      <c r="AI8" s="51">
        <f ca="1">-Calculations!AI18-Calculations!AI22-Calculations!AI40-Calculations!AI66-Calculations!AI73-Calculations!AI97</f>
        <v>-49.812443562842262</v>
      </c>
      <c r="AJ8" s="51">
        <f ca="1">-Calculations!AJ18-Calculations!AJ22-Calculations!AJ40-Calculations!AJ66-Calculations!AJ73-Calculations!AJ97</f>
        <v>0</v>
      </c>
      <c r="AK8" s="51">
        <f ca="1">-Calculations!AK18-Calculations!AK22-Calculations!AK40-Calculations!AK66-Calculations!AK73-Calculations!AK97</f>
        <v>0</v>
      </c>
      <c r="AL8" s="51">
        <f ca="1">-Calculations!AL18-Calculations!AL22-Calculations!AL40-Calculations!AL66-Calculations!AL73-Calculations!AL97</f>
        <v>0</v>
      </c>
      <c r="AM8" s="51">
        <f ca="1">-Calculations!AM18-Calculations!AM22-Calculations!AM40-Calculations!AM66-Calculations!AM73-Calculations!AM97</f>
        <v>0</v>
      </c>
      <c r="AN8" s="51">
        <f ca="1">-Calculations!AN18-Calculations!AN22-Calculations!AN40-Calculations!AN66-Calculations!AN73-Calculations!AN97</f>
        <v>0</v>
      </c>
      <c r="AO8" s="51">
        <f ca="1">-Calculations!AO18-Calculations!AO22-Calculations!AO40-Calculations!AO66-Calculations!AO73-Calculations!AO97</f>
        <v>0</v>
      </c>
      <c r="AP8" s="51">
        <f ca="1">-Calculations!AP18-Calculations!AP22-Calculations!AP40-Calculations!AP66-Calculations!AP73-Calculations!AP97</f>
        <v>0</v>
      </c>
      <c r="AQ8" s="51">
        <f ca="1">-Calculations!AQ18-Calculations!AQ22-Calculations!AQ40-Calculations!AQ66-Calculations!AQ73-Calculations!AQ97</f>
        <v>0</v>
      </c>
      <c r="AR8" s="51">
        <f ca="1">-Calculations!AR18-Calculations!AR22-Calculations!AR40-Calculations!AR66-Calculations!AR73-Calculations!AR97</f>
        <v>0</v>
      </c>
      <c r="AS8" s="51">
        <f ca="1">-Calculations!AS18-Calculations!AS22-Calculations!AS40-Calculations!AS66-Calculations!AS73-Calculations!AS97</f>
        <v>0</v>
      </c>
      <c r="AT8" s="51">
        <f ca="1">-Calculations!AT18-Calculations!AT22-Calculations!AT40-Calculations!AT66-Calculations!AT73-Calculations!AT97</f>
        <v>0</v>
      </c>
      <c r="AU8" s="51">
        <f ca="1">-Calculations!AU18-Calculations!AU22-Calculations!AU40-Calculations!AU66-Calculations!AU73-Calculations!AU97</f>
        <v>0</v>
      </c>
      <c r="AV8" s="51">
        <f ca="1">-Calculations!AV18-Calculations!AV22-Calculations!AV40-Calculations!AV66-Calculations!AV73-Calculations!AV97</f>
        <v>0</v>
      </c>
      <c r="AW8" s="51">
        <f ca="1">-Calculations!AW18-Calculations!AW22-Calculations!AW40-Calculations!AW66-Calculations!AW73-Calculations!AW97</f>
        <v>0</v>
      </c>
      <c r="AX8" s="51">
        <f ca="1">-Calculations!AX18-Calculations!AX22-Calculations!AX40-Calculations!AX66-Calculations!AX73-Calculations!AX97</f>
        <v>0</v>
      </c>
      <c r="AY8" s="51">
        <f ca="1">-Calculations!AY18-Calculations!AY22-Calculations!AY40-Calculations!AY66-Calculations!AY73-Calculations!AY97</f>
        <v>0</v>
      </c>
      <c r="AZ8" s="51">
        <f ca="1">-Calculations!AZ18-Calculations!AZ22-Calculations!AZ40-Calculations!AZ66-Calculations!AZ73-Calculations!AZ97</f>
        <v>0</v>
      </c>
      <c r="BA8" s="51">
        <f ca="1">-Calculations!BA18-Calculations!BA22-Calculations!BA40-Calculations!BA66-Calculations!BA73-Calculations!BA97</f>
        <v>0</v>
      </c>
      <c r="BB8" s="51">
        <f ca="1">-Calculations!BB18-Calculations!BB22-Calculations!BB40-Calculations!BB66-Calculations!BB73-Calculations!BB97</f>
        <v>0</v>
      </c>
    </row>
    <row r="9" spans="1:56" s="7" customFormat="1" x14ac:dyDescent="0.2">
      <c r="A9" s="37">
        <f t="shared" si="2"/>
        <v>-309.12060000000002</v>
      </c>
      <c r="B9" s="37">
        <f>NPV('Assumptions &amp; Results'!$C$129,'Cash Flows'!E9:BB9)</f>
        <v>-234.07109525490677</v>
      </c>
      <c r="C9" s="8" t="s">
        <v>142</v>
      </c>
      <c r="D9" s="36" t="s">
        <v>75</v>
      </c>
      <c r="E9" s="51">
        <f>-Calculations!E141</f>
        <v>-75</v>
      </c>
      <c r="F9" s="51">
        <f>-Calculations!F141</f>
        <v>-76.5</v>
      </c>
      <c r="G9" s="51">
        <f>-Calculations!G141</f>
        <v>-78.03000000000003</v>
      </c>
      <c r="H9" s="51">
        <f>-Calculations!H141</f>
        <v>-79.590599999999995</v>
      </c>
      <c r="I9" s="51">
        <f>-Calculations!I141</f>
        <v>0</v>
      </c>
      <c r="J9" s="51">
        <f>-Calculations!J141</f>
        <v>0</v>
      </c>
      <c r="K9" s="51">
        <f>-Calculations!K141</f>
        <v>0</v>
      </c>
      <c r="L9" s="51">
        <f>-Calculations!L141</f>
        <v>0</v>
      </c>
      <c r="M9" s="51">
        <f>-Calculations!M141</f>
        <v>0</v>
      </c>
      <c r="N9" s="51">
        <f>-Calculations!N141</f>
        <v>0</v>
      </c>
      <c r="O9" s="51">
        <f>-Calculations!O141</f>
        <v>0</v>
      </c>
      <c r="P9" s="51">
        <f>-Calculations!P141</f>
        <v>0</v>
      </c>
      <c r="Q9" s="51">
        <f>-Calculations!Q141</f>
        <v>0</v>
      </c>
      <c r="R9" s="51">
        <f>-Calculations!R141</f>
        <v>0</v>
      </c>
      <c r="S9" s="51">
        <f>-Calculations!S141</f>
        <v>0</v>
      </c>
      <c r="T9" s="51">
        <f>-Calculations!T141</f>
        <v>0</v>
      </c>
      <c r="U9" s="51">
        <f>-Calculations!U141</f>
        <v>0</v>
      </c>
      <c r="V9" s="51">
        <f>-Calculations!V141</f>
        <v>0</v>
      </c>
      <c r="W9" s="51">
        <f>-Calculations!W141</f>
        <v>0</v>
      </c>
      <c r="X9" s="51">
        <f>-Calculations!X141</f>
        <v>0</v>
      </c>
      <c r="Y9" s="51">
        <f>-Calculations!Y141</f>
        <v>0</v>
      </c>
      <c r="Z9" s="51">
        <f>-Calculations!Z141</f>
        <v>0</v>
      </c>
      <c r="AA9" s="51">
        <f>-Calculations!AA141</f>
        <v>0</v>
      </c>
      <c r="AB9" s="51">
        <f>-Calculations!AB141</f>
        <v>0</v>
      </c>
      <c r="AC9" s="51">
        <f>-Calculations!AC141</f>
        <v>0</v>
      </c>
      <c r="AD9" s="51">
        <f>-Calculations!AD141</f>
        <v>0</v>
      </c>
      <c r="AE9" s="51">
        <f>-Calculations!AE141</f>
        <v>0</v>
      </c>
      <c r="AF9" s="51">
        <f>-Calculations!AF141</f>
        <v>0</v>
      </c>
      <c r="AG9" s="51">
        <f>-Calculations!AG141</f>
        <v>0</v>
      </c>
      <c r="AH9" s="51">
        <f>-Calculations!AH141</f>
        <v>0</v>
      </c>
      <c r="AI9" s="51">
        <f>-Calculations!AI141</f>
        <v>0</v>
      </c>
      <c r="AJ9" s="51">
        <f>-Calculations!AJ141</f>
        <v>0</v>
      </c>
      <c r="AK9" s="51">
        <f>-Calculations!AK141</f>
        <v>0</v>
      </c>
      <c r="AL9" s="51">
        <f>-Calculations!AL141</f>
        <v>0</v>
      </c>
      <c r="AM9" s="51">
        <f>-Calculations!AM141</f>
        <v>0</v>
      </c>
      <c r="AN9" s="51">
        <f>-Calculations!AN141</f>
        <v>0</v>
      </c>
      <c r="AO9" s="51">
        <f>-Calculations!AO141</f>
        <v>0</v>
      </c>
      <c r="AP9" s="51">
        <f>-Calculations!AP141</f>
        <v>0</v>
      </c>
      <c r="AQ9" s="51">
        <f>-Calculations!AQ141</f>
        <v>0</v>
      </c>
      <c r="AR9" s="51">
        <f>-Calculations!AR141</f>
        <v>0</v>
      </c>
      <c r="AS9" s="51">
        <f>-Calculations!AS141</f>
        <v>0</v>
      </c>
      <c r="AT9" s="51">
        <f>-Calculations!AT141</f>
        <v>0</v>
      </c>
      <c r="AU9" s="51">
        <f>-Calculations!AU141</f>
        <v>0</v>
      </c>
      <c r="AV9" s="51">
        <f>-Calculations!AV141</f>
        <v>0</v>
      </c>
      <c r="AW9" s="51">
        <f>-Calculations!AW141</f>
        <v>0</v>
      </c>
      <c r="AX9" s="51">
        <f>-Calculations!AX141</f>
        <v>0</v>
      </c>
      <c r="AY9" s="51">
        <f>-Calculations!AY141</f>
        <v>0</v>
      </c>
      <c r="AZ9" s="51">
        <f>-Calculations!AZ141</f>
        <v>0</v>
      </c>
      <c r="BA9" s="51">
        <f>-Calculations!BA141</f>
        <v>0</v>
      </c>
      <c r="BB9" s="51">
        <f>-Calculations!BB141</f>
        <v>0</v>
      </c>
    </row>
    <row r="10" spans="1:56" s="7" customFormat="1" x14ac:dyDescent="0.2">
      <c r="A10" s="37">
        <f t="shared" si="2"/>
        <v>-371.75400629271059</v>
      </c>
      <c r="B10" s="37">
        <f>NPV('Assumptions &amp; Results'!$C$129,'Cash Flows'!E10:BB10)</f>
        <v>-57.142377821308479</v>
      </c>
      <c r="C10" s="8" t="s">
        <v>215</v>
      </c>
      <c r="D10" s="36" t="s">
        <v>75</v>
      </c>
      <c r="E10" s="51">
        <f>-(Calculations!E110-'Debt &amp; Equity'!D17)</f>
        <v>0</v>
      </c>
      <c r="F10" s="51">
        <f>-(Calculations!F110-'Debt &amp; Equity'!E17)</f>
        <v>0</v>
      </c>
      <c r="G10" s="51">
        <f>-(Calculations!G110-'Debt &amp; Equity'!F17)</f>
        <v>0</v>
      </c>
      <c r="H10" s="51">
        <f>-(Calculations!H110-'Debt &amp; Equity'!G17)</f>
        <v>0</v>
      </c>
      <c r="I10" s="51">
        <f>-(Calculations!I110-'Debt &amp; Equity'!H17)</f>
        <v>0</v>
      </c>
      <c r="J10" s="51">
        <f>-(Calculations!J110-'Debt &amp; Equity'!I17)</f>
        <v>-11.040808032000001</v>
      </c>
      <c r="K10" s="51">
        <f>-(Calculations!K110-'Debt &amp; Equity'!J17)</f>
        <v>-11.261624192640001</v>
      </c>
      <c r="L10" s="51">
        <f>-(Calculations!L110-'Debt &amp; Equity'!K17)</f>
        <v>-11.486856676492801</v>
      </c>
      <c r="M10" s="51">
        <f>-(Calculations!M110-'Debt &amp; Equity'!L17)</f>
        <v>-11.716593810022658</v>
      </c>
      <c r="N10" s="51">
        <f>-(Calculations!N110-'Debt &amp; Equity'!M17)</f>
        <v>-11.95092568622311</v>
      </c>
      <c r="O10" s="51">
        <f>-(Calculations!O110-'Debt &amp; Equity'!N17)</f>
        <v>-12.189944199947574</v>
      </c>
      <c r="P10" s="51">
        <f>-(Calculations!P110-'Debt &amp; Equity'!O17)</f>
        <v>-12.433743083946524</v>
      </c>
      <c r="Q10" s="51">
        <f>-(Calculations!Q110-'Debt &amp; Equity'!P17)</f>
        <v>-12.682417945625454</v>
      </c>
      <c r="R10" s="51">
        <f>-(Calculations!R110-'Debt &amp; Equity'!Q17)</f>
        <v>-12.936066304537963</v>
      </c>
      <c r="S10" s="51">
        <f>-(Calculations!S110-'Debt &amp; Equity'!R17)</f>
        <v>-13.194787630628724</v>
      </c>
      <c r="T10" s="51">
        <f>-(Calculations!T110-'Debt &amp; Equity'!S17)</f>
        <v>-13.458683383241299</v>
      </c>
      <c r="U10" s="51">
        <f>-(Calculations!U110-'Debt &amp; Equity'!T17)</f>
        <v>-13.727857050906124</v>
      </c>
      <c r="V10" s="51">
        <f>-(Calculations!V110-'Debt &amp; Equity'!U17)</f>
        <v>-14.002414191924249</v>
      </c>
      <c r="W10" s="51">
        <f>-(Calculations!W110-'Debt &amp; Equity'!V17)</f>
        <v>-14.282462475762735</v>
      </c>
      <c r="X10" s="51">
        <f>-(Calculations!X110-'Debt &amp; Equity'!W17)</f>
        <v>-14.568111725277987</v>
      </c>
      <c r="Y10" s="51">
        <f>-(Calculations!Y110-'Debt &amp; Equity'!X17)</f>
        <v>-14.85947395978355</v>
      </c>
      <c r="Z10" s="51">
        <f>-(Calculations!Z110-'Debt &amp; Equity'!Y17)</f>
        <v>-15.156663438979221</v>
      </c>
      <c r="AA10" s="51">
        <f>-(Calculations!AA110-'Debt &amp; Equity'!Z17)</f>
        <v>-15.459796707758805</v>
      </c>
      <c r="AB10" s="51">
        <f>-(Calculations!AB110-'Debt &amp; Equity'!AA17)</f>
        <v>-15.768992641913982</v>
      </c>
      <c r="AC10" s="51">
        <f>-(Calculations!AC110-'Debt &amp; Equity'!AB17)</f>
        <v>-16.084372494752262</v>
      </c>
      <c r="AD10" s="51">
        <f>-(Calculations!AD110-'Debt &amp; Equity'!AC17)</f>
        <v>-16.406059944647307</v>
      </c>
      <c r="AE10" s="51">
        <f>-(Calculations!AE110-'Debt &amp; Equity'!AD17)</f>
        <v>-16.734181143540251</v>
      </c>
      <c r="AF10" s="51">
        <f>-(Calculations!AF110-'Debt &amp; Equity'!AE17)</f>
        <v>-17.068864766411057</v>
      </c>
      <c r="AG10" s="51">
        <f>-(Calculations!AG110-'Debt &amp; Equity'!AF17)</f>
        <v>-17.410242061739282</v>
      </c>
      <c r="AH10" s="51">
        <f>-(Calculations!AH110-'Debt &amp; Equity'!AG17)</f>
        <v>-17.758446902974065</v>
      </c>
      <c r="AI10" s="51">
        <f>-(Calculations!AI110-'Debt &amp; Equity'!AH17)</f>
        <v>-18.11361584103355</v>
      </c>
      <c r="AJ10" s="51">
        <f>-(Calculations!AJ110-'Debt &amp; Equity'!AI17)</f>
        <v>0</v>
      </c>
      <c r="AK10" s="51">
        <f>-(Calculations!AK110-'Debt &amp; Equity'!AJ17)</f>
        <v>0</v>
      </c>
      <c r="AL10" s="51">
        <f>-(Calculations!AL110-'Debt &amp; Equity'!AK17)</f>
        <v>0</v>
      </c>
      <c r="AM10" s="51">
        <f>-(Calculations!AM110-'Debt &amp; Equity'!AL17)</f>
        <v>0</v>
      </c>
      <c r="AN10" s="51">
        <f>-(Calculations!AN110-'Debt &amp; Equity'!AM17)</f>
        <v>0</v>
      </c>
      <c r="AO10" s="51">
        <f>-(Calculations!AO110-'Debt &amp; Equity'!AN17)</f>
        <v>0</v>
      </c>
      <c r="AP10" s="51">
        <f>-(Calculations!AP110-'Debt &amp; Equity'!AO17)</f>
        <v>0</v>
      </c>
      <c r="AQ10" s="51">
        <f>-(Calculations!AQ110-'Debt &amp; Equity'!AP17)</f>
        <v>0</v>
      </c>
      <c r="AR10" s="51">
        <f>-(Calculations!AR110-'Debt &amp; Equity'!AQ17)</f>
        <v>0</v>
      </c>
      <c r="AS10" s="51">
        <f>-(Calculations!AS110-'Debt &amp; Equity'!AR17)</f>
        <v>0</v>
      </c>
      <c r="AT10" s="51">
        <f>-(Calculations!AT110-'Debt &amp; Equity'!AS17)</f>
        <v>0</v>
      </c>
      <c r="AU10" s="51">
        <f>-(Calculations!AU110-'Debt &amp; Equity'!AT17)</f>
        <v>0</v>
      </c>
      <c r="AV10" s="51">
        <f>-(Calculations!AV110-'Debt &amp; Equity'!AU17)</f>
        <v>0</v>
      </c>
      <c r="AW10" s="51">
        <f>-(Calculations!AW110-'Debt &amp; Equity'!AV17)</f>
        <v>0</v>
      </c>
      <c r="AX10" s="51">
        <f>-(Calculations!AX110-'Debt &amp; Equity'!AW17)</f>
        <v>0</v>
      </c>
      <c r="AY10" s="51">
        <f>-(Calculations!AY110-'Debt &amp; Equity'!AX17)</f>
        <v>0</v>
      </c>
      <c r="AZ10" s="51">
        <f>-(Calculations!AZ110-'Debt &amp; Equity'!AY17)</f>
        <v>0</v>
      </c>
      <c r="BA10" s="51">
        <f>-(Calculations!BA110-'Debt &amp; Equity'!AZ17)</f>
        <v>0</v>
      </c>
      <c r="BB10" s="51">
        <f>-(Calculations!BB110-'Debt &amp; Equity'!BA17)</f>
        <v>0</v>
      </c>
    </row>
    <row r="11" spans="1:56" s="7" customFormat="1" x14ac:dyDescent="0.2">
      <c r="A11" s="37">
        <f t="shared" si="2"/>
        <v>-11282.512047981318</v>
      </c>
      <c r="B11" s="37">
        <f>NPV('Assumptions &amp; Results'!$C$129,'Cash Flows'!E11:BB11)</f>
        <v>-1787.9754638885529</v>
      </c>
      <c r="C11" s="8" t="s">
        <v>82</v>
      </c>
      <c r="D11" s="36" t="s">
        <v>75</v>
      </c>
      <c r="E11" s="51">
        <f>-Calculations!E10</f>
        <v>0</v>
      </c>
      <c r="F11" s="51">
        <f>-Calculations!F10</f>
        <v>0</v>
      </c>
      <c r="G11" s="51">
        <f>-Calculations!G10</f>
        <v>0</v>
      </c>
      <c r="H11" s="51">
        <f>-Calculations!H10</f>
        <v>0</v>
      </c>
      <c r="I11" s="51">
        <f>-Calculations!I10</f>
        <v>-129.8918592</v>
      </c>
      <c r="J11" s="51">
        <f>-Calculations!J10</f>
        <v>-331.22424096000003</v>
      </c>
      <c r="K11" s="51">
        <f>-Calculations!K10</f>
        <v>-337.84872577920004</v>
      </c>
      <c r="L11" s="51">
        <f>-Calculations!L10</f>
        <v>-344.60570029478401</v>
      </c>
      <c r="M11" s="51">
        <f>-Calculations!M10</f>
        <v>-351.49781430067975</v>
      </c>
      <c r="N11" s="51">
        <f>-Calculations!N10</f>
        <v>-358.52777058669329</v>
      </c>
      <c r="O11" s="51">
        <f>-Calculations!O10</f>
        <v>-365.69832599842721</v>
      </c>
      <c r="P11" s="51">
        <f>-Calculations!P10</f>
        <v>-373.01229251839572</v>
      </c>
      <c r="Q11" s="51">
        <f>-Calculations!Q10</f>
        <v>-380.47253836876365</v>
      </c>
      <c r="R11" s="51">
        <f>-Calculations!R10</f>
        <v>-388.08198913613887</v>
      </c>
      <c r="S11" s="51">
        <f>-Calculations!S10</f>
        <v>-395.84362891886173</v>
      </c>
      <c r="T11" s="51">
        <f>-Calculations!T10</f>
        <v>-403.76050149723898</v>
      </c>
      <c r="U11" s="51">
        <f>-Calculations!U10</f>
        <v>-411.83571152718372</v>
      </c>
      <c r="V11" s="51">
        <f>-Calculations!V10</f>
        <v>-420.07242575772744</v>
      </c>
      <c r="W11" s="51">
        <f>-Calculations!W10</f>
        <v>-428.47387427288203</v>
      </c>
      <c r="X11" s="51">
        <f>-Calculations!X10</f>
        <v>-437.04335175833961</v>
      </c>
      <c r="Y11" s="51">
        <f>-Calculations!Y10</f>
        <v>-445.78421879350645</v>
      </c>
      <c r="Z11" s="51">
        <f>-Calculations!Z10</f>
        <v>-454.69990316937663</v>
      </c>
      <c r="AA11" s="51">
        <f>-Calculations!AA10</f>
        <v>-463.7939012327642</v>
      </c>
      <c r="AB11" s="51">
        <f>-Calculations!AB10</f>
        <v>-473.06977925741944</v>
      </c>
      <c r="AC11" s="51">
        <f>-Calculations!AC10</f>
        <v>-482.53117484256785</v>
      </c>
      <c r="AD11" s="51">
        <f>-Calculations!AD10</f>
        <v>-492.18179833941917</v>
      </c>
      <c r="AE11" s="51">
        <f>-Calculations!AE10</f>
        <v>-502.02543430620756</v>
      </c>
      <c r="AF11" s="51">
        <f>-Calculations!AF10</f>
        <v>-512.06594299233177</v>
      </c>
      <c r="AG11" s="51">
        <f>-Calculations!AG10</f>
        <v>-522.30726185217839</v>
      </c>
      <c r="AH11" s="51">
        <f>-Calculations!AH10</f>
        <v>-532.75340708922192</v>
      </c>
      <c r="AI11" s="51">
        <f>-Calculations!AI10</f>
        <v>-543.40847523100649</v>
      </c>
      <c r="AJ11" s="51">
        <f>-Calculations!AJ10</f>
        <v>0</v>
      </c>
      <c r="AK11" s="51">
        <f>-Calculations!AK10</f>
        <v>0</v>
      </c>
      <c r="AL11" s="51">
        <f>-Calculations!AL10</f>
        <v>0</v>
      </c>
      <c r="AM11" s="51">
        <f>-Calculations!AM10</f>
        <v>0</v>
      </c>
      <c r="AN11" s="51">
        <f>-Calculations!AN10</f>
        <v>0</v>
      </c>
      <c r="AO11" s="51">
        <f>-Calculations!AO10</f>
        <v>0</v>
      </c>
      <c r="AP11" s="51">
        <f>-Calculations!AP10</f>
        <v>0</v>
      </c>
      <c r="AQ11" s="51">
        <f>-Calculations!AQ10</f>
        <v>0</v>
      </c>
      <c r="AR11" s="51">
        <f>-Calculations!AR10</f>
        <v>0</v>
      </c>
      <c r="AS11" s="51">
        <f>-Calculations!AS10</f>
        <v>0</v>
      </c>
      <c r="AT11" s="51">
        <f>-Calculations!AT10</f>
        <v>0</v>
      </c>
      <c r="AU11" s="51">
        <f>-Calculations!AU10</f>
        <v>0</v>
      </c>
      <c r="AV11" s="51">
        <f>-Calculations!AV10</f>
        <v>0</v>
      </c>
      <c r="AW11" s="51">
        <f>-Calculations!AW10</f>
        <v>0</v>
      </c>
      <c r="AX11" s="51">
        <f>-Calculations!AX10</f>
        <v>0</v>
      </c>
      <c r="AY11" s="51">
        <f>-Calculations!AY10</f>
        <v>0</v>
      </c>
      <c r="AZ11" s="51">
        <f>-Calculations!AZ10</f>
        <v>0</v>
      </c>
      <c r="BA11" s="51">
        <f>-Calculations!BA10</f>
        <v>0</v>
      </c>
      <c r="BB11" s="51">
        <f>-Calculations!BB10</f>
        <v>0</v>
      </c>
    </row>
    <row r="12" spans="1:56" s="7" customFormat="1" x14ac:dyDescent="0.2">
      <c r="A12" s="37">
        <f t="shared" ref="A12" si="3">SUM(E12:BB12)</f>
        <v>-41.633723316089146</v>
      </c>
      <c r="B12" s="37">
        <f>NPV('Assumptions &amp; Results'!$C$129,'Cash Flows'!E12:BB12)</f>
        <v>-6.6765684978505231</v>
      </c>
      <c r="C12" s="8" t="s">
        <v>475</v>
      </c>
      <c r="D12" s="36" t="s">
        <v>75</v>
      </c>
      <c r="E12" s="51">
        <f>-Calculations!E12</f>
        <v>0</v>
      </c>
      <c r="F12" s="51">
        <f>-Calculations!F12</f>
        <v>0</v>
      </c>
      <c r="G12" s="51">
        <f>-Calculations!G12</f>
        <v>0</v>
      </c>
      <c r="H12" s="51">
        <f>-Calculations!H12</f>
        <v>0</v>
      </c>
      <c r="I12" s="51">
        <f>-Calculations!I12</f>
        <v>-0.51177392524800003</v>
      </c>
      <c r="J12" s="51">
        <f>-Calculations!J12</f>
        <v>-1.2895663781375999</v>
      </c>
      <c r="K12" s="51">
        <f>-Calculations!K12</f>
        <v>-1.2995914318306561</v>
      </c>
      <c r="L12" s="51">
        <f>-Calculations!L12</f>
        <v>-1.3095016611201793</v>
      </c>
      <c r="M12" s="51">
        <f>-Calculations!M12</f>
        <v>-1.3204601223895536</v>
      </c>
      <c r="N12" s="51">
        <f>-Calculations!N12</f>
        <v>-1.3301380288766322</v>
      </c>
      <c r="O12" s="51">
        <f>-Calculations!O12</f>
        <v>-1.340893861994233</v>
      </c>
      <c r="P12" s="51">
        <f>-Calculations!P12</f>
        <v>-1.3677117392341176</v>
      </c>
      <c r="Q12" s="51">
        <f>-Calculations!Q12</f>
        <v>-1.3950659740188001</v>
      </c>
      <c r="R12" s="51">
        <f>-Calculations!R12</f>
        <v>-1.4229672934991759</v>
      </c>
      <c r="S12" s="51">
        <f>-Calculations!S12</f>
        <v>-1.4514266393691597</v>
      </c>
      <c r="T12" s="51">
        <f>-Calculations!T12</f>
        <v>-1.4804551721565429</v>
      </c>
      <c r="U12" s="51">
        <f>-Calculations!U12</f>
        <v>-1.5100642755996738</v>
      </c>
      <c r="V12" s="51">
        <f>-Calculations!V12</f>
        <v>-1.5402655611116673</v>
      </c>
      <c r="W12" s="51">
        <f>-Calculations!W12</f>
        <v>-1.5710708723339009</v>
      </c>
      <c r="X12" s="51">
        <f>-Calculations!X12</f>
        <v>-1.6024922897805787</v>
      </c>
      <c r="Y12" s="51">
        <f>-Calculations!Y12</f>
        <v>-1.6345421355761904</v>
      </c>
      <c r="Z12" s="51">
        <f>-Calculations!Z12</f>
        <v>-1.6672329782877144</v>
      </c>
      <c r="AA12" s="51">
        <f>-Calculations!AA12</f>
        <v>-1.7005776378534685</v>
      </c>
      <c r="AB12" s="51">
        <f>-Calculations!AB12</f>
        <v>-1.734589190610538</v>
      </c>
      <c r="AC12" s="51">
        <f>-Calculations!AC12</f>
        <v>-1.7692809744227489</v>
      </c>
      <c r="AD12" s="51">
        <f>-Calculations!AD12</f>
        <v>-1.8046665939112039</v>
      </c>
      <c r="AE12" s="51">
        <f>-Calculations!AE12</f>
        <v>-1.8407599257894278</v>
      </c>
      <c r="AF12" s="51">
        <f>-Calculations!AF12</f>
        <v>-1.8775751243052163</v>
      </c>
      <c r="AG12" s="51">
        <f>-Calculations!AG12</f>
        <v>-1.915126626791321</v>
      </c>
      <c r="AH12" s="51">
        <f>-Calculations!AH12</f>
        <v>-1.9534291593271471</v>
      </c>
      <c r="AI12" s="51">
        <f>-Calculations!AI12</f>
        <v>-1.9924977425136905</v>
      </c>
      <c r="AJ12" s="51">
        <f>-Calculations!AJ12</f>
        <v>0</v>
      </c>
      <c r="AK12" s="51">
        <f>-Calculations!AK12</f>
        <v>0</v>
      </c>
      <c r="AL12" s="51">
        <f>-Calculations!AL12</f>
        <v>0</v>
      </c>
      <c r="AM12" s="51">
        <f>-Calculations!AM12</f>
        <v>0</v>
      </c>
      <c r="AN12" s="51">
        <f>-Calculations!AN12</f>
        <v>0</v>
      </c>
      <c r="AO12" s="51">
        <f>-Calculations!AO12</f>
        <v>0</v>
      </c>
      <c r="AP12" s="51">
        <f>-Calculations!AP12</f>
        <v>0</v>
      </c>
      <c r="AQ12" s="51">
        <f>-Calculations!AQ12</f>
        <v>0</v>
      </c>
      <c r="AR12" s="51">
        <f>-Calculations!AR12</f>
        <v>0</v>
      </c>
      <c r="AS12" s="51">
        <f>-Calculations!AS12</f>
        <v>0</v>
      </c>
      <c r="AT12" s="51">
        <f>-Calculations!AT12</f>
        <v>0</v>
      </c>
      <c r="AU12" s="51">
        <f>-Calculations!AU12</f>
        <v>0</v>
      </c>
      <c r="AV12" s="51">
        <f>-Calculations!AV12</f>
        <v>0</v>
      </c>
      <c r="AW12" s="51">
        <f>-Calculations!AW12</f>
        <v>0</v>
      </c>
      <c r="AX12" s="51">
        <f>-Calculations!AX12</f>
        <v>0</v>
      </c>
      <c r="AY12" s="51">
        <f>-Calculations!AY12</f>
        <v>0</v>
      </c>
      <c r="AZ12" s="51">
        <f>-Calculations!AZ12</f>
        <v>0</v>
      </c>
      <c r="BA12" s="51">
        <f>-Calculations!BA12</f>
        <v>0</v>
      </c>
      <c r="BB12" s="51">
        <f>-Calculations!BB12</f>
        <v>0</v>
      </c>
    </row>
    <row r="13" spans="1:56" s="7" customFormat="1" x14ac:dyDescent="0.2">
      <c r="A13" s="37">
        <f t="shared" si="2"/>
        <v>-440.28656100000001</v>
      </c>
      <c r="B13" s="37">
        <f>NPV('Assumptions &amp; Results'!$C$129,'Cash Flows'!E13:BB13)</f>
        <v>-228.98846973135096</v>
      </c>
      <c r="C13" s="8" t="s">
        <v>143</v>
      </c>
      <c r="D13" s="36" t="s">
        <v>75</v>
      </c>
      <c r="E13" s="51">
        <f>-Calculations!E74</f>
        <v>0</v>
      </c>
      <c r="F13" s="51">
        <f>-Calculations!F74</f>
        <v>-21</v>
      </c>
      <c r="G13" s="51">
        <f>-Calculations!G74</f>
        <v>-40.71264</v>
      </c>
      <c r="H13" s="51">
        <f>-Calculations!H74</f>
        <v>-58.907291000000001</v>
      </c>
      <c r="I13" s="51">
        <f>-Calculations!I74</f>
        <v>-75.324122000000003</v>
      </c>
      <c r="J13" s="51">
        <f>-Calculations!J74</f>
        <v>-66.939497000000003</v>
      </c>
      <c r="K13" s="51">
        <f>-Calculations!K74</f>
        <v>-57.548717000000003</v>
      </c>
      <c r="L13" s="51">
        <f>-Calculations!L74</f>
        <v>-47.031044000000001</v>
      </c>
      <c r="M13" s="51">
        <f>-Calculations!M74</f>
        <v>-35.251249999999999</v>
      </c>
      <c r="N13" s="51">
        <f>-Calculations!N74</f>
        <v>-22.057880999999998</v>
      </c>
      <c r="O13" s="51">
        <f>-Calculations!O74</f>
        <v>-11.508666</v>
      </c>
      <c r="P13" s="51">
        <f>-Calculations!P74</f>
        <v>-4.0054530000000002</v>
      </c>
      <c r="Q13" s="51">
        <f>-Calculations!Q74</f>
        <v>0</v>
      </c>
      <c r="R13" s="51">
        <f>-Calculations!R74</f>
        <v>0</v>
      </c>
      <c r="S13" s="51">
        <f>-Calculations!S74</f>
        <v>0</v>
      </c>
      <c r="T13" s="51">
        <f>-Calculations!T74</f>
        <v>0</v>
      </c>
      <c r="U13" s="51">
        <f>-Calculations!U74</f>
        <v>0</v>
      </c>
      <c r="V13" s="51">
        <f>-Calculations!V74</f>
        <v>0</v>
      </c>
      <c r="W13" s="51">
        <f>-Calculations!W74</f>
        <v>0</v>
      </c>
      <c r="X13" s="51">
        <f>-Calculations!X74</f>
        <v>0</v>
      </c>
      <c r="Y13" s="51">
        <f>-Calculations!Y74</f>
        <v>0</v>
      </c>
      <c r="Z13" s="51">
        <f>-Calculations!Z74</f>
        <v>0</v>
      </c>
      <c r="AA13" s="51">
        <f>-Calculations!AA74</f>
        <v>0</v>
      </c>
      <c r="AB13" s="51">
        <f>-Calculations!AB74</f>
        <v>0</v>
      </c>
      <c r="AC13" s="51">
        <f>-Calculations!AC74</f>
        <v>0</v>
      </c>
      <c r="AD13" s="51">
        <f>-Calculations!AD74</f>
        <v>0</v>
      </c>
      <c r="AE13" s="51">
        <f>-Calculations!AE74</f>
        <v>0</v>
      </c>
      <c r="AF13" s="51">
        <f>-Calculations!AF74</f>
        <v>0</v>
      </c>
      <c r="AG13" s="51">
        <f>-Calculations!AG74</f>
        <v>0</v>
      </c>
      <c r="AH13" s="51">
        <f>-Calculations!AH74</f>
        <v>0</v>
      </c>
      <c r="AI13" s="51">
        <f>-Calculations!AI74</f>
        <v>0</v>
      </c>
      <c r="AJ13" s="51">
        <f>-Calculations!AJ74</f>
        <v>0</v>
      </c>
      <c r="AK13" s="51">
        <f>-Calculations!AK74</f>
        <v>0</v>
      </c>
      <c r="AL13" s="51">
        <f>-Calculations!AL74</f>
        <v>0</v>
      </c>
      <c r="AM13" s="51">
        <f>-Calculations!AM74</f>
        <v>0</v>
      </c>
      <c r="AN13" s="51">
        <f>-Calculations!AN74</f>
        <v>0</v>
      </c>
      <c r="AO13" s="51">
        <f>-Calculations!AO74</f>
        <v>0</v>
      </c>
      <c r="AP13" s="51">
        <f>-Calculations!AP74</f>
        <v>0</v>
      </c>
      <c r="AQ13" s="51">
        <f>-Calculations!AQ74</f>
        <v>0</v>
      </c>
      <c r="AR13" s="51">
        <f>-Calculations!AR74</f>
        <v>0</v>
      </c>
      <c r="AS13" s="51">
        <f>-Calculations!AS74</f>
        <v>0</v>
      </c>
      <c r="AT13" s="51">
        <f>-Calculations!AT74</f>
        <v>0</v>
      </c>
      <c r="AU13" s="51">
        <f>-Calculations!AU74</f>
        <v>0</v>
      </c>
      <c r="AV13" s="51">
        <f>-Calculations!AV74</f>
        <v>0</v>
      </c>
      <c r="AW13" s="51">
        <f>-Calculations!AW74</f>
        <v>0</v>
      </c>
      <c r="AX13" s="51">
        <f>-Calculations!AX74</f>
        <v>0</v>
      </c>
      <c r="AY13" s="51">
        <f>-Calculations!AY74</f>
        <v>0</v>
      </c>
      <c r="AZ13" s="51">
        <f>-Calculations!AZ74</f>
        <v>0</v>
      </c>
      <c r="BA13" s="51">
        <f>-Calculations!BA74</f>
        <v>0</v>
      </c>
      <c r="BB13" s="51">
        <f>-Calculations!BB74</f>
        <v>0</v>
      </c>
    </row>
    <row r="14" spans="1:56" s="7" customFormat="1" x14ac:dyDescent="0.2">
      <c r="A14" s="37">
        <f t="shared" si="2"/>
        <v>-721.28139800000008</v>
      </c>
      <c r="B14" s="37">
        <f>NPV('Assumptions &amp; Results'!$C$129,'Cash Flows'!E14:BB14)</f>
        <v>-317.17741791033689</v>
      </c>
      <c r="C14" s="8" t="s">
        <v>144</v>
      </c>
      <c r="D14" s="36" t="s">
        <v>75</v>
      </c>
      <c r="E14" s="51">
        <f>-'Debt &amp; Equity'!D275</f>
        <v>0</v>
      </c>
      <c r="F14" s="51">
        <f>-'Debt &amp; Equity'!E275</f>
        <v>-14.227997</v>
      </c>
      <c r="G14" s="51">
        <f>-'Debt &amp; Equity'!F275</f>
        <v>-30.447914000000001</v>
      </c>
      <c r="H14" s="51">
        <f>-'Debt &amp; Equity'!G275</f>
        <v>-48.904471999999998</v>
      </c>
      <c r="I14" s="51">
        <f>-'Debt &amp; Equity'!H275</f>
        <v>-69.871872999999994</v>
      </c>
      <c r="J14" s="51">
        <f>-'Debt &amp; Equity'!I275</f>
        <v>-78.256497999999993</v>
      </c>
      <c r="K14" s="51">
        <f>-'Debt &amp; Equity'!J275</f>
        <v>-87.647278</v>
      </c>
      <c r="L14" s="51">
        <f>-'Debt &amp; Equity'!K275</f>
        <v>-98.164951000000002</v>
      </c>
      <c r="M14" s="51">
        <f>-'Debt &amp; Equity'!L275</f>
        <v>-109.944745</v>
      </c>
      <c r="N14" s="51">
        <f>-'Debt &amp; Equity'!M275</f>
        <v>-87.910117</v>
      </c>
      <c r="O14" s="51">
        <f>-'Debt &amp; Equity'!N275</f>
        <v>-62.526774000000003</v>
      </c>
      <c r="P14" s="51">
        <f>-'Debt &amp; Equity'!O275</f>
        <v>-33.378779000000002</v>
      </c>
      <c r="Q14" s="51">
        <f>-'Debt &amp; Equity'!P275</f>
        <v>0</v>
      </c>
      <c r="R14" s="51">
        <f>-'Debt &amp; Equity'!Q275</f>
        <v>0</v>
      </c>
      <c r="S14" s="51">
        <f>-'Debt &amp; Equity'!R275</f>
        <v>0</v>
      </c>
      <c r="T14" s="51">
        <f>-'Debt &amp; Equity'!S275</f>
        <v>0</v>
      </c>
      <c r="U14" s="51">
        <f>-'Debt &amp; Equity'!T275</f>
        <v>0</v>
      </c>
      <c r="V14" s="51">
        <f>-'Debt &amp; Equity'!U275</f>
        <v>0</v>
      </c>
      <c r="W14" s="51">
        <f>-'Debt &amp; Equity'!V275</f>
        <v>0</v>
      </c>
      <c r="X14" s="51">
        <f>-'Debt &amp; Equity'!W275</f>
        <v>0</v>
      </c>
      <c r="Y14" s="51">
        <f>-'Debt &amp; Equity'!X275</f>
        <v>0</v>
      </c>
      <c r="Z14" s="51">
        <f>-'Debt &amp; Equity'!Y275</f>
        <v>0</v>
      </c>
      <c r="AA14" s="51">
        <f>-'Debt &amp; Equity'!Z275</f>
        <v>0</v>
      </c>
      <c r="AB14" s="51">
        <f>-'Debt &amp; Equity'!AA275</f>
        <v>0</v>
      </c>
      <c r="AC14" s="51">
        <f>-'Debt &amp; Equity'!AB275</f>
        <v>0</v>
      </c>
      <c r="AD14" s="51">
        <f>-'Debt &amp; Equity'!AC275</f>
        <v>0</v>
      </c>
      <c r="AE14" s="51">
        <f>-'Debt &amp; Equity'!AD275</f>
        <v>0</v>
      </c>
      <c r="AF14" s="51">
        <f>-'Debt &amp; Equity'!AE275</f>
        <v>0</v>
      </c>
      <c r="AG14" s="51">
        <f>-'Debt &amp; Equity'!AF275</f>
        <v>0</v>
      </c>
      <c r="AH14" s="51">
        <f>-'Debt &amp; Equity'!AG275</f>
        <v>0</v>
      </c>
      <c r="AI14" s="51">
        <f>-'Debt &amp; Equity'!AH275</f>
        <v>0</v>
      </c>
      <c r="AJ14" s="51">
        <f>-'Debt &amp; Equity'!AI275</f>
        <v>0</v>
      </c>
      <c r="AK14" s="51">
        <f>-'Debt &amp; Equity'!AJ275</f>
        <v>0</v>
      </c>
      <c r="AL14" s="51">
        <f>-'Debt &amp; Equity'!AK275</f>
        <v>0</v>
      </c>
      <c r="AM14" s="51">
        <f>-'Debt &amp; Equity'!AL275</f>
        <v>0</v>
      </c>
      <c r="AN14" s="51">
        <f>-'Debt &amp; Equity'!AM275</f>
        <v>0</v>
      </c>
      <c r="AO14" s="51">
        <f>-'Debt &amp; Equity'!AN275</f>
        <v>0</v>
      </c>
      <c r="AP14" s="51">
        <f>-'Debt &amp; Equity'!AO275</f>
        <v>0</v>
      </c>
      <c r="AQ14" s="51">
        <f>-'Debt &amp; Equity'!AP275</f>
        <v>0</v>
      </c>
      <c r="AR14" s="51">
        <f>-'Debt &amp; Equity'!AQ275</f>
        <v>0</v>
      </c>
      <c r="AS14" s="51">
        <f>-'Debt &amp; Equity'!AR275</f>
        <v>0</v>
      </c>
      <c r="AT14" s="51">
        <f>-'Debt &amp; Equity'!AS275</f>
        <v>0</v>
      </c>
      <c r="AU14" s="51">
        <f>-'Debt &amp; Equity'!AT275</f>
        <v>0</v>
      </c>
      <c r="AV14" s="51">
        <f>-'Debt &amp; Equity'!AU275</f>
        <v>0</v>
      </c>
      <c r="AW14" s="51">
        <f>-'Debt &amp; Equity'!AV275</f>
        <v>0</v>
      </c>
      <c r="AX14" s="51">
        <f>-'Debt &amp; Equity'!AW275</f>
        <v>0</v>
      </c>
      <c r="AY14" s="51">
        <f>-'Debt &amp; Equity'!AX275</f>
        <v>0</v>
      </c>
      <c r="AZ14" s="51">
        <f>-'Debt &amp; Equity'!AY275</f>
        <v>0</v>
      </c>
      <c r="BA14" s="51">
        <f>-'Debt &amp; Equity'!AZ275</f>
        <v>0</v>
      </c>
      <c r="BB14" s="51">
        <f>-'Debt &amp; Equity'!BA275</f>
        <v>0</v>
      </c>
    </row>
    <row r="15" spans="1:56" s="7" customFormat="1" x14ac:dyDescent="0.2">
      <c r="A15" s="37">
        <f ca="1">SUM(E15:BB15)</f>
        <v>-2406.2793220507833</v>
      </c>
      <c r="B15" s="37">
        <f ca="1">NPV('Assumptions &amp; Results'!$C$129,'Cash Flows'!E15:BB15)</f>
        <v>-274.54988420575017</v>
      </c>
      <c r="C15" s="8" t="s">
        <v>19</v>
      </c>
      <c r="D15" s="36" t="s">
        <v>75</v>
      </c>
      <c r="E15" s="51">
        <f ca="1">-Calculations!E98-Calculations!E96</f>
        <v>0</v>
      </c>
      <c r="F15" s="51">
        <f ca="1">-Calculations!F98-Calculations!F96</f>
        <v>0</v>
      </c>
      <c r="G15" s="51">
        <f ca="1">-Calculations!G98-Calculations!G96</f>
        <v>0</v>
      </c>
      <c r="H15" s="51">
        <f ca="1">-Calculations!H98-Calculations!H96</f>
        <v>0</v>
      </c>
      <c r="I15" s="51">
        <f ca="1">-Calculations!I98-Calculations!I96</f>
        <v>0</v>
      </c>
      <c r="J15" s="51">
        <f ca="1">-Calculations!J98-Calculations!J96</f>
        <v>0</v>
      </c>
      <c r="K15" s="51">
        <f ca="1">-Calculations!K98-Calculations!K96</f>
        <v>0</v>
      </c>
      <c r="L15" s="51">
        <f ca="1">-Calculations!L98-Calculations!L96</f>
        <v>0</v>
      </c>
      <c r="M15" s="51">
        <f ca="1">-Calculations!M98-Calculations!M96</f>
        <v>0</v>
      </c>
      <c r="N15" s="51">
        <f ca="1">-Calculations!N98-Calculations!N96</f>
        <v>-79.920175323974888</v>
      </c>
      <c r="O15" s="51">
        <f ca="1">-Calculations!O98-Calculations!O96</f>
        <v>-86.409867917577245</v>
      </c>
      <c r="P15" s="51">
        <f ca="1">-Calculations!P98-Calculations!P96</f>
        <v>-90.844750487928778</v>
      </c>
      <c r="Q15" s="51">
        <f ca="1">-Calculations!Q98-Calculations!Q96</f>
        <v>-94.091592218687367</v>
      </c>
      <c r="R15" s="51">
        <f ca="1">-Calculations!R98-Calculations!R96</f>
        <v>-95.973424063061103</v>
      </c>
      <c r="S15" s="51">
        <f ca="1">-Calculations!S98-Calculations!S96</f>
        <v>-97.892892544322308</v>
      </c>
      <c r="T15" s="51">
        <f ca="1">-Calculations!T98-Calculations!T96</f>
        <v>-99.850750395208792</v>
      </c>
      <c r="U15" s="51">
        <f ca="1">-Calculations!U98-Calculations!U96</f>
        <v>-101.84776540311296</v>
      </c>
      <c r="V15" s="51">
        <f ca="1">-Calculations!V98-Calculations!V96</f>
        <v>-103.88472071117522</v>
      </c>
      <c r="W15" s="51">
        <f ca="1">-Calculations!W98-Calculations!W96</f>
        <v>-105.96241512539873</v>
      </c>
      <c r="X15" s="51">
        <f ca="1">-Calculations!X98-Calculations!X96</f>
        <v>-108.08166342790672</v>
      </c>
      <c r="Y15" s="51">
        <f ca="1">-Calculations!Y98-Calculations!Y96</f>
        <v>-110.24329669646487</v>
      </c>
      <c r="Z15" s="51">
        <f ca="1">-Calculations!Z98-Calculations!Z96</f>
        <v>-112.44816263039417</v>
      </c>
      <c r="AA15" s="51">
        <f ca="1">-Calculations!AA98-Calculations!AA96</f>
        <v>-114.69712588300202</v>
      </c>
      <c r="AB15" s="51">
        <f ca="1">-Calculations!AB98-Calculations!AB96</f>
        <v>-116.99106840066209</v>
      </c>
      <c r="AC15" s="51">
        <f ca="1">-Calculations!AC98-Calculations!AC96</f>
        <v>-119.33088976867532</v>
      </c>
      <c r="AD15" s="51">
        <f ca="1">-Calculations!AD98-Calculations!AD96</f>
        <v>-121.71750756404886</v>
      </c>
      <c r="AE15" s="51">
        <f ca="1">-Calculations!AE98-Calculations!AE96</f>
        <v>-124.15185771532983</v>
      </c>
      <c r="AF15" s="51">
        <f ca="1">-Calculations!AF98-Calculations!AF96</f>
        <v>-126.63489486963637</v>
      </c>
      <c r="AG15" s="51">
        <f ca="1">-Calculations!AG98-Calculations!AG96</f>
        <v>-129.16759276702916</v>
      </c>
      <c r="AH15" s="51">
        <f ca="1">-Calculations!AH98-Calculations!AH96</f>
        <v>-131.7509446223697</v>
      </c>
      <c r="AI15" s="51">
        <f ca="1">-Calculations!AI98-Calculations!AI96</f>
        <v>-134.38596351481709</v>
      </c>
      <c r="AJ15" s="51">
        <f ca="1">-Calculations!AJ98-Calculations!AJ96</f>
        <v>0</v>
      </c>
      <c r="AK15" s="51">
        <f ca="1">-Calculations!AK98-Calculations!AK96</f>
        <v>0</v>
      </c>
      <c r="AL15" s="51">
        <f ca="1">-Calculations!AL98-Calculations!AL96</f>
        <v>0</v>
      </c>
      <c r="AM15" s="51">
        <f ca="1">-Calculations!AM98-Calculations!AM96</f>
        <v>0</v>
      </c>
      <c r="AN15" s="51">
        <f ca="1">-Calculations!AN98-Calculations!AN96</f>
        <v>0</v>
      </c>
      <c r="AO15" s="51">
        <f ca="1">-Calculations!AO98-Calculations!AO96</f>
        <v>0</v>
      </c>
      <c r="AP15" s="51">
        <f ca="1">-Calculations!AP98-Calculations!AP96</f>
        <v>0</v>
      </c>
      <c r="AQ15" s="51">
        <f ca="1">-Calculations!AQ98-Calculations!AQ96</f>
        <v>0</v>
      </c>
      <c r="AR15" s="51">
        <f ca="1">-Calculations!AR98-Calculations!AR96</f>
        <v>0</v>
      </c>
      <c r="AS15" s="51">
        <f ca="1">-Calculations!AS98-Calculations!AS96</f>
        <v>0</v>
      </c>
      <c r="AT15" s="51">
        <f ca="1">-Calculations!AT98-Calculations!AT96</f>
        <v>0</v>
      </c>
      <c r="AU15" s="51">
        <f ca="1">-Calculations!AU98-Calculations!AU96</f>
        <v>0</v>
      </c>
      <c r="AV15" s="51">
        <f ca="1">-Calculations!AV98-Calculations!AV96</f>
        <v>0</v>
      </c>
      <c r="AW15" s="51">
        <f ca="1">-Calculations!AW98-Calculations!AW96</f>
        <v>0</v>
      </c>
      <c r="AX15" s="51">
        <f ca="1">-Calculations!AX98-Calculations!AX96</f>
        <v>0</v>
      </c>
      <c r="AY15" s="51">
        <f ca="1">-Calculations!AY98-Calculations!AY96</f>
        <v>0</v>
      </c>
      <c r="AZ15" s="51">
        <f ca="1">-Calculations!AZ98-Calculations!AZ96</f>
        <v>0</v>
      </c>
      <c r="BA15" s="51">
        <f ca="1">-Calculations!BA98-Calculations!BA96</f>
        <v>0</v>
      </c>
      <c r="BB15" s="51">
        <f ca="1">-Calculations!BB98-Calculations!BB96</f>
        <v>0</v>
      </c>
    </row>
    <row r="16" spans="1:56" s="7" customFormat="1" x14ac:dyDescent="0.2">
      <c r="A16" s="37">
        <f ca="1">SUM(E16:BB16)</f>
        <v>0</v>
      </c>
      <c r="B16" s="37">
        <f ca="1">NPV('Assumptions &amp; Results'!$C$129,'Cash Flows'!E16:BB16)</f>
        <v>0</v>
      </c>
      <c r="C16" s="8" t="s">
        <v>10</v>
      </c>
      <c r="D16" s="36" t="s">
        <v>75</v>
      </c>
      <c r="E16" s="51">
        <f ca="1">-Calculations!E106</f>
        <v>0</v>
      </c>
      <c r="F16" s="51">
        <f ca="1">-Calculations!F106</f>
        <v>0</v>
      </c>
      <c r="G16" s="51">
        <f ca="1">-Calculations!G106</f>
        <v>0</v>
      </c>
      <c r="H16" s="51">
        <f ca="1">-Calculations!H106</f>
        <v>0</v>
      </c>
      <c r="I16" s="51">
        <f ca="1">-Calculations!I106</f>
        <v>0</v>
      </c>
      <c r="J16" s="51">
        <f ca="1">-Calculations!J106</f>
        <v>0</v>
      </c>
      <c r="K16" s="51">
        <f ca="1">-Calculations!K106</f>
        <v>0</v>
      </c>
      <c r="L16" s="51">
        <f ca="1">-Calculations!L106</f>
        <v>0</v>
      </c>
      <c r="M16" s="51">
        <f ca="1">-Calculations!M106</f>
        <v>0</v>
      </c>
      <c r="N16" s="51">
        <f ca="1">-Calculations!N106</f>
        <v>0</v>
      </c>
      <c r="O16" s="51">
        <f ca="1">-Calculations!O106</f>
        <v>0</v>
      </c>
      <c r="P16" s="51">
        <f ca="1">-Calculations!P106</f>
        <v>0</v>
      </c>
      <c r="Q16" s="51">
        <f ca="1">-Calculations!Q106</f>
        <v>0</v>
      </c>
      <c r="R16" s="51">
        <f ca="1">-Calculations!R106</f>
        <v>0</v>
      </c>
      <c r="S16" s="51">
        <f ca="1">-Calculations!S106</f>
        <v>0</v>
      </c>
      <c r="T16" s="51">
        <f ca="1">-Calculations!T106</f>
        <v>0</v>
      </c>
      <c r="U16" s="51">
        <f ca="1">-Calculations!U106</f>
        <v>0</v>
      </c>
      <c r="V16" s="51">
        <f ca="1">-Calculations!V106</f>
        <v>0</v>
      </c>
      <c r="W16" s="51">
        <f ca="1">-Calculations!W106</f>
        <v>0</v>
      </c>
      <c r="X16" s="51">
        <f ca="1">-Calculations!X106</f>
        <v>0</v>
      </c>
      <c r="Y16" s="51">
        <f ca="1">-Calculations!Y106</f>
        <v>0</v>
      </c>
      <c r="Z16" s="51">
        <f ca="1">-Calculations!Z106</f>
        <v>0</v>
      </c>
      <c r="AA16" s="51">
        <f ca="1">-Calculations!AA106</f>
        <v>0</v>
      </c>
      <c r="AB16" s="51">
        <f ca="1">-Calculations!AB106</f>
        <v>0</v>
      </c>
      <c r="AC16" s="51">
        <f ca="1">-Calculations!AC106</f>
        <v>0</v>
      </c>
      <c r="AD16" s="51">
        <f ca="1">-Calculations!AD106</f>
        <v>0</v>
      </c>
      <c r="AE16" s="51">
        <f ca="1">-Calculations!AE106</f>
        <v>0</v>
      </c>
      <c r="AF16" s="51">
        <f ca="1">-Calculations!AF106</f>
        <v>0</v>
      </c>
      <c r="AG16" s="51">
        <f ca="1">-Calculations!AG106</f>
        <v>0</v>
      </c>
      <c r="AH16" s="51">
        <f ca="1">-Calculations!AH106</f>
        <v>0</v>
      </c>
      <c r="AI16" s="51">
        <f ca="1">-Calculations!AI106</f>
        <v>0</v>
      </c>
      <c r="AJ16" s="51">
        <f ca="1">-Calculations!AJ106</f>
        <v>0</v>
      </c>
      <c r="AK16" s="51">
        <f ca="1">-Calculations!AK106</f>
        <v>0</v>
      </c>
      <c r="AL16" s="51">
        <f ca="1">-Calculations!AL106</f>
        <v>0</v>
      </c>
      <c r="AM16" s="51">
        <f ca="1">-Calculations!AM106</f>
        <v>0</v>
      </c>
      <c r="AN16" s="51">
        <f ca="1">-Calculations!AN106</f>
        <v>0</v>
      </c>
      <c r="AO16" s="51">
        <f ca="1">-Calculations!AO106</f>
        <v>0</v>
      </c>
      <c r="AP16" s="51">
        <f ca="1">-Calculations!AP106</f>
        <v>0</v>
      </c>
      <c r="AQ16" s="51">
        <f ca="1">-Calculations!AQ106</f>
        <v>0</v>
      </c>
      <c r="AR16" s="51">
        <f ca="1">-Calculations!AR106</f>
        <v>0</v>
      </c>
      <c r="AS16" s="51">
        <f ca="1">-Calculations!AS106</f>
        <v>0</v>
      </c>
      <c r="AT16" s="51">
        <f ca="1">-Calculations!AT106</f>
        <v>0</v>
      </c>
      <c r="AU16" s="51">
        <f ca="1">-Calculations!AU106</f>
        <v>0</v>
      </c>
      <c r="AV16" s="51">
        <f ca="1">-Calculations!AV106</f>
        <v>0</v>
      </c>
      <c r="AW16" s="51">
        <f ca="1">-Calculations!AW106</f>
        <v>0</v>
      </c>
      <c r="AX16" s="51">
        <f ca="1">-Calculations!AX106</f>
        <v>0</v>
      </c>
      <c r="AY16" s="51">
        <f ca="1">-Calculations!AY106</f>
        <v>0</v>
      </c>
      <c r="AZ16" s="51">
        <f ca="1">-Calculations!AZ106</f>
        <v>0</v>
      </c>
      <c r="BA16" s="51">
        <f ca="1">-Calculations!BA106</f>
        <v>0</v>
      </c>
      <c r="BB16" s="51">
        <f ca="1">-Calculations!BB106</f>
        <v>0</v>
      </c>
    </row>
    <row r="17" spans="1:56" s="7" customFormat="1" x14ac:dyDescent="0.2">
      <c r="A17" s="37">
        <f ca="1">SUM(E17:BB17)</f>
        <v>-171.32323838881999</v>
      </c>
      <c r="B17" s="37">
        <f ca="1">NPV('Assumptions &amp; Results'!$C$129,'Cash Flows'!E17:BB17)</f>
        <v>-23.924007061083053</v>
      </c>
      <c r="C17" s="8" t="s">
        <v>145</v>
      </c>
      <c r="D17" s="36" t="s">
        <v>75</v>
      </c>
      <c r="E17" s="51">
        <f ca="1">-Calculations!E148</f>
        <v>0</v>
      </c>
      <c r="F17" s="51">
        <f ca="1">-Calculations!F148</f>
        <v>0</v>
      </c>
      <c r="G17" s="51">
        <f ca="1">-Calculations!G148</f>
        <v>0</v>
      </c>
      <c r="H17" s="51">
        <f ca="1">-Calculations!H148</f>
        <v>0</v>
      </c>
      <c r="I17" s="51">
        <f ca="1">-Calculations!I148</f>
        <v>0</v>
      </c>
      <c r="J17" s="51">
        <f ca="1">-Calculations!J148</f>
        <v>-4.4565630928280049</v>
      </c>
      <c r="K17" s="51">
        <f ca="1">-Calculations!K148</f>
        <v>-4.3811997737720736</v>
      </c>
      <c r="L17" s="51">
        <f ca="1">-Calculations!L148</f>
        <v>-4.2989484743887738</v>
      </c>
      <c r="M17" s="51">
        <f ca="1">-Calculations!M148</f>
        <v>-4.2295570164700553</v>
      </c>
      <c r="N17" s="51">
        <f ca="1">-Calculations!N148</f>
        <v>-2.5242680192627676</v>
      </c>
      <c r="O17" s="51">
        <f ca="1">-Calculations!O148</f>
        <v>-3.5010040488953194</v>
      </c>
      <c r="P17" s="51">
        <f ca="1">-Calculations!P148</f>
        <v>-4.8463324670412273</v>
      </c>
      <c r="Q17" s="51">
        <f ca="1">-Calculations!Q148</f>
        <v>-6.264530033466051</v>
      </c>
      <c r="R17" s="51">
        <f ca="1">-Calculations!R148</f>
        <v>-6.3898206341353703</v>
      </c>
      <c r="S17" s="51">
        <f ca="1">-Calculations!S148</f>
        <v>-6.5176170468180796</v>
      </c>
      <c r="T17" s="51">
        <f ca="1">-Calculations!T148</f>
        <v>-6.6479693877544399</v>
      </c>
      <c r="U17" s="51">
        <f ca="1">-Calculations!U148</f>
        <v>-6.7809287755095307</v>
      </c>
      <c r="V17" s="51">
        <f ca="1">-Calculations!V148</f>
        <v>-6.9165473510197231</v>
      </c>
      <c r="W17" s="51">
        <f ca="1">-Calculations!W148</f>
        <v>-7.0548782980401166</v>
      </c>
      <c r="X17" s="51">
        <f ca="1">-Calculations!X148</f>
        <v>-7.1959758640009159</v>
      </c>
      <c r="Y17" s="51">
        <f ca="1">-Calculations!Y148</f>
        <v>-7.3398953812809395</v>
      </c>
      <c r="Z17" s="51">
        <f ca="1">-Calculations!Z148</f>
        <v>-7.4866932889065581</v>
      </c>
      <c r="AA17" s="51">
        <f ca="1">-Calculations!AA148</f>
        <v>-7.6364271546846867</v>
      </c>
      <c r="AB17" s="51">
        <f ca="1">-Calculations!AB148</f>
        <v>-7.7891556977783809</v>
      </c>
      <c r="AC17" s="51">
        <f ca="1">-Calculations!AC148</f>
        <v>-7.944938811733949</v>
      </c>
      <c r="AD17" s="51">
        <f ca="1">-Calculations!AD148</f>
        <v>-8.1038375879686289</v>
      </c>
      <c r="AE17" s="51">
        <f ca="1">-Calculations!AE148</f>
        <v>-8.2659143397280026</v>
      </c>
      <c r="AF17" s="51">
        <f ca="1">-Calculations!AF148</f>
        <v>-8.4312326265225614</v>
      </c>
      <c r="AG17" s="51">
        <f ca="1">-Calculations!AG148</f>
        <v>-8.5998572790530137</v>
      </c>
      <c r="AH17" s="51">
        <f ca="1">-Calculations!AH148</f>
        <v>-8.7718544246340731</v>
      </c>
      <c r="AI17" s="51">
        <f ca="1">-Calculations!AI148</f>
        <v>-8.9472915131267552</v>
      </c>
      <c r="AJ17" s="51">
        <f ca="1">-Calculations!AJ148</f>
        <v>0</v>
      </c>
      <c r="AK17" s="51">
        <f ca="1">-Calculations!AK148</f>
        <v>0</v>
      </c>
      <c r="AL17" s="51">
        <f ca="1">-Calculations!AL148</f>
        <v>0</v>
      </c>
      <c r="AM17" s="51">
        <f ca="1">-Calculations!AM148</f>
        <v>0</v>
      </c>
      <c r="AN17" s="51">
        <f ca="1">-Calculations!AN148</f>
        <v>0</v>
      </c>
      <c r="AO17" s="51">
        <f ca="1">-Calculations!AO148</f>
        <v>0</v>
      </c>
      <c r="AP17" s="51">
        <f ca="1">-Calculations!AP148</f>
        <v>0</v>
      </c>
      <c r="AQ17" s="51">
        <f ca="1">-Calculations!AQ148</f>
        <v>0</v>
      </c>
      <c r="AR17" s="51">
        <f ca="1">-Calculations!AR148</f>
        <v>0</v>
      </c>
      <c r="AS17" s="51">
        <f ca="1">-Calculations!AS148</f>
        <v>0</v>
      </c>
      <c r="AT17" s="51">
        <f ca="1">-Calculations!AT148</f>
        <v>0</v>
      </c>
      <c r="AU17" s="51">
        <f ca="1">-Calculations!AU148</f>
        <v>0</v>
      </c>
      <c r="AV17" s="51">
        <f ca="1">-Calculations!AV148</f>
        <v>0</v>
      </c>
      <c r="AW17" s="51">
        <f ca="1">-Calculations!AW148</f>
        <v>0</v>
      </c>
      <c r="AX17" s="51">
        <f ca="1">-Calculations!AX148</f>
        <v>0</v>
      </c>
      <c r="AY17" s="51">
        <f ca="1">-Calculations!AY148</f>
        <v>0</v>
      </c>
      <c r="AZ17" s="51">
        <f ca="1">-Calculations!AZ148</f>
        <v>0</v>
      </c>
      <c r="BA17" s="51">
        <f ca="1">-Calculations!BA148</f>
        <v>0</v>
      </c>
      <c r="BB17" s="51">
        <f ca="1">Calculations!BB148</f>
        <v>0</v>
      </c>
    </row>
    <row r="18" spans="1:56" s="7" customFormat="1" x14ac:dyDescent="0.2">
      <c r="A18" s="37">
        <f ca="1">SUM(E18:BB18)</f>
        <v>-475.89788441338874</v>
      </c>
      <c r="B18" s="37">
        <f ca="1">NPV('Assumptions &amp; Results'!$C$129,'Cash Flows'!E18:BB18)</f>
        <v>-66.455575169675171</v>
      </c>
      <c r="C18" s="8" t="s">
        <v>233</v>
      </c>
      <c r="D18" s="36" t="s">
        <v>75</v>
      </c>
      <c r="E18" s="51">
        <f ca="1">-Calculations!E167</f>
        <v>0</v>
      </c>
      <c r="F18" s="51">
        <f ca="1">-Calculations!F167</f>
        <v>0</v>
      </c>
      <c r="G18" s="51">
        <f ca="1">-Calculations!G167</f>
        <v>0</v>
      </c>
      <c r="H18" s="51">
        <f ca="1">-Calculations!H167</f>
        <v>0</v>
      </c>
      <c r="I18" s="51">
        <f ca="1">-Calculations!I167</f>
        <v>0</v>
      </c>
      <c r="J18" s="51">
        <f ca="1">-Calculations!J167</f>
        <v>-12.379341924522237</v>
      </c>
      <c r="K18" s="51">
        <f ca="1">-Calculations!K167</f>
        <v>-12.169999371589094</v>
      </c>
      <c r="L18" s="51">
        <f ca="1">-Calculations!L167</f>
        <v>-11.941523539968816</v>
      </c>
      <c r="M18" s="51">
        <f ca="1">-Calculations!M167</f>
        <v>-11.748769490194599</v>
      </c>
      <c r="N18" s="51">
        <f ca="1">-Calculations!N167</f>
        <v>-7.011855609063244</v>
      </c>
      <c r="O18" s="51">
        <f ca="1">-Calculations!O167</f>
        <v>-9.7250112469314445</v>
      </c>
      <c r="P18" s="51">
        <f ca="1">-Calculations!P167</f>
        <v>-13.462034630670075</v>
      </c>
      <c r="Q18" s="51">
        <f ca="1">-Calculations!Q167</f>
        <v>-17.401472315183476</v>
      </c>
      <c r="R18" s="51">
        <f ca="1">-Calculations!R167</f>
        <v>-17.749501761487142</v>
      </c>
      <c r="S18" s="51">
        <f ca="1">-Calculations!S167</f>
        <v>-18.104491796716889</v>
      </c>
      <c r="T18" s="51">
        <f ca="1">-Calculations!T167</f>
        <v>-18.466581632651224</v>
      </c>
      <c r="U18" s="51">
        <f ca="1">-Calculations!U167</f>
        <v>-18.835913265304253</v>
      </c>
      <c r="V18" s="51">
        <f ca="1">-Calculations!V167</f>
        <v>-19.212631530610341</v>
      </c>
      <c r="W18" s="51">
        <f ca="1">-Calculations!W167</f>
        <v>-19.596884161222548</v>
      </c>
      <c r="X18" s="51">
        <f ca="1">-Calculations!X167</f>
        <v>-19.988821844446989</v>
      </c>
      <c r="Y18" s="51">
        <f ca="1">-Calculations!Y167</f>
        <v>-20.388598281335945</v>
      </c>
      <c r="Z18" s="51">
        <f ca="1">-Calculations!Z167</f>
        <v>-20.796370246962667</v>
      </c>
      <c r="AA18" s="51">
        <f ca="1">-Calculations!AA167</f>
        <v>-21.212297651901906</v>
      </c>
      <c r="AB18" s="51">
        <f ca="1">-Calculations!AB167</f>
        <v>-21.636543604939948</v>
      </c>
      <c r="AC18" s="51">
        <f ca="1">-Calculations!AC167</f>
        <v>-22.06927447703875</v>
      </c>
      <c r="AD18" s="51">
        <f ca="1">-Calculations!AD167</f>
        <v>-22.510659966579528</v>
      </c>
      <c r="AE18" s="51">
        <f ca="1">-Calculations!AE167</f>
        <v>-22.960873165911121</v>
      </c>
      <c r="AF18" s="51">
        <f ca="1">-Calculations!AF167</f>
        <v>-23.420090629229339</v>
      </c>
      <c r="AG18" s="51">
        <f ca="1">-Calculations!AG167</f>
        <v>-23.888492441813927</v>
      </c>
      <c r="AH18" s="51">
        <f ca="1">-Calculations!AH167</f>
        <v>-24.366262290650205</v>
      </c>
      <c r="AI18" s="51">
        <f ca="1">-Calculations!AI167</f>
        <v>-24.853587536463209</v>
      </c>
      <c r="AJ18" s="51">
        <f ca="1">-Calculations!AJ167</f>
        <v>0</v>
      </c>
      <c r="AK18" s="51">
        <f ca="1">-Calculations!AK167</f>
        <v>0</v>
      </c>
      <c r="AL18" s="51">
        <f ca="1">-Calculations!AL167</f>
        <v>0</v>
      </c>
      <c r="AM18" s="51">
        <f ca="1">-Calculations!AM167</f>
        <v>0</v>
      </c>
      <c r="AN18" s="51">
        <f ca="1">-Calculations!AN167</f>
        <v>0</v>
      </c>
      <c r="AO18" s="51">
        <f ca="1">-Calculations!AO167</f>
        <v>0</v>
      </c>
      <c r="AP18" s="51">
        <f ca="1">-Calculations!AP167</f>
        <v>0</v>
      </c>
      <c r="AQ18" s="51">
        <f ca="1">-Calculations!AQ167</f>
        <v>0</v>
      </c>
      <c r="AR18" s="51">
        <f ca="1">-Calculations!AR167</f>
        <v>0</v>
      </c>
      <c r="AS18" s="51">
        <f ca="1">-Calculations!AS167</f>
        <v>0</v>
      </c>
      <c r="AT18" s="51">
        <f ca="1">-Calculations!AT167</f>
        <v>0</v>
      </c>
      <c r="AU18" s="51">
        <f ca="1">-Calculations!AU167</f>
        <v>0</v>
      </c>
      <c r="AV18" s="51">
        <f ca="1">-Calculations!AV167</f>
        <v>0</v>
      </c>
      <c r="AW18" s="51">
        <f ca="1">-Calculations!AW167</f>
        <v>0</v>
      </c>
      <c r="AX18" s="51">
        <f ca="1">-Calculations!AX167</f>
        <v>0</v>
      </c>
      <c r="AY18" s="51">
        <f ca="1">-Calculations!AY167</f>
        <v>0</v>
      </c>
      <c r="AZ18" s="51">
        <f ca="1">-Calculations!AZ167</f>
        <v>0</v>
      </c>
      <c r="BA18" s="51">
        <f ca="1">-Calculations!BA167</f>
        <v>0</v>
      </c>
      <c r="BB18" s="51">
        <f ca="1">-Calculations!BB167</f>
        <v>0</v>
      </c>
    </row>
    <row r="19" spans="1:56" s="7" customFormat="1" x14ac:dyDescent="0.2">
      <c r="B19" s="8"/>
      <c r="C19" s="8"/>
      <c r="D19" s="36"/>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row>
    <row r="20" spans="1:56" s="7" customFormat="1" x14ac:dyDescent="0.2">
      <c r="B20" s="8"/>
      <c r="C20" s="8"/>
      <c r="D20" s="36"/>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row>
    <row r="21" spans="1:56" s="7" customFormat="1" x14ac:dyDescent="0.2">
      <c r="B21" s="8"/>
      <c r="C21" s="301" t="s">
        <v>399</v>
      </c>
      <c r="D21" s="300">
        <f ca="1">IRR(E4:BB4)</f>
        <v>0.15748057924343217</v>
      </c>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row>
    <row r="22" spans="1:56" s="7" customFormat="1" x14ac:dyDescent="0.2">
      <c r="D22" s="36"/>
    </row>
    <row r="23" spans="1:56" s="105" customFormat="1" x14ac:dyDescent="0.2">
      <c r="A23" s="100">
        <f ca="1">SUM(E23:BB23)</f>
        <v>4111.9549901952205</v>
      </c>
      <c r="B23" s="100">
        <f ca="1">NPV('Assumptions &amp; Results'!$C$131,E23:BB23)</f>
        <v>541.00321767202558</v>
      </c>
      <c r="C23" s="107" t="s">
        <v>161</v>
      </c>
      <c r="D23" s="102" t="s">
        <v>75</v>
      </c>
      <c r="E23" s="103">
        <f t="shared" ref="E23:AJ23" ca="1" si="4">SUM(E24:E31)</f>
        <v>0</v>
      </c>
      <c r="F23" s="103">
        <f t="shared" ca="1" si="4"/>
        <v>0.84</v>
      </c>
      <c r="G23" s="103">
        <f t="shared" ca="1" si="4"/>
        <v>1.6285056</v>
      </c>
      <c r="H23" s="103">
        <f t="shared" ca="1" si="4"/>
        <v>2.3562916400000002</v>
      </c>
      <c r="I23" s="103">
        <f t="shared" ca="1" si="4"/>
        <v>15.807313011200002</v>
      </c>
      <c r="J23" s="103">
        <f t="shared" ca="1" si="4"/>
        <v>51.752644350790248</v>
      </c>
      <c r="K23" s="103">
        <f t="shared" ca="1" si="4"/>
        <v>51.342933621127571</v>
      </c>
      <c r="L23" s="103">
        <f t="shared" ca="1" si="4"/>
        <v>50.859255302362079</v>
      </c>
      <c r="M23" s="103">
        <f t="shared" ca="1" si="4"/>
        <v>50.399879566403492</v>
      </c>
      <c r="N23" s="103">
        <f t="shared" ca="1" si="4"/>
        <v>123.59206491421671</v>
      </c>
      <c r="O23" s="103">
        <f t="shared" ca="1" si="4"/>
        <v>133.61857640325982</v>
      </c>
      <c r="P23" s="103">
        <f t="shared" ca="1" si="4"/>
        <v>143.50612918649304</v>
      </c>
      <c r="Q23" s="103">
        <f t="shared" ca="1" si="4"/>
        <v>152.63424391780691</v>
      </c>
      <c r="R23" s="103">
        <f t="shared" ca="1" si="4"/>
        <v>155.68692879616302</v>
      </c>
      <c r="S23" s="103">
        <f t="shared" ca="1" si="4"/>
        <v>158.80066737208628</v>
      </c>
      <c r="T23" s="103">
        <f t="shared" ca="1" si="4"/>
        <v>161.97668071952802</v>
      </c>
      <c r="U23" s="103">
        <f t="shared" ca="1" si="4"/>
        <v>165.21621433391857</v>
      </c>
      <c r="V23" s="103">
        <f t="shared" ca="1" si="4"/>
        <v>168.52053862059697</v>
      </c>
      <c r="W23" s="103">
        <f t="shared" ca="1" si="4"/>
        <v>171.89094939300892</v>
      </c>
      <c r="X23" s="103">
        <f t="shared" ca="1" si="4"/>
        <v>175.32876838086909</v>
      </c>
      <c r="Y23" s="103">
        <f t="shared" ca="1" si="4"/>
        <v>178.83534374848654</v>
      </c>
      <c r="Z23" s="103">
        <f t="shared" ca="1" si="4"/>
        <v>182.41205062345625</v>
      </c>
      <c r="AA23" s="103">
        <f t="shared" ca="1" si="4"/>
        <v>186.06029163592532</v>
      </c>
      <c r="AB23" s="103">
        <f t="shared" ca="1" si="4"/>
        <v>189.78149746864386</v>
      </c>
      <c r="AC23" s="103">
        <f t="shared" ca="1" si="4"/>
        <v>193.57712741801674</v>
      </c>
      <c r="AD23" s="103">
        <f t="shared" ca="1" si="4"/>
        <v>197.44866996637711</v>
      </c>
      <c r="AE23" s="103">
        <f t="shared" ca="1" si="4"/>
        <v>201.39764336570465</v>
      </c>
      <c r="AF23" s="103">
        <f t="shared" ca="1" si="4"/>
        <v>205.42559623301869</v>
      </c>
      <c r="AG23" s="103">
        <f t="shared" ca="1" si="4"/>
        <v>209.53410815767913</v>
      </c>
      <c r="AH23" s="103">
        <f t="shared" ca="1" si="4"/>
        <v>213.72479032083268</v>
      </c>
      <c r="AI23" s="103">
        <f t="shared" ca="1" si="4"/>
        <v>217.99928612724929</v>
      </c>
      <c r="AJ23" s="103">
        <f t="shared" ca="1" si="4"/>
        <v>0</v>
      </c>
      <c r="AK23" s="103">
        <f t="shared" ref="AK23:BB23" ca="1" si="5">SUM(AK24:AK31)</f>
        <v>0</v>
      </c>
      <c r="AL23" s="103">
        <f t="shared" ca="1" si="5"/>
        <v>0</v>
      </c>
      <c r="AM23" s="103">
        <f t="shared" ca="1" si="5"/>
        <v>0</v>
      </c>
      <c r="AN23" s="103">
        <f t="shared" ca="1" si="5"/>
        <v>0</v>
      </c>
      <c r="AO23" s="103">
        <f t="shared" ca="1" si="5"/>
        <v>0</v>
      </c>
      <c r="AP23" s="103">
        <f t="shared" ca="1" si="5"/>
        <v>0</v>
      </c>
      <c r="AQ23" s="103">
        <f t="shared" ca="1" si="5"/>
        <v>0</v>
      </c>
      <c r="AR23" s="103">
        <f t="shared" ca="1" si="5"/>
        <v>0</v>
      </c>
      <c r="AS23" s="103">
        <f t="shared" ca="1" si="5"/>
        <v>0</v>
      </c>
      <c r="AT23" s="103">
        <f t="shared" ca="1" si="5"/>
        <v>0</v>
      </c>
      <c r="AU23" s="103">
        <f t="shared" ca="1" si="5"/>
        <v>0</v>
      </c>
      <c r="AV23" s="103">
        <f t="shared" ca="1" si="5"/>
        <v>0</v>
      </c>
      <c r="AW23" s="103">
        <f t="shared" ca="1" si="5"/>
        <v>0</v>
      </c>
      <c r="AX23" s="103">
        <f t="shared" ca="1" si="5"/>
        <v>0</v>
      </c>
      <c r="AY23" s="103">
        <f t="shared" ca="1" si="5"/>
        <v>0</v>
      </c>
      <c r="AZ23" s="103">
        <f t="shared" ca="1" si="5"/>
        <v>0</v>
      </c>
      <c r="BA23" s="103">
        <f t="shared" ca="1" si="5"/>
        <v>0</v>
      </c>
      <c r="BB23" s="103">
        <f t="shared" ca="1" si="5"/>
        <v>0</v>
      </c>
      <c r="BC23" s="104"/>
      <c r="BD23" s="104"/>
    </row>
    <row r="24" spans="1:56" s="7" customFormat="1" x14ac:dyDescent="0.2">
      <c r="A24" s="37">
        <f t="shared" ref="A24:A27" si="6">SUM(E24:BB24)</f>
        <v>0</v>
      </c>
      <c r="B24" s="37">
        <f>NPV('Assumptions &amp; Results'!$C$131,E24:BB24)</f>
        <v>0</v>
      </c>
      <c r="C24" s="8" t="s">
        <v>136</v>
      </c>
      <c r="D24" s="36" t="s">
        <v>75</v>
      </c>
      <c r="E24" s="51">
        <f>Calculations!E15</f>
        <v>0</v>
      </c>
      <c r="F24" s="51">
        <f>Calculations!F15</f>
        <v>0</v>
      </c>
      <c r="G24" s="51">
        <f>Calculations!G15</f>
        <v>0</v>
      </c>
      <c r="H24" s="51">
        <f>Calculations!H15</f>
        <v>0</v>
      </c>
      <c r="I24" s="51">
        <f>Calculations!I15</f>
        <v>0</v>
      </c>
      <c r="J24" s="51">
        <f>Calculations!J15</f>
        <v>0</v>
      </c>
      <c r="K24" s="51">
        <f>Calculations!K15</f>
        <v>0</v>
      </c>
      <c r="L24" s="51">
        <f>Calculations!L15</f>
        <v>0</v>
      </c>
      <c r="M24" s="51">
        <f>Calculations!M15</f>
        <v>0</v>
      </c>
      <c r="N24" s="51">
        <f>Calculations!N15</f>
        <v>0</v>
      </c>
      <c r="O24" s="51">
        <f>Calculations!O15</f>
        <v>0</v>
      </c>
      <c r="P24" s="51">
        <f>Calculations!P15</f>
        <v>0</v>
      </c>
      <c r="Q24" s="51">
        <f>Calculations!Q15</f>
        <v>0</v>
      </c>
      <c r="R24" s="51">
        <f>Calculations!R15</f>
        <v>0</v>
      </c>
      <c r="S24" s="51">
        <f>Calculations!S15</f>
        <v>0</v>
      </c>
      <c r="T24" s="51">
        <f>Calculations!T15</f>
        <v>0</v>
      </c>
      <c r="U24" s="51">
        <f>Calculations!U15</f>
        <v>0</v>
      </c>
      <c r="V24" s="51">
        <f>Calculations!V15</f>
        <v>0</v>
      </c>
      <c r="W24" s="51">
        <f>Calculations!W15</f>
        <v>0</v>
      </c>
      <c r="X24" s="51">
        <f>Calculations!X15</f>
        <v>0</v>
      </c>
      <c r="Y24" s="51">
        <f>Calculations!Y15</f>
        <v>0</v>
      </c>
      <c r="Z24" s="51">
        <f>Calculations!Z15</f>
        <v>0</v>
      </c>
      <c r="AA24" s="51">
        <f>Calculations!AA15</f>
        <v>0</v>
      </c>
      <c r="AB24" s="51">
        <f>Calculations!AB15</f>
        <v>0</v>
      </c>
      <c r="AC24" s="51">
        <f>Calculations!AC15</f>
        <v>0</v>
      </c>
      <c r="AD24" s="51">
        <f>Calculations!AD15</f>
        <v>0</v>
      </c>
      <c r="AE24" s="51">
        <f>Calculations!AE15</f>
        <v>0</v>
      </c>
      <c r="AF24" s="51">
        <f>Calculations!AF15</f>
        <v>0</v>
      </c>
      <c r="AG24" s="51">
        <f>Calculations!AG15</f>
        <v>0</v>
      </c>
      <c r="AH24" s="51">
        <f>Calculations!AH15</f>
        <v>0</v>
      </c>
      <c r="AI24" s="51">
        <f>Calculations!AI15</f>
        <v>0</v>
      </c>
      <c r="AJ24" s="51">
        <f>Calculations!AJ15</f>
        <v>0</v>
      </c>
      <c r="AK24" s="51">
        <f>Calculations!AK15</f>
        <v>0</v>
      </c>
      <c r="AL24" s="51">
        <f>Calculations!AL15</f>
        <v>0</v>
      </c>
      <c r="AM24" s="51">
        <f>Calculations!AM15</f>
        <v>0</v>
      </c>
      <c r="AN24" s="51">
        <f>Calculations!AN15</f>
        <v>0</v>
      </c>
      <c r="AO24" s="51">
        <f>Calculations!AO15</f>
        <v>0</v>
      </c>
      <c r="AP24" s="51">
        <f>Calculations!AP15</f>
        <v>0</v>
      </c>
      <c r="AQ24" s="51">
        <f>Calculations!AQ15</f>
        <v>0</v>
      </c>
      <c r="AR24" s="51">
        <f>Calculations!AR15</f>
        <v>0</v>
      </c>
      <c r="AS24" s="51">
        <f>Calculations!AS15</f>
        <v>0</v>
      </c>
      <c r="AT24" s="51">
        <f>Calculations!AT15</f>
        <v>0</v>
      </c>
      <c r="AU24" s="51">
        <f>Calculations!AU15</f>
        <v>0</v>
      </c>
      <c r="AV24" s="51">
        <f>Calculations!AV15</f>
        <v>0</v>
      </c>
      <c r="AW24" s="51">
        <f>Calculations!AW15</f>
        <v>0</v>
      </c>
      <c r="AX24" s="51">
        <f>Calculations!AX15</f>
        <v>0</v>
      </c>
      <c r="AY24" s="51">
        <f>Calculations!AY15</f>
        <v>0</v>
      </c>
      <c r="AZ24" s="51">
        <f>Calculations!AZ15</f>
        <v>0</v>
      </c>
      <c r="BA24" s="51">
        <f>Calculations!BA15</f>
        <v>0</v>
      </c>
      <c r="BB24" s="51">
        <f>Calculations!BB15</f>
        <v>0</v>
      </c>
      <c r="BC24" s="38"/>
      <c r="BD24" s="38"/>
    </row>
    <row r="25" spans="1:56" s="7" customFormat="1" x14ac:dyDescent="0.2">
      <c r="A25" s="37">
        <f t="shared" si="6"/>
        <v>0</v>
      </c>
      <c r="B25" s="37">
        <f>NPV('Assumptions &amp; Results'!$C$131,E25:BB25)</f>
        <v>0</v>
      </c>
      <c r="C25" s="8" t="s">
        <v>170</v>
      </c>
      <c r="D25" s="36" t="s">
        <v>75</v>
      </c>
      <c r="E25" s="51">
        <f>Calculations!E16</f>
        <v>0</v>
      </c>
      <c r="F25" s="51">
        <f>Calculations!F16</f>
        <v>0</v>
      </c>
      <c r="G25" s="51">
        <f>Calculations!G16</f>
        <v>0</v>
      </c>
      <c r="H25" s="51">
        <f>Calculations!H16</f>
        <v>0</v>
      </c>
      <c r="I25" s="51">
        <f>Calculations!I16</f>
        <v>0</v>
      </c>
      <c r="J25" s="51">
        <f>Calculations!J16</f>
        <v>0</v>
      </c>
      <c r="K25" s="51">
        <f>Calculations!K16</f>
        <v>0</v>
      </c>
      <c r="L25" s="51">
        <f>Calculations!L16</f>
        <v>0</v>
      </c>
      <c r="M25" s="51">
        <f>Calculations!M16</f>
        <v>0</v>
      </c>
      <c r="N25" s="51">
        <f>Calculations!N16</f>
        <v>0</v>
      </c>
      <c r="O25" s="51">
        <f>Calculations!O16</f>
        <v>0</v>
      </c>
      <c r="P25" s="51">
        <f>Calculations!P16</f>
        <v>0</v>
      </c>
      <c r="Q25" s="51">
        <f>Calculations!Q16</f>
        <v>0</v>
      </c>
      <c r="R25" s="51">
        <f>Calculations!R16</f>
        <v>0</v>
      </c>
      <c r="S25" s="51">
        <f>Calculations!S16</f>
        <v>0</v>
      </c>
      <c r="T25" s="51">
        <f>Calculations!T16</f>
        <v>0</v>
      </c>
      <c r="U25" s="51">
        <f>Calculations!U16</f>
        <v>0</v>
      </c>
      <c r="V25" s="51">
        <f>Calculations!V16</f>
        <v>0</v>
      </c>
      <c r="W25" s="51">
        <f>Calculations!W16</f>
        <v>0</v>
      </c>
      <c r="X25" s="51">
        <f>Calculations!X16</f>
        <v>0</v>
      </c>
      <c r="Y25" s="51">
        <f>Calculations!Y16</f>
        <v>0</v>
      </c>
      <c r="Z25" s="51">
        <f>Calculations!Z16</f>
        <v>0</v>
      </c>
      <c r="AA25" s="51">
        <f>Calculations!AA16</f>
        <v>0</v>
      </c>
      <c r="AB25" s="51">
        <f>Calculations!AB16</f>
        <v>0</v>
      </c>
      <c r="AC25" s="51">
        <f>Calculations!AC16</f>
        <v>0</v>
      </c>
      <c r="AD25" s="51">
        <f>Calculations!AD16</f>
        <v>0</v>
      </c>
      <c r="AE25" s="51">
        <f>Calculations!AE16</f>
        <v>0</v>
      </c>
      <c r="AF25" s="51">
        <f>Calculations!AF16</f>
        <v>0</v>
      </c>
      <c r="AG25" s="51">
        <f>Calculations!AG16</f>
        <v>0</v>
      </c>
      <c r="AH25" s="51">
        <f>Calculations!AH16</f>
        <v>0</v>
      </c>
      <c r="AI25" s="51">
        <f>Calculations!AI16</f>
        <v>0</v>
      </c>
      <c r="AJ25" s="51">
        <f>Calculations!AJ16</f>
        <v>0</v>
      </c>
      <c r="AK25" s="51">
        <f>Calculations!AK16</f>
        <v>0</v>
      </c>
      <c r="AL25" s="51">
        <f>Calculations!AL16</f>
        <v>0</v>
      </c>
      <c r="AM25" s="51">
        <f>Calculations!AM16</f>
        <v>0</v>
      </c>
      <c r="AN25" s="51">
        <f>Calculations!AN16</f>
        <v>0</v>
      </c>
      <c r="AO25" s="51">
        <f>Calculations!AO16</f>
        <v>0</v>
      </c>
      <c r="AP25" s="51">
        <f>Calculations!AP16</f>
        <v>0</v>
      </c>
      <c r="AQ25" s="51">
        <f>Calculations!AQ16</f>
        <v>0</v>
      </c>
      <c r="AR25" s="51">
        <f>Calculations!AR16</f>
        <v>0</v>
      </c>
      <c r="AS25" s="51">
        <f>Calculations!AS16</f>
        <v>0</v>
      </c>
      <c r="AT25" s="51">
        <f>Calculations!AT16</f>
        <v>0</v>
      </c>
      <c r="AU25" s="51">
        <f>Calculations!AU16</f>
        <v>0</v>
      </c>
      <c r="AV25" s="51">
        <f>Calculations!AV16</f>
        <v>0</v>
      </c>
      <c r="AW25" s="51">
        <f>Calculations!AW16</f>
        <v>0</v>
      </c>
      <c r="AX25" s="51">
        <f>Calculations!AX16</f>
        <v>0</v>
      </c>
      <c r="AY25" s="51">
        <f>Calculations!AY16</f>
        <v>0</v>
      </c>
      <c r="AZ25" s="51">
        <f>Calculations!AZ16</f>
        <v>0</v>
      </c>
      <c r="BA25" s="51">
        <f>Calculations!BA16</f>
        <v>0</v>
      </c>
      <c r="BB25" s="51">
        <f>Calculations!BB16</f>
        <v>0</v>
      </c>
      <c r="BC25" s="38"/>
      <c r="BD25" s="38"/>
    </row>
    <row r="26" spans="1:56" s="7" customFormat="1" x14ac:dyDescent="0.2">
      <c r="A26" s="37">
        <f ca="1">SUM(E26:BB26)</f>
        <v>1040.8430829022284</v>
      </c>
      <c r="B26" s="37">
        <f ca="1">NPV('Assumptions &amp; Results'!$C$131,E26:BB26)</f>
        <v>166.91421244626306</v>
      </c>
      <c r="C26" s="8" t="s">
        <v>350</v>
      </c>
      <c r="D26" s="36" t="s">
        <v>75</v>
      </c>
      <c r="E26" s="51">
        <f ca="1">Calculations!E18+Calculations!E22+Calculations!E40+Calculations!E66+Calculations!E73+Calculations!E97</f>
        <v>0</v>
      </c>
      <c r="F26" s="51">
        <f ca="1">Calculations!F18+Calculations!F22+Calculations!F40+Calculations!F66+Calculations!F73+Calculations!F97</f>
        <v>0</v>
      </c>
      <c r="G26" s="51">
        <f ca="1">Calculations!G18+Calculations!G22+Calculations!G40+Calculations!G66+Calculations!G73+Calculations!G97</f>
        <v>0</v>
      </c>
      <c r="H26" s="51">
        <f ca="1">Calculations!H18+Calculations!H22+Calculations!H40+Calculations!H66+Calculations!H73+Calculations!H97</f>
        <v>0</v>
      </c>
      <c r="I26" s="51">
        <f ca="1">Calculations!I18+Calculations!I22+Calculations!I40+Calculations!I66+Calculations!I73+Calculations!I97</f>
        <v>12.794348131200001</v>
      </c>
      <c r="J26" s="51">
        <f ca="1">Calculations!J18+Calculations!J22+Calculations!J40+Calculations!J66+Calculations!J73+Calculations!J97</f>
        <v>32.239159453440003</v>
      </c>
      <c r="K26" s="51">
        <f ca="1">Calculations!K18+Calculations!K22+Calculations!K40+Calculations!K66+Calculations!K73+Calculations!K97</f>
        <v>32.489785795766402</v>
      </c>
      <c r="L26" s="51">
        <f ca="1">Calculations!L18+Calculations!L22+Calculations!L40+Calculations!L66+Calculations!L73+Calculations!L97</f>
        <v>32.737541528004485</v>
      </c>
      <c r="M26" s="51">
        <f ca="1">Calculations!M18+Calculations!M22+Calculations!M40+Calculations!M66+Calculations!M73+Calculations!M97</f>
        <v>33.011503059738843</v>
      </c>
      <c r="N26" s="51">
        <f ca="1">Calculations!N18+Calculations!N22+Calculations!N40+Calculations!N66+Calculations!N73+Calculations!N97</f>
        <v>33.253450721915804</v>
      </c>
      <c r="O26" s="51">
        <f ca="1">Calculations!O18+Calculations!O22+Calculations!O40+Calculations!O66+Calculations!O73+Calculations!O97</f>
        <v>33.522346549855826</v>
      </c>
      <c r="P26" s="51">
        <f ca="1">Calculations!P18+Calculations!P22+Calculations!P40+Calculations!P66+Calculations!P73+Calculations!P97</f>
        <v>34.192793480852941</v>
      </c>
      <c r="Q26" s="51">
        <f ca="1">Calculations!Q18+Calculations!Q22+Calculations!Q40+Calculations!Q66+Calculations!Q73+Calculations!Q97</f>
        <v>34.876649350470004</v>
      </c>
      <c r="R26" s="51">
        <f ca="1">Calculations!R18+Calculations!R22+Calculations!R40+Calculations!R66+Calculations!R73+Calculations!R97</f>
        <v>35.5741823374794</v>
      </c>
      <c r="S26" s="51">
        <f ca="1">Calculations!S18+Calculations!S22+Calculations!S40+Calculations!S66+Calculations!S73+Calculations!S97</f>
        <v>36.285665984228991</v>
      </c>
      <c r="T26" s="51">
        <f ca="1">Calculations!T18+Calculations!T22+Calculations!T40+Calculations!T66+Calculations!T73+Calculations!T97</f>
        <v>37.011379303913571</v>
      </c>
      <c r="U26" s="51">
        <f ca="1">Calculations!U18+Calculations!U22+Calculations!U40+Calculations!U66+Calculations!U73+Calculations!U97</f>
        <v>37.751606889991841</v>
      </c>
      <c r="V26" s="51">
        <f ca="1">Calculations!V18+Calculations!V22+Calculations!V40+Calculations!V66+Calculations!V73+Calculations!V97</f>
        <v>38.506639027791685</v>
      </c>
      <c r="W26" s="51">
        <f ca="1">Calculations!W18+Calculations!W22+Calculations!W40+Calculations!W66+Calculations!W73+Calculations!W97</f>
        <v>39.276771808347519</v>
      </c>
      <c r="X26" s="51">
        <f ca="1">Calculations!X18+Calculations!X22+Calculations!X40+Calculations!X66+Calculations!X73+Calculations!X97</f>
        <v>40.062307244514471</v>
      </c>
      <c r="Y26" s="51">
        <f ca="1">Calculations!Y18+Calculations!Y22+Calculations!Y40+Calculations!Y66+Calculations!Y73+Calculations!Y97</f>
        <v>40.863553389404764</v>
      </c>
      <c r="Z26" s="51">
        <f ca="1">Calculations!Z18+Calculations!Z22+Calculations!Z40+Calculations!Z66+Calculations!Z73+Calculations!Z97</f>
        <v>41.680824457192863</v>
      </c>
      <c r="AA26" s="51">
        <f ca="1">Calculations!AA18+Calculations!AA22+Calculations!AA40+Calculations!AA66+Calculations!AA73+Calculations!AA97</f>
        <v>42.51444094633672</v>
      </c>
      <c r="AB26" s="51">
        <f ca="1">Calculations!AB18+Calculations!AB22+Calculations!AB40+Calculations!AB66+Calculations!AB73+Calculations!AB97</f>
        <v>43.364729765263455</v>
      </c>
      <c r="AC26" s="51">
        <f ca="1">Calculations!AC18+Calculations!AC22+Calculations!AC40+Calculations!AC66+Calculations!AC73+Calculations!AC97</f>
        <v>44.232024360568722</v>
      </c>
      <c r="AD26" s="51">
        <f ca="1">Calculations!AD18+Calculations!AD22+Calculations!AD40+Calculations!AD66+Calculations!AD73+Calculations!AD97</f>
        <v>45.1166648477801</v>
      </c>
      <c r="AE26" s="51">
        <f ca="1">Calculations!AE18+Calculations!AE22+Calculations!AE40+Calculations!AE66+Calculations!AE73+Calculations!AE97</f>
        <v>46.018998144735697</v>
      </c>
      <c r="AF26" s="51">
        <f ca="1">Calculations!AF18+Calculations!AF22+Calculations!AF40+Calculations!AF66+Calculations!AF73+Calculations!AF97</f>
        <v>46.939378107630411</v>
      </c>
      <c r="AG26" s="51">
        <f ca="1">Calculations!AG18+Calculations!AG22+Calculations!AG40+Calculations!AG66+Calculations!AG73+Calculations!AG97</f>
        <v>47.878165669783023</v>
      </c>
      <c r="AH26" s="51">
        <f ca="1">Calculations!AH18+Calculations!AH22+Calculations!AH40+Calculations!AH66+Calculations!AH73+Calculations!AH97</f>
        <v>48.835728983178683</v>
      </c>
      <c r="AI26" s="51">
        <f ca="1">Calculations!AI18+Calculations!AI22+Calculations!AI40+Calculations!AI66+Calculations!AI73+Calculations!AI97</f>
        <v>49.812443562842262</v>
      </c>
      <c r="AJ26" s="51">
        <f ca="1">Calculations!AJ18+Calculations!AJ22+Calculations!AJ40+Calculations!AJ66+Calculations!AJ73+Calculations!AJ97</f>
        <v>0</v>
      </c>
      <c r="AK26" s="51">
        <f ca="1">Calculations!AK18+Calculations!AK22+Calculations!AK40+Calculations!AK66+Calculations!AK73+Calculations!AK97</f>
        <v>0</v>
      </c>
      <c r="AL26" s="51">
        <f ca="1">Calculations!AL18+Calculations!AL22+Calculations!AL40+Calculations!AL66+Calculations!AL73+Calculations!AL97</f>
        <v>0</v>
      </c>
      <c r="AM26" s="51">
        <f ca="1">Calculations!AM18+Calculations!AM22+Calculations!AM40+Calculations!AM66+Calculations!AM73+Calculations!AM97</f>
        <v>0</v>
      </c>
      <c r="AN26" s="51">
        <f ca="1">Calculations!AN18+Calculations!AN22+Calculations!AN40+Calculations!AN66+Calculations!AN73+Calculations!AN97</f>
        <v>0</v>
      </c>
      <c r="AO26" s="51">
        <f ca="1">Calculations!AO18+Calculations!AO22+Calculations!AO40+Calculations!AO66+Calculations!AO73+Calculations!AO97</f>
        <v>0</v>
      </c>
      <c r="AP26" s="51">
        <f ca="1">Calculations!AP18+Calculations!AP22+Calculations!AP40+Calculations!AP66+Calculations!AP73+Calculations!AP97</f>
        <v>0</v>
      </c>
      <c r="AQ26" s="51">
        <f ca="1">Calculations!AQ18+Calculations!AQ22+Calculations!AQ40+Calculations!AQ66+Calculations!AQ73+Calculations!AQ97</f>
        <v>0</v>
      </c>
      <c r="AR26" s="51">
        <f ca="1">Calculations!AR18+Calculations!AR22+Calculations!AR40+Calculations!AR66+Calculations!AR73+Calculations!AR97</f>
        <v>0</v>
      </c>
      <c r="AS26" s="51">
        <f ca="1">Calculations!AS18+Calculations!AS22+Calculations!AS40+Calculations!AS66+Calculations!AS73+Calculations!AS97</f>
        <v>0</v>
      </c>
      <c r="AT26" s="51">
        <f ca="1">Calculations!AT18+Calculations!AT22+Calculations!AT40+Calculations!AT66+Calculations!AT73+Calculations!AT97</f>
        <v>0</v>
      </c>
      <c r="AU26" s="51">
        <f ca="1">Calculations!AU18+Calculations!AU22+Calculations!AU40+Calculations!AU66+Calculations!AU73+Calculations!AU97</f>
        <v>0</v>
      </c>
      <c r="AV26" s="51">
        <f ca="1">Calculations!AV18+Calculations!AV22+Calculations!AV40+Calculations!AV66+Calculations!AV73+Calculations!AV97</f>
        <v>0</v>
      </c>
      <c r="AW26" s="51">
        <f ca="1">Calculations!AW18+Calculations!AW22+Calculations!AW40+Calculations!AW66+Calculations!AW73+Calculations!AW97</f>
        <v>0</v>
      </c>
      <c r="AX26" s="51">
        <f ca="1">Calculations!AX18+Calculations!AX22+Calculations!AX40+Calculations!AX66+Calculations!AX73+Calculations!AX97</f>
        <v>0</v>
      </c>
      <c r="AY26" s="51">
        <f ca="1">Calculations!AY18+Calculations!AY22+Calculations!AY40+Calculations!AY66+Calculations!AY73+Calculations!AY97</f>
        <v>0</v>
      </c>
      <c r="AZ26" s="51">
        <f ca="1">Calculations!AZ18+Calculations!AZ22+Calculations!AZ40+Calculations!AZ66+Calculations!AZ73+Calculations!AZ97</f>
        <v>0</v>
      </c>
      <c r="BA26" s="51">
        <f ca="1">Calculations!BA18+Calculations!BA22+Calculations!BA40+Calculations!BA66+Calculations!BA73+Calculations!BA97</f>
        <v>0</v>
      </c>
      <c r="BB26" s="51">
        <f ca="1">Calculations!BB18+Calculations!BB22+Calculations!BB40+Calculations!BB66+Calculations!BB73+Calculations!BB97</f>
        <v>0</v>
      </c>
      <c r="BC26" s="38"/>
      <c r="BD26" s="38"/>
    </row>
    <row r="27" spans="1:56" s="7" customFormat="1" x14ac:dyDescent="0.2">
      <c r="A27" s="37">
        <f t="shared" si="6"/>
        <v>17.61146244</v>
      </c>
      <c r="B27" s="37">
        <f>NPV('Assumptions &amp; Results'!$C$131,E27:BB27)</f>
        <v>9.1595387892540394</v>
      </c>
      <c r="C27" s="8" t="s">
        <v>172</v>
      </c>
      <c r="D27" s="36" t="s">
        <v>75</v>
      </c>
      <c r="E27" s="51">
        <f>'Assumptions &amp; Results'!$C$89*Calculations!E74*(1-'Assumptions &amp; Results'!$C$142)</f>
        <v>0</v>
      </c>
      <c r="F27" s="51">
        <f>'Assumptions &amp; Results'!$C$89*Calculations!F74*(1-'Assumptions &amp; Results'!$C$142)</f>
        <v>0.84</v>
      </c>
      <c r="G27" s="51">
        <f>'Assumptions &amp; Results'!$C$89*Calculations!G74*(1-'Assumptions &amp; Results'!$C$142)</f>
        <v>1.6285056</v>
      </c>
      <c r="H27" s="51">
        <f>'Assumptions &amp; Results'!$C$89*Calculations!H74*(1-'Assumptions &amp; Results'!$C$142)</f>
        <v>2.3562916400000002</v>
      </c>
      <c r="I27" s="51">
        <f>'Assumptions &amp; Results'!$C$89*Calculations!I74*(1-'Assumptions &amp; Results'!$C$142)</f>
        <v>3.0129648800000002</v>
      </c>
      <c r="J27" s="51">
        <f>'Assumptions &amp; Results'!$C$89*Calculations!J74*(1-'Assumptions &amp; Results'!$C$142)</f>
        <v>2.6775798800000001</v>
      </c>
      <c r="K27" s="51">
        <f>'Assumptions &amp; Results'!$C$89*Calculations!K74*(1-'Assumptions &amp; Results'!$C$142)</f>
        <v>2.3019486800000002</v>
      </c>
      <c r="L27" s="51">
        <f>'Assumptions &amp; Results'!$C$89*Calculations!L74*(1-'Assumptions &amp; Results'!$C$142)</f>
        <v>1.88124176</v>
      </c>
      <c r="M27" s="51">
        <f>'Assumptions &amp; Results'!$C$89*Calculations!M74*(1-'Assumptions &amp; Results'!$C$142)</f>
        <v>1.41005</v>
      </c>
      <c r="N27" s="51">
        <f>'Assumptions &amp; Results'!$C$89*Calculations!N74*(1-'Assumptions &amp; Results'!$C$142)</f>
        <v>0.88231523999999995</v>
      </c>
      <c r="O27" s="51">
        <f>'Assumptions &amp; Results'!$C$89*Calculations!O74*(1-'Assumptions &amp; Results'!$C$142)</f>
        <v>0.46034664000000003</v>
      </c>
      <c r="P27" s="51">
        <f>'Assumptions &amp; Results'!$C$89*Calculations!P74*(1-'Assumptions &amp; Results'!$C$142)</f>
        <v>0.16021812000000002</v>
      </c>
      <c r="Q27" s="51">
        <f>'Assumptions &amp; Results'!$C$89*Calculations!Q74*(1-'Assumptions &amp; Results'!$C$142)</f>
        <v>0</v>
      </c>
      <c r="R27" s="51">
        <f>'Assumptions &amp; Results'!$C$89*Calculations!R74*(1-'Assumptions &amp; Results'!$C$142)</f>
        <v>0</v>
      </c>
      <c r="S27" s="51">
        <f>'Assumptions &amp; Results'!$C$89*Calculations!S74*(1-'Assumptions &amp; Results'!$C$142)</f>
        <v>0</v>
      </c>
      <c r="T27" s="51">
        <f>'Assumptions &amp; Results'!$C$89*Calculations!T74*(1-'Assumptions &amp; Results'!$C$142)</f>
        <v>0</v>
      </c>
      <c r="U27" s="51">
        <f>'Assumptions &amp; Results'!$C$89*Calculations!U74*(1-'Assumptions &amp; Results'!$C$142)</f>
        <v>0</v>
      </c>
      <c r="V27" s="51">
        <f>'Assumptions &amp; Results'!$C$89*Calculations!V74*(1-'Assumptions &amp; Results'!$C$142)</f>
        <v>0</v>
      </c>
      <c r="W27" s="51">
        <f>'Assumptions &amp; Results'!$C$89*Calculations!W74*(1-'Assumptions &amp; Results'!$C$142)</f>
        <v>0</v>
      </c>
      <c r="X27" s="51">
        <f>'Assumptions &amp; Results'!$C$89*Calculations!X74*(1-'Assumptions &amp; Results'!$C$142)</f>
        <v>0</v>
      </c>
      <c r="Y27" s="51">
        <f>'Assumptions &amp; Results'!$C$89*Calculations!Y74*(1-'Assumptions &amp; Results'!$C$142)</f>
        <v>0</v>
      </c>
      <c r="Z27" s="51">
        <f>'Assumptions &amp; Results'!$C$89*Calculations!Z74*(1-'Assumptions &amp; Results'!$C$142)</f>
        <v>0</v>
      </c>
      <c r="AA27" s="51">
        <f>'Assumptions &amp; Results'!$C$89*Calculations!AA74*(1-'Assumptions &amp; Results'!$C$142)</f>
        <v>0</v>
      </c>
      <c r="AB27" s="51">
        <f>'Assumptions &amp; Results'!$C$89*Calculations!AB74*(1-'Assumptions &amp; Results'!$C$142)</f>
        <v>0</v>
      </c>
      <c r="AC27" s="51">
        <f>'Assumptions &amp; Results'!$C$89*Calculations!AC74*(1-'Assumptions &amp; Results'!$C$142)</f>
        <v>0</v>
      </c>
      <c r="AD27" s="51">
        <f>'Assumptions &amp; Results'!$C$89*Calculations!AD74*(1-'Assumptions &amp; Results'!$C$142)</f>
        <v>0</v>
      </c>
      <c r="AE27" s="51">
        <f>'Assumptions &amp; Results'!$C$89*Calculations!AE74*(1-'Assumptions &amp; Results'!$C$142)</f>
        <v>0</v>
      </c>
      <c r="AF27" s="51">
        <f>'Assumptions &amp; Results'!$C$89*Calculations!AF74*(1-'Assumptions &amp; Results'!$C$142)</f>
        <v>0</v>
      </c>
      <c r="AG27" s="51">
        <f>'Assumptions &amp; Results'!$C$89*Calculations!AG74*(1-'Assumptions &amp; Results'!$C$142)</f>
        <v>0</v>
      </c>
      <c r="AH27" s="51">
        <f>'Assumptions &amp; Results'!$C$89*Calculations!AH74*(1-'Assumptions &amp; Results'!$C$142)</f>
        <v>0</v>
      </c>
      <c r="AI27" s="51">
        <f>'Assumptions &amp; Results'!$C$89*Calculations!AI74*(1-'Assumptions &amp; Results'!$C$142)</f>
        <v>0</v>
      </c>
      <c r="AJ27" s="51">
        <f>'Assumptions &amp; Results'!$C$89*Calculations!AJ74*(1-'Assumptions &amp; Results'!$C$142)</f>
        <v>0</v>
      </c>
      <c r="AK27" s="51">
        <f>'Assumptions &amp; Results'!$C$89*Calculations!AK74*(1-'Assumptions &amp; Results'!$C$142)</f>
        <v>0</v>
      </c>
      <c r="AL27" s="51">
        <f>'Assumptions &amp; Results'!$C$89*Calculations!AL74*(1-'Assumptions &amp; Results'!$C$142)</f>
        <v>0</v>
      </c>
      <c r="AM27" s="51">
        <f>'Assumptions &amp; Results'!$C$89*Calculations!AM74*(1-'Assumptions &amp; Results'!$C$142)</f>
        <v>0</v>
      </c>
      <c r="AN27" s="51">
        <f>'Assumptions &amp; Results'!$C$89*Calculations!AN74*(1-'Assumptions &amp; Results'!$C$142)</f>
        <v>0</v>
      </c>
      <c r="AO27" s="51">
        <f>'Assumptions &amp; Results'!$C$89*Calculations!AO74*(1-'Assumptions &amp; Results'!$C$142)</f>
        <v>0</v>
      </c>
      <c r="AP27" s="51">
        <f>'Assumptions &amp; Results'!$C$89*Calculations!AP74*(1-'Assumptions &amp; Results'!$C$142)</f>
        <v>0</v>
      </c>
      <c r="AQ27" s="51">
        <f>'Assumptions &amp; Results'!$C$89*Calculations!AQ74*(1-'Assumptions &amp; Results'!$C$142)</f>
        <v>0</v>
      </c>
      <c r="AR27" s="51">
        <f>'Assumptions &amp; Results'!$C$89*Calculations!AR74*(1-'Assumptions &amp; Results'!$C$142)</f>
        <v>0</v>
      </c>
      <c r="AS27" s="51">
        <f>'Assumptions &amp; Results'!$C$89*Calculations!AS74*(1-'Assumptions &amp; Results'!$C$142)</f>
        <v>0</v>
      </c>
      <c r="AT27" s="51">
        <f>'Assumptions &amp; Results'!$C$89*Calculations!AT74*(1-'Assumptions &amp; Results'!$C$142)</f>
        <v>0</v>
      </c>
      <c r="AU27" s="51">
        <f>'Assumptions &amp; Results'!$C$89*Calculations!AU74*(1-'Assumptions &amp; Results'!$C$142)</f>
        <v>0</v>
      </c>
      <c r="AV27" s="51">
        <f>'Assumptions &amp; Results'!$C$89*Calculations!AV74*(1-'Assumptions &amp; Results'!$C$142)</f>
        <v>0</v>
      </c>
      <c r="AW27" s="51">
        <f>'Assumptions &amp; Results'!$C$89*Calculations!AW74*(1-'Assumptions &amp; Results'!$C$142)</f>
        <v>0</v>
      </c>
      <c r="AX27" s="51">
        <f>'Assumptions &amp; Results'!$C$89*Calculations!AX74*(1-'Assumptions &amp; Results'!$C$142)</f>
        <v>0</v>
      </c>
      <c r="AY27" s="51">
        <f>'Assumptions &amp; Results'!$C$89*Calculations!AY74*(1-'Assumptions &amp; Results'!$C$142)</f>
        <v>0</v>
      </c>
      <c r="AZ27" s="51">
        <f>'Assumptions &amp; Results'!$C$89*Calculations!AZ74*(1-'Assumptions &amp; Results'!$C$142)</f>
        <v>0</v>
      </c>
      <c r="BA27" s="51">
        <f>'Assumptions &amp; Results'!$C$89*Calculations!BA74*(1-'Assumptions &amp; Results'!$C$142)</f>
        <v>0</v>
      </c>
      <c r="BB27" s="51">
        <f>'Assumptions &amp; Results'!$C$89*Calculations!BB74*(1-'Assumptions &amp; Results'!$C$142)</f>
        <v>0</v>
      </c>
      <c r="BC27" s="38"/>
      <c r="BD27" s="38"/>
    </row>
    <row r="28" spans="1:56" s="7" customFormat="1" x14ac:dyDescent="0.2">
      <c r="A28" s="37">
        <f ca="1">SUM(E28:BB28)</f>
        <v>2406.2793220507833</v>
      </c>
      <c r="B28" s="37">
        <f ca="1">NPV('Assumptions &amp; Results'!$C$131,E28:BB28)</f>
        <v>274.54988420575017</v>
      </c>
      <c r="C28" s="8" t="s">
        <v>19</v>
      </c>
      <c r="D28" s="36" t="s">
        <v>75</v>
      </c>
      <c r="E28" s="51">
        <f ca="1">Calculations!E98+Calculations!E96</f>
        <v>0</v>
      </c>
      <c r="F28" s="51">
        <f ca="1">Calculations!F98+Calculations!F96</f>
        <v>0</v>
      </c>
      <c r="G28" s="51">
        <f ca="1">Calculations!G98+Calculations!G96</f>
        <v>0</v>
      </c>
      <c r="H28" s="51">
        <f ca="1">Calculations!H98+Calculations!H96</f>
        <v>0</v>
      </c>
      <c r="I28" s="51">
        <f ca="1">Calculations!I98+Calculations!I96</f>
        <v>0</v>
      </c>
      <c r="J28" s="51">
        <f ca="1">Calculations!J98+Calculations!J96</f>
        <v>0</v>
      </c>
      <c r="K28" s="51">
        <f ca="1">Calculations!K98+Calculations!K96</f>
        <v>0</v>
      </c>
      <c r="L28" s="51">
        <f ca="1">Calculations!L98+Calculations!L96</f>
        <v>0</v>
      </c>
      <c r="M28" s="51">
        <f ca="1">Calculations!M98+Calculations!M96</f>
        <v>0</v>
      </c>
      <c r="N28" s="51">
        <f ca="1">Calculations!N98+Calculations!N96</f>
        <v>79.920175323974888</v>
      </c>
      <c r="O28" s="51">
        <f ca="1">Calculations!O98+Calculations!O96</f>
        <v>86.409867917577245</v>
      </c>
      <c r="P28" s="51">
        <f ca="1">Calculations!P98+Calculations!P96</f>
        <v>90.844750487928778</v>
      </c>
      <c r="Q28" s="51">
        <f ca="1">Calculations!Q98+Calculations!Q96</f>
        <v>94.091592218687367</v>
      </c>
      <c r="R28" s="51">
        <f ca="1">Calculations!R98+Calculations!R96</f>
        <v>95.973424063061103</v>
      </c>
      <c r="S28" s="51">
        <f ca="1">Calculations!S98+Calculations!S96</f>
        <v>97.892892544322308</v>
      </c>
      <c r="T28" s="51">
        <f ca="1">Calculations!T98+Calculations!T96</f>
        <v>99.850750395208792</v>
      </c>
      <c r="U28" s="51">
        <f ca="1">Calculations!U98+Calculations!U96</f>
        <v>101.84776540311296</v>
      </c>
      <c r="V28" s="51">
        <f ca="1">Calculations!V98+Calculations!V96</f>
        <v>103.88472071117522</v>
      </c>
      <c r="W28" s="51">
        <f ca="1">Calculations!W98+Calculations!W96</f>
        <v>105.96241512539873</v>
      </c>
      <c r="X28" s="51">
        <f ca="1">Calculations!X98+Calculations!X96</f>
        <v>108.08166342790672</v>
      </c>
      <c r="Y28" s="51">
        <f ca="1">Calculations!Y98+Calculations!Y96</f>
        <v>110.24329669646487</v>
      </c>
      <c r="Z28" s="51">
        <f ca="1">Calculations!Z98+Calculations!Z96</f>
        <v>112.44816263039417</v>
      </c>
      <c r="AA28" s="51">
        <f ca="1">Calculations!AA98+Calculations!AA96</f>
        <v>114.69712588300202</v>
      </c>
      <c r="AB28" s="51">
        <f ca="1">Calculations!AB98+Calculations!AB96</f>
        <v>116.99106840066209</v>
      </c>
      <c r="AC28" s="51">
        <f ca="1">Calculations!AC98+Calculations!AC96</f>
        <v>119.33088976867532</v>
      </c>
      <c r="AD28" s="51">
        <f ca="1">Calculations!AD98+Calculations!AD96</f>
        <v>121.71750756404886</v>
      </c>
      <c r="AE28" s="51">
        <f ca="1">Calculations!AE98+Calculations!AE96</f>
        <v>124.15185771532983</v>
      </c>
      <c r="AF28" s="51">
        <f ca="1">Calculations!AF98+Calculations!AF96</f>
        <v>126.63489486963637</v>
      </c>
      <c r="AG28" s="51">
        <f ca="1">Calculations!AG98+Calculations!AG96</f>
        <v>129.16759276702916</v>
      </c>
      <c r="AH28" s="51">
        <f ca="1">Calculations!AH98+Calculations!AH96</f>
        <v>131.7509446223697</v>
      </c>
      <c r="AI28" s="51">
        <f ca="1">Calculations!AI98+Calculations!AI96</f>
        <v>134.38596351481709</v>
      </c>
      <c r="AJ28" s="51">
        <f ca="1">Calculations!AJ98+Calculations!AJ96</f>
        <v>0</v>
      </c>
      <c r="AK28" s="51">
        <f ca="1">Calculations!AK98+Calculations!AK96</f>
        <v>0</v>
      </c>
      <c r="AL28" s="51">
        <f ca="1">Calculations!AL98+Calculations!AL96</f>
        <v>0</v>
      </c>
      <c r="AM28" s="51">
        <f ca="1">Calculations!AM98+Calculations!AM96</f>
        <v>0</v>
      </c>
      <c r="AN28" s="51">
        <f ca="1">Calculations!AN98+Calculations!AN96</f>
        <v>0</v>
      </c>
      <c r="AO28" s="51">
        <f ca="1">Calculations!AO98+Calculations!AO96</f>
        <v>0</v>
      </c>
      <c r="AP28" s="51">
        <f ca="1">Calculations!AP98+Calculations!AP96</f>
        <v>0</v>
      </c>
      <c r="AQ28" s="51">
        <f ca="1">Calculations!AQ98+Calculations!AQ96</f>
        <v>0</v>
      </c>
      <c r="AR28" s="51">
        <f ca="1">Calculations!AR98+Calculations!AR96</f>
        <v>0</v>
      </c>
      <c r="AS28" s="51">
        <f ca="1">Calculations!AS98+Calculations!AS96</f>
        <v>0</v>
      </c>
      <c r="AT28" s="51">
        <f ca="1">Calculations!AT98+Calculations!AT96</f>
        <v>0</v>
      </c>
      <c r="AU28" s="51">
        <f ca="1">Calculations!AU98+Calculations!AU96</f>
        <v>0</v>
      </c>
      <c r="AV28" s="51">
        <f ca="1">Calculations!AV98+Calculations!AV96</f>
        <v>0</v>
      </c>
      <c r="AW28" s="51">
        <f ca="1">Calculations!AW98+Calculations!AW96</f>
        <v>0</v>
      </c>
      <c r="AX28" s="51">
        <f ca="1">Calculations!AX98+Calculations!AX96</f>
        <v>0</v>
      </c>
      <c r="AY28" s="51">
        <f ca="1">Calculations!AY98+Calculations!AY96</f>
        <v>0</v>
      </c>
      <c r="AZ28" s="51">
        <f ca="1">Calculations!AZ98+Calculations!AZ96</f>
        <v>0</v>
      </c>
      <c r="BA28" s="51">
        <f ca="1">Calculations!BA98+Calculations!BA96</f>
        <v>0</v>
      </c>
      <c r="BB28" s="51">
        <f ca="1">Calculations!BB98+Calculations!BB96</f>
        <v>0</v>
      </c>
      <c r="BC28" s="38"/>
      <c r="BD28" s="38"/>
    </row>
    <row r="29" spans="1:56" s="32" customFormat="1" x14ac:dyDescent="0.2">
      <c r="A29" s="37">
        <f ca="1">SUM(E29:BB29)</f>
        <v>0</v>
      </c>
      <c r="B29" s="37">
        <f ca="1">NPV('Assumptions &amp; Results'!$C$131,E29:BB29)</f>
        <v>0</v>
      </c>
      <c r="C29" s="8" t="s">
        <v>10</v>
      </c>
      <c r="D29" s="36" t="s">
        <v>75</v>
      </c>
      <c r="E29" s="51">
        <f ca="1">Calculations!E106</f>
        <v>0</v>
      </c>
      <c r="F29" s="51">
        <f ca="1">Calculations!F106</f>
        <v>0</v>
      </c>
      <c r="G29" s="51">
        <f ca="1">Calculations!G106</f>
        <v>0</v>
      </c>
      <c r="H29" s="51">
        <f ca="1">Calculations!H106</f>
        <v>0</v>
      </c>
      <c r="I29" s="51">
        <f ca="1">Calculations!I106</f>
        <v>0</v>
      </c>
      <c r="J29" s="51">
        <f ca="1">Calculations!J106</f>
        <v>0</v>
      </c>
      <c r="K29" s="51">
        <f ca="1">Calculations!K106</f>
        <v>0</v>
      </c>
      <c r="L29" s="51">
        <f ca="1">Calculations!L106</f>
        <v>0</v>
      </c>
      <c r="M29" s="51">
        <f ca="1">Calculations!M106</f>
        <v>0</v>
      </c>
      <c r="N29" s="51">
        <f ca="1">Calculations!N106</f>
        <v>0</v>
      </c>
      <c r="O29" s="51">
        <f ca="1">Calculations!O106</f>
        <v>0</v>
      </c>
      <c r="P29" s="51">
        <f ca="1">Calculations!P106</f>
        <v>0</v>
      </c>
      <c r="Q29" s="51">
        <f ca="1">Calculations!Q106</f>
        <v>0</v>
      </c>
      <c r="R29" s="51">
        <f ca="1">Calculations!R106</f>
        <v>0</v>
      </c>
      <c r="S29" s="51">
        <f ca="1">Calculations!S106</f>
        <v>0</v>
      </c>
      <c r="T29" s="51">
        <f ca="1">Calculations!T106</f>
        <v>0</v>
      </c>
      <c r="U29" s="51">
        <f ca="1">Calculations!U106</f>
        <v>0</v>
      </c>
      <c r="V29" s="51">
        <f ca="1">Calculations!V106</f>
        <v>0</v>
      </c>
      <c r="W29" s="51">
        <f ca="1">Calculations!W106</f>
        <v>0</v>
      </c>
      <c r="X29" s="51">
        <f ca="1">Calculations!X106</f>
        <v>0</v>
      </c>
      <c r="Y29" s="51">
        <f ca="1">Calculations!Y106</f>
        <v>0</v>
      </c>
      <c r="Z29" s="51">
        <f ca="1">Calculations!Z106</f>
        <v>0</v>
      </c>
      <c r="AA29" s="51">
        <f ca="1">Calculations!AA106</f>
        <v>0</v>
      </c>
      <c r="AB29" s="51">
        <f ca="1">Calculations!AB106</f>
        <v>0</v>
      </c>
      <c r="AC29" s="51">
        <f ca="1">Calculations!AC106</f>
        <v>0</v>
      </c>
      <c r="AD29" s="51">
        <f ca="1">Calculations!AD106</f>
        <v>0</v>
      </c>
      <c r="AE29" s="51">
        <f ca="1">Calculations!AE106</f>
        <v>0</v>
      </c>
      <c r="AF29" s="51">
        <f ca="1">Calculations!AF106</f>
        <v>0</v>
      </c>
      <c r="AG29" s="51">
        <f ca="1">Calculations!AG106</f>
        <v>0</v>
      </c>
      <c r="AH29" s="51">
        <f ca="1">Calculations!AH106</f>
        <v>0</v>
      </c>
      <c r="AI29" s="51">
        <f ca="1">Calculations!AI106</f>
        <v>0</v>
      </c>
      <c r="AJ29" s="51">
        <f ca="1">Calculations!AJ106</f>
        <v>0</v>
      </c>
      <c r="AK29" s="51">
        <f ca="1">Calculations!AK106</f>
        <v>0</v>
      </c>
      <c r="AL29" s="51">
        <f ca="1">Calculations!AL106</f>
        <v>0</v>
      </c>
      <c r="AM29" s="51">
        <f ca="1">Calculations!AM106</f>
        <v>0</v>
      </c>
      <c r="AN29" s="51">
        <f ca="1">Calculations!AN106</f>
        <v>0</v>
      </c>
      <c r="AO29" s="51">
        <f ca="1">Calculations!AO106</f>
        <v>0</v>
      </c>
      <c r="AP29" s="51">
        <f ca="1">Calculations!AP106</f>
        <v>0</v>
      </c>
      <c r="AQ29" s="51">
        <f ca="1">Calculations!AQ106</f>
        <v>0</v>
      </c>
      <c r="AR29" s="51">
        <f ca="1">Calculations!AR106</f>
        <v>0</v>
      </c>
      <c r="AS29" s="51">
        <f ca="1">Calculations!AS106</f>
        <v>0</v>
      </c>
      <c r="AT29" s="51">
        <f ca="1">Calculations!AT106</f>
        <v>0</v>
      </c>
      <c r="AU29" s="51">
        <f ca="1">Calculations!AU106</f>
        <v>0</v>
      </c>
      <c r="AV29" s="51">
        <f ca="1">Calculations!AV106</f>
        <v>0</v>
      </c>
      <c r="AW29" s="51">
        <f ca="1">Calculations!AW106</f>
        <v>0</v>
      </c>
      <c r="AX29" s="51">
        <f ca="1">Calculations!AX106</f>
        <v>0</v>
      </c>
      <c r="AY29" s="51">
        <f ca="1">Calculations!AY106</f>
        <v>0</v>
      </c>
      <c r="AZ29" s="51">
        <f ca="1">Calculations!AZ106</f>
        <v>0</v>
      </c>
      <c r="BA29" s="51">
        <f ca="1">Calculations!BA106</f>
        <v>0</v>
      </c>
      <c r="BB29" s="51">
        <f ca="1">Calculations!BB106</f>
        <v>0</v>
      </c>
      <c r="BC29" s="38"/>
      <c r="BD29" s="38"/>
    </row>
    <row r="30" spans="1:56" s="32" customFormat="1" x14ac:dyDescent="0.2">
      <c r="A30" s="37">
        <f ca="1">SUM(E30:BB30)</f>
        <v>475.89788441338874</v>
      </c>
      <c r="B30" s="37">
        <f ca="1">NPV('Assumptions &amp; Results'!$C$131,E30:BB30)</f>
        <v>66.455575169675171</v>
      </c>
      <c r="C30" s="8" t="s">
        <v>232</v>
      </c>
      <c r="D30" s="36" t="s">
        <v>75</v>
      </c>
      <c r="E30" s="51">
        <f ca="1">Calculations!E167-Calculations!E155</f>
        <v>0</v>
      </c>
      <c r="F30" s="51">
        <f ca="1">Calculations!F167-Calculations!F155</f>
        <v>0</v>
      </c>
      <c r="G30" s="51">
        <f ca="1">Calculations!G167-Calculations!G155</f>
        <v>0</v>
      </c>
      <c r="H30" s="51">
        <f ca="1">Calculations!H167-Calculations!H155</f>
        <v>0</v>
      </c>
      <c r="I30" s="51">
        <f ca="1">Calculations!I167-Calculations!I155</f>
        <v>0</v>
      </c>
      <c r="J30" s="51">
        <f ca="1">Calculations!J167-Calculations!J155</f>
        <v>12.379341924522237</v>
      </c>
      <c r="K30" s="51">
        <f ca="1">Calculations!K167-Calculations!K155</f>
        <v>12.169999371589094</v>
      </c>
      <c r="L30" s="51">
        <f ca="1">Calculations!L167-Calculations!L155</f>
        <v>11.941523539968816</v>
      </c>
      <c r="M30" s="51">
        <f ca="1">Calculations!M167-Calculations!M155</f>
        <v>11.748769490194599</v>
      </c>
      <c r="N30" s="51">
        <f ca="1">Calculations!N167-Calculations!N155</f>
        <v>7.011855609063244</v>
      </c>
      <c r="O30" s="51">
        <f ca="1">Calculations!O167-Calculations!O155</f>
        <v>9.7250112469314445</v>
      </c>
      <c r="P30" s="51">
        <f ca="1">Calculations!P167-Calculations!P155</f>
        <v>13.462034630670075</v>
      </c>
      <c r="Q30" s="51">
        <f ca="1">Calculations!Q167-Calculations!Q155</f>
        <v>17.401472315183476</v>
      </c>
      <c r="R30" s="51">
        <f ca="1">Calculations!R167-Calculations!R155</f>
        <v>17.749501761487142</v>
      </c>
      <c r="S30" s="51">
        <f ca="1">Calculations!S167-Calculations!S155</f>
        <v>18.104491796716889</v>
      </c>
      <c r="T30" s="51">
        <f ca="1">Calculations!T167-Calculations!T155</f>
        <v>18.466581632651224</v>
      </c>
      <c r="U30" s="51">
        <f ca="1">Calculations!U167-Calculations!U155</f>
        <v>18.835913265304253</v>
      </c>
      <c r="V30" s="51">
        <f ca="1">Calculations!V167-Calculations!V155</f>
        <v>19.212631530610341</v>
      </c>
      <c r="W30" s="51">
        <f ca="1">Calculations!W167-Calculations!W155</f>
        <v>19.596884161222548</v>
      </c>
      <c r="X30" s="51">
        <f ca="1">Calculations!X167-Calculations!X155</f>
        <v>19.988821844446989</v>
      </c>
      <c r="Y30" s="51">
        <f ca="1">Calculations!Y167-Calculations!Y155</f>
        <v>20.388598281335945</v>
      </c>
      <c r="Z30" s="51">
        <f ca="1">Calculations!Z167-Calculations!Z155</f>
        <v>20.796370246962667</v>
      </c>
      <c r="AA30" s="51">
        <f ca="1">Calculations!AA167-Calculations!AA155</f>
        <v>21.212297651901906</v>
      </c>
      <c r="AB30" s="51">
        <f ca="1">Calculations!AB167-Calculations!AB155</f>
        <v>21.636543604939948</v>
      </c>
      <c r="AC30" s="51">
        <f ca="1">Calculations!AC167-Calculations!AC155</f>
        <v>22.06927447703875</v>
      </c>
      <c r="AD30" s="51">
        <f ca="1">Calculations!AD167-Calculations!AD155</f>
        <v>22.510659966579528</v>
      </c>
      <c r="AE30" s="51">
        <f ca="1">Calculations!AE167-Calculations!AE155</f>
        <v>22.960873165911121</v>
      </c>
      <c r="AF30" s="51">
        <f ca="1">Calculations!AF167-Calculations!AF155</f>
        <v>23.420090629229339</v>
      </c>
      <c r="AG30" s="51">
        <f ca="1">Calculations!AG167-Calculations!AG155</f>
        <v>23.888492441813927</v>
      </c>
      <c r="AH30" s="51">
        <f ca="1">Calculations!AH167-Calculations!AH155</f>
        <v>24.366262290650205</v>
      </c>
      <c r="AI30" s="51">
        <f ca="1">Calculations!AI167-Calculations!AI155</f>
        <v>24.853587536463209</v>
      </c>
      <c r="AJ30" s="51">
        <f ca="1">Calculations!AJ167-Calculations!AJ155</f>
        <v>0</v>
      </c>
      <c r="AK30" s="51">
        <f ca="1">Calculations!AK167-Calculations!AK155</f>
        <v>0</v>
      </c>
      <c r="AL30" s="51">
        <f ca="1">Calculations!AL167-Calculations!AL155</f>
        <v>0</v>
      </c>
      <c r="AM30" s="51">
        <f ca="1">Calculations!AM167-Calculations!AM155</f>
        <v>0</v>
      </c>
      <c r="AN30" s="51">
        <f ca="1">Calculations!AN167-Calculations!AN155</f>
        <v>0</v>
      </c>
      <c r="AO30" s="51">
        <f ca="1">Calculations!AO167-Calculations!AO155</f>
        <v>0</v>
      </c>
      <c r="AP30" s="51">
        <f ca="1">Calculations!AP167-Calculations!AP155</f>
        <v>0</v>
      </c>
      <c r="AQ30" s="51">
        <f ca="1">Calculations!AQ167-Calculations!AQ155</f>
        <v>0</v>
      </c>
      <c r="AR30" s="51">
        <f ca="1">Calculations!AR167-Calculations!AR155</f>
        <v>0</v>
      </c>
      <c r="AS30" s="51">
        <f ca="1">Calculations!AS167-Calculations!AS155</f>
        <v>0</v>
      </c>
      <c r="AT30" s="51">
        <f ca="1">Calculations!AT167-Calculations!AT155</f>
        <v>0</v>
      </c>
      <c r="AU30" s="51">
        <f ca="1">Calculations!AU167-Calculations!AU155</f>
        <v>0</v>
      </c>
      <c r="AV30" s="51">
        <f ca="1">Calculations!AV167-Calculations!AV155</f>
        <v>0</v>
      </c>
      <c r="AW30" s="51">
        <f ca="1">Calculations!AW167-Calculations!AW155</f>
        <v>0</v>
      </c>
      <c r="AX30" s="51">
        <f ca="1">Calculations!AX167-Calculations!AX155</f>
        <v>0</v>
      </c>
      <c r="AY30" s="51">
        <f ca="1">Calculations!AY167-Calculations!AY155</f>
        <v>0</v>
      </c>
      <c r="AZ30" s="51">
        <f ca="1">Calculations!AZ167-Calculations!AZ155</f>
        <v>0</v>
      </c>
      <c r="BA30" s="51">
        <f ca="1">Calculations!BA167-Calculations!BA155</f>
        <v>0</v>
      </c>
      <c r="BB30" s="51">
        <f ca="1">Calculations!BB167-Calculations!BB155</f>
        <v>0</v>
      </c>
      <c r="BC30" s="38"/>
      <c r="BD30" s="38"/>
    </row>
    <row r="31" spans="1:56" s="7" customFormat="1" x14ac:dyDescent="0.2">
      <c r="A31" s="37">
        <f ca="1">SUM(E31:BB31)</f>
        <v>171.32323838881999</v>
      </c>
      <c r="B31" s="37">
        <f ca="1">NPV('Assumptions &amp; Results'!$C$131,E31:BB31)</f>
        <v>23.924007061083053</v>
      </c>
      <c r="C31" s="8" t="s">
        <v>4</v>
      </c>
      <c r="D31" s="36" t="s">
        <v>75</v>
      </c>
      <c r="E31" s="51">
        <f ca="1">Calculations!E148</f>
        <v>0</v>
      </c>
      <c r="F31" s="51">
        <f ca="1">Calculations!F148</f>
        <v>0</v>
      </c>
      <c r="G31" s="51">
        <f ca="1">Calculations!G148</f>
        <v>0</v>
      </c>
      <c r="H31" s="51">
        <f ca="1">Calculations!H148</f>
        <v>0</v>
      </c>
      <c r="I31" s="51">
        <f ca="1">Calculations!I148</f>
        <v>0</v>
      </c>
      <c r="J31" s="51">
        <f ca="1">Calculations!J148</f>
        <v>4.4565630928280049</v>
      </c>
      <c r="K31" s="51">
        <f ca="1">Calculations!K148</f>
        <v>4.3811997737720736</v>
      </c>
      <c r="L31" s="51">
        <f ca="1">Calculations!L148</f>
        <v>4.2989484743887738</v>
      </c>
      <c r="M31" s="51">
        <f ca="1">Calculations!M148</f>
        <v>4.2295570164700553</v>
      </c>
      <c r="N31" s="51">
        <f ca="1">Calculations!N148</f>
        <v>2.5242680192627676</v>
      </c>
      <c r="O31" s="51">
        <f ca="1">Calculations!O148</f>
        <v>3.5010040488953194</v>
      </c>
      <c r="P31" s="51">
        <f ca="1">Calculations!P148</f>
        <v>4.8463324670412273</v>
      </c>
      <c r="Q31" s="51">
        <f ca="1">Calculations!Q148</f>
        <v>6.264530033466051</v>
      </c>
      <c r="R31" s="51">
        <f ca="1">Calculations!R148</f>
        <v>6.3898206341353703</v>
      </c>
      <c r="S31" s="51">
        <f ca="1">Calculations!S148</f>
        <v>6.5176170468180796</v>
      </c>
      <c r="T31" s="51">
        <f ca="1">Calculations!T148</f>
        <v>6.6479693877544399</v>
      </c>
      <c r="U31" s="51">
        <f ca="1">Calculations!U148</f>
        <v>6.7809287755095307</v>
      </c>
      <c r="V31" s="51">
        <f ca="1">Calculations!V148</f>
        <v>6.9165473510197231</v>
      </c>
      <c r="W31" s="51">
        <f ca="1">Calculations!W148</f>
        <v>7.0548782980401166</v>
      </c>
      <c r="X31" s="51">
        <f ca="1">Calculations!X148</f>
        <v>7.1959758640009159</v>
      </c>
      <c r="Y31" s="51">
        <f ca="1">Calculations!Y148</f>
        <v>7.3398953812809395</v>
      </c>
      <c r="Z31" s="51">
        <f ca="1">Calculations!Z148</f>
        <v>7.4866932889065581</v>
      </c>
      <c r="AA31" s="51">
        <f ca="1">Calculations!AA148</f>
        <v>7.6364271546846867</v>
      </c>
      <c r="AB31" s="51">
        <f ca="1">Calculations!AB148</f>
        <v>7.7891556977783809</v>
      </c>
      <c r="AC31" s="51">
        <f ca="1">Calculations!AC148</f>
        <v>7.944938811733949</v>
      </c>
      <c r="AD31" s="51">
        <f ca="1">Calculations!AD148</f>
        <v>8.1038375879686289</v>
      </c>
      <c r="AE31" s="51">
        <f ca="1">Calculations!AE148</f>
        <v>8.2659143397280026</v>
      </c>
      <c r="AF31" s="51">
        <f ca="1">Calculations!AF148</f>
        <v>8.4312326265225614</v>
      </c>
      <c r="AG31" s="51">
        <f ca="1">Calculations!AG148</f>
        <v>8.5998572790530137</v>
      </c>
      <c r="AH31" s="51">
        <f ca="1">Calculations!AH148</f>
        <v>8.7718544246340731</v>
      </c>
      <c r="AI31" s="51">
        <f ca="1">Calculations!AI148</f>
        <v>8.9472915131267552</v>
      </c>
      <c r="AJ31" s="51">
        <f ca="1">Calculations!AJ148</f>
        <v>0</v>
      </c>
      <c r="AK31" s="51">
        <f ca="1">Calculations!AK148</f>
        <v>0</v>
      </c>
      <c r="AL31" s="51">
        <f ca="1">Calculations!AL148</f>
        <v>0</v>
      </c>
      <c r="AM31" s="51">
        <f ca="1">Calculations!AM148</f>
        <v>0</v>
      </c>
      <c r="AN31" s="51">
        <f ca="1">Calculations!AN148</f>
        <v>0</v>
      </c>
      <c r="AO31" s="51">
        <f ca="1">Calculations!AO148</f>
        <v>0</v>
      </c>
      <c r="AP31" s="51">
        <f ca="1">Calculations!AP148</f>
        <v>0</v>
      </c>
      <c r="AQ31" s="51">
        <f ca="1">Calculations!AQ148</f>
        <v>0</v>
      </c>
      <c r="AR31" s="51">
        <f ca="1">Calculations!AR148</f>
        <v>0</v>
      </c>
      <c r="AS31" s="51">
        <f ca="1">Calculations!AS148</f>
        <v>0</v>
      </c>
      <c r="AT31" s="51">
        <f ca="1">Calculations!AT148</f>
        <v>0</v>
      </c>
      <c r="AU31" s="51">
        <f ca="1">Calculations!AU148</f>
        <v>0</v>
      </c>
      <c r="AV31" s="51">
        <f ca="1">Calculations!AV148</f>
        <v>0</v>
      </c>
      <c r="AW31" s="51">
        <f ca="1">Calculations!AW148</f>
        <v>0</v>
      </c>
      <c r="AX31" s="51">
        <f ca="1">Calculations!AX148</f>
        <v>0</v>
      </c>
      <c r="AY31" s="51">
        <f ca="1">Calculations!AY148</f>
        <v>0</v>
      </c>
      <c r="AZ31" s="51">
        <f ca="1">Calculations!AZ148</f>
        <v>0</v>
      </c>
      <c r="BA31" s="51">
        <f ca="1">Calculations!BA148</f>
        <v>0</v>
      </c>
      <c r="BB31" s="51">
        <f ca="1">Calculations!BB148</f>
        <v>0</v>
      </c>
      <c r="BC31" s="38"/>
      <c r="BD31" s="38"/>
    </row>
    <row r="32" spans="1:56" s="32" customFormat="1" x14ac:dyDescent="0.2">
      <c r="C32" s="33"/>
      <c r="D32" s="36"/>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38"/>
      <c r="BD32" s="38"/>
    </row>
    <row r="33" spans="1:56" s="32" customFormat="1" x14ac:dyDescent="0.2">
      <c r="C33" s="301" t="s">
        <v>175</v>
      </c>
      <c r="D33" s="302">
        <f ca="1">SUM(E23:BB23)/SUM(Calculations!E114:BB114)</f>
        <v>0.50824109220538261</v>
      </c>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38"/>
      <c r="BD33" s="38"/>
    </row>
    <row r="34" spans="1:56" s="32" customFormat="1" x14ac:dyDescent="0.2">
      <c r="C34" s="301" t="s">
        <v>176</v>
      </c>
      <c r="D34" s="302">
        <f ca="1">B23/NPV('Assumptions &amp; Results'!$C$131,Calculations!E114:BB114)</f>
        <v>0.76601915900019624</v>
      </c>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38"/>
      <c r="BD34" s="38"/>
    </row>
    <row r="35" spans="1:56" s="32" customFormat="1" x14ac:dyDescent="0.2">
      <c r="C35" s="11"/>
      <c r="D35" s="36"/>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38"/>
      <c r="BD35" s="38"/>
    </row>
    <row r="36" spans="1:56" s="105" customFormat="1" x14ac:dyDescent="0.2">
      <c r="A36" s="100">
        <f>SUM(E36:BB36)</f>
        <v>422.67509656000004</v>
      </c>
      <c r="B36" s="100">
        <f>NPV('Assumptions &amp; Results'!$C$133,E36:BB36)</f>
        <v>-9.1595400756819583</v>
      </c>
      <c r="C36" s="107" t="s">
        <v>146</v>
      </c>
      <c r="D36" s="102" t="s">
        <v>75</v>
      </c>
      <c r="E36" s="103">
        <f t="shared" ref="E36:AJ36" si="7">SUM(E37:E40)</f>
        <v>-175</v>
      </c>
      <c r="F36" s="103">
        <f t="shared" si="7"/>
        <v>-144.11200300000002</v>
      </c>
      <c r="G36" s="103">
        <f t="shared" si="7"/>
        <v>-112.5379516</v>
      </c>
      <c r="H36" s="103">
        <f t="shared" si="7"/>
        <v>-80.255928639999965</v>
      </c>
      <c r="I36" s="103">
        <f t="shared" si="7"/>
        <v>142.18303011999998</v>
      </c>
      <c r="J36" s="103">
        <f t="shared" si="7"/>
        <v>142.51841511999999</v>
      </c>
      <c r="K36" s="103">
        <f t="shared" si="7"/>
        <v>142.89404632</v>
      </c>
      <c r="L36" s="103">
        <f t="shared" si="7"/>
        <v>143.31475324000002</v>
      </c>
      <c r="M36" s="103">
        <f t="shared" si="7"/>
        <v>143.78594499999997</v>
      </c>
      <c r="N36" s="103">
        <f t="shared" si="7"/>
        <v>109.08568276</v>
      </c>
      <c r="O36" s="103">
        <f t="shared" si="7"/>
        <v>73.575093360000011</v>
      </c>
      <c r="P36" s="103">
        <f t="shared" si="7"/>
        <v>37.224013880000001</v>
      </c>
      <c r="Q36" s="103">
        <f t="shared" si="7"/>
        <v>0</v>
      </c>
      <c r="R36" s="103">
        <f t="shared" si="7"/>
        <v>0</v>
      </c>
      <c r="S36" s="103">
        <f t="shared" si="7"/>
        <v>0</v>
      </c>
      <c r="T36" s="103">
        <f t="shared" si="7"/>
        <v>0</v>
      </c>
      <c r="U36" s="103">
        <f t="shared" si="7"/>
        <v>0</v>
      </c>
      <c r="V36" s="103">
        <f t="shared" si="7"/>
        <v>0</v>
      </c>
      <c r="W36" s="103">
        <f t="shared" si="7"/>
        <v>0</v>
      </c>
      <c r="X36" s="103">
        <f t="shared" si="7"/>
        <v>0</v>
      </c>
      <c r="Y36" s="103">
        <f t="shared" si="7"/>
        <v>0</v>
      </c>
      <c r="Z36" s="103">
        <f t="shared" si="7"/>
        <v>0</v>
      </c>
      <c r="AA36" s="103">
        <f t="shared" si="7"/>
        <v>0</v>
      </c>
      <c r="AB36" s="103">
        <f t="shared" si="7"/>
        <v>0</v>
      </c>
      <c r="AC36" s="103">
        <f t="shared" si="7"/>
        <v>0</v>
      </c>
      <c r="AD36" s="103">
        <f t="shared" si="7"/>
        <v>0</v>
      </c>
      <c r="AE36" s="103">
        <f t="shared" si="7"/>
        <v>0</v>
      </c>
      <c r="AF36" s="103">
        <f t="shared" si="7"/>
        <v>0</v>
      </c>
      <c r="AG36" s="103">
        <f t="shared" si="7"/>
        <v>0</v>
      </c>
      <c r="AH36" s="103">
        <f t="shared" si="7"/>
        <v>0</v>
      </c>
      <c r="AI36" s="103">
        <f t="shared" si="7"/>
        <v>0</v>
      </c>
      <c r="AJ36" s="103">
        <f t="shared" si="7"/>
        <v>0</v>
      </c>
      <c r="AK36" s="103">
        <f t="shared" ref="AK36:BB36" si="8">SUM(AK37:AK40)</f>
        <v>0</v>
      </c>
      <c r="AL36" s="103">
        <f t="shared" si="8"/>
        <v>0</v>
      </c>
      <c r="AM36" s="103">
        <f t="shared" si="8"/>
        <v>0</v>
      </c>
      <c r="AN36" s="103">
        <f t="shared" si="8"/>
        <v>0</v>
      </c>
      <c r="AO36" s="103">
        <f t="shared" si="8"/>
        <v>0</v>
      </c>
      <c r="AP36" s="103">
        <f t="shared" si="8"/>
        <v>0</v>
      </c>
      <c r="AQ36" s="103">
        <f t="shared" si="8"/>
        <v>0</v>
      </c>
      <c r="AR36" s="103">
        <f t="shared" si="8"/>
        <v>0</v>
      </c>
      <c r="AS36" s="103">
        <f t="shared" si="8"/>
        <v>0</v>
      </c>
      <c r="AT36" s="103">
        <f t="shared" si="8"/>
        <v>0</v>
      </c>
      <c r="AU36" s="103">
        <f t="shared" si="8"/>
        <v>0</v>
      </c>
      <c r="AV36" s="103">
        <f t="shared" si="8"/>
        <v>0</v>
      </c>
      <c r="AW36" s="103">
        <f t="shared" si="8"/>
        <v>0</v>
      </c>
      <c r="AX36" s="103">
        <f t="shared" si="8"/>
        <v>0</v>
      </c>
      <c r="AY36" s="103">
        <f t="shared" si="8"/>
        <v>0</v>
      </c>
      <c r="AZ36" s="103">
        <f t="shared" si="8"/>
        <v>0</v>
      </c>
      <c r="BA36" s="103">
        <f t="shared" si="8"/>
        <v>0</v>
      </c>
      <c r="BB36" s="103">
        <f t="shared" si="8"/>
        <v>0</v>
      </c>
      <c r="BC36" s="104"/>
      <c r="BD36" s="104"/>
    </row>
    <row r="37" spans="1:56" s="7" customFormat="1" x14ac:dyDescent="0.2">
      <c r="A37" s="37">
        <f t="shared" ref="A37:A40" si="9">SUM(E37:BB37)</f>
        <v>-721.28139999999985</v>
      </c>
      <c r="B37" s="37">
        <f>NPV('Assumptions &amp; Results'!$C$133,E37:BB37)</f>
        <v>-546.16588892811569</v>
      </c>
      <c r="C37" s="8" t="s">
        <v>147</v>
      </c>
      <c r="D37" s="36" t="s">
        <v>75</v>
      </c>
      <c r="E37" s="51">
        <f>-Calculations!E139</f>
        <v>-175</v>
      </c>
      <c r="F37" s="51">
        <f>-Calculations!F139</f>
        <v>-178.5</v>
      </c>
      <c r="G37" s="51">
        <f>-Calculations!G139</f>
        <v>-182.07</v>
      </c>
      <c r="H37" s="51">
        <f>-Calculations!H139</f>
        <v>-185.71139999999997</v>
      </c>
      <c r="I37" s="51">
        <f>-Calculations!I139</f>
        <v>0</v>
      </c>
      <c r="J37" s="51">
        <f>-Calculations!J139</f>
        <v>0</v>
      </c>
      <c r="K37" s="51">
        <f>-Calculations!K139</f>
        <v>0</v>
      </c>
      <c r="L37" s="51">
        <f>-Calculations!L139</f>
        <v>0</v>
      </c>
      <c r="M37" s="51">
        <f>-Calculations!M139</f>
        <v>0</v>
      </c>
      <c r="N37" s="51">
        <f>-Calculations!N139</f>
        <v>0</v>
      </c>
      <c r="O37" s="51">
        <f>-Calculations!O139</f>
        <v>0</v>
      </c>
      <c r="P37" s="51">
        <f>-Calculations!P139</f>
        <v>0</v>
      </c>
      <c r="Q37" s="51">
        <f>-Calculations!Q139</f>
        <v>0</v>
      </c>
      <c r="R37" s="51">
        <f>-Calculations!R139</f>
        <v>0</v>
      </c>
      <c r="S37" s="51">
        <f>-Calculations!S139</f>
        <v>0</v>
      </c>
      <c r="T37" s="51">
        <f>-Calculations!T139</f>
        <v>0</v>
      </c>
      <c r="U37" s="51">
        <f>-Calculations!U139</f>
        <v>0</v>
      </c>
      <c r="V37" s="51">
        <f>-Calculations!V139</f>
        <v>0</v>
      </c>
      <c r="W37" s="51">
        <f>-Calculations!W139</f>
        <v>0</v>
      </c>
      <c r="X37" s="51">
        <f>-Calculations!X139</f>
        <v>0</v>
      </c>
      <c r="Y37" s="51">
        <f>-Calculations!Y139</f>
        <v>0</v>
      </c>
      <c r="Z37" s="51">
        <f>-Calculations!Z139</f>
        <v>0</v>
      </c>
      <c r="AA37" s="51">
        <f>-Calculations!AA139</f>
        <v>0</v>
      </c>
      <c r="AB37" s="51">
        <f>-Calculations!AB139</f>
        <v>0</v>
      </c>
      <c r="AC37" s="51">
        <f>-Calculations!AC139</f>
        <v>0</v>
      </c>
      <c r="AD37" s="51">
        <f>-Calculations!AD139</f>
        <v>0</v>
      </c>
      <c r="AE37" s="51">
        <f>-Calculations!AE139</f>
        <v>0</v>
      </c>
      <c r="AF37" s="51">
        <f>-Calculations!AF139</f>
        <v>0</v>
      </c>
      <c r="AG37" s="51">
        <f>-Calculations!AG139</f>
        <v>0</v>
      </c>
      <c r="AH37" s="51">
        <f>-Calculations!AH139</f>
        <v>0</v>
      </c>
      <c r="AI37" s="51">
        <f>-Calculations!AI139</f>
        <v>0</v>
      </c>
      <c r="AJ37" s="51">
        <f>-Calculations!AJ139</f>
        <v>0</v>
      </c>
      <c r="AK37" s="51">
        <f>-Calculations!AK139</f>
        <v>0</v>
      </c>
      <c r="AL37" s="51">
        <f>-Calculations!AL139</f>
        <v>0</v>
      </c>
      <c r="AM37" s="51">
        <f>-Calculations!AM139</f>
        <v>0</v>
      </c>
      <c r="AN37" s="51">
        <f>-Calculations!AN139</f>
        <v>0</v>
      </c>
      <c r="AO37" s="51">
        <f>-Calculations!AO139</f>
        <v>0</v>
      </c>
      <c r="AP37" s="51">
        <f>-Calculations!AP139</f>
        <v>0</v>
      </c>
      <c r="AQ37" s="51">
        <f>-Calculations!AQ139</f>
        <v>0</v>
      </c>
      <c r="AR37" s="51">
        <f>-Calculations!AR139</f>
        <v>0</v>
      </c>
      <c r="AS37" s="51">
        <f>-Calculations!AS139</f>
        <v>0</v>
      </c>
      <c r="AT37" s="51">
        <f>-Calculations!AT139</f>
        <v>0</v>
      </c>
      <c r="AU37" s="51">
        <f>-Calculations!AU139</f>
        <v>0</v>
      </c>
      <c r="AV37" s="51">
        <f>-Calculations!AV139</f>
        <v>0</v>
      </c>
      <c r="AW37" s="51">
        <f>-Calculations!AW139</f>
        <v>0</v>
      </c>
      <c r="AX37" s="51">
        <f>-Calculations!AX139</f>
        <v>0</v>
      </c>
      <c r="AY37" s="51">
        <f>-Calculations!AY139</f>
        <v>0</v>
      </c>
      <c r="AZ37" s="51">
        <f>-Calculations!AZ139</f>
        <v>0</v>
      </c>
      <c r="BA37" s="51">
        <f>-Calculations!BA139</f>
        <v>0</v>
      </c>
      <c r="BB37" s="51">
        <f>-Calculations!BB139</f>
        <v>0</v>
      </c>
      <c r="BC37" s="38"/>
      <c r="BD37" s="38"/>
    </row>
    <row r="38" spans="1:56" s="7" customFormat="1" x14ac:dyDescent="0.2">
      <c r="A38" s="37">
        <f t="shared" si="9"/>
        <v>721.28139800000008</v>
      </c>
      <c r="B38" s="37">
        <f>NPV('Assumptions &amp; Results'!$C$133,E38:BB38)</f>
        <v>317.17741791033689</v>
      </c>
      <c r="C38" s="8" t="s">
        <v>6</v>
      </c>
      <c r="D38" s="36" t="s">
        <v>75</v>
      </c>
      <c r="E38" s="51">
        <f>+Calculations!E143</f>
        <v>0</v>
      </c>
      <c r="F38" s="51">
        <f>+Calculations!F143</f>
        <v>14.227997</v>
      </c>
      <c r="G38" s="51">
        <f>+Calculations!G143</f>
        <v>30.447914000000001</v>
      </c>
      <c r="H38" s="51">
        <f>+Calculations!H143</f>
        <v>48.904471999999998</v>
      </c>
      <c r="I38" s="51">
        <f>+Calculations!I143</f>
        <v>69.871872999999994</v>
      </c>
      <c r="J38" s="51">
        <f>+Calculations!J143</f>
        <v>78.256497999999993</v>
      </c>
      <c r="K38" s="51">
        <f>+Calculations!K143</f>
        <v>87.647278</v>
      </c>
      <c r="L38" s="51">
        <f>+Calculations!L143</f>
        <v>98.164951000000002</v>
      </c>
      <c r="M38" s="51">
        <f>+Calculations!M143</f>
        <v>109.944745</v>
      </c>
      <c r="N38" s="51">
        <f>+Calculations!N143</f>
        <v>87.910117</v>
      </c>
      <c r="O38" s="51">
        <f>+Calculations!O143</f>
        <v>62.526774000000003</v>
      </c>
      <c r="P38" s="51">
        <f>+Calculations!P143</f>
        <v>33.378779000000002</v>
      </c>
      <c r="Q38" s="51">
        <f>+Calculations!Q143</f>
        <v>0</v>
      </c>
      <c r="R38" s="51">
        <f>+Calculations!R143</f>
        <v>0</v>
      </c>
      <c r="S38" s="51">
        <f>+Calculations!S143</f>
        <v>0</v>
      </c>
      <c r="T38" s="51">
        <f>+Calculations!T143</f>
        <v>0</v>
      </c>
      <c r="U38" s="51">
        <f>+Calculations!U143</f>
        <v>0</v>
      </c>
      <c r="V38" s="51">
        <f>+Calculations!V143</f>
        <v>0</v>
      </c>
      <c r="W38" s="51">
        <f>+Calculations!W143</f>
        <v>0</v>
      </c>
      <c r="X38" s="51">
        <f>+Calculations!X143</f>
        <v>0</v>
      </c>
      <c r="Y38" s="51">
        <f>+Calculations!Y143</f>
        <v>0</v>
      </c>
      <c r="Z38" s="51">
        <f>+Calculations!Z143</f>
        <v>0</v>
      </c>
      <c r="AA38" s="51">
        <f>+Calculations!AA143</f>
        <v>0</v>
      </c>
      <c r="AB38" s="51">
        <f>+Calculations!AB143</f>
        <v>0</v>
      </c>
      <c r="AC38" s="51">
        <f>+Calculations!AC143</f>
        <v>0</v>
      </c>
      <c r="AD38" s="51">
        <f>+Calculations!AD143</f>
        <v>0</v>
      </c>
      <c r="AE38" s="51">
        <f>+Calculations!AE143</f>
        <v>0</v>
      </c>
      <c r="AF38" s="51">
        <f>+Calculations!AF143</f>
        <v>0</v>
      </c>
      <c r="AG38" s="51">
        <f>+Calculations!AG143</f>
        <v>0</v>
      </c>
      <c r="AH38" s="51">
        <f>+Calculations!AH143</f>
        <v>0</v>
      </c>
      <c r="AI38" s="51">
        <f>+Calculations!AI143</f>
        <v>0</v>
      </c>
      <c r="AJ38" s="51">
        <f>+Calculations!AJ143</f>
        <v>0</v>
      </c>
      <c r="AK38" s="51">
        <f>+Calculations!AK143</f>
        <v>0</v>
      </c>
      <c r="AL38" s="51">
        <f>+Calculations!AL143</f>
        <v>0</v>
      </c>
      <c r="AM38" s="51">
        <f>+Calculations!AM143</f>
        <v>0</v>
      </c>
      <c r="AN38" s="51">
        <f>+Calculations!AN143</f>
        <v>0</v>
      </c>
      <c r="AO38" s="51">
        <f>+Calculations!AO143</f>
        <v>0</v>
      </c>
      <c r="AP38" s="51">
        <f>+Calculations!AP143</f>
        <v>0</v>
      </c>
      <c r="AQ38" s="51">
        <f>+Calculations!AQ143</f>
        <v>0</v>
      </c>
      <c r="AR38" s="51">
        <f>+Calculations!AR143</f>
        <v>0</v>
      </c>
      <c r="AS38" s="51">
        <f>+Calculations!AS143</f>
        <v>0</v>
      </c>
      <c r="AT38" s="51">
        <f>+Calculations!AT143</f>
        <v>0</v>
      </c>
      <c r="AU38" s="51">
        <f>+Calculations!AU143</f>
        <v>0</v>
      </c>
      <c r="AV38" s="51">
        <f>+Calculations!AV143</f>
        <v>0</v>
      </c>
      <c r="AW38" s="51">
        <f>+Calculations!AW143</f>
        <v>0</v>
      </c>
      <c r="AX38" s="51">
        <f>+Calculations!AX143</f>
        <v>0</v>
      </c>
      <c r="AY38" s="51">
        <f>+Calculations!AY143</f>
        <v>0</v>
      </c>
      <c r="AZ38" s="51">
        <f>+Calculations!AZ143</f>
        <v>0</v>
      </c>
      <c r="BA38" s="51">
        <f>+Calculations!BA143</f>
        <v>0</v>
      </c>
      <c r="BB38" s="51">
        <f>+Calculations!BB143</f>
        <v>0</v>
      </c>
      <c r="BC38" s="38"/>
      <c r="BD38" s="38"/>
    </row>
    <row r="39" spans="1:56" s="7" customFormat="1" x14ac:dyDescent="0.2">
      <c r="A39" s="37">
        <f t="shared" si="9"/>
        <v>440.28656100000001</v>
      </c>
      <c r="B39" s="37">
        <f>NPV('Assumptions &amp; Results'!$C$133,E39:BB39)</f>
        <v>228.98846973135096</v>
      </c>
      <c r="C39" s="8" t="s">
        <v>3</v>
      </c>
      <c r="D39" s="36" t="s">
        <v>75</v>
      </c>
      <c r="E39" s="51">
        <f>Calculations!E74</f>
        <v>0</v>
      </c>
      <c r="F39" s="51">
        <f>Calculations!F74</f>
        <v>21</v>
      </c>
      <c r="G39" s="51">
        <f>Calculations!G74</f>
        <v>40.71264</v>
      </c>
      <c r="H39" s="51">
        <f>Calculations!H74</f>
        <v>58.907291000000001</v>
      </c>
      <c r="I39" s="51">
        <f>Calculations!I74</f>
        <v>75.324122000000003</v>
      </c>
      <c r="J39" s="51">
        <f>Calculations!J74</f>
        <v>66.939497000000003</v>
      </c>
      <c r="K39" s="51">
        <f>Calculations!K74</f>
        <v>57.548717000000003</v>
      </c>
      <c r="L39" s="51">
        <f>Calculations!L74</f>
        <v>47.031044000000001</v>
      </c>
      <c r="M39" s="51">
        <f>Calculations!M74</f>
        <v>35.251249999999999</v>
      </c>
      <c r="N39" s="51">
        <f>Calculations!N74</f>
        <v>22.057880999999998</v>
      </c>
      <c r="O39" s="51">
        <f>Calculations!O74</f>
        <v>11.508666</v>
      </c>
      <c r="P39" s="51">
        <f>Calculations!P74</f>
        <v>4.0054530000000002</v>
      </c>
      <c r="Q39" s="51">
        <f>Calculations!Q74</f>
        <v>0</v>
      </c>
      <c r="R39" s="51">
        <f>Calculations!R74</f>
        <v>0</v>
      </c>
      <c r="S39" s="51">
        <f>Calculations!S74</f>
        <v>0</v>
      </c>
      <c r="T39" s="51">
        <f>Calculations!T74</f>
        <v>0</v>
      </c>
      <c r="U39" s="51">
        <f>Calculations!U74</f>
        <v>0</v>
      </c>
      <c r="V39" s="51">
        <f>Calculations!V74</f>
        <v>0</v>
      </c>
      <c r="W39" s="51">
        <f>Calculations!W74</f>
        <v>0</v>
      </c>
      <c r="X39" s="51">
        <f>Calculations!X74</f>
        <v>0</v>
      </c>
      <c r="Y39" s="51">
        <f>Calculations!Y74</f>
        <v>0</v>
      </c>
      <c r="Z39" s="51">
        <f>Calculations!Z74</f>
        <v>0</v>
      </c>
      <c r="AA39" s="51">
        <f>Calculations!AA74</f>
        <v>0</v>
      </c>
      <c r="AB39" s="51">
        <f>Calculations!AB74</f>
        <v>0</v>
      </c>
      <c r="AC39" s="51">
        <f>Calculations!AC74</f>
        <v>0</v>
      </c>
      <c r="AD39" s="51">
        <f>Calculations!AD74</f>
        <v>0</v>
      </c>
      <c r="AE39" s="51">
        <f>Calculations!AE74</f>
        <v>0</v>
      </c>
      <c r="AF39" s="51">
        <f>Calculations!AF74</f>
        <v>0</v>
      </c>
      <c r="AG39" s="51">
        <f>Calculations!AG74</f>
        <v>0</v>
      </c>
      <c r="AH39" s="51">
        <f>Calculations!AH74</f>
        <v>0</v>
      </c>
      <c r="AI39" s="51">
        <f>Calculations!AI74</f>
        <v>0</v>
      </c>
      <c r="AJ39" s="51">
        <f>Calculations!AJ74</f>
        <v>0</v>
      </c>
      <c r="AK39" s="51">
        <f>Calculations!AK74</f>
        <v>0</v>
      </c>
      <c r="AL39" s="51">
        <f>Calculations!AL74</f>
        <v>0</v>
      </c>
      <c r="AM39" s="51">
        <f>Calculations!AM74</f>
        <v>0</v>
      </c>
      <c r="AN39" s="51">
        <f>Calculations!AN74</f>
        <v>0</v>
      </c>
      <c r="AO39" s="51">
        <f>Calculations!AO74</f>
        <v>0</v>
      </c>
      <c r="AP39" s="51">
        <f>Calculations!AP74</f>
        <v>0</v>
      </c>
      <c r="AQ39" s="51">
        <f>Calculations!AQ74</f>
        <v>0</v>
      </c>
      <c r="AR39" s="51">
        <f>Calculations!AR74</f>
        <v>0</v>
      </c>
      <c r="AS39" s="51">
        <f>Calculations!AS74</f>
        <v>0</v>
      </c>
      <c r="AT39" s="51">
        <f>Calculations!AT74</f>
        <v>0</v>
      </c>
      <c r="AU39" s="51">
        <f>Calculations!AU74</f>
        <v>0</v>
      </c>
      <c r="AV39" s="51">
        <f>Calculations!AV74</f>
        <v>0</v>
      </c>
      <c r="AW39" s="51">
        <f>Calculations!AW74</f>
        <v>0</v>
      </c>
      <c r="AX39" s="51">
        <f>Calculations!AX74</f>
        <v>0</v>
      </c>
      <c r="AY39" s="51">
        <f>Calculations!AY74</f>
        <v>0</v>
      </c>
      <c r="AZ39" s="51">
        <f>Calculations!AZ74</f>
        <v>0</v>
      </c>
      <c r="BA39" s="51">
        <f>Calculations!BA74</f>
        <v>0</v>
      </c>
      <c r="BB39" s="51">
        <f>Calculations!BB74</f>
        <v>0</v>
      </c>
      <c r="BC39" s="38"/>
      <c r="BD39" s="38"/>
    </row>
    <row r="40" spans="1:56" s="7" customFormat="1" x14ac:dyDescent="0.2">
      <c r="A40" s="37">
        <f t="shared" si="9"/>
        <v>-17.61146244</v>
      </c>
      <c r="B40" s="37">
        <f>NPV('Assumptions &amp; Results'!$C$133,E40:BB40)</f>
        <v>-9.1595387892540394</v>
      </c>
      <c r="C40" s="8" t="s">
        <v>181</v>
      </c>
      <c r="D40" s="36" t="s">
        <v>75</v>
      </c>
      <c r="E40" s="51">
        <f t="shared" ref="E40:AJ40" si="10">-E27</f>
        <v>0</v>
      </c>
      <c r="F40" s="51">
        <f t="shared" si="10"/>
        <v>-0.84</v>
      </c>
      <c r="G40" s="51">
        <f t="shared" si="10"/>
        <v>-1.6285056</v>
      </c>
      <c r="H40" s="51">
        <f t="shared" si="10"/>
        <v>-2.3562916400000002</v>
      </c>
      <c r="I40" s="51">
        <f t="shared" si="10"/>
        <v>-3.0129648800000002</v>
      </c>
      <c r="J40" s="51">
        <f t="shared" si="10"/>
        <v>-2.6775798800000001</v>
      </c>
      <c r="K40" s="51">
        <f t="shared" si="10"/>
        <v>-2.3019486800000002</v>
      </c>
      <c r="L40" s="51">
        <f t="shared" si="10"/>
        <v>-1.88124176</v>
      </c>
      <c r="M40" s="51">
        <f t="shared" si="10"/>
        <v>-1.41005</v>
      </c>
      <c r="N40" s="51">
        <f t="shared" si="10"/>
        <v>-0.88231523999999995</v>
      </c>
      <c r="O40" s="51">
        <f t="shared" si="10"/>
        <v>-0.46034664000000003</v>
      </c>
      <c r="P40" s="51">
        <f t="shared" si="10"/>
        <v>-0.16021812000000002</v>
      </c>
      <c r="Q40" s="51">
        <f t="shared" si="10"/>
        <v>0</v>
      </c>
      <c r="R40" s="51">
        <f t="shared" si="10"/>
        <v>0</v>
      </c>
      <c r="S40" s="51">
        <f t="shared" si="10"/>
        <v>0</v>
      </c>
      <c r="T40" s="51">
        <f t="shared" si="10"/>
        <v>0</v>
      </c>
      <c r="U40" s="51">
        <f t="shared" si="10"/>
        <v>0</v>
      </c>
      <c r="V40" s="51">
        <f t="shared" si="10"/>
        <v>0</v>
      </c>
      <c r="W40" s="51">
        <f t="shared" si="10"/>
        <v>0</v>
      </c>
      <c r="X40" s="51">
        <f t="shared" si="10"/>
        <v>0</v>
      </c>
      <c r="Y40" s="51">
        <f t="shared" si="10"/>
        <v>0</v>
      </c>
      <c r="Z40" s="51">
        <f t="shared" si="10"/>
        <v>0</v>
      </c>
      <c r="AA40" s="51">
        <f t="shared" si="10"/>
        <v>0</v>
      </c>
      <c r="AB40" s="51">
        <f t="shared" si="10"/>
        <v>0</v>
      </c>
      <c r="AC40" s="51">
        <f t="shared" si="10"/>
        <v>0</v>
      </c>
      <c r="AD40" s="51">
        <f t="shared" si="10"/>
        <v>0</v>
      </c>
      <c r="AE40" s="51">
        <f t="shared" si="10"/>
        <v>0</v>
      </c>
      <c r="AF40" s="51">
        <f t="shared" si="10"/>
        <v>0</v>
      </c>
      <c r="AG40" s="51">
        <f t="shared" si="10"/>
        <v>0</v>
      </c>
      <c r="AH40" s="51">
        <f t="shared" si="10"/>
        <v>0</v>
      </c>
      <c r="AI40" s="51">
        <f t="shared" si="10"/>
        <v>0</v>
      </c>
      <c r="AJ40" s="51">
        <f t="shared" si="10"/>
        <v>0</v>
      </c>
      <c r="AK40" s="51">
        <f t="shared" ref="AK40:BB40" si="11">-AK27</f>
        <v>0</v>
      </c>
      <c r="AL40" s="51">
        <f t="shared" si="11"/>
        <v>0</v>
      </c>
      <c r="AM40" s="51">
        <f t="shared" si="11"/>
        <v>0</v>
      </c>
      <c r="AN40" s="51">
        <f t="shared" si="11"/>
        <v>0</v>
      </c>
      <c r="AO40" s="51">
        <f t="shared" si="11"/>
        <v>0</v>
      </c>
      <c r="AP40" s="51">
        <f t="shared" si="11"/>
        <v>0</v>
      </c>
      <c r="AQ40" s="51">
        <f t="shared" si="11"/>
        <v>0</v>
      </c>
      <c r="AR40" s="51">
        <f t="shared" si="11"/>
        <v>0</v>
      </c>
      <c r="AS40" s="51">
        <f t="shared" si="11"/>
        <v>0</v>
      </c>
      <c r="AT40" s="51">
        <f t="shared" si="11"/>
        <v>0</v>
      </c>
      <c r="AU40" s="51">
        <f t="shared" si="11"/>
        <v>0</v>
      </c>
      <c r="AV40" s="51">
        <f t="shared" si="11"/>
        <v>0</v>
      </c>
      <c r="AW40" s="51">
        <f t="shared" si="11"/>
        <v>0</v>
      </c>
      <c r="AX40" s="51">
        <f t="shared" si="11"/>
        <v>0</v>
      </c>
      <c r="AY40" s="51">
        <f t="shared" si="11"/>
        <v>0</v>
      </c>
      <c r="AZ40" s="51">
        <f t="shared" si="11"/>
        <v>0</v>
      </c>
      <c r="BA40" s="51">
        <f t="shared" si="11"/>
        <v>0</v>
      </c>
      <c r="BB40" s="51">
        <f t="shared" si="11"/>
        <v>0</v>
      </c>
      <c r="BC40" s="38"/>
      <c r="BD40" s="38"/>
    </row>
    <row r="41" spans="1:56" s="32" customFormat="1" x14ac:dyDescent="0.2">
      <c r="C41" s="33"/>
      <c r="D41" s="43"/>
      <c r="E41" s="52"/>
      <c r="F41" s="52"/>
      <c r="G41" s="52"/>
      <c r="H41" s="52"/>
      <c r="I41" s="52"/>
      <c r="J41" s="52"/>
      <c r="K41" s="52"/>
      <c r="L41" s="52"/>
      <c r="M41" s="52"/>
      <c r="N41" s="52"/>
      <c r="O41" s="52"/>
      <c r="P41" s="52"/>
      <c r="Q41" s="52"/>
      <c r="R41" s="52"/>
      <c r="S41" s="52"/>
      <c r="T41" s="52"/>
      <c r="U41" s="52"/>
      <c r="V41" s="52"/>
      <c r="W41" s="52"/>
      <c r="X41" s="52"/>
      <c r="Y41" s="52"/>
      <c r="Z41" s="52"/>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35"/>
      <c r="BD41" s="35"/>
    </row>
    <row r="42" spans="1:56" s="32" customFormat="1" x14ac:dyDescent="0.2">
      <c r="C42" s="301" t="s">
        <v>158</v>
      </c>
      <c r="D42" s="300">
        <f>IRR(E36:BB36)</f>
        <v>0.11519999931839209</v>
      </c>
      <c r="E42" s="52"/>
      <c r="F42" s="52"/>
      <c r="G42" s="52"/>
      <c r="H42" s="52"/>
      <c r="I42" s="52"/>
      <c r="J42" s="52"/>
      <c r="K42" s="52"/>
      <c r="L42" s="52"/>
      <c r="M42" s="52"/>
      <c r="N42" s="52"/>
      <c r="O42" s="52"/>
      <c r="P42" s="52"/>
      <c r="Q42" s="52"/>
      <c r="R42" s="52"/>
      <c r="S42" s="52"/>
      <c r="T42" s="52"/>
      <c r="U42" s="52"/>
      <c r="V42" s="52"/>
      <c r="W42" s="52"/>
      <c r="X42" s="52"/>
      <c r="Y42" s="52"/>
      <c r="Z42" s="52"/>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35"/>
      <c r="BD42" s="35"/>
    </row>
    <row r="43" spans="1:56" s="7" customFormat="1" x14ac:dyDescent="0.2">
      <c r="B43" s="9"/>
      <c r="C43" s="8"/>
      <c r="D43" s="36"/>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row>
    <row r="44" spans="1:56" s="311" customFormat="1" x14ac:dyDescent="0.2">
      <c r="A44" s="311" t="b">
        <f ca="1">A45=A46+A47+A48</f>
        <v>1</v>
      </c>
      <c r="C44" s="312" t="s">
        <v>141</v>
      </c>
      <c r="D44" s="313"/>
      <c r="E44" s="311" t="b">
        <f t="shared" ref="E44:R44" ca="1" si="12">ROUND(E45,2)=ROUND(E46+E47+E48,2)</f>
        <v>1</v>
      </c>
      <c r="F44" s="311" t="b">
        <f t="shared" ca="1" si="12"/>
        <v>1</v>
      </c>
      <c r="G44" s="311" t="b">
        <f t="shared" ca="1" si="12"/>
        <v>1</v>
      </c>
      <c r="H44" s="311" t="b">
        <f t="shared" ca="1" si="12"/>
        <v>1</v>
      </c>
      <c r="I44" s="311" t="b">
        <f t="shared" ca="1" si="12"/>
        <v>1</v>
      </c>
      <c r="J44" s="311" t="b">
        <f t="shared" ca="1" si="12"/>
        <v>1</v>
      </c>
      <c r="K44" s="311" t="b">
        <f t="shared" ca="1" si="12"/>
        <v>1</v>
      </c>
      <c r="L44" s="311" t="b">
        <f t="shared" ca="1" si="12"/>
        <v>1</v>
      </c>
      <c r="M44" s="311" t="b">
        <f t="shared" ca="1" si="12"/>
        <v>1</v>
      </c>
      <c r="N44" s="311" t="b">
        <f t="shared" ca="1" si="12"/>
        <v>1</v>
      </c>
      <c r="O44" s="311" t="b">
        <f t="shared" ca="1" si="12"/>
        <v>1</v>
      </c>
      <c r="P44" s="311" t="b">
        <f t="shared" ca="1" si="12"/>
        <v>1</v>
      </c>
      <c r="Q44" s="311" t="b">
        <f t="shared" ca="1" si="12"/>
        <v>1</v>
      </c>
      <c r="R44" s="311" t="b">
        <f t="shared" ca="1" si="12"/>
        <v>1</v>
      </c>
      <c r="S44" s="311" t="b">
        <f t="shared" ref="S44" ca="1" si="13">ROUND(S45,2)=ROUND(S46+S47+S48,2)</f>
        <v>1</v>
      </c>
      <c r="T44" s="311" t="b">
        <f t="shared" ref="T44" ca="1" si="14">ROUND(T45,2)=ROUND(T46+T47+T48,2)</f>
        <v>1</v>
      </c>
      <c r="U44" s="311" t="b">
        <f t="shared" ref="U44" ca="1" si="15">ROUND(U45,2)=ROUND(U46+U47+U48,2)</f>
        <v>1</v>
      </c>
      <c r="V44" s="311" t="b">
        <f t="shared" ref="V44" ca="1" si="16">ROUND(V45,2)=ROUND(V46+V47+V48,2)</f>
        <v>1</v>
      </c>
      <c r="W44" s="311" t="b">
        <f t="shared" ref="W44" ca="1" si="17">ROUND(W45,2)=ROUND(W46+W47+W48,2)</f>
        <v>1</v>
      </c>
      <c r="X44" s="311" t="b">
        <f t="shared" ref="X44" ca="1" si="18">ROUND(X45,2)=ROUND(X46+X47+X48,2)</f>
        <v>1</v>
      </c>
      <c r="Y44" s="311" t="b">
        <f t="shared" ref="Y44" ca="1" si="19">ROUND(Y45,2)=ROUND(Y46+Y47+Y48,2)</f>
        <v>1</v>
      </c>
      <c r="Z44" s="311" t="b">
        <f t="shared" ref="Z44" ca="1" si="20">ROUND(Z45,2)=ROUND(Z46+Z47+Z48,2)</f>
        <v>1</v>
      </c>
      <c r="AA44" s="311" t="b">
        <f t="shared" ref="AA44" ca="1" si="21">ROUND(AA45,2)=ROUND(AA46+AA47+AA48,2)</f>
        <v>1</v>
      </c>
      <c r="AB44" s="311" t="b">
        <f t="shared" ref="AB44" ca="1" si="22">ROUND(AB45,2)=ROUND(AB46+AB47+AB48,2)</f>
        <v>1</v>
      </c>
      <c r="AC44" s="311" t="b">
        <f t="shared" ref="AC44" ca="1" si="23">ROUND(AC45,2)=ROUND(AC46+AC47+AC48,2)</f>
        <v>1</v>
      </c>
      <c r="AD44" s="311" t="b">
        <f t="shared" ref="AD44" ca="1" si="24">ROUND(AD45,2)=ROUND(AD46+AD47+AD48,2)</f>
        <v>1</v>
      </c>
      <c r="AE44" s="311" t="b">
        <f t="shared" ref="AE44" ca="1" si="25">ROUND(AE45,2)=ROUND(AE46+AE47+AE48,2)</f>
        <v>1</v>
      </c>
      <c r="AF44" s="311" t="b">
        <f t="shared" ref="AF44" ca="1" si="26">ROUND(AF45,2)=ROUND(AF46+AF47+AF48,2)</f>
        <v>1</v>
      </c>
      <c r="AG44" s="311" t="b">
        <f t="shared" ref="AG44" ca="1" si="27">ROUND(AG45,2)=ROUND(AG46+AG47+AG48,2)</f>
        <v>1</v>
      </c>
      <c r="AH44" s="311" t="b">
        <f t="shared" ref="AH44" ca="1" si="28">ROUND(AH45,2)=ROUND(AH46+AH47+AH48,2)</f>
        <v>1</v>
      </c>
      <c r="AI44" s="311" t="b">
        <f t="shared" ref="AI44" ca="1" si="29">ROUND(AI45,2)=ROUND(AI46+AI47+AI48,2)</f>
        <v>1</v>
      </c>
      <c r="AJ44" s="311" t="b">
        <f t="shared" ref="AJ44" ca="1" si="30">ROUND(AJ45,2)=ROUND(AJ46+AJ47+AJ48,2)</f>
        <v>1</v>
      </c>
      <c r="AK44" s="311" t="b">
        <f t="shared" ref="AK44" ca="1" si="31">ROUND(AK45,2)=ROUND(AK46+AK47+AK48,2)</f>
        <v>1</v>
      </c>
      <c r="AL44" s="311" t="b">
        <f t="shared" ref="AL44" ca="1" si="32">ROUND(AL45,2)=ROUND(AL46+AL47+AL48,2)</f>
        <v>1</v>
      </c>
      <c r="AM44" s="311" t="b">
        <f t="shared" ref="AM44" ca="1" si="33">ROUND(AM45,2)=ROUND(AM46+AM47+AM48,2)</f>
        <v>1</v>
      </c>
      <c r="AN44" s="311" t="b">
        <f t="shared" ref="AN44" ca="1" si="34">ROUND(AN45,2)=ROUND(AN46+AN47+AN48,2)</f>
        <v>1</v>
      </c>
      <c r="AO44" s="311" t="b">
        <f t="shared" ref="AO44" ca="1" si="35">ROUND(AO45,2)=ROUND(AO46+AO47+AO48,2)</f>
        <v>1</v>
      </c>
      <c r="AP44" s="311" t="b">
        <f t="shared" ref="AP44" ca="1" si="36">ROUND(AP45,2)=ROUND(AP46+AP47+AP48,2)</f>
        <v>1</v>
      </c>
      <c r="AQ44" s="311" t="b">
        <f t="shared" ref="AQ44" ca="1" si="37">ROUND(AQ45,2)=ROUND(AQ46+AQ47+AQ48,2)</f>
        <v>1</v>
      </c>
      <c r="AR44" s="311" t="b">
        <f t="shared" ref="AR44" ca="1" si="38">ROUND(AR45,2)=ROUND(AR46+AR47+AR48,2)</f>
        <v>1</v>
      </c>
      <c r="AS44" s="311" t="b">
        <f t="shared" ref="AS44" ca="1" si="39">ROUND(AS45,2)=ROUND(AS46+AS47+AS48,2)</f>
        <v>1</v>
      </c>
      <c r="AT44" s="311" t="b">
        <f t="shared" ref="AT44" ca="1" si="40">ROUND(AT45,2)=ROUND(AT46+AT47+AT48,2)</f>
        <v>1</v>
      </c>
      <c r="AU44" s="311" t="b">
        <f t="shared" ref="AU44" ca="1" si="41">ROUND(AU45,2)=ROUND(AU46+AU47+AU48,2)</f>
        <v>1</v>
      </c>
      <c r="AV44" s="311" t="b">
        <f t="shared" ref="AV44" ca="1" si="42">ROUND(AV45,2)=ROUND(AV46+AV47+AV48,2)</f>
        <v>1</v>
      </c>
      <c r="AW44" s="311" t="b">
        <f t="shared" ref="AW44" ca="1" si="43">ROUND(AW45,2)=ROUND(AW46+AW47+AW48,2)</f>
        <v>1</v>
      </c>
      <c r="AX44" s="311" t="b">
        <f t="shared" ref="AX44" ca="1" si="44">ROUND(AX45,2)=ROUND(AX46+AX47+AX48,2)</f>
        <v>1</v>
      </c>
      <c r="AY44" s="311" t="b">
        <f t="shared" ref="AY44" ca="1" si="45">ROUND(AY45,2)=ROUND(AY46+AY47+AY48,2)</f>
        <v>1</v>
      </c>
      <c r="AZ44" s="311" t="b">
        <f t="shared" ref="AZ44" ca="1" si="46">ROUND(AZ45,2)=ROUND(AZ46+AZ47+AZ48,2)</f>
        <v>1</v>
      </c>
      <c r="BA44" s="311" t="b">
        <f t="shared" ref="BA44" ca="1" si="47">ROUND(BA45,2)=ROUND(BA46+BA47+BA48,2)</f>
        <v>1</v>
      </c>
      <c r="BB44" s="311" t="b">
        <f t="shared" ref="BB44" ca="1" si="48">ROUND(BB45,2)=ROUND(BB46+BB47+BB48,2)</f>
        <v>1</v>
      </c>
    </row>
    <row r="45" spans="1:56" s="32" customFormat="1" x14ac:dyDescent="0.2">
      <c r="A45" s="37">
        <f t="shared" ref="A45:A48" si="49">SUM(E45:BB45)</f>
        <v>8090.5598804544525</v>
      </c>
      <c r="B45" s="37">
        <f>NPV('Assumptions &amp; Results'!$C$129,E45:AI45)</f>
        <v>706.25285453452602</v>
      </c>
      <c r="C45" s="33" t="s">
        <v>159</v>
      </c>
      <c r="D45" s="80"/>
      <c r="E45" s="53">
        <f>Calculations!E114</f>
        <v>-250</v>
      </c>
      <c r="F45" s="53">
        <f>Calculations!F114</f>
        <v>-255</v>
      </c>
      <c r="G45" s="53">
        <f>Calculations!G114</f>
        <v>-260.10000000000002</v>
      </c>
      <c r="H45" s="53">
        <f>Calculations!H114</f>
        <v>-265.30199999999996</v>
      </c>
      <c r="I45" s="53">
        <f>Calculations!I114</f>
        <v>125.483329498752</v>
      </c>
      <c r="J45" s="53">
        <f>Calculations!J114</f>
        <v>301.22857369866233</v>
      </c>
      <c r="K45" s="53">
        <f>Calculations!K114</f>
        <v>299.38577451165736</v>
      </c>
      <c r="L45" s="53">
        <f>Calculations!L114</f>
        <v>297.34877192769267</v>
      </c>
      <c r="M45" s="53">
        <f>Calculations!M114</f>
        <v>295.69519296168482</v>
      </c>
      <c r="N45" s="53">
        <f>Calculations!N114</f>
        <v>293.2601801365231</v>
      </c>
      <c r="O45" s="53">
        <f>Calculations!O114</f>
        <v>291.21776693674752</v>
      </c>
      <c r="P45" s="53">
        <f>Calculations!P114</f>
        <v>297.04212227548248</v>
      </c>
      <c r="Q45" s="53">
        <f>Calculations!Q114</f>
        <v>302.98296472099213</v>
      </c>
      <c r="R45" s="53">
        <f>Calculations!R114</f>
        <v>309.04262401541189</v>
      </c>
      <c r="S45" s="53">
        <f>Calculations!S114</f>
        <v>315.22347649572021</v>
      </c>
      <c r="T45" s="53">
        <f>Calculations!T114</f>
        <v>321.52794602563461</v>
      </c>
      <c r="U45" s="53">
        <f>Calculations!U114</f>
        <v>327.95850494614729</v>
      </c>
      <c r="V45" s="53">
        <f>Calculations!V114</f>
        <v>334.51767504507029</v>
      </c>
      <c r="W45" s="53">
        <f>Calculations!W114</f>
        <v>341.20802854597173</v>
      </c>
      <c r="X45" s="53">
        <f>Calculations!X114</f>
        <v>348.03218911689112</v>
      </c>
      <c r="Y45" s="53">
        <f>Calculations!Y114</f>
        <v>354.99283289922909</v>
      </c>
      <c r="Z45" s="53">
        <f>Calculations!Z114</f>
        <v>362.09268955721365</v>
      </c>
      <c r="AA45" s="53">
        <f>Calculations!AA114</f>
        <v>369.33454334835778</v>
      </c>
      <c r="AB45" s="53">
        <f>Calculations!AB114</f>
        <v>376.72123421532501</v>
      </c>
      <c r="AC45" s="53">
        <f>Calculations!AC114</f>
        <v>384.25565889963156</v>
      </c>
      <c r="AD45" s="53">
        <f>Calculations!AD114</f>
        <v>391.94077207762422</v>
      </c>
      <c r="AE45" s="53">
        <f>Calculations!AE114</f>
        <v>399.77958751917669</v>
      </c>
      <c r="AF45" s="53">
        <f>Calculations!AF114</f>
        <v>407.77517926956017</v>
      </c>
      <c r="AG45" s="53">
        <f>Calculations!AG114</f>
        <v>415.93068285495144</v>
      </c>
      <c r="AH45" s="53">
        <f>Calculations!AH114</f>
        <v>424.24929651205042</v>
      </c>
      <c r="AI45" s="53">
        <f>Calculations!AI114</f>
        <v>432.73428244229143</v>
      </c>
      <c r="AJ45" s="53">
        <f>Calculations!AJ114</f>
        <v>0</v>
      </c>
      <c r="AK45" s="53">
        <f>Calculations!AK114</f>
        <v>0</v>
      </c>
      <c r="AL45" s="53">
        <f>Calculations!AL114</f>
        <v>0</v>
      </c>
      <c r="AM45" s="53">
        <f>Calculations!AM114</f>
        <v>0</v>
      </c>
      <c r="AN45" s="53">
        <f>Calculations!AN114</f>
        <v>0</v>
      </c>
      <c r="AO45" s="53">
        <f>Calculations!AO114</f>
        <v>0</v>
      </c>
      <c r="AP45" s="53">
        <f>Calculations!AP114</f>
        <v>0</v>
      </c>
      <c r="AQ45" s="53">
        <f>Calculations!AQ114</f>
        <v>0</v>
      </c>
      <c r="AR45" s="53">
        <f>Calculations!AR114</f>
        <v>0</v>
      </c>
      <c r="AS45" s="53">
        <f>Calculations!AS114</f>
        <v>0</v>
      </c>
      <c r="AT45" s="53">
        <f>Calculations!AT114</f>
        <v>0</v>
      </c>
      <c r="AU45" s="53">
        <f>Calculations!AU114</f>
        <v>0</v>
      </c>
      <c r="AV45" s="53">
        <f>Calculations!AV114</f>
        <v>0</v>
      </c>
      <c r="AW45" s="53">
        <f>Calculations!AW114</f>
        <v>0</v>
      </c>
      <c r="AX45" s="53">
        <f>Calculations!AX114</f>
        <v>0</v>
      </c>
      <c r="AY45" s="53">
        <f>Calculations!AY114</f>
        <v>0</v>
      </c>
      <c r="AZ45" s="53">
        <f>Calculations!AZ114</f>
        <v>0</v>
      </c>
      <c r="BA45" s="53">
        <f>Calculations!BA114</f>
        <v>0</v>
      </c>
      <c r="BB45" s="53">
        <f>Calculations!BB114</f>
        <v>0</v>
      </c>
    </row>
    <row r="46" spans="1:56" s="32" customFormat="1" x14ac:dyDescent="0.2">
      <c r="A46" s="37">
        <f ca="1">SUM(E46:BB46)</f>
        <v>3555.9297936992321</v>
      </c>
      <c r="B46" s="37">
        <f ca="1">NPV('Assumptions &amp; Results'!$C$129,E46:AI46)</f>
        <v>174.40917693818258</v>
      </c>
      <c r="C46" s="33" t="s">
        <v>160</v>
      </c>
      <c r="D46" s="80"/>
      <c r="E46" s="53">
        <f t="shared" ref="E46:AJ46" ca="1" si="50">E4</f>
        <v>-75</v>
      </c>
      <c r="F46" s="53">
        <f t="shared" ca="1" si="50"/>
        <v>-111.727997</v>
      </c>
      <c r="G46" s="53">
        <f t="shared" ca="1" si="50"/>
        <v>-149.19055400000002</v>
      </c>
      <c r="H46" s="53">
        <f t="shared" ca="1" si="50"/>
        <v>-187.40236299999998</v>
      </c>
      <c r="I46" s="53">
        <f t="shared" ca="1" si="50"/>
        <v>-32.507013632447979</v>
      </c>
      <c r="J46" s="53">
        <f t="shared" ca="1" si="50"/>
        <v>106.9575142278721</v>
      </c>
      <c r="K46" s="53">
        <f t="shared" ca="1" si="50"/>
        <v>105.14879457052977</v>
      </c>
      <c r="L46" s="53">
        <f t="shared" ca="1" si="50"/>
        <v>103.17476338533051</v>
      </c>
      <c r="M46" s="53">
        <f t="shared" ca="1" si="50"/>
        <v>101.50936839528131</v>
      </c>
      <c r="N46" s="53">
        <f t="shared" ca="1" si="50"/>
        <v>60.582432462306457</v>
      </c>
      <c r="O46" s="53">
        <f t="shared" ca="1" si="50"/>
        <v>84.024097173487661</v>
      </c>
      <c r="P46" s="53">
        <f t="shared" ca="1" si="50"/>
        <v>116.31197920898944</v>
      </c>
      <c r="Q46" s="53">
        <f t="shared" ca="1" si="50"/>
        <v>150.34872080318522</v>
      </c>
      <c r="R46" s="53">
        <f t="shared" ca="1" si="50"/>
        <v>153.3556952192489</v>
      </c>
      <c r="S46" s="53">
        <f t="shared" ca="1" si="50"/>
        <v>156.42280912363384</v>
      </c>
      <c r="T46" s="53">
        <f t="shared" ca="1" si="50"/>
        <v>159.5512653061065</v>
      </c>
      <c r="U46" s="53">
        <f t="shared" ca="1" si="50"/>
        <v>162.74229061222874</v>
      </c>
      <c r="V46" s="53">
        <f t="shared" ca="1" si="50"/>
        <v>165.9971364244733</v>
      </c>
      <c r="W46" s="53">
        <f t="shared" ca="1" si="50"/>
        <v>169.31707915296278</v>
      </c>
      <c r="X46" s="53">
        <f t="shared" ca="1" si="50"/>
        <v>172.70342073602203</v>
      </c>
      <c r="Y46" s="53">
        <f t="shared" ca="1" si="50"/>
        <v>176.15748915074255</v>
      </c>
      <c r="Z46" s="53">
        <f t="shared" ca="1" si="50"/>
        <v>179.68063893375734</v>
      </c>
      <c r="AA46" s="53">
        <f t="shared" ca="1" si="50"/>
        <v>183.27425171243246</v>
      </c>
      <c r="AB46" s="53">
        <f t="shared" ca="1" si="50"/>
        <v>186.93973674668121</v>
      </c>
      <c r="AC46" s="53">
        <f t="shared" ca="1" si="50"/>
        <v>190.67853148161473</v>
      </c>
      <c r="AD46" s="53">
        <f t="shared" ca="1" si="50"/>
        <v>194.49210211124722</v>
      </c>
      <c r="AE46" s="53">
        <f t="shared" ca="1" si="50"/>
        <v>198.38194415347201</v>
      </c>
      <c r="AF46" s="53">
        <f t="shared" ca="1" si="50"/>
        <v>202.34958303654147</v>
      </c>
      <c r="AG46" s="53">
        <f t="shared" ca="1" si="50"/>
        <v>206.39657469727231</v>
      </c>
      <c r="AH46" s="53">
        <f t="shared" ca="1" si="50"/>
        <v>210.5245061912178</v>
      </c>
      <c r="AI46" s="53">
        <f t="shared" ca="1" si="50"/>
        <v>214.73499631504214</v>
      </c>
      <c r="AJ46" s="53">
        <f t="shared" ca="1" si="50"/>
        <v>0</v>
      </c>
      <c r="AK46" s="53">
        <f t="shared" ref="AK46:BB46" ca="1" si="51">AK4</f>
        <v>0</v>
      </c>
      <c r="AL46" s="53">
        <f t="shared" ca="1" si="51"/>
        <v>0</v>
      </c>
      <c r="AM46" s="53">
        <f t="shared" ca="1" si="51"/>
        <v>0</v>
      </c>
      <c r="AN46" s="53">
        <f t="shared" ca="1" si="51"/>
        <v>0</v>
      </c>
      <c r="AO46" s="53">
        <f t="shared" ca="1" si="51"/>
        <v>0</v>
      </c>
      <c r="AP46" s="53">
        <f t="shared" ca="1" si="51"/>
        <v>0</v>
      </c>
      <c r="AQ46" s="53">
        <f t="shared" ca="1" si="51"/>
        <v>0</v>
      </c>
      <c r="AR46" s="53">
        <f t="shared" ca="1" si="51"/>
        <v>0</v>
      </c>
      <c r="AS46" s="53">
        <f t="shared" ca="1" si="51"/>
        <v>0</v>
      </c>
      <c r="AT46" s="53">
        <f t="shared" ca="1" si="51"/>
        <v>0</v>
      </c>
      <c r="AU46" s="53">
        <f t="shared" ca="1" si="51"/>
        <v>0</v>
      </c>
      <c r="AV46" s="53">
        <f t="shared" ca="1" si="51"/>
        <v>0</v>
      </c>
      <c r="AW46" s="53">
        <f t="shared" ca="1" si="51"/>
        <v>0</v>
      </c>
      <c r="AX46" s="53">
        <f t="shared" ca="1" si="51"/>
        <v>0</v>
      </c>
      <c r="AY46" s="53">
        <f t="shared" ca="1" si="51"/>
        <v>0</v>
      </c>
      <c r="AZ46" s="53">
        <f t="shared" ca="1" si="51"/>
        <v>0</v>
      </c>
      <c r="BA46" s="53">
        <f t="shared" ca="1" si="51"/>
        <v>0</v>
      </c>
      <c r="BB46" s="53">
        <f t="shared" ca="1" si="51"/>
        <v>0</v>
      </c>
    </row>
    <row r="47" spans="1:56" s="32" customFormat="1" x14ac:dyDescent="0.2">
      <c r="A47" s="37">
        <f ca="1">SUM(E47:BB47)</f>
        <v>4111.9549901952205</v>
      </c>
      <c r="B47" s="37">
        <f ca="1">NPV('Assumptions &amp; Results'!$C$131,E47:AI47)</f>
        <v>541.00321767202558</v>
      </c>
      <c r="C47" s="33" t="s">
        <v>161</v>
      </c>
      <c r="D47" s="43"/>
      <c r="E47" s="53">
        <f t="shared" ref="E47:AJ47" ca="1" si="52">E23</f>
        <v>0</v>
      </c>
      <c r="F47" s="53">
        <f t="shared" ca="1" si="52"/>
        <v>0.84</v>
      </c>
      <c r="G47" s="53">
        <f t="shared" ca="1" si="52"/>
        <v>1.6285056</v>
      </c>
      <c r="H47" s="53">
        <f t="shared" ca="1" si="52"/>
        <v>2.3562916400000002</v>
      </c>
      <c r="I47" s="53">
        <f t="shared" ca="1" si="52"/>
        <v>15.807313011200002</v>
      </c>
      <c r="J47" s="53">
        <f t="shared" ca="1" si="52"/>
        <v>51.752644350790248</v>
      </c>
      <c r="K47" s="53">
        <f t="shared" ca="1" si="52"/>
        <v>51.342933621127571</v>
      </c>
      <c r="L47" s="53">
        <f t="shared" ca="1" si="52"/>
        <v>50.859255302362079</v>
      </c>
      <c r="M47" s="53">
        <f t="shared" ca="1" si="52"/>
        <v>50.399879566403492</v>
      </c>
      <c r="N47" s="53">
        <f t="shared" ca="1" si="52"/>
        <v>123.59206491421671</v>
      </c>
      <c r="O47" s="53">
        <f t="shared" ca="1" si="52"/>
        <v>133.61857640325982</v>
      </c>
      <c r="P47" s="53">
        <f t="shared" ca="1" si="52"/>
        <v>143.50612918649304</v>
      </c>
      <c r="Q47" s="53">
        <f t="shared" ca="1" si="52"/>
        <v>152.63424391780691</v>
      </c>
      <c r="R47" s="53">
        <f t="shared" ca="1" si="52"/>
        <v>155.68692879616302</v>
      </c>
      <c r="S47" s="53">
        <f t="shared" ca="1" si="52"/>
        <v>158.80066737208628</v>
      </c>
      <c r="T47" s="53">
        <f t="shared" ca="1" si="52"/>
        <v>161.97668071952802</v>
      </c>
      <c r="U47" s="53">
        <f t="shared" ca="1" si="52"/>
        <v>165.21621433391857</v>
      </c>
      <c r="V47" s="53">
        <f t="shared" ca="1" si="52"/>
        <v>168.52053862059697</v>
      </c>
      <c r="W47" s="53">
        <f t="shared" ca="1" si="52"/>
        <v>171.89094939300892</v>
      </c>
      <c r="X47" s="53">
        <f t="shared" ca="1" si="52"/>
        <v>175.32876838086909</v>
      </c>
      <c r="Y47" s="53">
        <f t="shared" ca="1" si="52"/>
        <v>178.83534374848654</v>
      </c>
      <c r="Z47" s="53">
        <f t="shared" ca="1" si="52"/>
        <v>182.41205062345625</v>
      </c>
      <c r="AA47" s="53">
        <f t="shared" ca="1" si="52"/>
        <v>186.06029163592532</v>
      </c>
      <c r="AB47" s="53">
        <f t="shared" ca="1" si="52"/>
        <v>189.78149746864386</v>
      </c>
      <c r="AC47" s="53">
        <f t="shared" ca="1" si="52"/>
        <v>193.57712741801674</v>
      </c>
      <c r="AD47" s="53">
        <f t="shared" ca="1" si="52"/>
        <v>197.44866996637711</v>
      </c>
      <c r="AE47" s="53">
        <f t="shared" ca="1" si="52"/>
        <v>201.39764336570465</v>
      </c>
      <c r="AF47" s="53">
        <f t="shared" ca="1" si="52"/>
        <v>205.42559623301869</v>
      </c>
      <c r="AG47" s="53">
        <f t="shared" ca="1" si="52"/>
        <v>209.53410815767913</v>
      </c>
      <c r="AH47" s="53">
        <f t="shared" ca="1" si="52"/>
        <v>213.72479032083268</v>
      </c>
      <c r="AI47" s="53">
        <f t="shared" ca="1" si="52"/>
        <v>217.99928612724929</v>
      </c>
      <c r="AJ47" s="53">
        <f t="shared" ca="1" si="52"/>
        <v>0</v>
      </c>
      <c r="AK47" s="53">
        <f t="shared" ref="AK47:BB47" ca="1" si="53">AK23</f>
        <v>0</v>
      </c>
      <c r="AL47" s="53">
        <f t="shared" ca="1" si="53"/>
        <v>0</v>
      </c>
      <c r="AM47" s="53">
        <f t="shared" ca="1" si="53"/>
        <v>0</v>
      </c>
      <c r="AN47" s="53">
        <f t="shared" ca="1" si="53"/>
        <v>0</v>
      </c>
      <c r="AO47" s="53">
        <f t="shared" ca="1" si="53"/>
        <v>0</v>
      </c>
      <c r="AP47" s="53">
        <f t="shared" ca="1" si="53"/>
        <v>0</v>
      </c>
      <c r="AQ47" s="53">
        <f t="shared" ca="1" si="53"/>
        <v>0</v>
      </c>
      <c r="AR47" s="53">
        <f t="shared" ca="1" si="53"/>
        <v>0</v>
      </c>
      <c r="AS47" s="53">
        <f t="shared" ca="1" si="53"/>
        <v>0</v>
      </c>
      <c r="AT47" s="53">
        <f t="shared" ca="1" si="53"/>
        <v>0</v>
      </c>
      <c r="AU47" s="53">
        <f t="shared" ca="1" si="53"/>
        <v>0</v>
      </c>
      <c r="AV47" s="53">
        <f t="shared" ca="1" si="53"/>
        <v>0</v>
      </c>
      <c r="AW47" s="53">
        <f t="shared" ca="1" si="53"/>
        <v>0</v>
      </c>
      <c r="AX47" s="53">
        <f t="shared" ca="1" si="53"/>
        <v>0</v>
      </c>
      <c r="AY47" s="53">
        <f t="shared" ca="1" si="53"/>
        <v>0</v>
      </c>
      <c r="AZ47" s="53">
        <f t="shared" ca="1" si="53"/>
        <v>0</v>
      </c>
      <c r="BA47" s="53">
        <f t="shared" ca="1" si="53"/>
        <v>0</v>
      </c>
      <c r="BB47" s="53">
        <f t="shared" ca="1" si="53"/>
        <v>0</v>
      </c>
    </row>
    <row r="48" spans="1:56" s="32" customFormat="1" x14ac:dyDescent="0.2">
      <c r="A48" s="37">
        <f t="shared" si="49"/>
        <v>422.67509656000004</v>
      </c>
      <c r="B48" s="37">
        <f>NPV('Assumptions &amp; Results'!$C$133,E48:AI48)</f>
        <v>-9.1595400756819583</v>
      </c>
      <c r="C48" s="33" t="s">
        <v>146</v>
      </c>
      <c r="D48" s="43"/>
      <c r="E48" s="53">
        <f t="shared" ref="E48:AJ48" si="54">E36</f>
        <v>-175</v>
      </c>
      <c r="F48" s="53">
        <f t="shared" si="54"/>
        <v>-144.11200300000002</v>
      </c>
      <c r="G48" s="53">
        <f t="shared" si="54"/>
        <v>-112.5379516</v>
      </c>
      <c r="H48" s="53">
        <f t="shared" si="54"/>
        <v>-80.255928639999965</v>
      </c>
      <c r="I48" s="53">
        <f t="shared" si="54"/>
        <v>142.18303011999998</v>
      </c>
      <c r="J48" s="53">
        <f t="shared" si="54"/>
        <v>142.51841511999999</v>
      </c>
      <c r="K48" s="53">
        <f t="shared" si="54"/>
        <v>142.89404632</v>
      </c>
      <c r="L48" s="53">
        <f t="shared" si="54"/>
        <v>143.31475324000002</v>
      </c>
      <c r="M48" s="53">
        <f t="shared" si="54"/>
        <v>143.78594499999997</v>
      </c>
      <c r="N48" s="53">
        <f t="shared" si="54"/>
        <v>109.08568276</v>
      </c>
      <c r="O48" s="53">
        <f t="shared" si="54"/>
        <v>73.575093360000011</v>
      </c>
      <c r="P48" s="53">
        <f t="shared" si="54"/>
        <v>37.224013880000001</v>
      </c>
      <c r="Q48" s="53">
        <f t="shared" si="54"/>
        <v>0</v>
      </c>
      <c r="R48" s="53">
        <f t="shared" si="54"/>
        <v>0</v>
      </c>
      <c r="S48" s="53">
        <f t="shared" si="54"/>
        <v>0</v>
      </c>
      <c r="T48" s="53">
        <f t="shared" si="54"/>
        <v>0</v>
      </c>
      <c r="U48" s="53">
        <f t="shared" si="54"/>
        <v>0</v>
      </c>
      <c r="V48" s="53">
        <f t="shared" si="54"/>
        <v>0</v>
      </c>
      <c r="W48" s="53">
        <f t="shared" si="54"/>
        <v>0</v>
      </c>
      <c r="X48" s="53">
        <f t="shared" si="54"/>
        <v>0</v>
      </c>
      <c r="Y48" s="53">
        <f t="shared" si="54"/>
        <v>0</v>
      </c>
      <c r="Z48" s="53">
        <f t="shared" si="54"/>
        <v>0</v>
      </c>
      <c r="AA48" s="53">
        <f t="shared" si="54"/>
        <v>0</v>
      </c>
      <c r="AB48" s="53">
        <f t="shared" si="54"/>
        <v>0</v>
      </c>
      <c r="AC48" s="53">
        <f t="shared" si="54"/>
        <v>0</v>
      </c>
      <c r="AD48" s="53">
        <f t="shared" si="54"/>
        <v>0</v>
      </c>
      <c r="AE48" s="53">
        <f t="shared" si="54"/>
        <v>0</v>
      </c>
      <c r="AF48" s="53">
        <f t="shared" si="54"/>
        <v>0</v>
      </c>
      <c r="AG48" s="53">
        <f t="shared" si="54"/>
        <v>0</v>
      </c>
      <c r="AH48" s="53">
        <f t="shared" si="54"/>
        <v>0</v>
      </c>
      <c r="AI48" s="53">
        <f t="shared" si="54"/>
        <v>0</v>
      </c>
      <c r="AJ48" s="53">
        <f t="shared" si="54"/>
        <v>0</v>
      </c>
      <c r="AK48" s="53">
        <f t="shared" ref="AK48:BB48" si="55">AK36</f>
        <v>0</v>
      </c>
      <c r="AL48" s="53">
        <f t="shared" si="55"/>
        <v>0</v>
      </c>
      <c r="AM48" s="53">
        <f t="shared" si="55"/>
        <v>0</v>
      </c>
      <c r="AN48" s="53">
        <f t="shared" si="55"/>
        <v>0</v>
      </c>
      <c r="AO48" s="53">
        <f t="shared" si="55"/>
        <v>0</v>
      </c>
      <c r="AP48" s="53">
        <f t="shared" si="55"/>
        <v>0</v>
      </c>
      <c r="AQ48" s="53">
        <f t="shared" si="55"/>
        <v>0</v>
      </c>
      <c r="AR48" s="53">
        <f t="shared" si="55"/>
        <v>0</v>
      </c>
      <c r="AS48" s="53">
        <f t="shared" si="55"/>
        <v>0</v>
      </c>
      <c r="AT48" s="53">
        <f t="shared" si="55"/>
        <v>0</v>
      </c>
      <c r="AU48" s="53">
        <f t="shared" si="55"/>
        <v>0</v>
      </c>
      <c r="AV48" s="53">
        <f t="shared" si="55"/>
        <v>0</v>
      </c>
      <c r="AW48" s="53">
        <f t="shared" si="55"/>
        <v>0</v>
      </c>
      <c r="AX48" s="53">
        <f t="shared" si="55"/>
        <v>0</v>
      </c>
      <c r="AY48" s="53">
        <f t="shared" si="55"/>
        <v>0</v>
      </c>
      <c r="AZ48" s="53">
        <f t="shared" si="55"/>
        <v>0</v>
      </c>
      <c r="BA48" s="53">
        <f t="shared" si="55"/>
        <v>0</v>
      </c>
      <c r="BB48" s="53">
        <f t="shared" si="55"/>
        <v>0</v>
      </c>
    </row>
    <row r="49" spans="3:17" x14ac:dyDescent="0.2">
      <c r="K49" s="155"/>
      <c r="L49" s="155"/>
      <c r="M49" s="155"/>
      <c r="Q49" s="214"/>
    </row>
    <row r="53" spans="3:17" x14ac:dyDescent="0.2">
      <c r="E53" s="232"/>
    </row>
    <row r="54" spans="3:17" x14ac:dyDescent="0.2">
      <c r="C54" s="8"/>
      <c r="D54" s="232"/>
      <c r="E54" s="232"/>
    </row>
    <row r="55" spans="3:17" x14ac:dyDescent="0.2">
      <c r="C55" s="8"/>
      <c r="D55" s="232"/>
      <c r="E55" s="232"/>
    </row>
    <row r="56" spans="3:17" x14ac:dyDescent="0.2">
      <c r="C56" s="8"/>
      <c r="D56" s="232"/>
      <c r="E56" s="232"/>
    </row>
    <row r="57" spans="3:17" x14ac:dyDescent="0.2">
      <c r="C57" s="8"/>
      <c r="D57" s="232"/>
      <c r="E57" s="232"/>
    </row>
    <row r="58" spans="3:17" x14ac:dyDescent="0.2">
      <c r="C58" s="8"/>
      <c r="D58" s="232"/>
      <c r="E58" s="232"/>
    </row>
    <row r="59" spans="3:17" x14ac:dyDescent="0.2">
      <c r="C59" s="8"/>
      <c r="D59" s="232"/>
      <c r="E59" s="232"/>
    </row>
    <row r="60" spans="3:17" x14ac:dyDescent="0.2">
      <c r="C60" s="8"/>
      <c r="D60" s="232"/>
      <c r="E60" s="232"/>
    </row>
    <row r="61" spans="3:17" x14ac:dyDescent="0.2">
      <c r="C61" s="8"/>
      <c r="D61" s="232"/>
      <c r="E61" s="232"/>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59999389629810485"/>
  </sheetPr>
  <dimension ref="A1:BB319"/>
  <sheetViews>
    <sheetView zoomScale="115" zoomScaleNormal="115" zoomScalePageLayoutView="115" workbookViewId="0">
      <pane xSplit="3" ySplit="2" topLeftCell="D3" activePane="bottomRight" state="frozen"/>
      <selection activeCell="G29" sqref="G29"/>
      <selection pane="topRight" activeCell="G29" sqref="G29"/>
      <selection pane="bottomLeft" activeCell="G29" sqref="G29"/>
      <selection pane="bottomRight" activeCell="A3" sqref="A3"/>
    </sheetView>
  </sheetViews>
  <sheetFormatPr defaultColWidth="11.42578125" defaultRowHeight="12.75" x14ac:dyDescent="0.2"/>
  <cols>
    <col min="1" max="1" width="27.42578125" style="6" customWidth="1"/>
    <col min="2" max="2" width="44.85546875" style="6" bestFit="1" customWidth="1"/>
    <col min="3" max="3" width="11.42578125" style="73"/>
    <col min="4" max="24" width="11.42578125" style="6"/>
    <col min="25" max="25" width="12.42578125" style="6" customWidth="1"/>
    <col min="26" max="26" width="11.7109375" style="6" customWidth="1"/>
    <col min="27" max="27" width="11" style="6" customWidth="1"/>
    <col min="28" max="16384" width="11.42578125" style="6"/>
  </cols>
  <sheetData>
    <row r="1" spans="1:54" s="7" customFormat="1" x14ac:dyDescent="0.2">
      <c r="C1" s="72"/>
      <c r="D1" s="36">
        <f>Inputs!D1</f>
        <v>2015</v>
      </c>
      <c r="E1" s="36">
        <f>Inputs!E1</f>
        <v>2016</v>
      </c>
      <c r="F1" s="36">
        <f>Inputs!F1</f>
        <v>2017</v>
      </c>
      <c r="G1" s="36">
        <f>Inputs!G1</f>
        <v>2018</v>
      </c>
      <c r="H1" s="36">
        <f>Inputs!H1</f>
        <v>2019</v>
      </c>
      <c r="I1" s="36">
        <f>Inputs!I1</f>
        <v>2020</v>
      </c>
      <c r="J1" s="36">
        <f>Inputs!J1</f>
        <v>2021</v>
      </c>
      <c r="K1" s="36">
        <f>Inputs!K1</f>
        <v>2022</v>
      </c>
      <c r="L1" s="36">
        <f>Inputs!L1</f>
        <v>2023</v>
      </c>
      <c r="M1" s="36">
        <f>Inputs!M1</f>
        <v>2024</v>
      </c>
      <c r="N1" s="36">
        <f>Inputs!N1</f>
        <v>2025</v>
      </c>
      <c r="O1" s="36">
        <f>Inputs!O1</f>
        <v>2026</v>
      </c>
      <c r="P1" s="36">
        <f>Inputs!P1</f>
        <v>2027</v>
      </c>
      <c r="Q1" s="36">
        <f>Inputs!Q1</f>
        <v>2028</v>
      </c>
      <c r="R1" s="36">
        <f>Inputs!R1</f>
        <v>2029</v>
      </c>
      <c r="S1" s="36">
        <f>Inputs!S1</f>
        <v>2030</v>
      </c>
      <c r="T1" s="36">
        <f>Inputs!T1</f>
        <v>2031</v>
      </c>
      <c r="U1" s="36">
        <f>Inputs!U1</f>
        <v>2032</v>
      </c>
      <c r="V1" s="36">
        <f>Inputs!V1</f>
        <v>2033</v>
      </c>
      <c r="W1" s="36">
        <f>Inputs!W1</f>
        <v>2034</v>
      </c>
      <c r="X1" s="36">
        <f>Inputs!X1</f>
        <v>2035</v>
      </c>
      <c r="Y1" s="36">
        <f>Inputs!Y1</f>
        <v>2036</v>
      </c>
      <c r="Z1" s="36">
        <f>Inputs!Z1</f>
        <v>2037</v>
      </c>
      <c r="AA1" s="36">
        <f>Inputs!AA1</f>
        <v>2038</v>
      </c>
      <c r="AB1" s="36">
        <f>Inputs!AB1</f>
        <v>2039</v>
      </c>
      <c r="AC1" s="36">
        <f>Inputs!AC1</f>
        <v>2040</v>
      </c>
      <c r="AD1" s="36">
        <f>Inputs!AD1</f>
        <v>2041</v>
      </c>
      <c r="AE1" s="36">
        <f>Inputs!AE1</f>
        <v>2042</v>
      </c>
      <c r="AF1" s="36">
        <f>Inputs!AF1</f>
        <v>2043</v>
      </c>
      <c r="AG1" s="36">
        <f>Inputs!AG1</f>
        <v>2044</v>
      </c>
      <c r="AH1" s="36">
        <f>Inputs!AH1</f>
        <v>2045</v>
      </c>
      <c r="AI1" s="36">
        <f>Inputs!AI1</f>
        <v>2046</v>
      </c>
      <c r="AJ1" s="36">
        <f>Inputs!AJ1</f>
        <v>2047</v>
      </c>
      <c r="AK1" s="36">
        <f>Inputs!AK1</f>
        <v>2048</v>
      </c>
      <c r="AL1" s="36">
        <f>Inputs!AL1</f>
        <v>2049</v>
      </c>
      <c r="AM1" s="36">
        <f>Inputs!AM1</f>
        <v>2050</v>
      </c>
      <c r="AN1" s="36">
        <f>Inputs!AN1</f>
        <v>2051</v>
      </c>
      <c r="AO1" s="36">
        <f>Inputs!AO1</f>
        <v>2052</v>
      </c>
      <c r="AP1" s="36">
        <f>Inputs!AP1</f>
        <v>2053</v>
      </c>
      <c r="AQ1" s="36">
        <f>Inputs!AQ1</f>
        <v>2054</v>
      </c>
      <c r="AR1" s="36">
        <f>Inputs!AR1</f>
        <v>2055</v>
      </c>
      <c r="AS1" s="36">
        <f>Inputs!AS1</f>
        <v>2056</v>
      </c>
      <c r="AT1" s="36">
        <f>Inputs!AT1</f>
        <v>2057</v>
      </c>
      <c r="AU1" s="36">
        <f>Inputs!AU1</f>
        <v>2058</v>
      </c>
      <c r="AV1" s="36">
        <f>Inputs!AV1</f>
        <v>2059</v>
      </c>
      <c r="AW1" s="36">
        <f>Inputs!AW1</f>
        <v>2060</v>
      </c>
      <c r="AX1" s="36">
        <f>Inputs!AX1</f>
        <v>2061</v>
      </c>
      <c r="AY1" s="36">
        <f>Inputs!AY1</f>
        <v>2062</v>
      </c>
      <c r="AZ1" s="36">
        <f>Inputs!AZ1</f>
        <v>2063</v>
      </c>
      <c r="BA1" s="36">
        <f>Inputs!BA1</f>
        <v>2064</v>
      </c>
      <c r="BB1" s="96">
        <v>2065</v>
      </c>
    </row>
    <row r="2" spans="1:54" s="7" customFormat="1" x14ac:dyDescent="0.2">
      <c r="C2" s="72" t="s">
        <v>0</v>
      </c>
      <c r="D2" s="36">
        <f>Inputs!D2</f>
        <v>1</v>
      </c>
      <c r="E2" s="36">
        <f>Inputs!E2</f>
        <v>2</v>
      </c>
      <c r="F2" s="36">
        <f>Inputs!F2</f>
        <v>3</v>
      </c>
      <c r="G2" s="36">
        <f>Inputs!G2</f>
        <v>4</v>
      </c>
      <c r="H2" s="36">
        <f>Inputs!H2</f>
        <v>5</v>
      </c>
      <c r="I2" s="36">
        <f>Inputs!I2</f>
        <v>6</v>
      </c>
      <c r="J2" s="36">
        <f>Inputs!J2</f>
        <v>7</v>
      </c>
      <c r="K2" s="36">
        <f>Inputs!K2</f>
        <v>8</v>
      </c>
      <c r="L2" s="36">
        <f>Inputs!L2</f>
        <v>9</v>
      </c>
      <c r="M2" s="36">
        <f>Inputs!M2</f>
        <v>10</v>
      </c>
      <c r="N2" s="36">
        <f>Inputs!N2</f>
        <v>11</v>
      </c>
      <c r="O2" s="36">
        <f>Inputs!O2</f>
        <v>12</v>
      </c>
      <c r="P2" s="36">
        <f>Inputs!P2</f>
        <v>13</v>
      </c>
      <c r="Q2" s="36">
        <f>Inputs!Q2</f>
        <v>14</v>
      </c>
      <c r="R2" s="36">
        <f>Inputs!R2</f>
        <v>15</v>
      </c>
      <c r="S2" s="36">
        <f>Inputs!S2</f>
        <v>16</v>
      </c>
      <c r="T2" s="36">
        <f>Inputs!T2</f>
        <v>17</v>
      </c>
      <c r="U2" s="36">
        <f>Inputs!U2</f>
        <v>18</v>
      </c>
      <c r="V2" s="36">
        <f>Inputs!V2</f>
        <v>19</v>
      </c>
      <c r="W2" s="36">
        <f>Inputs!W2</f>
        <v>20</v>
      </c>
      <c r="X2" s="36">
        <f>Inputs!X2</f>
        <v>21</v>
      </c>
      <c r="Y2" s="36">
        <f>Inputs!Y2</f>
        <v>22</v>
      </c>
      <c r="Z2" s="36">
        <f>Inputs!Z2</f>
        <v>23</v>
      </c>
      <c r="AA2" s="36">
        <f>Inputs!AA2</f>
        <v>24</v>
      </c>
      <c r="AB2" s="36">
        <f>Inputs!AB2</f>
        <v>25</v>
      </c>
      <c r="AC2" s="36">
        <f>Inputs!AC2</f>
        <v>26</v>
      </c>
      <c r="AD2" s="36">
        <f>Inputs!AD2</f>
        <v>27</v>
      </c>
      <c r="AE2" s="36">
        <f>Inputs!AE2</f>
        <v>28</v>
      </c>
      <c r="AF2" s="36">
        <f>Inputs!AF2</f>
        <v>29</v>
      </c>
      <c r="AG2" s="36">
        <f>Inputs!AG2</f>
        <v>30</v>
      </c>
      <c r="AH2" s="36">
        <f>Inputs!AH2</f>
        <v>31</v>
      </c>
      <c r="AI2" s="36">
        <f>Inputs!AI2</f>
        <v>32</v>
      </c>
      <c r="AJ2" s="36">
        <f>Inputs!AJ2</f>
        <v>33</v>
      </c>
      <c r="AK2" s="36">
        <f>Inputs!AK2</f>
        <v>34</v>
      </c>
      <c r="AL2" s="36">
        <f>Inputs!AL2</f>
        <v>35</v>
      </c>
      <c r="AM2" s="36">
        <f>Inputs!AM2</f>
        <v>36</v>
      </c>
      <c r="AN2" s="36">
        <f>Inputs!AN2</f>
        <v>37</v>
      </c>
      <c r="AO2" s="36">
        <f>Inputs!AO2</f>
        <v>38</v>
      </c>
      <c r="AP2" s="36">
        <f>Inputs!AP2</f>
        <v>39</v>
      </c>
      <c r="AQ2" s="36">
        <f>Inputs!AQ2</f>
        <v>40</v>
      </c>
      <c r="AR2" s="36">
        <f>Inputs!AR2</f>
        <v>41</v>
      </c>
      <c r="AS2" s="36">
        <f>Inputs!AS2</f>
        <v>42</v>
      </c>
      <c r="AT2" s="36">
        <f>Inputs!AT2</f>
        <v>43</v>
      </c>
      <c r="AU2" s="36">
        <f>Inputs!AU2</f>
        <v>44</v>
      </c>
      <c r="AV2" s="36">
        <f>Inputs!AV2</f>
        <v>45</v>
      </c>
      <c r="AW2" s="36">
        <f>Inputs!AW2</f>
        <v>46</v>
      </c>
      <c r="AX2" s="36">
        <f>Inputs!AX2</f>
        <v>47</v>
      </c>
      <c r="AY2" s="36">
        <f>Inputs!AY2</f>
        <v>48</v>
      </c>
      <c r="AZ2" s="36">
        <f>Inputs!AZ2</f>
        <v>49</v>
      </c>
      <c r="BA2" s="36">
        <f>Inputs!BA2</f>
        <v>50</v>
      </c>
    </row>
    <row r="4" spans="1:54" s="113" customFormat="1" x14ac:dyDescent="0.2">
      <c r="B4" s="117" t="s">
        <v>98</v>
      </c>
      <c r="C4" s="118" t="s">
        <v>75</v>
      </c>
      <c r="D4" s="119">
        <f t="shared" ref="D4:AH4" si="0">+D6+D8</f>
        <v>250</v>
      </c>
      <c r="E4" s="119">
        <f t="shared" si="0"/>
        <v>255</v>
      </c>
      <c r="F4" s="119">
        <f t="shared" si="0"/>
        <v>260.10000000000002</v>
      </c>
      <c r="G4" s="119">
        <f t="shared" si="0"/>
        <v>265.30199999999996</v>
      </c>
      <c r="H4" s="119">
        <f t="shared" si="0"/>
        <v>0</v>
      </c>
      <c r="I4" s="119">
        <f t="shared" si="0"/>
        <v>11.040808032000001</v>
      </c>
      <c r="J4" s="119">
        <f t="shared" si="0"/>
        <v>11.261624192640001</v>
      </c>
      <c r="K4" s="119">
        <f t="shared" si="0"/>
        <v>11.486856676492801</v>
      </c>
      <c r="L4" s="119">
        <f t="shared" si="0"/>
        <v>11.716593810022658</v>
      </c>
      <c r="M4" s="119">
        <f t="shared" si="0"/>
        <v>11.95092568622311</v>
      </c>
      <c r="N4" s="119">
        <f t="shared" si="0"/>
        <v>12.189944199947574</v>
      </c>
      <c r="O4" s="119">
        <f t="shared" si="0"/>
        <v>12.433743083946524</v>
      </c>
      <c r="P4" s="119">
        <f t="shared" si="0"/>
        <v>12.682417945625454</v>
      </c>
      <c r="Q4" s="119">
        <f t="shared" si="0"/>
        <v>12.936066304537963</v>
      </c>
      <c r="R4" s="119">
        <f t="shared" si="0"/>
        <v>13.194787630628724</v>
      </c>
      <c r="S4" s="119">
        <f t="shared" si="0"/>
        <v>13.458683383241299</v>
      </c>
      <c r="T4" s="119">
        <f t="shared" si="0"/>
        <v>13.727857050906124</v>
      </c>
      <c r="U4" s="119">
        <f t="shared" si="0"/>
        <v>14.002414191924249</v>
      </c>
      <c r="V4" s="119">
        <f t="shared" si="0"/>
        <v>14.282462475762735</v>
      </c>
      <c r="W4" s="119">
        <f t="shared" si="0"/>
        <v>14.568111725277987</v>
      </c>
      <c r="X4" s="119">
        <f t="shared" si="0"/>
        <v>14.85947395978355</v>
      </c>
      <c r="Y4" s="119">
        <f t="shared" si="0"/>
        <v>15.156663438979221</v>
      </c>
      <c r="Z4" s="119">
        <f t="shared" si="0"/>
        <v>15.459796707758805</v>
      </c>
      <c r="AA4" s="119">
        <f t="shared" si="0"/>
        <v>15.768992641913982</v>
      </c>
      <c r="AB4" s="119">
        <f t="shared" si="0"/>
        <v>16.084372494752262</v>
      </c>
      <c r="AC4" s="119">
        <f t="shared" si="0"/>
        <v>16.406059944647307</v>
      </c>
      <c r="AD4" s="119">
        <f t="shared" si="0"/>
        <v>16.734181143540251</v>
      </c>
      <c r="AE4" s="119">
        <f t="shared" si="0"/>
        <v>17.068864766411057</v>
      </c>
      <c r="AF4" s="119">
        <f t="shared" si="0"/>
        <v>17.410242061739282</v>
      </c>
      <c r="AG4" s="119">
        <f t="shared" si="0"/>
        <v>17.758446902974065</v>
      </c>
      <c r="AH4" s="119">
        <f t="shared" si="0"/>
        <v>18.11361584103355</v>
      </c>
      <c r="AI4" s="119">
        <f t="shared" ref="AI4:AZ4" si="1">+AI6+AI8</f>
        <v>0</v>
      </c>
      <c r="AJ4" s="119">
        <f t="shared" si="1"/>
        <v>0</v>
      </c>
      <c r="AK4" s="119">
        <f t="shared" si="1"/>
        <v>0</v>
      </c>
      <c r="AL4" s="119">
        <f t="shared" si="1"/>
        <v>0</v>
      </c>
      <c r="AM4" s="119">
        <f t="shared" si="1"/>
        <v>0</v>
      </c>
      <c r="AN4" s="119">
        <f t="shared" si="1"/>
        <v>0</v>
      </c>
      <c r="AO4" s="119">
        <f t="shared" si="1"/>
        <v>0</v>
      </c>
      <c r="AP4" s="119">
        <f t="shared" si="1"/>
        <v>0</v>
      </c>
      <c r="AQ4" s="119">
        <f t="shared" si="1"/>
        <v>0</v>
      </c>
      <c r="AR4" s="119">
        <f t="shared" si="1"/>
        <v>0</v>
      </c>
      <c r="AS4" s="119">
        <f t="shared" si="1"/>
        <v>0</v>
      </c>
      <c r="AT4" s="119">
        <f t="shared" si="1"/>
        <v>0</v>
      </c>
      <c r="AU4" s="119">
        <f t="shared" si="1"/>
        <v>0</v>
      </c>
      <c r="AV4" s="119">
        <f t="shared" si="1"/>
        <v>0</v>
      </c>
      <c r="AW4" s="119">
        <f t="shared" si="1"/>
        <v>0</v>
      </c>
      <c r="AX4" s="119">
        <f t="shared" si="1"/>
        <v>0</v>
      </c>
      <c r="AY4" s="119">
        <f t="shared" si="1"/>
        <v>0</v>
      </c>
      <c r="AZ4" s="119">
        <f t="shared" si="1"/>
        <v>0</v>
      </c>
      <c r="BA4" s="119">
        <f>+BA6+BA8</f>
        <v>0</v>
      </c>
    </row>
    <row r="5" spans="1:54" x14ac:dyDescent="0.2">
      <c r="B5" s="50" t="s">
        <v>129</v>
      </c>
      <c r="C5" s="73" t="s">
        <v>75</v>
      </c>
      <c r="D5" s="47">
        <f>D4</f>
        <v>250</v>
      </c>
      <c r="E5" s="47">
        <f>D5+E4</f>
        <v>505</v>
      </c>
      <c r="F5" s="47">
        <f t="shared" ref="F5:AH5" si="2">E5+F4</f>
        <v>765.1</v>
      </c>
      <c r="G5" s="47">
        <f t="shared" si="2"/>
        <v>1030.402</v>
      </c>
      <c r="H5" s="47">
        <f t="shared" si="2"/>
        <v>1030.402</v>
      </c>
      <c r="I5" s="47">
        <f t="shared" si="2"/>
        <v>1041.4428080320001</v>
      </c>
      <c r="J5" s="47">
        <f t="shared" si="2"/>
        <v>1052.7044322246402</v>
      </c>
      <c r="K5" s="47">
        <f t="shared" si="2"/>
        <v>1064.191288901133</v>
      </c>
      <c r="L5" s="47">
        <f t="shared" si="2"/>
        <v>1075.9078827111557</v>
      </c>
      <c r="M5" s="47">
        <f t="shared" si="2"/>
        <v>1087.8588083973789</v>
      </c>
      <c r="N5" s="47">
        <f t="shared" si="2"/>
        <v>1100.0487525973265</v>
      </c>
      <c r="O5" s="47">
        <f t="shared" si="2"/>
        <v>1112.4824956812731</v>
      </c>
      <c r="P5" s="47">
        <f t="shared" si="2"/>
        <v>1125.1649136268986</v>
      </c>
      <c r="Q5" s="47">
        <f t="shared" si="2"/>
        <v>1138.1009799314365</v>
      </c>
      <c r="R5" s="47">
        <f t="shared" si="2"/>
        <v>1151.2957675620653</v>
      </c>
      <c r="S5" s="47">
        <f t="shared" si="2"/>
        <v>1164.7544509453066</v>
      </c>
      <c r="T5" s="47">
        <f t="shared" si="2"/>
        <v>1178.4823079962127</v>
      </c>
      <c r="U5" s="47">
        <f t="shared" si="2"/>
        <v>1192.4847221881371</v>
      </c>
      <c r="V5" s="47">
        <f t="shared" si="2"/>
        <v>1206.7671846638998</v>
      </c>
      <c r="W5" s="47">
        <f t="shared" si="2"/>
        <v>1221.3352963891778</v>
      </c>
      <c r="X5" s="47">
        <f t="shared" si="2"/>
        <v>1236.1947703489614</v>
      </c>
      <c r="Y5" s="47">
        <f t="shared" si="2"/>
        <v>1251.3514337879406</v>
      </c>
      <c r="Z5" s="47">
        <f t="shared" si="2"/>
        <v>1266.8112304956994</v>
      </c>
      <c r="AA5" s="47">
        <f t="shared" si="2"/>
        <v>1282.5802231376133</v>
      </c>
      <c r="AB5" s="47">
        <f t="shared" si="2"/>
        <v>1298.6645956323655</v>
      </c>
      <c r="AC5" s="47">
        <f t="shared" si="2"/>
        <v>1315.0706555770128</v>
      </c>
      <c r="AD5" s="47">
        <f t="shared" si="2"/>
        <v>1331.8048367205531</v>
      </c>
      <c r="AE5" s="47">
        <f t="shared" si="2"/>
        <v>1348.8737014869641</v>
      </c>
      <c r="AF5" s="47">
        <f t="shared" si="2"/>
        <v>1366.2839435487035</v>
      </c>
      <c r="AG5" s="47">
        <f t="shared" si="2"/>
        <v>1384.0423904516776</v>
      </c>
      <c r="AH5" s="47">
        <f t="shared" si="2"/>
        <v>1402.1560062927113</v>
      </c>
      <c r="AI5" s="47">
        <f t="shared" ref="AI5" si="3">AH5+AI4</f>
        <v>1402.1560062927113</v>
      </c>
      <c r="AJ5" s="47">
        <f t="shared" ref="AJ5" si="4">AI5+AJ4</f>
        <v>1402.1560062927113</v>
      </c>
      <c r="AK5" s="47">
        <f t="shared" ref="AK5" si="5">AJ5+AK4</f>
        <v>1402.1560062927113</v>
      </c>
      <c r="AL5" s="47">
        <f t="shared" ref="AL5" si="6">AK5+AL4</f>
        <v>1402.1560062927113</v>
      </c>
      <c r="AM5" s="47">
        <f t="shared" ref="AM5" si="7">AL5+AM4</f>
        <v>1402.1560062927113</v>
      </c>
      <c r="AN5" s="47">
        <f t="shared" ref="AN5" si="8">AM5+AN4</f>
        <v>1402.1560062927113</v>
      </c>
      <c r="AO5" s="47">
        <f t="shared" ref="AO5" si="9">AN5+AO4</f>
        <v>1402.1560062927113</v>
      </c>
      <c r="AP5" s="47">
        <f t="shared" ref="AP5" si="10">AO5+AP4</f>
        <v>1402.1560062927113</v>
      </c>
      <c r="AQ5" s="47">
        <f t="shared" ref="AQ5" si="11">AP5+AQ4</f>
        <v>1402.1560062927113</v>
      </c>
      <c r="AR5" s="47">
        <f t="shared" ref="AR5" si="12">AQ5+AR4</f>
        <v>1402.1560062927113</v>
      </c>
      <c r="AS5" s="47">
        <f t="shared" ref="AS5" si="13">AR5+AS4</f>
        <v>1402.1560062927113</v>
      </c>
      <c r="AT5" s="47">
        <f t="shared" ref="AT5" si="14">AS5+AT4</f>
        <v>1402.1560062927113</v>
      </c>
      <c r="AU5" s="47">
        <f t="shared" ref="AU5" si="15">AT5+AU4</f>
        <v>1402.1560062927113</v>
      </c>
      <c r="AV5" s="47">
        <f t="shared" ref="AV5" si="16">AU5+AV4</f>
        <v>1402.1560062927113</v>
      </c>
      <c r="AW5" s="47">
        <f t="shared" ref="AW5" si="17">AV5+AW4</f>
        <v>1402.1560062927113</v>
      </c>
      <c r="AX5" s="47">
        <f t="shared" ref="AX5" si="18">AW5+AX4</f>
        <v>1402.1560062927113</v>
      </c>
      <c r="AY5" s="47">
        <f t="shared" ref="AY5" si="19">AX5+AY4</f>
        <v>1402.1560062927113</v>
      </c>
      <c r="AZ5" s="47">
        <f t="shared" ref="AZ5" si="20">AY5+AZ4</f>
        <v>1402.1560062927113</v>
      </c>
      <c r="BA5" s="47">
        <f t="shared" ref="BA5" si="21">AZ5+BA4</f>
        <v>1402.1560062927113</v>
      </c>
    </row>
    <row r="6" spans="1:54" x14ac:dyDescent="0.2">
      <c r="B6" s="120" t="s">
        <v>91</v>
      </c>
      <c r="C6" s="73" t="s">
        <v>75</v>
      </c>
      <c r="D6" s="47">
        <f>Inputs!D18</f>
        <v>250</v>
      </c>
      <c r="E6" s="47">
        <f>Inputs!E18</f>
        <v>255</v>
      </c>
      <c r="F6" s="47">
        <f>Inputs!F18</f>
        <v>260.10000000000002</v>
      </c>
      <c r="G6" s="47">
        <f>Inputs!G18</f>
        <v>265.30199999999996</v>
      </c>
      <c r="H6" s="47">
        <f>Inputs!H18</f>
        <v>0</v>
      </c>
      <c r="I6" s="47">
        <f>Inputs!I18</f>
        <v>0</v>
      </c>
      <c r="J6" s="47">
        <f>Inputs!J18</f>
        <v>0</v>
      </c>
      <c r="K6" s="47">
        <f>Inputs!K18</f>
        <v>0</v>
      </c>
      <c r="L6" s="47">
        <f>Inputs!L18</f>
        <v>0</v>
      </c>
      <c r="M6" s="47">
        <f>Inputs!M18</f>
        <v>0</v>
      </c>
      <c r="N6" s="47">
        <f>Inputs!N18</f>
        <v>0</v>
      </c>
      <c r="O6" s="47">
        <f>Inputs!O18</f>
        <v>0</v>
      </c>
      <c r="P6" s="47">
        <f>Inputs!P18</f>
        <v>0</v>
      </c>
      <c r="Q6" s="47">
        <f>Inputs!Q18</f>
        <v>0</v>
      </c>
      <c r="R6" s="47">
        <f>Inputs!R18</f>
        <v>0</v>
      </c>
      <c r="S6" s="47">
        <f>Inputs!S18</f>
        <v>0</v>
      </c>
      <c r="T6" s="47">
        <f>Inputs!T18</f>
        <v>0</v>
      </c>
      <c r="U6" s="47">
        <f>Inputs!U18</f>
        <v>0</v>
      </c>
      <c r="V6" s="47">
        <f>Inputs!V18</f>
        <v>0</v>
      </c>
      <c r="W6" s="47">
        <f>Inputs!W18</f>
        <v>0</v>
      </c>
      <c r="X6" s="47">
        <f>Inputs!X18</f>
        <v>0</v>
      </c>
      <c r="Y6" s="47">
        <f>Inputs!Y18</f>
        <v>0</v>
      </c>
      <c r="Z6" s="47">
        <f>Inputs!Z18</f>
        <v>0</v>
      </c>
      <c r="AA6" s="47">
        <f>Inputs!AA18</f>
        <v>0</v>
      </c>
      <c r="AB6" s="47">
        <f>Inputs!AB18</f>
        <v>0</v>
      </c>
      <c r="AC6" s="47">
        <f>Inputs!AC18</f>
        <v>0</v>
      </c>
      <c r="AD6" s="47">
        <f>Inputs!AD18</f>
        <v>0</v>
      </c>
      <c r="AE6" s="47">
        <f>Inputs!AE18</f>
        <v>0</v>
      </c>
      <c r="AF6" s="47">
        <f>Inputs!AF18</f>
        <v>0</v>
      </c>
      <c r="AG6" s="47">
        <f>Inputs!AG18</f>
        <v>0</v>
      </c>
      <c r="AH6" s="47">
        <f>Inputs!AH18</f>
        <v>0</v>
      </c>
      <c r="AI6" s="47">
        <f>Inputs!AI18</f>
        <v>0</v>
      </c>
      <c r="AJ6" s="47">
        <f>Inputs!AJ18</f>
        <v>0</v>
      </c>
      <c r="AK6" s="47">
        <f>Inputs!AK18</f>
        <v>0</v>
      </c>
      <c r="AL6" s="47">
        <f>Inputs!AL18</f>
        <v>0</v>
      </c>
      <c r="AM6" s="47">
        <f>Inputs!AM18</f>
        <v>0</v>
      </c>
      <c r="AN6" s="47">
        <f>Inputs!AN18</f>
        <v>0</v>
      </c>
      <c r="AO6" s="47">
        <f>Inputs!AO18</f>
        <v>0</v>
      </c>
      <c r="AP6" s="47">
        <f>Inputs!AP18</f>
        <v>0</v>
      </c>
      <c r="AQ6" s="47">
        <f>Inputs!AQ18</f>
        <v>0</v>
      </c>
      <c r="AR6" s="47">
        <f>Inputs!AR18</f>
        <v>0</v>
      </c>
      <c r="AS6" s="47">
        <f>Inputs!AS18</f>
        <v>0</v>
      </c>
      <c r="AT6" s="47">
        <f>Inputs!AT18</f>
        <v>0</v>
      </c>
      <c r="AU6" s="47">
        <f>Inputs!AU18</f>
        <v>0</v>
      </c>
      <c r="AV6" s="47">
        <f>Inputs!AV18</f>
        <v>0</v>
      </c>
      <c r="AW6" s="47">
        <f>Inputs!AW18</f>
        <v>0</v>
      </c>
      <c r="AX6" s="47">
        <f>Inputs!AX18</f>
        <v>0</v>
      </c>
      <c r="AY6" s="47">
        <f>Inputs!AY18</f>
        <v>0</v>
      </c>
      <c r="AZ6" s="47">
        <f>Inputs!AZ18</f>
        <v>0</v>
      </c>
      <c r="BA6" s="47">
        <f>Inputs!BA18</f>
        <v>0</v>
      </c>
    </row>
    <row r="7" spans="1:54" x14ac:dyDescent="0.2">
      <c r="B7" s="50" t="s">
        <v>99</v>
      </c>
      <c r="C7" s="73" t="s">
        <v>75</v>
      </c>
      <c r="D7" s="47">
        <f>+D6</f>
        <v>250</v>
      </c>
      <c r="E7" s="47">
        <f t="shared" ref="E7:AH7" si="22">+D7+E6</f>
        <v>505</v>
      </c>
      <c r="F7" s="47">
        <f t="shared" si="22"/>
        <v>765.1</v>
      </c>
      <c r="G7" s="47">
        <f t="shared" si="22"/>
        <v>1030.402</v>
      </c>
      <c r="H7" s="47">
        <f t="shared" si="22"/>
        <v>1030.402</v>
      </c>
      <c r="I7" s="47">
        <f t="shared" si="22"/>
        <v>1030.402</v>
      </c>
      <c r="J7" s="47">
        <f t="shared" si="22"/>
        <v>1030.402</v>
      </c>
      <c r="K7" s="47">
        <f t="shared" si="22"/>
        <v>1030.402</v>
      </c>
      <c r="L7" s="47">
        <f t="shared" si="22"/>
        <v>1030.402</v>
      </c>
      <c r="M7" s="47">
        <f t="shared" si="22"/>
        <v>1030.402</v>
      </c>
      <c r="N7" s="47">
        <f t="shared" si="22"/>
        <v>1030.402</v>
      </c>
      <c r="O7" s="47">
        <f t="shared" si="22"/>
        <v>1030.402</v>
      </c>
      <c r="P7" s="47">
        <f t="shared" si="22"/>
        <v>1030.402</v>
      </c>
      <c r="Q7" s="47">
        <f t="shared" si="22"/>
        <v>1030.402</v>
      </c>
      <c r="R7" s="47">
        <f t="shared" si="22"/>
        <v>1030.402</v>
      </c>
      <c r="S7" s="47">
        <f t="shared" si="22"/>
        <v>1030.402</v>
      </c>
      <c r="T7" s="47">
        <f t="shared" si="22"/>
        <v>1030.402</v>
      </c>
      <c r="U7" s="47">
        <f t="shared" si="22"/>
        <v>1030.402</v>
      </c>
      <c r="V7" s="47">
        <f t="shared" si="22"/>
        <v>1030.402</v>
      </c>
      <c r="W7" s="47">
        <f t="shared" si="22"/>
        <v>1030.402</v>
      </c>
      <c r="X7" s="47">
        <f t="shared" si="22"/>
        <v>1030.402</v>
      </c>
      <c r="Y7" s="47">
        <f t="shared" si="22"/>
        <v>1030.402</v>
      </c>
      <c r="Z7" s="47">
        <f t="shared" si="22"/>
        <v>1030.402</v>
      </c>
      <c r="AA7" s="47">
        <f t="shared" si="22"/>
        <v>1030.402</v>
      </c>
      <c r="AB7" s="47">
        <f t="shared" si="22"/>
        <v>1030.402</v>
      </c>
      <c r="AC7" s="47">
        <f t="shared" si="22"/>
        <v>1030.402</v>
      </c>
      <c r="AD7" s="47">
        <f t="shared" si="22"/>
        <v>1030.402</v>
      </c>
      <c r="AE7" s="47">
        <f t="shared" si="22"/>
        <v>1030.402</v>
      </c>
      <c r="AF7" s="47">
        <f t="shared" si="22"/>
        <v>1030.402</v>
      </c>
      <c r="AG7" s="47">
        <f t="shared" si="22"/>
        <v>1030.402</v>
      </c>
      <c r="AH7" s="47">
        <f t="shared" si="22"/>
        <v>1030.402</v>
      </c>
      <c r="AI7" s="47">
        <f t="shared" ref="AI7:AZ7" si="23">+AH7+AI6</f>
        <v>1030.402</v>
      </c>
      <c r="AJ7" s="47">
        <f t="shared" si="23"/>
        <v>1030.402</v>
      </c>
      <c r="AK7" s="47">
        <f t="shared" si="23"/>
        <v>1030.402</v>
      </c>
      <c r="AL7" s="47">
        <f t="shared" si="23"/>
        <v>1030.402</v>
      </c>
      <c r="AM7" s="47">
        <f t="shared" si="23"/>
        <v>1030.402</v>
      </c>
      <c r="AN7" s="47">
        <f t="shared" si="23"/>
        <v>1030.402</v>
      </c>
      <c r="AO7" s="47">
        <f t="shared" si="23"/>
        <v>1030.402</v>
      </c>
      <c r="AP7" s="47">
        <f t="shared" si="23"/>
        <v>1030.402</v>
      </c>
      <c r="AQ7" s="47">
        <f t="shared" si="23"/>
        <v>1030.402</v>
      </c>
      <c r="AR7" s="47">
        <f t="shared" si="23"/>
        <v>1030.402</v>
      </c>
      <c r="AS7" s="47">
        <f t="shared" si="23"/>
        <v>1030.402</v>
      </c>
      <c r="AT7" s="47">
        <f t="shared" si="23"/>
        <v>1030.402</v>
      </c>
      <c r="AU7" s="47">
        <f t="shared" si="23"/>
        <v>1030.402</v>
      </c>
      <c r="AV7" s="47">
        <f t="shared" si="23"/>
        <v>1030.402</v>
      </c>
      <c r="AW7" s="47">
        <f t="shared" si="23"/>
        <v>1030.402</v>
      </c>
      <c r="AX7" s="47">
        <f t="shared" si="23"/>
        <v>1030.402</v>
      </c>
      <c r="AY7" s="47">
        <f t="shared" si="23"/>
        <v>1030.402</v>
      </c>
      <c r="AZ7" s="47">
        <f t="shared" si="23"/>
        <v>1030.402</v>
      </c>
      <c r="BA7" s="47">
        <f>+AZ7+BA6</f>
        <v>1030.402</v>
      </c>
    </row>
    <row r="8" spans="1:54" x14ac:dyDescent="0.2">
      <c r="B8" s="120" t="s">
        <v>1</v>
      </c>
      <c r="C8" s="73" t="s">
        <v>75</v>
      </c>
      <c r="D8" s="47">
        <f>Inputs!D21</f>
        <v>0</v>
      </c>
      <c r="E8" s="47">
        <f>Inputs!E21</f>
        <v>0</v>
      </c>
      <c r="F8" s="47">
        <f>Inputs!F21</f>
        <v>0</v>
      </c>
      <c r="G8" s="47">
        <f>Inputs!G21</f>
        <v>0</v>
      </c>
      <c r="H8" s="47">
        <f>Inputs!H21</f>
        <v>0</v>
      </c>
      <c r="I8" s="47">
        <f>Inputs!I21</f>
        <v>11.040808032000001</v>
      </c>
      <c r="J8" s="47">
        <f>Inputs!J21</f>
        <v>11.261624192640001</v>
      </c>
      <c r="K8" s="47">
        <f>Inputs!K21</f>
        <v>11.486856676492801</v>
      </c>
      <c r="L8" s="47">
        <f>Inputs!L21</f>
        <v>11.716593810022658</v>
      </c>
      <c r="M8" s="47">
        <f>Inputs!M21</f>
        <v>11.95092568622311</v>
      </c>
      <c r="N8" s="47">
        <f>Inputs!N21</f>
        <v>12.189944199947574</v>
      </c>
      <c r="O8" s="47">
        <f>Inputs!O21</f>
        <v>12.433743083946524</v>
      </c>
      <c r="P8" s="47">
        <f>Inputs!P21</f>
        <v>12.682417945625454</v>
      </c>
      <c r="Q8" s="47">
        <f>Inputs!Q21</f>
        <v>12.936066304537963</v>
      </c>
      <c r="R8" s="47">
        <f>Inputs!R21</f>
        <v>13.194787630628724</v>
      </c>
      <c r="S8" s="47">
        <f>Inputs!S21</f>
        <v>13.458683383241299</v>
      </c>
      <c r="T8" s="47">
        <f>Inputs!T21</f>
        <v>13.727857050906124</v>
      </c>
      <c r="U8" s="47">
        <f>Inputs!U21</f>
        <v>14.002414191924249</v>
      </c>
      <c r="V8" s="47">
        <f>Inputs!V21</f>
        <v>14.282462475762735</v>
      </c>
      <c r="W8" s="47">
        <f>Inputs!W21</f>
        <v>14.568111725277987</v>
      </c>
      <c r="X8" s="47">
        <f>Inputs!X21</f>
        <v>14.85947395978355</v>
      </c>
      <c r="Y8" s="47">
        <f>Inputs!Y21</f>
        <v>15.156663438979221</v>
      </c>
      <c r="Z8" s="47">
        <f>Inputs!Z21</f>
        <v>15.459796707758805</v>
      </c>
      <c r="AA8" s="47">
        <f>Inputs!AA21</f>
        <v>15.768992641913982</v>
      </c>
      <c r="AB8" s="47">
        <f>Inputs!AB21</f>
        <v>16.084372494752262</v>
      </c>
      <c r="AC8" s="47">
        <f>Inputs!AC21</f>
        <v>16.406059944647307</v>
      </c>
      <c r="AD8" s="47">
        <f>Inputs!AD21</f>
        <v>16.734181143540251</v>
      </c>
      <c r="AE8" s="47">
        <f>Inputs!AE21</f>
        <v>17.068864766411057</v>
      </c>
      <c r="AF8" s="47">
        <f>Inputs!AF21</f>
        <v>17.410242061739282</v>
      </c>
      <c r="AG8" s="47">
        <f>Inputs!AG21</f>
        <v>17.758446902974065</v>
      </c>
      <c r="AH8" s="47">
        <f>Inputs!AH21</f>
        <v>18.11361584103355</v>
      </c>
      <c r="AI8" s="47">
        <f>Inputs!AI21</f>
        <v>0</v>
      </c>
      <c r="AJ8" s="47">
        <f>Inputs!AJ21</f>
        <v>0</v>
      </c>
      <c r="AK8" s="47">
        <f>Inputs!AK21</f>
        <v>0</v>
      </c>
      <c r="AL8" s="47">
        <f>Inputs!AL21</f>
        <v>0</v>
      </c>
      <c r="AM8" s="47">
        <f>Inputs!AM21</f>
        <v>0</v>
      </c>
      <c r="AN8" s="47">
        <f>Inputs!AN21</f>
        <v>0</v>
      </c>
      <c r="AO8" s="47">
        <f>Inputs!AO21</f>
        <v>0</v>
      </c>
      <c r="AP8" s="47">
        <f>Inputs!AP21</f>
        <v>0</v>
      </c>
      <c r="AQ8" s="47">
        <f>Inputs!AQ21</f>
        <v>0</v>
      </c>
      <c r="AR8" s="47">
        <f>Inputs!AR21</f>
        <v>0</v>
      </c>
      <c r="AS8" s="47">
        <f>Inputs!AS21</f>
        <v>0</v>
      </c>
      <c r="AT8" s="47">
        <f>Inputs!AT21</f>
        <v>0</v>
      </c>
      <c r="AU8" s="47">
        <f>Inputs!AU21</f>
        <v>0</v>
      </c>
      <c r="AV8" s="47">
        <f>Inputs!AV21</f>
        <v>0</v>
      </c>
      <c r="AW8" s="47">
        <f>Inputs!AW21</f>
        <v>0</v>
      </c>
      <c r="AX8" s="47">
        <f>Inputs!AX21</f>
        <v>0</v>
      </c>
      <c r="AY8" s="47">
        <f>Inputs!AY21</f>
        <v>0</v>
      </c>
      <c r="AZ8" s="47">
        <f>Inputs!AZ21</f>
        <v>0</v>
      </c>
      <c r="BA8" s="47">
        <f>Inputs!BA21</f>
        <v>0</v>
      </c>
    </row>
    <row r="9" spans="1:54" x14ac:dyDescent="0.2">
      <c r="B9" s="50" t="s">
        <v>130</v>
      </c>
      <c r="C9" s="73" t="s">
        <v>75</v>
      </c>
      <c r="D9" s="47">
        <f>D8</f>
        <v>0</v>
      </c>
      <c r="E9" s="47">
        <f>D9+E8</f>
        <v>0</v>
      </c>
      <c r="F9" s="47">
        <f t="shared" ref="F9:BA9" si="24">E9+F8</f>
        <v>0</v>
      </c>
      <c r="G9" s="47">
        <f t="shared" si="24"/>
        <v>0</v>
      </c>
      <c r="H9" s="47">
        <f t="shared" si="24"/>
        <v>0</v>
      </c>
      <c r="I9" s="47">
        <f t="shared" si="24"/>
        <v>11.040808032000001</v>
      </c>
      <c r="J9" s="47">
        <f t="shared" si="24"/>
        <v>22.30243222464</v>
      </c>
      <c r="K9" s="47">
        <f t="shared" si="24"/>
        <v>33.789288901132799</v>
      </c>
      <c r="L9" s="47">
        <f t="shared" si="24"/>
        <v>45.505882711155458</v>
      </c>
      <c r="M9" s="47">
        <f t="shared" si="24"/>
        <v>57.456808397378566</v>
      </c>
      <c r="N9" s="47">
        <f t="shared" si="24"/>
        <v>69.646752597326142</v>
      </c>
      <c r="O9" s="47">
        <f t="shared" si="24"/>
        <v>82.080495681272666</v>
      </c>
      <c r="P9" s="47">
        <f t="shared" si="24"/>
        <v>94.762913626898126</v>
      </c>
      <c r="Q9" s="47">
        <f t="shared" si="24"/>
        <v>107.69897993143609</v>
      </c>
      <c r="R9" s="47">
        <f t="shared" si="24"/>
        <v>120.89376756206481</v>
      </c>
      <c r="S9" s="47">
        <f t="shared" si="24"/>
        <v>134.35245094530612</v>
      </c>
      <c r="T9" s="47">
        <f t="shared" si="24"/>
        <v>148.08030799621224</v>
      </c>
      <c r="U9" s="47">
        <f t="shared" si="24"/>
        <v>162.0827221881365</v>
      </c>
      <c r="V9" s="47">
        <f t="shared" si="24"/>
        <v>176.36518466389924</v>
      </c>
      <c r="W9" s="47">
        <f t="shared" si="24"/>
        <v>190.93329638917723</v>
      </c>
      <c r="X9" s="47">
        <f t="shared" si="24"/>
        <v>205.79277034896077</v>
      </c>
      <c r="Y9" s="47">
        <f t="shared" si="24"/>
        <v>220.94943378793999</v>
      </c>
      <c r="Z9" s="47">
        <f t="shared" si="24"/>
        <v>236.40923049569881</v>
      </c>
      <c r="AA9" s="47">
        <f t="shared" si="24"/>
        <v>252.1782231376128</v>
      </c>
      <c r="AB9" s="47">
        <f t="shared" si="24"/>
        <v>268.26259563236505</v>
      </c>
      <c r="AC9" s="47">
        <f t="shared" si="24"/>
        <v>284.66865557701237</v>
      </c>
      <c r="AD9" s="47">
        <f t="shared" si="24"/>
        <v>301.40283672055261</v>
      </c>
      <c r="AE9" s="47">
        <f t="shared" si="24"/>
        <v>318.4717014869637</v>
      </c>
      <c r="AF9" s="47">
        <f t="shared" si="24"/>
        <v>335.88194354870296</v>
      </c>
      <c r="AG9" s="47">
        <f t="shared" si="24"/>
        <v>353.64039045167704</v>
      </c>
      <c r="AH9" s="47">
        <f t="shared" si="24"/>
        <v>371.75400629271059</v>
      </c>
      <c r="AI9" s="47">
        <f t="shared" si="24"/>
        <v>371.75400629271059</v>
      </c>
      <c r="AJ9" s="47">
        <f t="shared" si="24"/>
        <v>371.75400629271059</v>
      </c>
      <c r="AK9" s="47">
        <f t="shared" si="24"/>
        <v>371.75400629271059</v>
      </c>
      <c r="AL9" s="47">
        <f t="shared" si="24"/>
        <v>371.75400629271059</v>
      </c>
      <c r="AM9" s="47">
        <f t="shared" si="24"/>
        <v>371.75400629271059</v>
      </c>
      <c r="AN9" s="47">
        <f t="shared" si="24"/>
        <v>371.75400629271059</v>
      </c>
      <c r="AO9" s="47">
        <f t="shared" si="24"/>
        <v>371.75400629271059</v>
      </c>
      <c r="AP9" s="47">
        <f t="shared" si="24"/>
        <v>371.75400629271059</v>
      </c>
      <c r="AQ9" s="47">
        <f t="shared" si="24"/>
        <v>371.75400629271059</v>
      </c>
      <c r="AR9" s="47">
        <f t="shared" si="24"/>
        <v>371.75400629271059</v>
      </c>
      <c r="AS9" s="47">
        <f t="shared" si="24"/>
        <v>371.75400629271059</v>
      </c>
      <c r="AT9" s="47">
        <f t="shared" si="24"/>
        <v>371.75400629271059</v>
      </c>
      <c r="AU9" s="47">
        <f t="shared" si="24"/>
        <v>371.75400629271059</v>
      </c>
      <c r="AV9" s="47">
        <f t="shared" si="24"/>
        <v>371.75400629271059</v>
      </c>
      <c r="AW9" s="47">
        <f t="shared" si="24"/>
        <v>371.75400629271059</v>
      </c>
      <c r="AX9" s="47">
        <f t="shared" si="24"/>
        <v>371.75400629271059</v>
      </c>
      <c r="AY9" s="47">
        <f t="shared" si="24"/>
        <v>371.75400629271059</v>
      </c>
      <c r="AZ9" s="47">
        <f t="shared" si="24"/>
        <v>371.75400629271059</v>
      </c>
      <c r="BA9" s="47">
        <f t="shared" si="24"/>
        <v>371.75400629271059</v>
      </c>
    </row>
    <row r="10" spans="1:54" x14ac:dyDescent="0.2">
      <c r="B10" s="10"/>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row>
    <row r="11" spans="1:54" x14ac:dyDescent="0.2">
      <c r="A11" s="121" t="s">
        <v>106</v>
      </c>
      <c r="B11" s="122"/>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row>
    <row r="12" spans="1:54" x14ac:dyDescent="0.2">
      <c r="A12" s="123" t="s">
        <v>89</v>
      </c>
      <c r="B12" s="124" t="str">
        <f>IF('Assumptions &amp; Results'!C107=1, "straight line","declining balance")</f>
        <v>straight line</v>
      </c>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row>
    <row r="13" spans="1:54" x14ac:dyDescent="0.2">
      <c r="A13" s="123" t="s">
        <v>138</v>
      </c>
      <c r="B13" s="125">
        <f>'Assumptions &amp; Results'!C105</f>
        <v>5</v>
      </c>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row>
    <row r="14" spans="1:54" x14ac:dyDescent="0.2">
      <c r="A14" s="123" t="s">
        <v>105</v>
      </c>
      <c r="B14" s="125">
        <f>'Assumptions &amp; Results'!C108</f>
        <v>0</v>
      </c>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row>
    <row r="15" spans="1:54" x14ac:dyDescent="0.2">
      <c r="A15" s="126" t="s">
        <v>139</v>
      </c>
      <c r="B15" s="127">
        <f>'Assumptions &amp; Results'!C106</f>
        <v>0</v>
      </c>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row>
    <row r="16" spans="1:54" x14ac:dyDescent="0.2">
      <c r="B16" s="71"/>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row>
    <row r="18" spans="2:54" s="116" customFormat="1" x14ac:dyDescent="0.2">
      <c r="B18" s="113" t="s">
        <v>131</v>
      </c>
      <c r="C18" s="114" t="s">
        <v>75</v>
      </c>
      <c r="D18" s="115">
        <f>D24+D30+D36+D42+D48+D54+D60+D66+D72+D78+D84+D90+D96+D102+D108+D114+D120+D126+D132+D138+D144+D150+D156+D162+D168+D174+D180+D186+D192+D198+D204+D210+D216+D222+D228+D234+D240+D246+D252+D258+D264+D270+D276+D282+D288+D294+D300+D306+D312+D318</f>
        <v>0</v>
      </c>
      <c r="E18" s="115">
        <f t="shared" ref="E18:BA18" si="25">E24+E30+E36+E42+E48+E54+E60+E66+E72+E78+E84+E90+E96+E102+E108+E114+E120+E126+E132+E138+E144+E150+E156+E162+E168+E174+E180+E186+E192+E198+E204+E210+E216+E222+E228+E234+E240+E246+E252+E258+E264+E270+E276+E282+E288+E294+E300+E306+E312+E318</f>
        <v>-50</v>
      </c>
      <c r="F18" s="115">
        <f t="shared" si="25"/>
        <v>-101</v>
      </c>
      <c r="G18" s="115">
        <f t="shared" si="25"/>
        <v>-153.02000000000001</v>
      </c>
      <c r="H18" s="115">
        <f t="shared" si="25"/>
        <v>-206.0804</v>
      </c>
      <c r="I18" s="115">
        <f t="shared" si="25"/>
        <v>-206.0804</v>
      </c>
      <c r="J18" s="115">
        <f t="shared" si="25"/>
        <v>-158.28856160640001</v>
      </c>
      <c r="K18" s="115">
        <f t="shared" si="25"/>
        <v>-109.54088644492799</v>
      </c>
      <c r="L18" s="115">
        <f t="shared" si="25"/>
        <v>-59.818257780226546</v>
      </c>
      <c r="M18" s="115">
        <f t="shared" si="25"/>
        <v>-9.1011765422310908</v>
      </c>
      <c r="N18" s="115">
        <f t="shared" si="25"/>
        <v>-11.491361679475713</v>
      </c>
      <c r="O18" s="115">
        <f t="shared" si="25"/>
        <v>-11.721188913065228</v>
      </c>
      <c r="P18" s="115">
        <f t="shared" si="25"/>
        <v>-11.955612691326532</v>
      </c>
      <c r="Q18" s="115">
        <f t="shared" si="25"/>
        <v>-12.194724945153064</v>
      </c>
      <c r="R18" s="115">
        <f t="shared" si="25"/>
        <v>-12.438619444056124</v>
      </c>
      <c r="S18" s="115">
        <f t="shared" si="25"/>
        <v>-12.687391832937248</v>
      </c>
      <c r="T18" s="115">
        <f t="shared" si="25"/>
        <v>-12.941139669595993</v>
      </c>
      <c r="U18" s="115">
        <f t="shared" si="25"/>
        <v>-13.199962462987912</v>
      </c>
      <c r="V18" s="115">
        <f t="shared" si="25"/>
        <v>-13.463961712247672</v>
      </c>
      <c r="W18" s="115">
        <f t="shared" si="25"/>
        <v>-13.733240946492625</v>
      </c>
      <c r="X18" s="115">
        <f t="shared" si="25"/>
        <v>-14.007905765422478</v>
      </c>
      <c r="Y18" s="115">
        <f t="shared" si="25"/>
        <v>-14.288063880730927</v>
      </c>
      <c r="Z18" s="115">
        <f t="shared" si="25"/>
        <v>-14.573825158345548</v>
      </c>
      <c r="AA18" s="115">
        <f t="shared" si="25"/>
        <v>-14.865301661512461</v>
      </c>
      <c r="AB18" s="115">
        <f t="shared" si="25"/>
        <v>-15.162607694742711</v>
      </c>
      <c r="AC18" s="115">
        <f t="shared" si="25"/>
        <v>-15.465859848637564</v>
      </c>
      <c r="AD18" s="115">
        <f t="shared" si="25"/>
        <v>-15.775177045610315</v>
      </c>
      <c r="AE18" s="115">
        <f t="shared" si="25"/>
        <v>-16.090680586522524</v>
      </c>
      <c r="AF18" s="115">
        <f t="shared" si="25"/>
        <v>-16.412494198252972</v>
      </c>
      <c r="AG18" s="115">
        <f t="shared" si="25"/>
        <v>-16.740744082218033</v>
      </c>
      <c r="AH18" s="115">
        <f t="shared" si="25"/>
        <v>-17.075558963862392</v>
      </c>
      <c r="AI18" s="115">
        <f t="shared" si="25"/>
        <v>-17.417070143139643</v>
      </c>
      <c r="AJ18" s="115">
        <f t="shared" si="25"/>
        <v>-14.070233914431592</v>
      </c>
      <c r="AK18" s="115">
        <f t="shared" si="25"/>
        <v>-10.65646096114938</v>
      </c>
      <c r="AL18" s="115">
        <f t="shared" si="25"/>
        <v>-7.1744125488015236</v>
      </c>
      <c r="AM18" s="115">
        <f t="shared" si="25"/>
        <v>-3.62272316820671</v>
      </c>
      <c r="AN18" s="115">
        <f t="shared" si="25"/>
        <v>0</v>
      </c>
      <c r="AO18" s="115">
        <f t="shared" si="25"/>
        <v>0</v>
      </c>
      <c r="AP18" s="115">
        <f t="shared" si="25"/>
        <v>0</v>
      </c>
      <c r="AQ18" s="115">
        <f t="shared" si="25"/>
        <v>0</v>
      </c>
      <c r="AR18" s="115">
        <f t="shared" si="25"/>
        <v>0</v>
      </c>
      <c r="AS18" s="115">
        <f t="shared" si="25"/>
        <v>0</v>
      </c>
      <c r="AT18" s="115">
        <f t="shared" si="25"/>
        <v>0</v>
      </c>
      <c r="AU18" s="115">
        <f t="shared" si="25"/>
        <v>0</v>
      </c>
      <c r="AV18" s="115">
        <f t="shared" si="25"/>
        <v>0</v>
      </c>
      <c r="AW18" s="115">
        <f t="shared" si="25"/>
        <v>0</v>
      </c>
      <c r="AX18" s="115">
        <f t="shared" si="25"/>
        <v>0</v>
      </c>
      <c r="AY18" s="115">
        <f t="shared" si="25"/>
        <v>0</v>
      </c>
      <c r="AZ18" s="115">
        <f t="shared" si="25"/>
        <v>0</v>
      </c>
      <c r="BA18" s="115">
        <f t="shared" si="25"/>
        <v>0</v>
      </c>
    </row>
    <row r="19" spans="2:54" x14ac:dyDescent="0.2">
      <c r="B19" s="10" t="s">
        <v>132</v>
      </c>
      <c r="C19" s="75" t="s">
        <v>75</v>
      </c>
      <c r="D19" s="47">
        <f>D18</f>
        <v>0</v>
      </c>
      <c r="E19" s="47">
        <f>D19+E18</f>
        <v>-50</v>
      </c>
      <c r="F19" s="47">
        <f t="shared" ref="F19:BA19" si="26">E19+F18</f>
        <v>-151</v>
      </c>
      <c r="G19" s="47">
        <f t="shared" si="26"/>
        <v>-304.02</v>
      </c>
      <c r="H19" s="47">
        <f t="shared" si="26"/>
        <v>-510.10039999999998</v>
      </c>
      <c r="I19" s="47">
        <f t="shared" si="26"/>
        <v>-716.18079999999998</v>
      </c>
      <c r="J19" s="47">
        <f t="shared" si="26"/>
        <v>-874.46936160639996</v>
      </c>
      <c r="K19" s="47">
        <f t="shared" si="26"/>
        <v>-984.01024805132795</v>
      </c>
      <c r="L19" s="47">
        <f t="shared" si="26"/>
        <v>-1043.8285058315546</v>
      </c>
      <c r="M19" s="47">
        <f t="shared" si="26"/>
        <v>-1052.9296823737857</v>
      </c>
      <c r="N19" s="47">
        <f t="shared" si="26"/>
        <v>-1064.4210440532613</v>
      </c>
      <c r="O19" s="47">
        <f t="shared" si="26"/>
        <v>-1076.1422329663264</v>
      </c>
      <c r="P19" s="47">
        <f t="shared" si="26"/>
        <v>-1088.0978456576529</v>
      </c>
      <c r="Q19" s="47">
        <f t="shared" si="26"/>
        <v>-1100.2925706028059</v>
      </c>
      <c r="R19" s="47">
        <f t="shared" si="26"/>
        <v>-1112.7311900468619</v>
      </c>
      <c r="S19" s="47">
        <f t="shared" si="26"/>
        <v>-1125.4185818797991</v>
      </c>
      <c r="T19" s="47">
        <f t="shared" si="26"/>
        <v>-1138.3597215493951</v>
      </c>
      <c r="U19" s="47">
        <f t="shared" si="26"/>
        <v>-1151.5596840123831</v>
      </c>
      <c r="V19" s="47">
        <f t="shared" si="26"/>
        <v>-1165.0236457246308</v>
      </c>
      <c r="W19" s="47">
        <f t="shared" si="26"/>
        <v>-1178.7568866711233</v>
      </c>
      <c r="X19" s="47">
        <f t="shared" si="26"/>
        <v>-1192.7647924365458</v>
      </c>
      <c r="Y19" s="47">
        <f t="shared" si="26"/>
        <v>-1207.0528563172768</v>
      </c>
      <c r="Z19" s="47">
        <f t="shared" si="26"/>
        <v>-1221.6266814756223</v>
      </c>
      <c r="AA19" s="47">
        <f t="shared" si="26"/>
        <v>-1236.4919831371346</v>
      </c>
      <c r="AB19" s="47">
        <f t="shared" si="26"/>
        <v>-1251.6545908318774</v>
      </c>
      <c r="AC19" s="47">
        <f t="shared" si="26"/>
        <v>-1267.120450680515</v>
      </c>
      <c r="AD19" s="47">
        <f t="shared" si="26"/>
        <v>-1282.8956277261252</v>
      </c>
      <c r="AE19" s="47">
        <f t="shared" si="26"/>
        <v>-1298.9863083126477</v>
      </c>
      <c r="AF19" s="47">
        <f t="shared" si="26"/>
        <v>-1315.3988025109006</v>
      </c>
      <c r="AG19" s="47">
        <f t="shared" si="26"/>
        <v>-1332.1395465931187</v>
      </c>
      <c r="AH19" s="47">
        <f t="shared" si="26"/>
        <v>-1349.2151055569811</v>
      </c>
      <c r="AI19" s="47">
        <f t="shared" si="26"/>
        <v>-1366.6321757001208</v>
      </c>
      <c r="AJ19" s="47">
        <f t="shared" si="26"/>
        <v>-1380.7024096145524</v>
      </c>
      <c r="AK19" s="47">
        <f t="shared" si="26"/>
        <v>-1391.3588705757018</v>
      </c>
      <c r="AL19" s="47">
        <f t="shared" si="26"/>
        <v>-1398.5332831245032</v>
      </c>
      <c r="AM19" s="47">
        <f t="shared" si="26"/>
        <v>-1402.1560062927099</v>
      </c>
      <c r="AN19" s="47">
        <f t="shared" si="26"/>
        <v>-1402.1560062927099</v>
      </c>
      <c r="AO19" s="47">
        <f t="shared" si="26"/>
        <v>-1402.1560062927099</v>
      </c>
      <c r="AP19" s="47">
        <f t="shared" si="26"/>
        <v>-1402.1560062927099</v>
      </c>
      <c r="AQ19" s="47">
        <f t="shared" si="26"/>
        <v>-1402.1560062927099</v>
      </c>
      <c r="AR19" s="47">
        <f t="shared" si="26"/>
        <v>-1402.1560062927099</v>
      </c>
      <c r="AS19" s="47">
        <f t="shared" si="26"/>
        <v>-1402.1560062927099</v>
      </c>
      <c r="AT19" s="47">
        <f t="shared" si="26"/>
        <v>-1402.1560062927099</v>
      </c>
      <c r="AU19" s="47">
        <f t="shared" si="26"/>
        <v>-1402.1560062927099</v>
      </c>
      <c r="AV19" s="47">
        <f t="shared" si="26"/>
        <v>-1402.1560062927099</v>
      </c>
      <c r="AW19" s="47">
        <f t="shared" si="26"/>
        <v>-1402.1560062927099</v>
      </c>
      <c r="AX19" s="47">
        <f t="shared" si="26"/>
        <v>-1402.1560062927099</v>
      </c>
      <c r="AY19" s="47">
        <f t="shared" si="26"/>
        <v>-1402.1560062927099</v>
      </c>
      <c r="AZ19" s="47">
        <f t="shared" si="26"/>
        <v>-1402.1560062927099</v>
      </c>
      <c r="BA19" s="47">
        <f t="shared" si="26"/>
        <v>-1402.1560062927099</v>
      </c>
    </row>
    <row r="20" spans="2:54" x14ac:dyDescent="0.2">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row>
    <row r="21" spans="2:54" x14ac:dyDescent="0.2">
      <c r="B21" s="215">
        <v>1</v>
      </c>
      <c r="C21" s="74"/>
      <c r="D21" s="48"/>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row>
    <row r="22" spans="2:54" x14ac:dyDescent="0.2">
      <c r="B22" s="45" t="s">
        <v>100</v>
      </c>
      <c r="C22" s="73" t="s">
        <v>75</v>
      </c>
      <c r="D22" s="49">
        <f>0</f>
        <v>0</v>
      </c>
      <c r="E22" s="47">
        <f>D25</f>
        <v>250</v>
      </c>
      <c r="F22" s="47">
        <f t="shared" ref="F22:BA22" si="27">E25</f>
        <v>200</v>
      </c>
      <c r="G22" s="47">
        <f t="shared" si="27"/>
        <v>150</v>
      </c>
      <c r="H22" s="47">
        <f t="shared" si="27"/>
        <v>100</v>
      </c>
      <c r="I22" s="47">
        <f t="shared" si="27"/>
        <v>50</v>
      </c>
      <c r="J22" s="47">
        <f t="shared" si="27"/>
        <v>0</v>
      </c>
      <c r="K22" s="47">
        <f t="shared" si="27"/>
        <v>0</v>
      </c>
      <c r="L22" s="47">
        <f t="shared" si="27"/>
        <v>0</v>
      </c>
      <c r="M22" s="47">
        <f t="shared" si="27"/>
        <v>0</v>
      </c>
      <c r="N22" s="47">
        <f t="shared" si="27"/>
        <v>0</v>
      </c>
      <c r="O22" s="47">
        <f t="shared" si="27"/>
        <v>0</v>
      </c>
      <c r="P22" s="47">
        <f t="shared" si="27"/>
        <v>0</v>
      </c>
      <c r="Q22" s="47">
        <f t="shared" si="27"/>
        <v>0</v>
      </c>
      <c r="R22" s="47">
        <f t="shared" si="27"/>
        <v>0</v>
      </c>
      <c r="S22" s="47">
        <f t="shared" si="27"/>
        <v>0</v>
      </c>
      <c r="T22" s="47">
        <f t="shared" si="27"/>
        <v>0</v>
      </c>
      <c r="U22" s="47">
        <f t="shared" si="27"/>
        <v>0</v>
      </c>
      <c r="V22" s="47">
        <f t="shared" si="27"/>
        <v>0</v>
      </c>
      <c r="W22" s="47">
        <f t="shared" si="27"/>
        <v>0</v>
      </c>
      <c r="X22" s="47">
        <f t="shared" si="27"/>
        <v>0</v>
      </c>
      <c r="Y22" s="47">
        <f t="shared" si="27"/>
        <v>0</v>
      </c>
      <c r="Z22" s="47">
        <f t="shared" si="27"/>
        <v>0</v>
      </c>
      <c r="AA22" s="47">
        <f t="shared" si="27"/>
        <v>0</v>
      </c>
      <c r="AB22" s="47">
        <f t="shared" si="27"/>
        <v>0</v>
      </c>
      <c r="AC22" s="47">
        <f t="shared" si="27"/>
        <v>0</v>
      </c>
      <c r="AD22" s="47">
        <f t="shared" si="27"/>
        <v>0</v>
      </c>
      <c r="AE22" s="47">
        <f t="shared" si="27"/>
        <v>0</v>
      </c>
      <c r="AF22" s="47">
        <f t="shared" si="27"/>
        <v>0</v>
      </c>
      <c r="AG22" s="47">
        <f t="shared" si="27"/>
        <v>0</v>
      </c>
      <c r="AH22" s="47">
        <f t="shared" si="27"/>
        <v>0</v>
      </c>
      <c r="AI22" s="47">
        <f t="shared" si="27"/>
        <v>0</v>
      </c>
      <c r="AJ22" s="47">
        <f t="shared" si="27"/>
        <v>0</v>
      </c>
      <c r="AK22" s="47">
        <f t="shared" si="27"/>
        <v>0</v>
      </c>
      <c r="AL22" s="47">
        <f t="shared" si="27"/>
        <v>0</v>
      </c>
      <c r="AM22" s="47">
        <f t="shared" si="27"/>
        <v>0</v>
      </c>
      <c r="AN22" s="47">
        <f t="shared" si="27"/>
        <v>0</v>
      </c>
      <c r="AO22" s="47">
        <f t="shared" si="27"/>
        <v>0</v>
      </c>
      <c r="AP22" s="47">
        <f t="shared" si="27"/>
        <v>0</v>
      </c>
      <c r="AQ22" s="47">
        <f t="shared" si="27"/>
        <v>0</v>
      </c>
      <c r="AR22" s="47">
        <f t="shared" si="27"/>
        <v>0</v>
      </c>
      <c r="AS22" s="47">
        <f t="shared" si="27"/>
        <v>0</v>
      </c>
      <c r="AT22" s="47">
        <f t="shared" si="27"/>
        <v>0</v>
      </c>
      <c r="AU22" s="47">
        <f t="shared" si="27"/>
        <v>0</v>
      </c>
      <c r="AV22" s="47">
        <f t="shared" si="27"/>
        <v>0</v>
      </c>
      <c r="AW22" s="47">
        <f t="shared" si="27"/>
        <v>0</v>
      </c>
      <c r="AX22" s="47">
        <f t="shared" si="27"/>
        <v>0</v>
      </c>
      <c r="AY22" s="47">
        <f t="shared" si="27"/>
        <v>0</v>
      </c>
      <c r="AZ22" s="47">
        <f t="shared" si="27"/>
        <v>0</v>
      </c>
      <c r="BA22" s="47">
        <f t="shared" si="27"/>
        <v>0</v>
      </c>
    </row>
    <row r="23" spans="2:54" x14ac:dyDescent="0.2">
      <c r="B23" s="45" t="s">
        <v>101</v>
      </c>
      <c r="C23" s="75" t="s">
        <v>75</v>
      </c>
      <c r="D23" s="49">
        <f>IF($B21=D$2,D$4,0)</f>
        <v>250</v>
      </c>
      <c r="E23" s="49">
        <f t="shared" ref="E23:BA23" si="28">IF($B21=E$2,E$4,0)</f>
        <v>0</v>
      </c>
      <c r="F23" s="49">
        <f t="shared" si="28"/>
        <v>0</v>
      </c>
      <c r="G23" s="49">
        <f t="shared" si="28"/>
        <v>0</v>
      </c>
      <c r="H23" s="49">
        <f t="shared" si="28"/>
        <v>0</v>
      </c>
      <c r="I23" s="49">
        <f t="shared" si="28"/>
        <v>0</v>
      </c>
      <c r="J23" s="49">
        <f t="shared" si="28"/>
        <v>0</v>
      </c>
      <c r="K23" s="49">
        <f t="shared" si="28"/>
        <v>0</v>
      </c>
      <c r="L23" s="49">
        <f t="shared" si="28"/>
        <v>0</v>
      </c>
      <c r="M23" s="49">
        <f t="shared" si="28"/>
        <v>0</v>
      </c>
      <c r="N23" s="49">
        <f t="shared" si="28"/>
        <v>0</v>
      </c>
      <c r="O23" s="49">
        <f t="shared" si="28"/>
        <v>0</v>
      </c>
      <c r="P23" s="49">
        <f t="shared" si="28"/>
        <v>0</v>
      </c>
      <c r="Q23" s="49">
        <f t="shared" si="28"/>
        <v>0</v>
      </c>
      <c r="R23" s="49">
        <f t="shared" si="28"/>
        <v>0</v>
      </c>
      <c r="S23" s="49">
        <f t="shared" si="28"/>
        <v>0</v>
      </c>
      <c r="T23" s="49">
        <f t="shared" si="28"/>
        <v>0</v>
      </c>
      <c r="U23" s="49">
        <f t="shared" si="28"/>
        <v>0</v>
      </c>
      <c r="V23" s="49">
        <f t="shared" si="28"/>
        <v>0</v>
      </c>
      <c r="W23" s="49">
        <f t="shared" si="28"/>
        <v>0</v>
      </c>
      <c r="X23" s="49">
        <f t="shared" si="28"/>
        <v>0</v>
      </c>
      <c r="Y23" s="49">
        <f t="shared" si="28"/>
        <v>0</v>
      </c>
      <c r="Z23" s="49">
        <f t="shared" si="28"/>
        <v>0</v>
      </c>
      <c r="AA23" s="49">
        <f t="shared" si="28"/>
        <v>0</v>
      </c>
      <c r="AB23" s="49">
        <f t="shared" si="28"/>
        <v>0</v>
      </c>
      <c r="AC23" s="49">
        <f t="shared" si="28"/>
        <v>0</v>
      </c>
      <c r="AD23" s="49">
        <f t="shared" si="28"/>
        <v>0</v>
      </c>
      <c r="AE23" s="49">
        <f t="shared" si="28"/>
        <v>0</v>
      </c>
      <c r="AF23" s="49">
        <f t="shared" si="28"/>
        <v>0</v>
      </c>
      <c r="AG23" s="49">
        <f t="shared" si="28"/>
        <v>0</v>
      </c>
      <c r="AH23" s="49">
        <f t="shared" si="28"/>
        <v>0</v>
      </c>
      <c r="AI23" s="49">
        <f t="shared" si="28"/>
        <v>0</v>
      </c>
      <c r="AJ23" s="49">
        <f t="shared" si="28"/>
        <v>0</v>
      </c>
      <c r="AK23" s="49">
        <f t="shared" si="28"/>
        <v>0</v>
      </c>
      <c r="AL23" s="49">
        <f t="shared" si="28"/>
        <v>0</v>
      </c>
      <c r="AM23" s="49">
        <f t="shared" si="28"/>
        <v>0</v>
      </c>
      <c r="AN23" s="49">
        <f t="shared" si="28"/>
        <v>0</v>
      </c>
      <c r="AO23" s="49">
        <f t="shared" si="28"/>
        <v>0</v>
      </c>
      <c r="AP23" s="49">
        <f t="shared" si="28"/>
        <v>0</v>
      </c>
      <c r="AQ23" s="49">
        <f t="shared" si="28"/>
        <v>0</v>
      </c>
      <c r="AR23" s="49">
        <f t="shared" si="28"/>
        <v>0</v>
      </c>
      <c r="AS23" s="49">
        <f t="shared" si="28"/>
        <v>0</v>
      </c>
      <c r="AT23" s="49">
        <f t="shared" si="28"/>
        <v>0</v>
      </c>
      <c r="AU23" s="49">
        <f t="shared" si="28"/>
        <v>0</v>
      </c>
      <c r="AV23" s="49">
        <f t="shared" si="28"/>
        <v>0</v>
      </c>
      <c r="AW23" s="49">
        <f t="shared" si="28"/>
        <v>0</v>
      </c>
      <c r="AX23" s="49">
        <f t="shared" si="28"/>
        <v>0</v>
      </c>
      <c r="AY23" s="49">
        <f t="shared" si="28"/>
        <v>0</v>
      </c>
      <c r="AZ23" s="49">
        <f t="shared" si="28"/>
        <v>0</v>
      </c>
      <c r="BA23" s="49">
        <f t="shared" si="28"/>
        <v>0</v>
      </c>
    </row>
    <row r="24" spans="2:54" x14ac:dyDescent="0.2">
      <c r="B24" t="s">
        <v>102</v>
      </c>
      <c r="C24" s="73" t="s">
        <v>75</v>
      </c>
      <c r="D24" s="47"/>
      <c r="E24" s="47">
        <f>IF(D25&lt;=$B$15*$D$23,0,-IF($B$12="straight line",SLN($D$23,+$B$15*$D$23,$B$13),VDB($D$23,$B$15*$D$23,$B$13,E$1-$E$1,F$1-$E$1,$B$14)))</f>
        <v>-50</v>
      </c>
      <c r="F24" s="47">
        <f t="shared" ref="F24:G24" si="29">IF(E25&lt;=$B$15*$D$23,0,-IF($B$12="straight line",SLN($D$23,+$B$15*$D$23,$B$13),VDB($D$23,$B$15*$D$23,$B$13,F$1-$E$1,G$1-$E$1,$B$14)))</f>
        <v>-50</v>
      </c>
      <c r="G24" s="47">
        <f t="shared" si="29"/>
        <v>-50</v>
      </c>
      <c r="H24" s="47">
        <f t="shared" ref="H24:BA24" si="30">IF(OR(G25&lt;=$B$15*$D$23,I$1-$E$1&gt;$B$13),0,-IF($B$12="straight line",SLN($D$23,+$B$15*$D$23,$B$13),VDB($D$23,$B$15*$D$23,$B$13,H$1-$E$1,I$1-$E$1,$B$14)))</f>
        <v>-50</v>
      </c>
      <c r="I24" s="47">
        <f t="shared" si="30"/>
        <v>-50</v>
      </c>
      <c r="J24" s="47">
        <f t="shared" si="30"/>
        <v>0</v>
      </c>
      <c r="K24" s="47">
        <f t="shared" si="30"/>
        <v>0</v>
      </c>
      <c r="L24" s="47">
        <f t="shared" si="30"/>
        <v>0</v>
      </c>
      <c r="M24" s="47">
        <f t="shared" si="30"/>
        <v>0</v>
      </c>
      <c r="N24" s="47">
        <f t="shared" si="30"/>
        <v>0</v>
      </c>
      <c r="O24" s="47">
        <f t="shared" si="30"/>
        <v>0</v>
      </c>
      <c r="P24" s="47">
        <f t="shared" si="30"/>
        <v>0</v>
      </c>
      <c r="Q24" s="47">
        <f t="shared" si="30"/>
        <v>0</v>
      </c>
      <c r="R24" s="47">
        <f t="shared" si="30"/>
        <v>0</v>
      </c>
      <c r="S24" s="47">
        <f t="shared" si="30"/>
        <v>0</v>
      </c>
      <c r="T24" s="47">
        <f t="shared" si="30"/>
        <v>0</v>
      </c>
      <c r="U24" s="47">
        <f t="shared" si="30"/>
        <v>0</v>
      </c>
      <c r="V24" s="47">
        <f t="shared" si="30"/>
        <v>0</v>
      </c>
      <c r="W24" s="47">
        <f t="shared" si="30"/>
        <v>0</v>
      </c>
      <c r="X24" s="47">
        <f t="shared" si="30"/>
        <v>0</v>
      </c>
      <c r="Y24" s="47">
        <f t="shared" si="30"/>
        <v>0</v>
      </c>
      <c r="Z24" s="47">
        <f t="shared" si="30"/>
        <v>0</v>
      </c>
      <c r="AA24" s="47">
        <f t="shared" si="30"/>
        <v>0</v>
      </c>
      <c r="AB24" s="47">
        <f t="shared" si="30"/>
        <v>0</v>
      </c>
      <c r="AC24" s="47">
        <f t="shared" si="30"/>
        <v>0</v>
      </c>
      <c r="AD24" s="47">
        <f t="shared" si="30"/>
        <v>0</v>
      </c>
      <c r="AE24" s="47">
        <f t="shared" si="30"/>
        <v>0</v>
      </c>
      <c r="AF24" s="47">
        <f t="shared" si="30"/>
        <v>0</v>
      </c>
      <c r="AG24" s="47">
        <f t="shared" si="30"/>
        <v>0</v>
      </c>
      <c r="AH24" s="47">
        <f t="shared" si="30"/>
        <v>0</v>
      </c>
      <c r="AI24" s="47">
        <f t="shared" si="30"/>
        <v>0</v>
      </c>
      <c r="AJ24" s="47">
        <f t="shared" si="30"/>
        <v>0</v>
      </c>
      <c r="AK24" s="47">
        <f t="shared" si="30"/>
        <v>0</v>
      </c>
      <c r="AL24" s="47">
        <f t="shared" si="30"/>
        <v>0</v>
      </c>
      <c r="AM24" s="47">
        <f t="shared" si="30"/>
        <v>0</v>
      </c>
      <c r="AN24" s="47">
        <f t="shared" si="30"/>
        <v>0</v>
      </c>
      <c r="AO24" s="47">
        <f t="shared" si="30"/>
        <v>0</v>
      </c>
      <c r="AP24" s="47">
        <f t="shared" si="30"/>
        <v>0</v>
      </c>
      <c r="AQ24" s="47">
        <f t="shared" si="30"/>
        <v>0</v>
      </c>
      <c r="AR24" s="47">
        <f t="shared" si="30"/>
        <v>0</v>
      </c>
      <c r="AS24" s="47">
        <f t="shared" si="30"/>
        <v>0</v>
      </c>
      <c r="AT24" s="47">
        <f t="shared" si="30"/>
        <v>0</v>
      </c>
      <c r="AU24" s="47">
        <f t="shared" si="30"/>
        <v>0</v>
      </c>
      <c r="AV24" s="47">
        <f t="shared" si="30"/>
        <v>0</v>
      </c>
      <c r="AW24" s="47">
        <f t="shared" si="30"/>
        <v>0</v>
      </c>
      <c r="AX24" s="47">
        <f t="shared" si="30"/>
        <v>0</v>
      </c>
      <c r="AY24" s="47">
        <f t="shared" si="30"/>
        <v>0</v>
      </c>
      <c r="AZ24" s="47">
        <f t="shared" si="30"/>
        <v>0</v>
      </c>
      <c r="BA24" s="47">
        <f t="shared" si="30"/>
        <v>0</v>
      </c>
    </row>
    <row r="25" spans="2:54" x14ac:dyDescent="0.2">
      <c r="B25" t="s">
        <v>103</v>
      </c>
      <c r="C25" s="73" t="s">
        <v>75</v>
      </c>
      <c r="D25" s="49">
        <f>SUM(D22:D24)</f>
        <v>250</v>
      </c>
      <c r="E25" s="49">
        <f t="shared" ref="E25:BA25" si="31">SUM(E22:E24)</f>
        <v>200</v>
      </c>
      <c r="F25" s="49">
        <f t="shared" si="31"/>
        <v>150</v>
      </c>
      <c r="G25" s="49">
        <f t="shared" si="31"/>
        <v>100</v>
      </c>
      <c r="H25" s="49">
        <f t="shared" si="31"/>
        <v>50</v>
      </c>
      <c r="I25" s="49">
        <f t="shared" si="31"/>
        <v>0</v>
      </c>
      <c r="J25" s="49">
        <f t="shared" si="31"/>
        <v>0</v>
      </c>
      <c r="K25" s="49">
        <f t="shared" si="31"/>
        <v>0</v>
      </c>
      <c r="L25" s="49">
        <f t="shared" si="31"/>
        <v>0</v>
      </c>
      <c r="M25" s="49">
        <f t="shared" si="31"/>
        <v>0</v>
      </c>
      <c r="N25" s="49">
        <f t="shared" si="31"/>
        <v>0</v>
      </c>
      <c r="O25" s="49">
        <f t="shared" si="31"/>
        <v>0</v>
      </c>
      <c r="P25" s="49">
        <f t="shared" si="31"/>
        <v>0</v>
      </c>
      <c r="Q25" s="49">
        <f t="shared" si="31"/>
        <v>0</v>
      </c>
      <c r="R25" s="49">
        <f t="shared" si="31"/>
        <v>0</v>
      </c>
      <c r="S25" s="49">
        <f t="shared" si="31"/>
        <v>0</v>
      </c>
      <c r="T25" s="49">
        <f t="shared" si="31"/>
        <v>0</v>
      </c>
      <c r="U25" s="49">
        <f t="shared" si="31"/>
        <v>0</v>
      </c>
      <c r="V25" s="49">
        <f t="shared" si="31"/>
        <v>0</v>
      </c>
      <c r="W25" s="49">
        <f t="shared" si="31"/>
        <v>0</v>
      </c>
      <c r="X25" s="49">
        <f t="shared" si="31"/>
        <v>0</v>
      </c>
      <c r="Y25" s="49">
        <f t="shared" si="31"/>
        <v>0</v>
      </c>
      <c r="Z25" s="49">
        <f t="shared" si="31"/>
        <v>0</v>
      </c>
      <c r="AA25" s="49">
        <f t="shared" si="31"/>
        <v>0</v>
      </c>
      <c r="AB25" s="49">
        <f t="shared" si="31"/>
        <v>0</v>
      </c>
      <c r="AC25" s="49">
        <f t="shared" si="31"/>
        <v>0</v>
      </c>
      <c r="AD25" s="49">
        <f t="shared" si="31"/>
        <v>0</v>
      </c>
      <c r="AE25" s="49">
        <f t="shared" si="31"/>
        <v>0</v>
      </c>
      <c r="AF25" s="49">
        <f t="shared" si="31"/>
        <v>0</v>
      </c>
      <c r="AG25" s="49">
        <f t="shared" si="31"/>
        <v>0</v>
      </c>
      <c r="AH25" s="49">
        <f t="shared" si="31"/>
        <v>0</v>
      </c>
      <c r="AI25" s="49">
        <f t="shared" si="31"/>
        <v>0</v>
      </c>
      <c r="AJ25" s="49">
        <f t="shared" si="31"/>
        <v>0</v>
      </c>
      <c r="AK25" s="49">
        <f t="shared" si="31"/>
        <v>0</v>
      </c>
      <c r="AL25" s="49">
        <f t="shared" si="31"/>
        <v>0</v>
      </c>
      <c r="AM25" s="49">
        <f t="shared" si="31"/>
        <v>0</v>
      </c>
      <c r="AN25" s="49">
        <f t="shared" si="31"/>
        <v>0</v>
      </c>
      <c r="AO25" s="49">
        <f t="shared" si="31"/>
        <v>0</v>
      </c>
      <c r="AP25" s="49">
        <f t="shared" si="31"/>
        <v>0</v>
      </c>
      <c r="AQ25" s="49">
        <f t="shared" si="31"/>
        <v>0</v>
      </c>
      <c r="AR25" s="49">
        <f t="shared" si="31"/>
        <v>0</v>
      </c>
      <c r="AS25" s="49">
        <f t="shared" si="31"/>
        <v>0</v>
      </c>
      <c r="AT25" s="49">
        <f t="shared" si="31"/>
        <v>0</v>
      </c>
      <c r="AU25" s="49">
        <f t="shared" si="31"/>
        <v>0</v>
      </c>
      <c r="AV25" s="49">
        <f t="shared" si="31"/>
        <v>0</v>
      </c>
      <c r="AW25" s="49">
        <f t="shared" si="31"/>
        <v>0</v>
      </c>
      <c r="AX25" s="49">
        <f t="shared" si="31"/>
        <v>0</v>
      </c>
      <c r="AY25" s="49">
        <f t="shared" si="31"/>
        <v>0</v>
      </c>
      <c r="AZ25" s="49">
        <f t="shared" si="31"/>
        <v>0</v>
      </c>
      <c r="BA25" s="49">
        <f t="shared" si="31"/>
        <v>0</v>
      </c>
    </row>
    <row r="26" spans="2:54" x14ac:dyDescent="0.2">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row>
    <row r="27" spans="2:54" x14ac:dyDescent="0.2">
      <c r="B27" s="215">
        <v>2</v>
      </c>
      <c r="C27" s="74"/>
      <c r="D27" s="48"/>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row>
    <row r="28" spans="2:54" x14ac:dyDescent="0.2">
      <c r="B28" s="45" t="s">
        <v>100</v>
      </c>
      <c r="C28" s="73" t="s">
        <v>75</v>
      </c>
      <c r="D28" s="49">
        <f>0</f>
        <v>0</v>
      </c>
      <c r="E28" s="47">
        <f>D31</f>
        <v>0</v>
      </c>
      <c r="F28" s="47">
        <f>E31</f>
        <v>255</v>
      </c>
      <c r="G28" s="47">
        <f t="shared" ref="G28:BA28" si="32">F31</f>
        <v>204</v>
      </c>
      <c r="H28" s="47">
        <f t="shared" si="32"/>
        <v>153</v>
      </c>
      <c r="I28" s="47">
        <f t="shared" si="32"/>
        <v>102</v>
      </c>
      <c r="J28" s="47">
        <f t="shared" si="32"/>
        <v>51</v>
      </c>
      <c r="K28" s="47">
        <f t="shared" si="32"/>
        <v>0</v>
      </c>
      <c r="L28" s="47">
        <f t="shared" si="32"/>
        <v>0</v>
      </c>
      <c r="M28" s="47">
        <f t="shared" si="32"/>
        <v>0</v>
      </c>
      <c r="N28" s="47">
        <f t="shared" si="32"/>
        <v>0</v>
      </c>
      <c r="O28" s="47">
        <f t="shared" si="32"/>
        <v>0</v>
      </c>
      <c r="P28" s="47">
        <f t="shared" si="32"/>
        <v>0</v>
      </c>
      <c r="Q28" s="47">
        <f t="shared" si="32"/>
        <v>0</v>
      </c>
      <c r="R28" s="47">
        <f t="shared" si="32"/>
        <v>0</v>
      </c>
      <c r="S28" s="47">
        <f t="shared" si="32"/>
        <v>0</v>
      </c>
      <c r="T28" s="47">
        <f t="shared" si="32"/>
        <v>0</v>
      </c>
      <c r="U28" s="47">
        <f t="shared" si="32"/>
        <v>0</v>
      </c>
      <c r="V28" s="47">
        <f t="shared" si="32"/>
        <v>0</v>
      </c>
      <c r="W28" s="47">
        <f t="shared" si="32"/>
        <v>0</v>
      </c>
      <c r="X28" s="47">
        <f t="shared" si="32"/>
        <v>0</v>
      </c>
      <c r="Y28" s="47">
        <f t="shared" si="32"/>
        <v>0</v>
      </c>
      <c r="Z28" s="47">
        <f t="shared" si="32"/>
        <v>0</v>
      </c>
      <c r="AA28" s="47">
        <f t="shared" si="32"/>
        <v>0</v>
      </c>
      <c r="AB28" s="47">
        <f t="shared" si="32"/>
        <v>0</v>
      </c>
      <c r="AC28" s="47">
        <f t="shared" si="32"/>
        <v>0</v>
      </c>
      <c r="AD28" s="47">
        <f t="shared" si="32"/>
        <v>0</v>
      </c>
      <c r="AE28" s="47">
        <f t="shared" si="32"/>
        <v>0</v>
      </c>
      <c r="AF28" s="47">
        <f t="shared" si="32"/>
        <v>0</v>
      </c>
      <c r="AG28" s="47">
        <f t="shared" si="32"/>
        <v>0</v>
      </c>
      <c r="AH28" s="47">
        <f t="shared" si="32"/>
        <v>0</v>
      </c>
      <c r="AI28" s="47">
        <f t="shared" si="32"/>
        <v>0</v>
      </c>
      <c r="AJ28" s="47">
        <f t="shared" si="32"/>
        <v>0</v>
      </c>
      <c r="AK28" s="47">
        <f t="shared" si="32"/>
        <v>0</v>
      </c>
      <c r="AL28" s="47">
        <f t="shared" si="32"/>
        <v>0</v>
      </c>
      <c r="AM28" s="47">
        <f t="shared" si="32"/>
        <v>0</v>
      </c>
      <c r="AN28" s="47">
        <f t="shared" si="32"/>
        <v>0</v>
      </c>
      <c r="AO28" s="47">
        <f t="shared" si="32"/>
        <v>0</v>
      </c>
      <c r="AP28" s="47">
        <f t="shared" si="32"/>
        <v>0</v>
      </c>
      <c r="AQ28" s="47">
        <f t="shared" si="32"/>
        <v>0</v>
      </c>
      <c r="AR28" s="47">
        <f t="shared" si="32"/>
        <v>0</v>
      </c>
      <c r="AS28" s="47">
        <f t="shared" si="32"/>
        <v>0</v>
      </c>
      <c r="AT28" s="47">
        <f t="shared" si="32"/>
        <v>0</v>
      </c>
      <c r="AU28" s="47">
        <f t="shared" si="32"/>
        <v>0</v>
      </c>
      <c r="AV28" s="47">
        <f t="shared" si="32"/>
        <v>0</v>
      </c>
      <c r="AW28" s="47">
        <f t="shared" si="32"/>
        <v>0</v>
      </c>
      <c r="AX28" s="47">
        <f t="shared" si="32"/>
        <v>0</v>
      </c>
      <c r="AY28" s="47">
        <f t="shared" si="32"/>
        <v>0</v>
      </c>
      <c r="AZ28" s="47">
        <f t="shared" si="32"/>
        <v>0</v>
      </c>
      <c r="BA28" s="47">
        <f t="shared" si="32"/>
        <v>0</v>
      </c>
    </row>
    <row r="29" spans="2:54" x14ac:dyDescent="0.2">
      <c r="B29" s="45" t="s">
        <v>101</v>
      </c>
      <c r="C29" s="75" t="s">
        <v>75</v>
      </c>
      <c r="D29" s="49">
        <f>IF($B27=D$2,D$4,0)</f>
        <v>0</v>
      </c>
      <c r="E29" s="49">
        <f t="shared" ref="E29:BA29" si="33">IF($B27=E$2,E$4,0)</f>
        <v>255</v>
      </c>
      <c r="F29" s="49">
        <f t="shared" si="33"/>
        <v>0</v>
      </c>
      <c r="G29" s="49">
        <f t="shared" si="33"/>
        <v>0</v>
      </c>
      <c r="H29" s="49">
        <f t="shared" si="33"/>
        <v>0</v>
      </c>
      <c r="I29" s="49">
        <f t="shared" si="33"/>
        <v>0</v>
      </c>
      <c r="J29" s="49">
        <f t="shared" si="33"/>
        <v>0</v>
      </c>
      <c r="K29" s="49">
        <f t="shared" si="33"/>
        <v>0</v>
      </c>
      <c r="L29" s="49">
        <f t="shared" si="33"/>
        <v>0</v>
      </c>
      <c r="M29" s="49">
        <f t="shared" si="33"/>
        <v>0</v>
      </c>
      <c r="N29" s="49">
        <f t="shared" si="33"/>
        <v>0</v>
      </c>
      <c r="O29" s="49">
        <f t="shared" si="33"/>
        <v>0</v>
      </c>
      <c r="P29" s="49">
        <f t="shared" si="33"/>
        <v>0</v>
      </c>
      <c r="Q29" s="49">
        <f t="shared" si="33"/>
        <v>0</v>
      </c>
      <c r="R29" s="49">
        <f t="shared" si="33"/>
        <v>0</v>
      </c>
      <c r="S29" s="49">
        <f t="shared" si="33"/>
        <v>0</v>
      </c>
      <c r="T29" s="49">
        <f t="shared" si="33"/>
        <v>0</v>
      </c>
      <c r="U29" s="49">
        <f t="shared" si="33"/>
        <v>0</v>
      </c>
      <c r="V29" s="49">
        <f t="shared" si="33"/>
        <v>0</v>
      </c>
      <c r="W29" s="49">
        <f t="shared" si="33"/>
        <v>0</v>
      </c>
      <c r="X29" s="49">
        <f t="shared" si="33"/>
        <v>0</v>
      </c>
      <c r="Y29" s="49">
        <f t="shared" si="33"/>
        <v>0</v>
      </c>
      <c r="Z29" s="49">
        <f t="shared" si="33"/>
        <v>0</v>
      </c>
      <c r="AA29" s="49">
        <f t="shared" si="33"/>
        <v>0</v>
      </c>
      <c r="AB29" s="49">
        <f t="shared" si="33"/>
        <v>0</v>
      </c>
      <c r="AC29" s="49">
        <f t="shared" si="33"/>
        <v>0</v>
      </c>
      <c r="AD29" s="49">
        <f t="shared" si="33"/>
        <v>0</v>
      </c>
      <c r="AE29" s="49">
        <f t="shared" si="33"/>
        <v>0</v>
      </c>
      <c r="AF29" s="49">
        <f t="shared" si="33"/>
        <v>0</v>
      </c>
      <c r="AG29" s="49">
        <f t="shared" si="33"/>
        <v>0</v>
      </c>
      <c r="AH29" s="49">
        <f t="shared" si="33"/>
        <v>0</v>
      </c>
      <c r="AI29" s="49">
        <f t="shared" si="33"/>
        <v>0</v>
      </c>
      <c r="AJ29" s="49">
        <f t="shared" si="33"/>
        <v>0</v>
      </c>
      <c r="AK29" s="49">
        <f t="shared" si="33"/>
        <v>0</v>
      </c>
      <c r="AL29" s="49">
        <f t="shared" si="33"/>
        <v>0</v>
      </c>
      <c r="AM29" s="49">
        <f t="shared" si="33"/>
        <v>0</v>
      </c>
      <c r="AN29" s="49">
        <f t="shared" si="33"/>
        <v>0</v>
      </c>
      <c r="AO29" s="49">
        <f t="shared" si="33"/>
        <v>0</v>
      </c>
      <c r="AP29" s="49">
        <f t="shared" si="33"/>
        <v>0</v>
      </c>
      <c r="AQ29" s="49">
        <f t="shared" si="33"/>
        <v>0</v>
      </c>
      <c r="AR29" s="49">
        <f t="shared" si="33"/>
        <v>0</v>
      </c>
      <c r="AS29" s="49">
        <f t="shared" si="33"/>
        <v>0</v>
      </c>
      <c r="AT29" s="49">
        <f t="shared" si="33"/>
        <v>0</v>
      </c>
      <c r="AU29" s="49">
        <f t="shared" si="33"/>
        <v>0</v>
      </c>
      <c r="AV29" s="49">
        <f t="shared" si="33"/>
        <v>0</v>
      </c>
      <c r="AW29" s="49">
        <f t="shared" si="33"/>
        <v>0</v>
      </c>
      <c r="AX29" s="49">
        <f t="shared" si="33"/>
        <v>0</v>
      </c>
      <c r="AY29" s="49">
        <f t="shared" si="33"/>
        <v>0</v>
      </c>
      <c r="AZ29" s="49">
        <f t="shared" si="33"/>
        <v>0</v>
      </c>
      <c r="BA29" s="49">
        <f t="shared" si="33"/>
        <v>0</v>
      </c>
    </row>
    <row r="30" spans="2:54" x14ac:dyDescent="0.2">
      <c r="B30" s="76" t="s">
        <v>102</v>
      </c>
      <c r="C30" s="73" t="s">
        <v>75</v>
      </c>
      <c r="D30" s="47"/>
      <c r="E30" s="47">
        <f>IF(OR(D31&lt;=$B$15*$E$29,F$1-$F$1&gt;$B$13),0,-IF($B$12="straight line",SLN($E$29,+$B$15*$E$29,$B$13),VDB($E$29,$B$15*$E$29,$B$13,E$1-$F$1,F$1-$F$1,$B$14)))</f>
        <v>0</v>
      </c>
      <c r="F30" s="47">
        <f t="shared" ref="F30:BA30" si="34">IF(OR(E31&lt;=$B$15*$E$29,G$1-$F$1&gt;$B$13),0,-IF($B$12="straight line",SLN($E$29,+$B$15*$E$29,$B$13),VDB($E$29,$B$15*$E$29,$B$13,F$1-$F$1,G$1-$F$1,$B$14)))</f>
        <v>-51</v>
      </c>
      <c r="G30" s="47">
        <f t="shared" si="34"/>
        <v>-51</v>
      </c>
      <c r="H30" s="47">
        <f t="shared" si="34"/>
        <v>-51</v>
      </c>
      <c r="I30" s="47">
        <f t="shared" si="34"/>
        <v>-51</v>
      </c>
      <c r="J30" s="47">
        <f t="shared" si="34"/>
        <v>-51</v>
      </c>
      <c r="K30" s="47">
        <f t="shared" si="34"/>
        <v>0</v>
      </c>
      <c r="L30" s="47">
        <f t="shared" si="34"/>
        <v>0</v>
      </c>
      <c r="M30" s="47">
        <f t="shared" si="34"/>
        <v>0</v>
      </c>
      <c r="N30" s="47">
        <f t="shared" si="34"/>
        <v>0</v>
      </c>
      <c r="O30" s="47">
        <f t="shared" si="34"/>
        <v>0</v>
      </c>
      <c r="P30" s="47">
        <f t="shared" si="34"/>
        <v>0</v>
      </c>
      <c r="Q30" s="47">
        <f t="shared" si="34"/>
        <v>0</v>
      </c>
      <c r="R30" s="47">
        <f t="shared" si="34"/>
        <v>0</v>
      </c>
      <c r="S30" s="47">
        <f t="shared" si="34"/>
        <v>0</v>
      </c>
      <c r="T30" s="47">
        <f t="shared" si="34"/>
        <v>0</v>
      </c>
      <c r="U30" s="47">
        <f t="shared" si="34"/>
        <v>0</v>
      </c>
      <c r="V30" s="47">
        <f t="shared" si="34"/>
        <v>0</v>
      </c>
      <c r="W30" s="47">
        <f t="shared" si="34"/>
        <v>0</v>
      </c>
      <c r="X30" s="47">
        <f t="shared" si="34"/>
        <v>0</v>
      </c>
      <c r="Y30" s="47">
        <f t="shared" si="34"/>
        <v>0</v>
      </c>
      <c r="Z30" s="47">
        <f t="shared" si="34"/>
        <v>0</v>
      </c>
      <c r="AA30" s="47">
        <f t="shared" si="34"/>
        <v>0</v>
      </c>
      <c r="AB30" s="47">
        <f t="shared" si="34"/>
        <v>0</v>
      </c>
      <c r="AC30" s="47">
        <f t="shared" si="34"/>
        <v>0</v>
      </c>
      <c r="AD30" s="47">
        <f t="shared" si="34"/>
        <v>0</v>
      </c>
      <c r="AE30" s="47">
        <f t="shared" si="34"/>
        <v>0</v>
      </c>
      <c r="AF30" s="47">
        <f t="shared" si="34"/>
        <v>0</v>
      </c>
      <c r="AG30" s="47">
        <f t="shared" si="34"/>
        <v>0</v>
      </c>
      <c r="AH30" s="47">
        <f t="shared" si="34"/>
        <v>0</v>
      </c>
      <c r="AI30" s="47">
        <f t="shared" si="34"/>
        <v>0</v>
      </c>
      <c r="AJ30" s="47">
        <f t="shared" si="34"/>
        <v>0</v>
      </c>
      <c r="AK30" s="47">
        <f t="shared" si="34"/>
        <v>0</v>
      </c>
      <c r="AL30" s="47">
        <f t="shared" si="34"/>
        <v>0</v>
      </c>
      <c r="AM30" s="47">
        <f t="shared" si="34"/>
        <v>0</v>
      </c>
      <c r="AN30" s="47">
        <f t="shared" si="34"/>
        <v>0</v>
      </c>
      <c r="AO30" s="47">
        <f t="shared" si="34"/>
        <v>0</v>
      </c>
      <c r="AP30" s="47">
        <f t="shared" si="34"/>
        <v>0</v>
      </c>
      <c r="AQ30" s="47">
        <f t="shared" si="34"/>
        <v>0</v>
      </c>
      <c r="AR30" s="47">
        <f t="shared" si="34"/>
        <v>0</v>
      </c>
      <c r="AS30" s="47">
        <f t="shared" si="34"/>
        <v>0</v>
      </c>
      <c r="AT30" s="47">
        <f t="shared" si="34"/>
        <v>0</v>
      </c>
      <c r="AU30" s="47">
        <f t="shared" si="34"/>
        <v>0</v>
      </c>
      <c r="AV30" s="47">
        <f t="shared" si="34"/>
        <v>0</v>
      </c>
      <c r="AW30" s="47">
        <f t="shared" si="34"/>
        <v>0</v>
      </c>
      <c r="AX30" s="47">
        <f t="shared" si="34"/>
        <v>0</v>
      </c>
      <c r="AY30" s="47">
        <f t="shared" si="34"/>
        <v>0</v>
      </c>
      <c r="AZ30" s="47">
        <f t="shared" si="34"/>
        <v>0</v>
      </c>
      <c r="BA30" s="47">
        <f t="shared" si="34"/>
        <v>0</v>
      </c>
      <c r="BB30" s="47"/>
    </row>
    <row r="31" spans="2:54" x14ac:dyDescent="0.2">
      <c r="B31" t="s">
        <v>103</v>
      </c>
      <c r="C31" s="73" t="s">
        <v>75</v>
      </c>
      <c r="D31" s="49">
        <f>SUM(D28:D30)</f>
        <v>0</v>
      </c>
      <c r="E31" s="49">
        <f t="shared" ref="E31:BA31" si="35">SUM(E28:E30)</f>
        <v>255</v>
      </c>
      <c r="F31" s="49">
        <f t="shared" si="35"/>
        <v>204</v>
      </c>
      <c r="G31" s="49">
        <f t="shared" si="35"/>
        <v>153</v>
      </c>
      <c r="H31" s="49">
        <f t="shared" si="35"/>
        <v>102</v>
      </c>
      <c r="I31" s="49">
        <f t="shared" si="35"/>
        <v>51</v>
      </c>
      <c r="J31" s="49">
        <f t="shared" si="35"/>
        <v>0</v>
      </c>
      <c r="K31" s="49">
        <f t="shared" si="35"/>
        <v>0</v>
      </c>
      <c r="L31" s="49">
        <f t="shared" si="35"/>
        <v>0</v>
      </c>
      <c r="M31" s="49">
        <f t="shared" si="35"/>
        <v>0</v>
      </c>
      <c r="N31" s="49">
        <f t="shared" si="35"/>
        <v>0</v>
      </c>
      <c r="O31" s="49">
        <f t="shared" si="35"/>
        <v>0</v>
      </c>
      <c r="P31" s="49">
        <f t="shared" si="35"/>
        <v>0</v>
      </c>
      <c r="Q31" s="49">
        <f t="shared" si="35"/>
        <v>0</v>
      </c>
      <c r="R31" s="49">
        <f t="shared" si="35"/>
        <v>0</v>
      </c>
      <c r="S31" s="49">
        <f t="shared" si="35"/>
        <v>0</v>
      </c>
      <c r="T31" s="49">
        <f t="shared" si="35"/>
        <v>0</v>
      </c>
      <c r="U31" s="49">
        <f t="shared" si="35"/>
        <v>0</v>
      </c>
      <c r="V31" s="49">
        <f t="shared" si="35"/>
        <v>0</v>
      </c>
      <c r="W31" s="49">
        <f t="shared" si="35"/>
        <v>0</v>
      </c>
      <c r="X31" s="49">
        <f t="shared" si="35"/>
        <v>0</v>
      </c>
      <c r="Y31" s="49">
        <f t="shared" si="35"/>
        <v>0</v>
      </c>
      <c r="Z31" s="49">
        <f t="shared" si="35"/>
        <v>0</v>
      </c>
      <c r="AA31" s="49">
        <f t="shared" si="35"/>
        <v>0</v>
      </c>
      <c r="AB31" s="49">
        <f t="shared" si="35"/>
        <v>0</v>
      </c>
      <c r="AC31" s="49">
        <f t="shared" si="35"/>
        <v>0</v>
      </c>
      <c r="AD31" s="49">
        <f t="shared" si="35"/>
        <v>0</v>
      </c>
      <c r="AE31" s="49">
        <f t="shared" si="35"/>
        <v>0</v>
      </c>
      <c r="AF31" s="49">
        <f t="shared" si="35"/>
        <v>0</v>
      </c>
      <c r="AG31" s="49">
        <f t="shared" si="35"/>
        <v>0</v>
      </c>
      <c r="AH31" s="49">
        <f t="shared" si="35"/>
        <v>0</v>
      </c>
      <c r="AI31" s="49">
        <f t="shared" si="35"/>
        <v>0</v>
      </c>
      <c r="AJ31" s="49">
        <f t="shared" si="35"/>
        <v>0</v>
      </c>
      <c r="AK31" s="49">
        <f t="shared" si="35"/>
        <v>0</v>
      </c>
      <c r="AL31" s="49">
        <f t="shared" si="35"/>
        <v>0</v>
      </c>
      <c r="AM31" s="49">
        <f t="shared" si="35"/>
        <v>0</v>
      </c>
      <c r="AN31" s="49">
        <f t="shared" si="35"/>
        <v>0</v>
      </c>
      <c r="AO31" s="49">
        <f t="shared" si="35"/>
        <v>0</v>
      </c>
      <c r="AP31" s="49">
        <f t="shared" si="35"/>
        <v>0</v>
      </c>
      <c r="AQ31" s="49">
        <f t="shared" si="35"/>
        <v>0</v>
      </c>
      <c r="AR31" s="49">
        <f t="shared" si="35"/>
        <v>0</v>
      </c>
      <c r="AS31" s="49">
        <f t="shared" si="35"/>
        <v>0</v>
      </c>
      <c r="AT31" s="49">
        <f t="shared" si="35"/>
        <v>0</v>
      </c>
      <c r="AU31" s="49">
        <f t="shared" si="35"/>
        <v>0</v>
      </c>
      <c r="AV31" s="49">
        <f t="shared" si="35"/>
        <v>0</v>
      </c>
      <c r="AW31" s="49">
        <f t="shared" si="35"/>
        <v>0</v>
      </c>
      <c r="AX31" s="49">
        <f t="shared" si="35"/>
        <v>0</v>
      </c>
      <c r="AY31" s="49">
        <f t="shared" si="35"/>
        <v>0</v>
      </c>
      <c r="AZ31" s="49">
        <f t="shared" si="35"/>
        <v>0</v>
      </c>
      <c r="BA31" s="49">
        <f t="shared" si="35"/>
        <v>0</v>
      </c>
    </row>
    <row r="32" spans="2:54" x14ac:dyDescent="0.2">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row>
    <row r="33" spans="2:53" x14ac:dyDescent="0.2">
      <c r="B33" s="215">
        <v>3</v>
      </c>
      <c r="C33" s="74"/>
      <c r="D33" s="48"/>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row>
    <row r="34" spans="2:53" x14ac:dyDescent="0.2">
      <c r="B34" s="45" t="s">
        <v>100</v>
      </c>
      <c r="C34" s="73" t="s">
        <v>75</v>
      </c>
      <c r="D34" s="49">
        <f>0</f>
        <v>0</v>
      </c>
      <c r="E34" s="47">
        <f>D37</f>
        <v>0</v>
      </c>
      <c r="F34" s="47">
        <f>E37</f>
        <v>0</v>
      </c>
      <c r="G34" s="47">
        <f t="shared" ref="G34:BA34" si="36">F37</f>
        <v>260.10000000000002</v>
      </c>
      <c r="H34" s="47">
        <f t="shared" si="36"/>
        <v>208.08</v>
      </c>
      <c r="I34" s="47">
        <f t="shared" si="36"/>
        <v>156.06</v>
      </c>
      <c r="J34" s="47">
        <f t="shared" si="36"/>
        <v>104.03999999999999</v>
      </c>
      <c r="K34" s="47">
        <f t="shared" si="36"/>
        <v>52.019999999999989</v>
      </c>
      <c r="L34" s="47">
        <f t="shared" si="36"/>
        <v>0</v>
      </c>
      <c r="M34" s="47">
        <f t="shared" si="36"/>
        <v>0</v>
      </c>
      <c r="N34" s="47">
        <f t="shared" si="36"/>
        <v>0</v>
      </c>
      <c r="O34" s="47">
        <f t="shared" si="36"/>
        <v>0</v>
      </c>
      <c r="P34" s="47">
        <f t="shared" si="36"/>
        <v>0</v>
      </c>
      <c r="Q34" s="47">
        <f t="shared" si="36"/>
        <v>0</v>
      </c>
      <c r="R34" s="47">
        <f t="shared" si="36"/>
        <v>0</v>
      </c>
      <c r="S34" s="47">
        <f t="shared" si="36"/>
        <v>0</v>
      </c>
      <c r="T34" s="47">
        <f t="shared" si="36"/>
        <v>0</v>
      </c>
      <c r="U34" s="47">
        <f t="shared" si="36"/>
        <v>0</v>
      </c>
      <c r="V34" s="47">
        <f t="shared" si="36"/>
        <v>0</v>
      </c>
      <c r="W34" s="47">
        <f t="shared" si="36"/>
        <v>0</v>
      </c>
      <c r="X34" s="47">
        <f t="shared" si="36"/>
        <v>0</v>
      </c>
      <c r="Y34" s="47">
        <f t="shared" si="36"/>
        <v>0</v>
      </c>
      <c r="Z34" s="47">
        <f t="shared" si="36"/>
        <v>0</v>
      </c>
      <c r="AA34" s="47">
        <f t="shared" si="36"/>
        <v>0</v>
      </c>
      <c r="AB34" s="47">
        <f t="shared" si="36"/>
        <v>0</v>
      </c>
      <c r="AC34" s="47">
        <f t="shared" si="36"/>
        <v>0</v>
      </c>
      <c r="AD34" s="47">
        <f t="shared" si="36"/>
        <v>0</v>
      </c>
      <c r="AE34" s="47">
        <f t="shared" si="36"/>
        <v>0</v>
      </c>
      <c r="AF34" s="47">
        <f t="shared" si="36"/>
        <v>0</v>
      </c>
      <c r="AG34" s="47">
        <f t="shared" si="36"/>
        <v>0</v>
      </c>
      <c r="AH34" s="47">
        <f t="shared" si="36"/>
        <v>0</v>
      </c>
      <c r="AI34" s="47">
        <f t="shared" si="36"/>
        <v>0</v>
      </c>
      <c r="AJ34" s="47">
        <f t="shared" si="36"/>
        <v>0</v>
      </c>
      <c r="AK34" s="47">
        <f t="shared" si="36"/>
        <v>0</v>
      </c>
      <c r="AL34" s="47">
        <f t="shared" si="36"/>
        <v>0</v>
      </c>
      <c r="AM34" s="47">
        <f t="shared" si="36"/>
        <v>0</v>
      </c>
      <c r="AN34" s="47">
        <f t="shared" si="36"/>
        <v>0</v>
      </c>
      <c r="AO34" s="47">
        <f t="shared" si="36"/>
        <v>0</v>
      </c>
      <c r="AP34" s="47">
        <f t="shared" si="36"/>
        <v>0</v>
      </c>
      <c r="AQ34" s="47">
        <f t="shared" si="36"/>
        <v>0</v>
      </c>
      <c r="AR34" s="47">
        <f t="shared" si="36"/>
        <v>0</v>
      </c>
      <c r="AS34" s="47">
        <f t="shared" si="36"/>
        <v>0</v>
      </c>
      <c r="AT34" s="47">
        <f t="shared" si="36"/>
        <v>0</v>
      </c>
      <c r="AU34" s="47">
        <f t="shared" si="36"/>
        <v>0</v>
      </c>
      <c r="AV34" s="47">
        <f t="shared" si="36"/>
        <v>0</v>
      </c>
      <c r="AW34" s="47">
        <f t="shared" si="36"/>
        <v>0</v>
      </c>
      <c r="AX34" s="47">
        <f t="shared" si="36"/>
        <v>0</v>
      </c>
      <c r="AY34" s="47">
        <f t="shared" si="36"/>
        <v>0</v>
      </c>
      <c r="AZ34" s="47">
        <f t="shared" si="36"/>
        <v>0</v>
      </c>
      <c r="BA34" s="47">
        <f t="shared" si="36"/>
        <v>0</v>
      </c>
    </row>
    <row r="35" spans="2:53" x14ac:dyDescent="0.2">
      <c r="B35" s="45" t="s">
        <v>101</v>
      </c>
      <c r="C35" s="75" t="s">
        <v>75</v>
      </c>
      <c r="D35" s="49">
        <f>IF($B33=D$2,D$4,0)</f>
        <v>0</v>
      </c>
      <c r="E35" s="49">
        <f t="shared" ref="E35:BA35" si="37">IF($B33=E$2,E$4,0)</f>
        <v>0</v>
      </c>
      <c r="F35" s="49">
        <f t="shared" si="37"/>
        <v>260.10000000000002</v>
      </c>
      <c r="G35" s="49">
        <f t="shared" si="37"/>
        <v>0</v>
      </c>
      <c r="H35" s="49">
        <f t="shared" si="37"/>
        <v>0</v>
      </c>
      <c r="I35" s="49">
        <f t="shared" si="37"/>
        <v>0</v>
      </c>
      <c r="J35" s="49">
        <f t="shared" si="37"/>
        <v>0</v>
      </c>
      <c r="K35" s="49">
        <f t="shared" si="37"/>
        <v>0</v>
      </c>
      <c r="L35" s="49">
        <f t="shared" si="37"/>
        <v>0</v>
      </c>
      <c r="M35" s="49">
        <f t="shared" si="37"/>
        <v>0</v>
      </c>
      <c r="N35" s="49">
        <f t="shared" si="37"/>
        <v>0</v>
      </c>
      <c r="O35" s="49">
        <f t="shared" si="37"/>
        <v>0</v>
      </c>
      <c r="P35" s="49">
        <f t="shared" si="37"/>
        <v>0</v>
      </c>
      <c r="Q35" s="49">
        <f t="shared" si="37"/>
        <v>0</v>
      </c>
      <c r="R35" s="49">
        <f t="shared" si="37"/>
        <v>0</v>
      </c>
      <c r="S35" s="49">
        <f t="shared" si="37"/>
        <v>0</v>
      </c>
      <c r="T35" s="49">
        <f t="shared" si="37"/>
        <v>0</v>
      </c>
      <c r="U35" s="49">
        <f t="shared" si="37"/>
        <v>0</v>
      </c>
      <c r="V35" s="49">
        <f t="shared" si="37"/>
        <v>0</v>
      </c>
      <c r="W35" s="49">
        <f t="shared" si="37"/>
        <v>0</v>
      </c>
      <c r="X35" s="49">
        <f t="shared" si="37"/>
        <v>0</v>
      </c>
      <c r="Y35" s="49">
        <f t="shared" si="37"/>
        <v>0</v>
      </c>
      <c r="Z35" s="49">
        <f t="shared" si="37"/>
        <v>0</v>
      </c>
      <c r="AA35" s="49">
        <f t="shared" si="37"/>
        <v>0</v>
      </c>
      <c r="AB35" s="49">
        <f t="shared" si="37"/>
        <v>0</v>
      </c>
      <c r="AC35" s="49">
        <f t="shared" si="37"/>
        <v>0</v>
      </c>
      <c r="AD35" s="49">
        <f t="shared" si="37"/>
        <v>0</v>
      </c>
      <c r="AE35" s="49">
        <f t="shared" si="37"/>
        <v>0</v>
      </c>
      <c r="AF35" s="49">
        <f t="shared" si="37"/>
        <v>0</v>
      </c>
      <c r="AG35" s="49">
        <f t="shared" si="37"/>
        <v>0</v>
      </c>
      <c r="AH35" s="49">
        <f t="shared" si="37"/>
        <v>0</v>
      </c>
      <c r="AI35" s="49">
        <f t="shared" si="37"/>
        <v>0</v>
      </c>
      <c r="AJ35" s="49">
        <f t="shared" si="37"/>
        <v>0</v>
      </c>
      <c r="AK35" s="49">
        <f t="shared" si="37"/>
        <v>0</v>
      </c>
      <c r="AL35" s="49">
        <f t="shared" si="37"/>
        <v>0</v>
      </c>
      <c r="AM35" s="49">
        <f t="shared" si="37"/>
        <v>0</v>
      </c>
      <c r="AN35" s="49">
        <f t="shared" si="37"/>
        <v>0</v>
      </c>
      <c r="AO35" s="49">
        <f t="shared" si="37"/>
        <v>0</v>
      </c>
      <c r="AP35" s="49">
        <f t="shared" si="37"/>
        <v>0</v>
      </c>
      <c r="AQ35" s="49">
        <f t="shared" si="37"/>
        <v>0</v>
      </c>
      <c r="AR35" s="49">
        <f t="shared" si="37"/>
        <v>0</v>
      </c>
      <c r="AS35" s="49">
        <f t="shared" si="37"/>
        <v>0</v>
      </c>
      <c r="AT35" s="49">
        <f t="shared" si="37"/>
        <v>0</v>
      </c>
      <c r="AU35" s="49">
        <f t="shared" si="37"/>
        <v>0</v>
      </c>
      <c r="AV35" s="49">
        <f t="shared" si="37"/>
        <v>0</v>
      </c>
      <c r="AW35" s="49">
        <f t="shared" si="37"/>
        <v>0</v>
      </c>
      <c r="AX35" s="49">
        <f t="shared" si="37"/>
        <v>0</v>
      </c>
      <c r="AY35" s="49">
        <f t="shared" si="37"/>
        <v>0</v>
      </c>
      <c r="AZ35" s="49">
        <f t="shared" si="37"/>
        <v>0</v>
      </c>
      <c r="BA35" s="49">
        <f t="shared" si="37"/>
        <v>0</v>
      </c>
    </row>
    <row r="36" spans="2:53" x14ac:dyDescent="0.2">
      <c r="B36" t="s">
        <v>102</v>
      </c>
      <c r="C36" s="73" t="s">
        <v>75</v>
      </c>
      <c r="D36" s="47"/>
      <c r="E36" s="47">
        <f>IF(OR(D37&lt;=$B$15*$F$35,F$1-$G$1&gt;$B$13),0,-IF($B$12="straight line",SLN($F$35,+$B$15*$F$35,$B$13),VDB($F$35,$B$15*$F$35,$B$13,E$1-$G$1,F$1-$G$1,$B$14)))</f>
        <v>0</v>
      </c>
      <c r="F36" s="47">
        <f t="shared" ref="F36:BA36" si="38">IF(OR(E37&lt;=$B$15*$F$35,G$1-$G$1&gt;$B$13),0,-IF($B$12="straight line",SLN($F$35,+$B$15*$F$35,$B$13),VDB($F$35,$B$15*$F$35,$B$13,F$1-$G$1,G$1-$G$1,$B$14)))</f>
        <v>0</v>
      </c>
      <c r="G36" s="47">
        <f t="shared" si="38"/>
        <v>-52.02</v>
      </c>
      <c r="H36" s="47">
        <f t="shared" si="38"/>
        <v>-52.02</v>
      </c>
      <c r="I36" s="47">
        <f t="shared" si="38"/>
        <v>-52.02</v>
      </c>
      <c r="J36" s="47">
        <f t="shared" si="38"/>
        <v>-52.02</v>
      </c>
      <c r="K36" s="47">
        <f t="shared" si="38"/>
        <v>-52.02</v>
      </c>
      <c r="L36" s="47">
        <f t="shared" si="38"/>
        <v>0</v>
      </c>
      <c r="M36" s="47">
        <f t="shared" si="38"/>
        <v>0</v>
      </c>
      <c r="N36" s="47">
        <f t="shared" si="38"/>
        <v>0</v>
      </c>
      <c r="O36" s="47">
        <f t="shared" si="38"/>
        <v>0</v>
      </c>
      <c r="P36" s="47">
        <f t="shared" si="38"/>
        <v>0</v>
      </c>
      <c r="Q36" s="47">
        <f t="shared" si="38"/>
        <v>0</v>
      </c>
      <c r="R36" s="47">
        <f t="shared" si="38"/>
        <v>0</v>
      </c>
      <c r="S36" s="47">
        <f t="shared" si="38"/>
        <v>0</v>
      </c>
      <c r="T36" s="47">
        <f t="shared" si="38"/>
        <v>0</v>
      </c>
      <c r="U36" s="47">
        <f t="shared" si="38"/>
        <v>0</v>
      </c>
      <c r="V36" s="47">
        <f t="shared" si="38"/>
        <v>0</v>
      </c>
      <c r="W36" s="47">
        <f t="shared" si="38"/>
        <v>0</v>
      </c>
      <c r="X36" s="47">
        <f t="shared" si="38"/>
        <v>0</v>
      </c>
      <c r="Y36" s="47">
        <f t="shared" si="38"/>
        <v>0</v>
      </c>
      <c r="Z36" s="47">
        <f t="shared" si="38"/>
        <v>0</v>
      </c>
      <c r="AA36" s="47">
        <f t="shared" si="38"/>
        <v>0</v>
      </c>
      <c r="AB36" s="47">
        <f t="shared" si="38"/>
        <v>0</v>
      </c>
      <c r="AC36" s="47">
        <f t="shared" si="38"/>
        <v>0</v>
      </c>
      <c r="AD36" s="47">
        <f t="shared" si="38"/>
        <v>0</v>
      </c>
      <c r="AE36" s="47">
        <f t="shared" si="38"/>
        <v>0</v>
      </c>
      <c r="AF36" s="47">
        <f t="shared" si="38"/>
        <v>0</v>
      </c>
      <c r="AG36" s="47">
        <f t="shared" si="38"/>
        <v>0</v>
      </c>
      <c r="AH36" s="47">
        <f t="shared" si="38"/>
        <v>0</v>
      </c>
      <c r="AI36" s="47">
        <f t="shared" si="38"/>
        <v>0</v>
      </c>
      <c r="AJ36" s="47">
        <f t="shared" si="38"/>
        <v>0</v>
      </c>
      <c r="AK36" s="47">
        <f t="shared" si="38"/>
        <v>0</v>
      </c>
      <c r="AL36" s="47">
        <f t="shared" si="38"/>
        <v>0</v>
      </c>
      <c r="AM36" s="47">
        <f t="shared" si="38"/>
        <v>0</v>
      </c>
      <c r="AN36" s="47">
        <f t="shared" si="38"/>
        <v>0</v>
      </c>
      <c r="AO36" s="47">
        <f t="shared" si="38"/>
        <v>0</v>
      </c>
      <c r="AP36" s="47">
        <f t="shared" si="38"/>
        <v>0</v>
      </c>
      <c r="AQ36" s="47">
        <f t="shared" si="38"/>
        <v>0</v>
      </c>
      <c r="AR36" s="47">
        <f t="shared" si="38"/>
        <v>0</v>
      </c>
      <c r="AS36" s="47">
        <f t="shared" si="38"/>
        <v>0</v>
      </c>
      <c r="AT36" s="47">
        <f t="shared" si="38"/>
        <v>0</v>
      </c>
      <c r="AU36" s="47">
        <f t="shared" si="38"/>
        <v>0</v>
      </c>
      <c r="AV36" s="47">
        <f t="shared" si="38"/>
        <v>0</v>
      </c>
      <c r="AW36" s="47">
        <f t="shared" si="38"/>
        <v>0</v>
      </c>
      <c r="AX36" s="47">
        <f t="shared" si="38"/>
        <v>0</v>
      </c>
      <c r="AY36" s="47">
        <f t="shared" si="38"/>
        <v>0</v>
      </c>
      <c r="AZ36" s="47">
        <f t="shared" si="38"/>
        <v>0</v>
      </c>
      <c r="BA36" s="47">
        <f t="shared" si="38"/>
        <v>0</v>
      </c>
    </row>
    <row r="37" spans="2:53" x14ac:dyDescent="0.2">
      <c r="B37" t="s">
        <v>103</v>
      </c>
      <c r="C37" s="73" t="s">
        <v>75</v>
      </c>
      <c r="D37" s="49">
        <f>SUM(D34:D36)</f>
        <v>0</v>
      </c>
      <c r="E37" s="49">
        <f t="shared" ref="E37:BA37" si="39">SUM(E34:E36)</f>
        <v>0</v>
      </c>
      <c r="F37" s="49">
        <f t="shared" si="39"/>
        <v>260.10000000000002</v>
      </c>
      <c r="G37" s="49">
        <f t="shared" si="39"/>
        <v>208.08</v>
      </c>
      <c r="H37" s="49">
        <f t="shared" si="39"/>
        <v>156.06</v>
      </c>
      <c r="I37" s="49">
        <f t="shared" si="39"/>
        <v>104.03999999999999</v>
      </c>
      <c r="J37" s="49">
        <f t="shared" si="39"/>
        <v>52.019999999999989</v>
      </c>
      <c r="K37" s="49">
        <f t="shared" si="39"/>
        <v>0</v>
      </c>
      <c r="L37" s="49">
        <f t="shared" si="39"/>
        <v>0</v>
      </c>
      <c r="M37" s="49">
        <f t="shared" si="39"/>
        <v>0</v>
      </c>
      <c r="N37" s="49">
        <f t="shared" si="39"/>
        <v>0</v>
      </c>
      <c r="O37" s="49">
        <f t="shared" si="39"/>
        <v>0</v>
      </c>
      <c r="P37" s="49">
        <f t="shared" si="39"/>
        <v>0</v>
      </c>
      <c r="Q37" s="49">
        <f t="shared" si="39"/>
        <v>0</v>
      </c>
      <c r="R37" s="49">
        <f t="shared" si="39"/>
        <v>0</v>
      </c>
      <c r="S37" s="49">
        <f t="shared" si="39"/>
        <v>0</v>
      </c>
      <c r="T37" s="49">
        <f t="shared" si="39"/>
        <v>0</v>
      </c>
      <c r="U37" s="49">
        <f t="shared" si="39"/>
        <v>0</v>
      </c>
      <c r="V37" s="49">
        <f t="shared" si="39"/>
        <v>0</v>
      </c>
      <c r="W37" s="49">
        <f t="shared" si="39"/>
        <v>0</v>
      </c>
      <c r="X37" s="49">
        <f t="shared" si="39"/>
        <v>0</v>
      </c>
      <c r="Y37" s="49">
        <f t="shared" si="39"/>
        <v>0</v>
      </c>
      <c r="Z37" s="49">
        <f t="shared" si="39"/>
        <v>0</v>
      </c>
      <c r="AA37" s="49">
        <f t="shared" si="39"/>
        <v>0</v>
      </c>
      <c r="AB37" s="49">
        <f t="shared" si="39"/>
        <v>0</v>
      </c>
      <c r="AC37" s="49">
        <f t="shared" si="39"/>
        <v>0</v>
      </c>
      <c r="AD37" s="49">
        <f t="shared" si="39"/>
        <v>0</v>
      </c>
      <c r="AE37" s="49">
        <f t="shared" si="39"/>
        <v>0</v>
      </c>
      <c r="AF37" s="49">
        <f t="shared" si="39"/>
        <v>0</v>
      </c>
      <c r="AG37" s="49">
        <f t="shared" si="39"/>
        <v>0</v>
      </c>
      <c r="AH37" s="49">
        <f t="shared" si="39"/>
        <v>0</v>
      </c>
      <c r="AI37" s="49">
        <f t="shared" si="39"/>
        <v>0</v>
      </c>
      <c r="AJ37" s="49">
        <f t="shared" si="39"/>
        <v>0</v>
      </c>
      <c r="AK37" s="49">
        <f t="shared" si="39"/>
        <v>0</v>
      </c>
      <c r="AL37" s="49">
        <f t="shared" si="39"/>
        <v>0</v>
      </c>
      <c r="AM37" s="49">
        <f t="shared" si="39"/>
        <v>0</v>
      </c>
      <c r="AN37" s="49">
        <f t="shared" si="39"/>
        <v>0</v>
      </c>
      <c r="AO37" s="49">
        <f t="shared" si="39"/>
        <v>0</v>
      </c>
      <c r="AP37" s="49">
        <f t="shared" si="39"/>
        <v>0</v>
      </c>
      <c r="AQ37" s="49">
        <f t="shared" si="39"/>
        <v>0</v>
      </c>
      <c r="AR37" s="49">
        <f t="shared" si="39"/>
        <v>0</v>
      </c>
      <c r="AS37" s="49">
        <f t="shared" si="39"/>
        <v>0</v>
      </c>
      <c r="AT37" s="49">
        <f t="shared" si="39"/>
        <v>0</v>
      </c>
      <c r="AU37" s="49">
        <f t="shared" si="39"/>
        <v>0</v>
      </c>
      <c r="AV37" s="49">
        <f t="shared" si="39"/>
        <v>0</v>
      </c>
      <c r="AW37" s="49">
        <f t="shared" si="39"/>
        <v>0</v>
      </c>
      <c r="AX37" s="49">
        <f t="shared" si="39"/>
        <v>0</v>
      </c>
      <c r="AY37" s="49">
        <f t="shared" si="39"/>
        <v>0</v>
      </c>
      <c r="AZ37" s="49">
        <f t="shared" si="39"/>
        <v>0</v>
      </c>
      <c r="BA37" s="49">
        <f t="shared" si="39"/>
        <v>0</v>
      </c>
    </row>
    <row r="38" spans="2:53" x14ac:dyDescent="0.2">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row>
    <row r="39" spans="2:53" x14ac:dyDescent="0.2">
      <c r="B39" s="215">
        <v>4</v>
      </c>
      <c r="C39" s="74"/>
      <c r="D39" s="48"/>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row>
    <row r="40" spans="2:53" x14ac:dyDescent="0.2">
      <c r="B40" s="45" t="s">
        <v>100</v>
      </c>
      <c r="C40" s="73" t="s">
        <v>75</v>
      </c>
      <c r="D40" s="49">
        <f>0</f>
        <v>0</v>
      </c>
      <c r="E40" s="47">
        <f>D43</f>
        <v>0</v>
      </c>
      <c r="F40" s="47">
        <f t="shared" ref="F40:BA40" si="40">E43</f>
        <v>0</v>
      </c>
      <c r="G40" s="47">
        <f t="shared" si="40"/>
        <v>0</v>
      </c>
      <c r="H40" s="47">
        <f t="shared" si="40"/>
        <v>265.30199999999996</v>
      </c>
      <c r="I40" s="47">
        <f t="shared" si="40"/>
        <v>212.24159999999998</v>
      </c>
      <c r="J40" s="47">
        <f t="shared" si="40"/>
        <v>159.18119999999999</v>
      </c>
      <c r="K40" s="47">
        <f t="shared" si="40"/>
        <v>106.1208</v>
      </c>
      <c r="L40" s="47">
        <f t="shared" si="40"/>
        <v>53.060400000000008</v>
      </c>
      <c r="M40" s="47">
        <f t="shared" si="40"/>
        <v>0</v>
      </c>
      <c r="N40" s="47">
        <f t="shared" si="40"/>
        <v>0</v>
      </c>
      <c r="O40" s="47">
        <f t="shared" si="40"/>
        <v>0</v>
      </c>
      <c r="P40" s="47">
        <f t="shared" si="40"/>
        <v>0</v>
      </c>
      <c r="Q40" s="47">
        <f t="shared" si="40"/>
        <v>0</v>
      </c>
      <c r="R40" s="47">
        <f t="shared" si="40"/>
        <v>0</v>
      </c>
      <c r="S40" s="47">
        <f t="shared" si="40"/>
        <v>0</v>
      </c>
      <c r="T40" s="47">
        <f t="shared" si="40"/>
        <v>0</v>
      </c>
      <c r="U40" s="47">
        <f t="shared" si="40"/>
        <v>0</v>
      </c>
      <c r="V40" s="47">
        <f t="shared" si="40"/>
        <v>0</v>
      </c>
      <c r="W40" s="47">
        <f t="shared" si="40"/>
        <v>0</v>
      </c>
      <c r="X40" s="47">
        <f t="shared" si="40"/>
        <v>0</v>
      </c>
      <c r="Y40" s="47">
        <f t="shared" si="40"/>
        <v>0</v>
      </c>
      <c r="Z40" s="47">
        <f t="shared" si="40"/>
        <v>0</v>
      </c>
      <c r="AA40" s="47">
        <f t="shared" si="40"/>
        <v>0</v>
      </c>
      <c r="AB40" s="47">
        <f t="shared" si="40"/>
        <v>0</v>
      </c>
      <c r="AC40" s="47">
        <f t="shared" si="40"/>
        <v>0</v>
      </c>
      <c r="AD40" s="47">
        <f t="shared" si="40"/>
        <v>0</v>
      </c>
      <c r="AE40" s="47">
        <f t="shared" si="40"/>
        <v>0</v>
      </c>
      <c r="AF40" s="47">
        <f t="shared" si="40"/>
        <v>0</v>
      </c>
      <c r="AG40" s="47">
        <f t="shared" si="40"/>
        <v>0</v>
      </c>
      <c r="AH40" s="47">
        <f t="shared" si="40"/>
        <v>0</v>
      </c>
      <c r="AI40" s="47">
        <f t="shared" si="40"/>
        <v>0</v>
      </c>
      <c r="AJ40" s="47">
        <f t="shared" si="40"/>
        <v>0</v>
      </c>
      <c r="AK40" s="47">
        <f t="shared" si="40"/>
        <v>0</v>
      </c>
      <c r="AL40" s="47">
        <f t="shared" si="40"/>
        <v>0</v>
      </c>
      <c r="AM40" s="47">
        <f t="shared" si="40"/>
        <v>0</v>
      </c>
      <c r="AN40" s="47">
        <f t="shared" si="40"/>
        <v>0</v>
      </c>
      <c r="AO40" s="47">
        <f t="shared" si="40"/>
        <v>0</v>
      </c>
      <c r="AP40" s="47">
        <f t="shared" si="40"/>
        <v>0</v>
      </c>
      <c r="AQ40" s="47">
        <f t="shared" si="40"/>
        <v>0</v>
      </c>
      <c r="AR40" s="47">
        <f t="shared" si="40"/>
        <v>0</v>
      </c>
      <c r="AS40" s="47">
        <f t="shared" si="40"/>
        <v>0</v>
      </c>
      <c r="AT40" s="47">
        <f t="shared" si="40"/>
        <v>0</v>
      </c>
      <c r="AU40" s="47">
        <f t="shared" si="40"/>
        <v>0</v>
      </c>
      <c r="AV40" s="47">
        <f t="shared" si="40"/>
        <v>0</v>
      </c>
      <c r="AW40" s="47">
        <f t="shared" si="40"/>
        <v>0</v>
      </c>
      <c r="AX40" s="47">
        <f t="shared" si="40"/>
        <v>0</v>
      </c>
      <c r="AY40" s="47">
        <f t="shared" si="40"/>
        <v>0</v>
      </c>
      <c r="AZ40" s="47">
        <f t="shared" si="40"/>
        <v>0</v>
      </c>
      <c r="BA40" s="47">
        <f t="shared" si="40"/>
        <v>0</v>
      </c>
    </row>
    <row r="41" spans="2:53" x14ac:dyDescent="0.2">
      <c r="B41" s="45" t="s">
        <v>101</v>
      </c>
      <c r="C41" s="75" t="s">
        <v>75</v>
      </c>
      <c r="D41" s="49">
        <f>IF($B39=D$2,D$4,0)</f>
        <v>0</v>
      </c>
      <c r="E41" s="49">
        <f t="shared" ref="E41:BA41" si="41">IF($B39=E$2,E$4,0)</f>
        <v>0</v>
      </c>
      <c r="F41" s="49">
        <f t="shared" si="41"/>
        <v>0</v>
      </c>
      <c r="G41" s="49">
        <f t="shared" si="41"/>
        <v>265.30199999999996</v>
      </c>
      <c r="H41" s="49">
        <f t="shared" si="41"/>
        <v>0</v>
      </c>
      <c r="I41" s="49">
        <f t="shared" si="41"/>
        <v>0</v>
      </c>
      <c r="J41" s="49">
        <f t="shared" si="41"/>
        <v>0</v>
      </c>
      <c r="K41" s="49">
        <f t="shared" si="41"/>
        <v>0</v>
      </c>
      <c r="L41" s="49">
        <f t="shared" si="41"/>
        <v>0</v>
      </c>
      <c r="M41" s="49">
        <f t="shared" si="41"/>
        <v>0</v>
      </c>
      <c r="N41" s="49">
        <f t="shared" si="41"/>
        <v>0</v>
      </c>
      <c r="O41" s="49">
        <f t="shared" si="41"/>
        <v>0</v>
      </c>
      <c r="P41" s="49">
        <f t="shared" si="41"/>
        <v>0</v>
      </c>
      <c r="Q41" s="49">
        <f t="shared" si="41"/>
        <v>0</v>
      </c>
      <c r="R41" s="49">
        <f t="shared" si="41"/>
        <v>0</v>
      </c>
      <c r="S41" s="49">
        <f t="shared" si="41"/>
        <v>0</v>
      </c>
      <c r="T41" s="49">
        <f t="shared" si="41"/>
        <v>0</v>
      </c>
      <c r="U41" s="49">
        <f t="shared" si="41"/>
        <v>0</v>
      </c>
      <c r="V41" s="49">
        <f t="shared" si="41"/>
        <v>0</v>
      </c>
      <c r="W41" s="49">
        <f t="shared" si="41"/>
        <v>0</v>
      </c>
      <c r="X41" s="49">
        <f t="shared" si="41"/>
        <v>0</v>
      </c>
      <c r="Y41" s="49">
        <f t="shared" si="41"/>
        <v>0</v>
      </c>
      <c r="Z41" s="49">
        <f t="shared" si="41"/>
        <v>0</v>
      </c>
      <c r="AA41" s="49">
        <f t="shared" si="41"/>
        <v>0</v>
      </c>
      <c r="AB41" s="49">
        <f t="shared" si="41"/>
        <v>0</v>
      </c>
      <c r="AC41" s="49">
        <f t="shared" si="41"/>
        <v>0</v>
      </c>
      <c r="AD41" s="49">
        <f t="shared" si="41"/>
        <v>0</v>
      </c>
      <c r="AE41" s="49">
        <f t="shared" si="41"/>
        <v>0</v>
      </c>
      <c r="AF41" s="49">
        <f t="shared" si="41"/>
        <v>0</v>
      </c>
      <c r="AG41" s="49">
        <f t="shared" si="41"/>
        <v>0</v>
      </c>
      <c r="AH41" s="49">
        <f t="shared" si="41"/>
        <v>0</v>
      </c>
      <c r="AI41" s="49">
        <f t="shared" si="41"/>
        <v>0</v>
      </c>
      <c r="AJ41" s="49">
        <f t="shared" si="41"/>
        <v>0</v>
      </c>
      <c r="AK41" s="49">
        <f t="shared" si="41"/>
        <v>0</v>
      </c>
      <c r="AL41" s="49">
        <f t="shared" si="41"/>
        <v>0</v>
      </c>
      <c r="AM41" s="49">
        <f t="shared" si="41"/>
        <v>0</v>
      </c>
      <c r="AN41" s="49">
        <f t="shared" si="41"/>
        <v>0</v>
      </c>
      <c r="AO41" s="49">
        <f t="shared" si="41"/>
        <v>0</v>
      </c>
      <c r="AP41" s="49">
        <f t="shared" si="41"/>
        <v>0</v>
      </c>
      <c r="AQ41" s="49">
        <f t="shared" si="41"/>
        <v>0</v>
      </c>
      <c r="AR41" s="49">
        <f t="shared" si="41"/>
        <v>0</v>
      </c>
      <c r="AS41" s="49">
        <f t="shared" si="41"/>
        <v>0</v>
      </c>
      <c r="AT41" s="49">
        <f t="shared" si="41"/>
        <v>0</v>
      </c>
      <c r="AU41" s="49">
        <f t="shared" si="41"/>
        <v>0</v>
      </c>
      <c r="AV41" s="49">
        <f t="shared" si="41"/>
        <v>0</v>
      </c>
      <c r="AW41" s="49">
        <f t="shared" si="41"/>
        <v>0</v>
      </c>
      <c r="AX41" s="49">
        <f t="shared" si="41"/>
        <v>0</v>
      </c>
      <c r="AY41" s="49">
        <f t="shared" si="41"/>
        <v>0</v>
      </c>
      <c r="AZ41" s="49">
        <f t="shared" si="41"/>
        <v>0</v>
      </c>
      <c r="BA41" s="49">
        <f t="shared" si="41"/>
        <v>0</v>
      </c>
    </row>
    <row r="42" spans="2:53" x14ac:dyDescent="0.2">
      <c r="B42" t="s">
        <v>102</v>
      </c>
      <c r="C42" s="73" t="s">
        <v>75</v>
      </c>
      <c r="D42" s="47"/>
      <c r="E42" s="47">
        <f>IF(OR(D43&lt;=$B$15*$G$41,F$1-$H$1&gt;$B$13),0,-IF($B$12="straight line",SLN($G$41,+$B$15*$G$41,$B$13),VDB($G$41,$B$15*$G$41,$B$13,E$1-$H$1,F$1-$H$1,$B$14)))</f>
        <v>0</v>
      </c>
      <c r="F42" s="47">
        <f t="shared" ref="F42:BA42" si="42">IF(OR(E43&lt;=$B$15*$G$41,F$1-$J$1&gt;$B$13),0,-IF($B$12="straight line",SLN($G$41,+$B$15*$G$41,$B$13),VDB($G$41,$B$15*$G$41,$B$13,F$1-$H$1,G$1-$H$1,$B$14)))</f>
        <v>0</v>
      </c>
      <c r="G42" s="47">
        <f t="shared" si="42"/>
        <v>0</v>
      </c>
      <c r="H42" s="47">
        <f t="shared" si="42"/>
        <v>-53.060399999999994</v>
      </c>
      <c r="I42" s="47">
        <f t="shared" si="42"/>
        <v>-53.060399999999994</v>
      </c>
      <c r="J42" s="47">
        <f t="shared" si="42"/>
        <v>-53.060399999999994</v>
      </c>
      <c r="K42" s="47">
        <f t="shared" si="42"/>
        <v>-53.060399999999994</v>
      </c>
      <c r="L42" s="47">
        <f t="shared" si="42"/>
        <v>-53.060399999999994</v>
      </c>
      <c r="M42" s="47">
        <f t="shared" si="42"/>
        <v>0</v>
      </c>
      <c r="N42" s="47">
        <f t="shared" si="42"/>
        <v>0</v>
      </c>
      <c r="O42" s="47">
        <f t="shared" si="42"/>
        <v>0</v>
      </c>
      <c r="P42" s="47">
        <f t="shared" si="42"/>
        <v>0</v>
      </c>
      <c r="Q42" s="47">
        <f t="shared" si="42"/>
        <v>0</v>
      </c>
      <c r="R42" s="47">
        <f t="shared" si="42"/>
        <v>0</v>
      </c>
      <c r="S42" s="47">
        <f t="shared" si="42"/>
        <v>0</v>
      </c>
      <c r="T42" s="47">
        <f t="shared" si="42"/>
        <v>0</v>
      </c>
      <c r="U42" s="47">
        <f t="shared" si="42"/>
        <v>0</v>
      </c>
      <c r="V42" s="47">
        <f t="shared" si="42"/>
        <v>0</v>
      </c>
      <c r="W42" s="47">
        <f t="shared" si="42"/>
        <v>0</v>
      </c>
      <c r="X42" s="47">
        <f t="shared" si="42"/>
        <v>0</v>
      </c>
      <c r="Y42" s="47">
        <f t="shared" si="42"/>
        <v>0</v>
      </c>
      <c r="Z42" s="47">
        <f t="shared" si="42"/>
        <v>0</v>
      </c>
      <c r="AA42" s="47">
        <f t="shared" si="42"/>
        <v>0</v>
      </c>
      <c r="AB42" s="47">
        <f t="shared" si="42"/>
        <v>0</v>
      </c>
      <c r="AC42" s="47">
        <f t="shared" si="42"/>
        <v>0</v>
      </c>
      <c r="AD42" s="47">
        <f t="shared" si="42"/>
        <v>0</v>
      </c>
      <c r="AE42" s="47">
        <f t="shared" si="42"/>
        <v>0</v>
      </c>
      <c r="AF42" s="47">
        <f t="shared" si="42"/>
        <v>0</v>
      </c>
      <c r="AG42" s="47">
        <f t="shared" si="42"/>
        <v>0</v>
      </c>
      <c r="AH42" s="47">
        <f t="shared" si="42"/>
        <v>0</v>
      </c>
      <c r="AI42" s="47">
        <f t="shared" si="42"/>
        <v>0</v>
      </c>
      <c r="AJ42" s="47">
        <f t="shared" si="42"/>
        <v>0</v>
      </c>
      <c r="AK42" s="47">
        <f t="shared" si="42"/>
        <v>0</v>
      </c>
      <c r="AL42" s="47">
        <f t="shared" si="42"/>
        <v>0</v>
      </c>
      <c r="AM42" s="47">
        <f t="shared" si="42"/>
        <v>0</v>
      </c>
      <c r="AN42" s="47">
        <f t="shared" si="42"/>
        <v>0</v>
      </c>
      <c r="AO42" s="47">
        <f t="shared" si="42"/>
        <v>0</v>
      </c>
      <c r="AP42" s="47">
        <f t="shared" si="42"/>
        <v>0</v>
      </c>
      <c r="AQ42" s="47">
        <f t="shared" si="42"/>
        <v>0</v>
      </c>
      <c r="AR42" s="47">
        <f t="shared" si="42"/>
        <v>0</v>
      </c>
      <c r="AS42" s="47">
        <f t="shared" si="42"/>
        <v>0</v>
      </c>
      <c r="AT42" s="47">
        <f t="shared" si="42"/>
        <v>0</v>
      </c>
      <c r="AU42" s="47">
        <f t="shared" si="42"/>
        <v>0</v>
      </c>
      <c r="AV42" s="47">
        <f t="shared" si="42"/>
        <v>0</v>
      </c>
      <c r="AW42" s="47">
        <f t="shared" si="42"/>
        <v>0</v>
      </c>
      <c r="AX42" s="47">
        <f t="shared" si="42"/>
        <v>0</v>
      </c>
      <c r="AY42" s="47">
        <f t="shared" si="42"/>
        <v>0</v>
      </c>
      <c r="AZ42" s="47">
        <f t="shared" si="42"/>
        <v>0</v>
      </c>
      <c r="BA42" s="47">
        <f t="shared" si="42"/>
        <v>0</v>
      </c>
    </row>
    <row r="43" spans="2:53" x14ac:dyDescent="0.2">
      <c r="B43" t="s">
        <v>103</v>
      </c>
      <c r="C43" s="73" t="s">
        <v>75</v>
      </c>
      <c r="D43" s="49">
        <f>SUM(D40:D42)</f>
        <v>0</v>
      </c>
      <c r="E43" s="49">
        <f t="shared" ref="E43:BA43" si="43">SUM(E40:E42)</f>
        <v>0</v>
      </c>
      <c r="F43" s="49">
        <f t="shared" si="43"/>
        <v>0</v>
      </c>
      <c r="G43" s="49">
        <f t="shared" si="43"/>
        <v>265.30199999999996</v>
      </c>
      <c r="H43" s="49">
        <f t="shared" si="43"/>
        <v>212.24159999999998</v>
      </c>
      <c r="I43" s="49">
        <f t="shared" si="43"/>
        <v>159.18119999999999</v>
      </c>
      <c r="J43" s="49">
        <f t="shared" si="43"/>
        <v>106.1208</v>
      </c>
      <c r="K43" s="49">
        <f t="shared" si="43"/>
        <v>53.060400000000008</v>
      </c>
      <c r="L43" s="49">
        <f t="shared" si="43"/>
        <v>0</v>
      </c>
      <c r="M43" s="49">
        <f t="shared" si="43"/>
        <v>0</v>
      </c>
      <c r="N43" s="49">
        <f t="shared" si="43"/>
        <v>0</v>
      </c>
      <c r="O43" s="49">
        <f t="shared" si="43"/>
        <v>0</v>
      </c>
      <c r="P43" s="49">
        <f t="shared" si="43"/>
        <v>0</v>
      </c>
      <c r="Q43" s="49">
        <f t="shared" si="43"/>
        <v>0</v>
      </c>
      <c r="R43" s="49">
        <f t="shared" si="43"/>
        <v>0</v>
      </c>
      <c r="S43" s="49">
        <f t="shared" si="43"/>
        <v>0</v>
      </c>
      <c r="T43" s="49">
        <f t="shared" si="43"/>
        <v>0</v>
      </c>
      <c r="U43" s="49">
        <f t="shared" si="43"/>
        <v>0</v>
      </c>
      <c r="V43" s="49">
        <f t="shared" si="43"/>
        <v>0</v>
      </c>
      <c r="W43" s="49">
        <f t="shared" si="43"/>
        <v>0</v>
      </c>
      <c r="X43" s="49">
        <f t="shared" si="43"/>
        <v>0</v>
      </c>
      <c r="Y43" s="49">
        <f t="shared" si="43"/>
        <v>0</v>
      </c>
      <c r="Z43" s="49">
        <f t="shared" si="43"/>
        <v>0</v>
      </c>
      <c r="AA43" s="49">
        <f t="shared" si="43"/>
        <v>0</v>
      </c>
      <c r="AB43" s="49">
        <f t="shared" si="43"/>
        <v>0</v>
      </c>
      <c r="AC43" s="49">
        <f t="shared" si="43"/>
        <v>0</v>
      </c>
      <c r="AD43" s="49">
        <f t="shared" si="43"/>
        <v>0</v>
      </c>
      <c r="AE43" s="49">
        <f t="shared" si="43"/>
        <v>0</v>
      </c>
      <c r="AF43" s="49">
        <f t="shared" si="43"/>
        <v>0</v>
      </c>
      <c r="AG43" s="49">
        <f t="shared" si="43"/>
        <v>0</v>
      </c>
      <c r="AH43" s="49">
        <f t="shared" si="43"/>
        <v>0</v>
      </c>
      <c r="AI43" s="49">
        <f t="shared" si="43"/>
        <v>0</v>
      </c>
      <c r="AJ43" s="49">
        <f t="shared" si="43"/>
        <v>0</v>
      </c>
      <c r="AK43" s="49">
        <f t="shared" si="43"/>
        <v>0</v>
      </c>
      <c r="AL43" s="49">
        <f t="shared" si="43"/>
        <v>0</v>
      </c>
      <c r="AM43" s="49">
        <f t="shared" si="43"/>
        <v>0</v>
      </c>
      <c r="AN43" s="49">
        <f t="shared" si="43"/>
        <v>0</v>
      </c>
      <c r="AO43" s="49">
        <f t="shared" si="43"/>
        <v>0</v>
      </c>
      <c r="AP43" s="49">
        <f t="shared" si="43"/>
        <v>0</v>
      </c>
      <c r="AQ43" s="49">
        <f t="shared" si="43"/>
        <v>0</v>
      </c>
      <c r="AR43" s="49">
        <f t="shared" si="43"/>
        <v>0</v>
      </c>
      <c r="AS43" s="49">
        <f t="shared" si="43"/>
        <v>0</v>
      </c>
      <c r="AT43" s="49">
        <f t="shared" si="43"/>
        <v>0</v>
      </c>
      <c r="AU43" s="49">
        <f t="shared" si="43"/>
        <v>0</v>
      </c>
      <c r="AV43" s="49">
        <f t="shared" si="43"/>
        <v>0</v>
      </c>
      <c r="AW43" s="49">
        <f t="shared" si="43"/>
        <v>0</v>
      </c>
      <c r="AX43" s="49">
        <f t="shared" si="43"/>
        <v>0</v>
      </c>
      <c r="AY43" s="49">
        <f t="shared" si="43"/>
        <v>0</v>
      </c>
      <c r="AZ43" s="49">
        <f t="shared" si="43"/>
        <v>0</v>
      </c>
      <c r="BA43" s="49">
        <f t="shared" si="43"/>
        <v>0</v>
      </c>
    </row>
    <row r="44" spans="2:53" x14ac:dyDescent="0.2">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row>
    <row r="45" spans="2:53" x14ac:dyDescent="0.2">
      <c r="B45" s="215">
        <v>5</v>
      </c>
      <c r="C45" s="74"/>
      <c r="D45" s="48"/>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row>
    <row r="46" spans="2:53" x14ac:dyDescent="0.2">
      <c r="B46" s="45" t="s">
        <v>100</v>
      </c>
      <c r="C46" s="73" t="s">
        <v>75</v>
      </c>
      <c r="D46" s="49">
        <f>0</f>
        <v>0</v>
      </c>
      <c r="E46" s="47">
        <f>D49</f>
        <v>0</v>
      </c>
      <c r="F46" s="47">
        <f t="shared" ref="F46:BA46" si="44">E49</f>
        <v>0</v>
      </c>
      <c r="G46" s="47">
        <f t="shared" si="44"/>
        <v>0</v>
      </c>
      <c r="H46" s="47">
        <f t="shared" si="44"/>
        <v>0</v>
      </c>
      <c r="I46" s="47">
        <f t="shared" si="44"/>
        <v>0</v>
      </c>
      <c r="J46" s="47">
        <f t="shared" si="44"/>
        <v>0</v>
      </c>
      <c r="K46" s="47">
        <f t="shared" si="44"/>
        <v>0</v>
      </c>
      <c r="L46" s="47">
        <f t="shared" si="44"/>
        <v>0</v>
      </c>
      <c r="M46" s="47">
        <f t="shared" si="44"/>
        <v>0</v>
      </c>
      <c r="N46" s="47">
        <f t="shared" si="44"/>
        <v>0</v>
      </c>
      <c r="O46" s="47">
        <f t="shared" si="44"/>
        <v>0</v>
      </c>
      <c r="P46" s="47">
        <f t="shared" si="44"/>
        <v>0</v>
      </c>
      <c r="Q46" s="47">
        <f t="shared" si="44"/>
        <v>0</v>
      </c>
      <c r="R46" s="47">
        <f t="shared" si="44"/>
        <v>0</v>
      </c>
      <c r="S46" s="47">
        <f t="shared" si="44"/>
        <v>0</v>
      </c>
      <c r="T46" s="47">
        <f t="shared" si="44"/>
        <v>0</v>
      </c>
      <c r="U46" s="47">
        <f t="shared" si="44"/>
        <v>0</v>
      </c>
      <c r="V46" s="47">
        <f t="shared" si="44"/>
        <v>0</v>
      </c>
      <c r="W46" s="47">
        <f t="shared" si="44"/>
        <v>0</v>
      </c>
      <c r="X46" s="47">
        <f t="shared" si="44"/>
        <v>0</v>
      </c>
      <c r="Y46" s="47">
        <f t="shared" si="44"/>
        <v>0</v>
      </c>
      <c r="Z46" s="47">
        <f t="shared" si="44"/>
        <v>0</v>
      </c>
      <c r="AA46" s="47">
        <f t="shared" si="44"/>
        <v>0</v>
      </c>
      <c r="AB46" s="47">
        <f t="shared" si="44"/>
        <v>0</v>
      </c>
      <c r="AC46" s="47">
        <f t="shared" si="44"/>
        <v>0</v>
      </c>
      <c r="AD46" s="47">
        <f t="shared" si="44"/>
        <v>0</v>
      </c>
      <c r="AE46" s="47">
        <f t="shared" si="44"/>
        <v>0</v>
      </c>
      <c r="AF46" s="47">
        <f t="shared" si="44"/>
        <v>0</v>
      </c>
      <c r="AG46" s="47">
        <f t="shared" si="44"/>
        <v>0</v>
      </c>
      <c r="AH46" s="47">
        <f t="shared" si="44"/>
        <v>0</v>
      </c>
      <c r="AI46" s="47">
        <f t="shared" si="44"/>
        <v>0</v>
      </c>
      <c r="AJ46" s="47">
        <f t="shared" si="44"/>
        <v>0</v>
      </c>
      <c r="AK46" s="47">
        <f t="shared" si="44"/>
        <v>0</v>
      </c>
      <c r="AL46" s="47">
        <f t="shared" si="44"/>
        <v>0</v>
      </c>
      <c r="AM46" s="47">
        <f t="shared" si="44"/>
        <v>0</v>
      </c>
      <c r="AN46" s="47">
        <f t="shared" si="44"/>
        <v>0</v>
      </c>
      <c r="AO46" s="47">
        <f t="shared" si="44"/>
        <v>0</v>
      </c>
      <c r="AP46" s="47">
        <f t="shared" si="44"/>
        <v>0</v>
      </c>
      <c r="AQ46" s="47">
        <f t="shared" si="44"/>
        <v>0</v>
      </c>
      <c r="AR46" s="47">
        <f t="shared" si="44"/>
        <v>0</v>
      </c>
      <c r="AS46" s="47">
        <f t="shared" si="44"/>
        <v>0</v>
      </c>
      <c r="AT46" s="47">
        <f t="shared" si="44"/>
        <v>0</v>
      </c>
      <c r="AU46" s="47">
        <f t="shared" si="44"/>
        <v>0</v>
      </c>
      <c r="AV46" s="47">
        <f t="shared" si="44"/>
        <v>0</v>
      </c>
      <c r="AW46" s="47">
        <f t="shared" si="44"/>
        <v>0</v>
      </c>
      <c r="AX46" s="47">
        <f t="shared" si="44"/>
        <v>0</v>
      </c>
      <c r="AY46" s="47">
        <f t="shared" si="44"/>
        <v>0</v>
      </c>
      <c r="AZ46" s="47">
        <f t="shared" si="44"/>
        <v>0</v>
      </c>
      <c r="BA46" s="47">
        <f t="shared" si="44"/>
        <v>0</v>
      </c>
    </row>
    <row r="47" spans="2:53" x14ac:dyDescent="0.2">
      <c r="B47" s="45" t="s">
        <v>101</v>
      </c>
      <c r="C47" s="75" t="s">
        <v>75</v>
      </c>
      <c r="D47" s="49">
        <f>IF($B45=D$2,D$4,0)</f>
        <v>0</v>
      </c>
      <c r="E47" s="49">
        <f t="shared" ref="E47:BA47" si="45">IF($B45=E$2,E$4,0)</f>
        <v>0</v>
      </c>
      <c r="F47" s="49">
        <f t="shared" si="45"/>
        <v>0</v>
      </c>
      <c r="G47" s="49">
        <f t="shared" si="45"/>
        <v>0</v>
      </c>
      <c r="H47" s="49">
        <f t="shared" si="45"/>
        <v>0</v>
      </c>
      <c r="I47" s="49">
        <f t="shared" si="45"/>
        <v>0</v>
      </c>
      <c r="J47" s="49">
        <f t="shared" si="45"/>
        <v>0</v>
      </c>
      <c r="K47" s="49">
        <f t="shared" si="45"/>
        <v>0</v>
      </c>
      <c r="L47" s="49">
        <f t="shared" si="45"/>
        <v>0</v>
      </c>
      <c r="M47" s="49">
        <f t="shared" si="45"/>
        <v>0</v>
      </c>
      <c r="N47" s="49">
        <f t="shared" si="45"/>
        <v>0</v>
      </c>
      <c r="O47" s="49">
        <f t="shared" si="45"/>
        <v>0</v>
      </c>
      <c r="P47" s="49">
        <f t="shared" si="45"/>
        <v>0</v>
      </c>
      <c r="Q47" s="49">
        <f t="shared" si="45"/>
        <v>0</v>
      </c>
      <c r="R47" s="49">
        <f t="shared" si="45"/>
        <v>0</v>
      </c>
      <c r="S47" s="49">
        <f t="shared" si="45"/>
        <v>0</v>
      </c>
      <c r="T47" s="49">
        <f t="shared" si="45"/>
        <v>0</v>
      </c>
      <c r="U47" s="49">
        <f t="shared" si="45"/>
        <v>0</v>
      </c>
      <c r="V47" s="49">
        <f t="shared" si="45"/>
        <v>0</v>
      </c>
      <c r="W47" s="49">
        <f t="shared" si="45"/>
        <v>0</v>
      </c>
      <c r="X47" s="49">
        <f t="shared" si="45"/>
        <v>0</v>
      </c>
      <c r="Y47" s="49">
        <f t="shared" si="45"/>
        <v>0</v>
      </c>
      <c r="Z47" s="49">
        <f t="shared" si="45"/>
        <v>0</v>
      </c>
      <c r="AA47" s="49">
        <f t="shared" si="45"/>
        <v>0</v>
      </c>
      <c r="AB47" s="49">
        <f t="shared" si="45"/>
        <v>0</v>
      </c>
      <c r="AC47" s="49">
        <f t="shared" si="45"/>
        <v>0</v>
      </c>
      <c r="AD47" s="49">
        <f t="shared" si="45"/>
        <v>0</v>
      </c>
      <c r="AE47" s="49">
        <f t="shared" si="45"/>
        <v>0</v>
      </c>
      <c r="AF47" s="49">
        <f t="shared" si="45"/>
        <v>0</v>
      </c>
      <c r="AG47" s="49">
        <f t="shared" si="45"/>
        <v>0</v>
      </c>
      <c r="AH47" s="49">
        <f t="shared" si="45"/>
        <v>0</v>
      </c>
      <c r="AI47" s="49">
        <f t="shared" si="45"/>
        <v>0</v>
      </c>
      <c r="AJ47" s="49">
        <f t="shared" si="45"/>
        <v>0</v>
      </c>
      <c r="AK47" s="49">
        <f t="shared" si="45"/>
        <v>0</v>
      </c>
      <c r="AL47" s="49">
        <f t="shared" si="45"/>
        <v>0</v>
      </c>
      <c r="AM47" s="49">
        <f t="shared" si="45"/>
        <v>0</v>
      </c>
      <c r="AN47" s="49">
        <f t="shared" si="45"/>
        <v>0</v>
      </c>
      <c r="AO47" s="49">
        <f t="shared" si="45"/>
        <v>0</v>
      </c>
      <c r="AP47" s="49">
        <f t="shared" si="45"/>
        <v>0</v>
      </c>
      <c r="AQ47" s="49">
        <f t="shared" si="45"/>
        <v>0</v>
      </c>
      <c r="AR47" s="49">
        <f t="shared" si="45"/>
        <v>0</v>
      </c>
      <c r="AS47" s="49">
        <f t="shared" si="45"/>
        <v>0</v>
      </c>
      <c r="AT47" s="49">
        <f t="shared" si="45"/>
        <v>0</v>
      </c>
      <c r="AU47" s="49">
        <f t="shared" si="45"/>
        <v>0</v>
      </c>
      <c r="AV47" s="49">
        <f t="shared" si="45"/>
        <v>0</v>
      </c>
      <c r="AW47" s="49">
        <f t="shared" si="45"/>
        <v>0</v>
      </c>
      <c r="AX47" s="49">
        <f t="shared" si="45"/>
        <v>0</v>
      </c>
      <c r="AY47" s="49">
        <f t="shared" si="45"/>
        <v>0</v>
      </c>
      <c r="AZ47" s="49">
        <f t="shared" si="45"/>
        <v>0</v>
      </c>
      <c r="BA47" s="49">
        <f t="shared" si="45"/>
        <v>0</v>
      </c>
    </row>
    <row r="48" spans="2:53" x14ac:dyDescent="0.2">
      <c r="B48" t="s">
        <v>102</v>
      </c>
      <c r="C48" s="73" t="s">
        <v>75</v>
      </c>
      <c r="D48" s="47"/>
      <c r="E48" s="47">
        <f>IF(OR(D49&lt;=$B$15*$H$47,F$1-$I$1&gt;$B$13),0,-IF($B$12="straight line",SLN($H$47,+$B$15*$H$47,$B$13),VDB($H$47,$B$15*$H$47,$B$13,E$1-$I$1,F$1-$I$1,$B$14)))</f>
        <v>0</v>
      </c>
      <c r="F48" s="47">
        <f t="shared" ref="F48:BA48" si="46">IF(OR(E49&lt;=$B$15*$H$47,G$1-$I$1&gt;$B$13),0,-IF($B$12="straight line",SLN($H$47,+$B$15*$H$47,$B$13),VDB($H$47,$B$15*$H$47,$B$13,F$1-$I$1,G$1-$I$1,$B$14)))</f>
        <v>0</v>
      </c>
      <c r="G48" s="47">
        <f t="shared" si="46"/>
        <v>0</v>
      </c>
      <c r="H48" s="47">
        <f t="shared" si="46"/>
        <v>0</v>
      </c>
      <c r="I48" s="47">
        <f t="shared" si="46"/>
        <v>0</v>
      </c>
      <c r="J48" s="47">
        <f t="shared" si="46"/>
        <v>0</v>
      </c>
      <c r="K48" s="47">
        <f t="shared" si="46"/>
        <v>0</v>
      </c>
      <c r="L48" s="47">
        <f t="shared" si="46"/>
        <v>0</v>
      </c>
      <c r="M48" s="47">
        <f t="shared" si="46"/>
        <v>0</v>
      </c>
      <c r="N48" s="47">
        <f t="shared" si="46"/>
        <v>0</v>
      </c>
      <c r="O48" s="47">
        <f t="shared" si="46"/>
        <v>0</v>
      </c>
      <c r="P48" s="47">
        <f t="shared" si="46"/>
        <v>0</v>
      </c>
      <c r="Q48" s="47">
        <f t="shared" si="46"/>
        <v>0</v>
      </c>
      <c r="R48" s="47">
        <f t="shared" si="46"/>
        <v>0</v>
      </c>
      <c r="S48" s="47">
        <f t="shared" si="46"/>
        <v>0</v>
      </c>
      <c r="T48" s="47">
        <f t="shared" si="46"/>
        <v>0</v>
      </c>
      <c r="U48" s="47">
        <f t="shared" si="46"/>
        <v>0</v>
      </c>
      <c r="V48" s="47">
        <f t="shared" si="46"/>
        <v>0</v>
      </c>
      <c r="W48" s="47">
        <f t="shared" si="46"/>
        <v>0</v>
      </c>
      <c r="X48" s="47">
        <f t="shared" si="46"/>
        <v>0</v>
      </c>
      <c r="Y48" s="47">
        <f t="shared" si="46"/>
        <v>0</v>
      </c>
      <c r="Z48" s="47">
        <f t="shared" si="46"/>
        <v>0</v>
      </c>
      <c r="AA48" s="47">
        <f t="shared" si="46"/>
        <v>0</v>
      </c>
      <c r="AB48" s="47">
        <f t="shared" si="46"/>
        <v>0</v>
      </c>
      <c r="AC48" s="47">
        <f t="shared" si="46"/>
        <v>0</v>
      </c>
      <c r="AD48" s="47">
        <f t="shared" si="46"/>
        <v>0</v>
      </c>
      <c r="AE48" s="47">
        <f t="shared" si="46"/>
        <v>0</v>
      </c>
      <c r="AF48" s="47">
        <f t="shared" si="46"/>
        <v>0</v>
      </c>
      <c r="AG48" s="47">
        <f t="shared" si="46"/>
        <v>0</v>
      </c>
      <c r="AH48" s="47">
        <f t="shared" si="46"/>
        <v>0</v>
      </c>
      <c r="AI48" s="47">
        <f t="shared" si="46"/>
        <v>0</v>
      </c>
      <c r="AJ48" s="47">
        <f t="shared" si="46"/>
        <v>0</v>
      </c>
      <c r="AK48" s="47">
        <f t="shared" si="46"/>
        <v>0</v>
      </c>
      <c r="AL48" s="47">
        <f t="shared" si="46"/>
        <v>0</v>
      </c>
      <c r="AM48" s="47">
        <f t="shared" si="46"/>
        <v>0</v>
      </c>
      <c r="AN48" s="47">
        <f t="shared" si="46"/>
        <v>0</v>
      </c>
      <c r="AO48" s="47">
        <f t="shared" si="46"/>
        <v>0</v>
      </c>
      <c r="AP48" s="47">
        <f t="shared" si="46"/>
        <v>0</v>
      </c>
      <c r="AQ48" s="47">
        <f t="shared" si="46"/>
        <v>0</v>
      </c>
      <c r="AR48" s="47">
        <f t="shared" si="46"/>
        <v>0</v>
      </c>
      <c r="AS48" s="47">
        <f t="shared" si="46"/>
        <v>0</v>
      </c>
      <c r="AT48" s="47">
        <f t="shared" si="46"/>
        <v>0</v>
      </c>
      <c r="AU48" s="47">
        <f t="shared" si="46"/>
        <v>0</v>
      </c>
      <c r="AV48" s="47">
        <f t="shared" si="46"/>
        <v>0</v>
      </c>
      <c r="AW48" s="47">
        <f t="shared" si="46"/>
        <v>0</v>
      </c>
      <c r="AX48" s="47">
        <f t="shared" si="46"/>
        <v>0</v>
      </c>
      <c r="AY48" s="47">
        <f t="shared" si="46"/>
        <v>0</v>
      </c>
      <c r="AZ48" s="47">
        <f t="shared" si="46"/>
        <v>0</v>
      </c>
      <c r="BA48" s="47">
        <f t="shared" si="46"/>
        <v>0</v>
      </c>
    </row>
    <row r="49" spans="2:53" x14ac:dyDescent="0.2">
      <c r="B49" t="s">
        <v>103</v>
      </c>
      <c r="C49" s="73" t="s">
        <v>75</v>
      </c>
      <c r="D49" s="49">
        <f>SUM(D46:D48)</f>
        <v>0</v>
      </c>
      <c r="E49" s="49">
        <f t="shared" ref="E49:BA49" si="47">SUM(E46:E48)</f>
        <v>0</v>
      </c>
      <c r="F49" s="49">
        <f t="shared" si="47"/>
        <v>0</v>
      </c>
      <c r="G49" s="49">
        <f t="shared" si="47"/>
        <v>0</v>
      </c>
      <c r="H49" s="49">
        <f t="shared" si="47"/>
        <v>0</v>
      </c>
      <c r="I49" s="49">
        <f t="shared" si="47"/>
        <v>0</v>
      </c>
      <c r="J49" s="49">
        <f t="shared" si="47"/>
        <v>0</v>
      </c>
      <c r="K49" s="49">
        <f t="shared" si="47"/>
        <v>0</v>
      </c>
      <c r="L49" s="49">
        <f t="shared" si="47"/>
        <v>0</v>
      </c>
      <c r="M49" s="49">
        <f t="shared" si="47"/>
        <v>0</v>
      </c>
      <c r="N49" s="49">
        <f t="shared" si="47"/>
        <v>0</v>
      </c>
      <c r="O49" s="49">
        <f t="shared" si="47"/>
        <v>0</v>
      </c>
      <c r="P49" s="49">
        <f t="shared" si="47"/>
        <v>0</v>
      </c>
      <c r="Q49" s="49">
        <f t="shared" si="47"/>
        <v>0</v>
      </c>
      <c r="R49" s="49">
        <f t="shared" si="47"/>
        <v>0</v>
      </c>
      <c r="S49" s="49">
        <f t="shared" si="47"/>
        <v>0</v>
      </c>
      <c r="T49" s="49">
        <f t="shared" si="47"/>
        <v>0</v>
      </c>
      <c r="U49" s="49">
        <f t="shared" si="47"/>
        <v>0</v>
      </c>
      <c r="V49" s="49">
        <f t="shared" si="47"/>
        <v>0</v>
      </c>
      <c r="W49" s="49">
        <f t="shared" si="47"/>
        <v>0</v>
      </c>
      <c r="X49" s="49">
        <f t="shared" si="47"/>
        <v>0</v>
      </c>
      <c r="Y49" s="49">
        <f t="shared" si="47"/>
        <v>0</v>
      </c>
      <c r="Z49" s="49">
        <f t="shared" si="47"/>
        <v>0</v>
      </c>
      <c r="AA49" s="49">
        <f t="shared" si="47"/>
        <v>0</v>
      </c>
      <c r="AB49" s="49">
        <f t="shared" si="47"/>
        <v>0</v>
      </c>
      <c r="AC49" s="49">
        <f t="shared" si="47"/>
        <v>0</v>
      </c>
      <c r="AD49" s="49">
        <f t="shared" si="47"/>
        <v>0</v>
      </c>
      <c r="AE49" s="49">
        <f t="shared" si="47"/>
        <v>0</v>
      </c>
      <c r="AF49" s="49">
        <f t="shared" si="47"/>
        <v>0</v>
      </c>
      <c r="AG49" s="49">
        <f t="shared" si="47"/>
        <v>0</v>
      </c>
      <c r="AH49" s="49">
        <f t="shared" si="47"/>
        <v>0</v>
      </c>
      <c r="AI49" s="49">
        <f t="shared" si="47"/>
        <v>0</v>
      </c>
      <c r="AJ49" s="49">
        <f t="shared" si="47"/>
        <v>0</v>
      </c>
      <c r="AK49" s="49">
        <f t="shared" si="47"/>
        <v>0</v>
      </c>
      <c r="AL49" s="49">
        <f t="shared" si="47"/>
        <v>0</v>
      </c>
      <c r="AM49" s="49">
        <f t="shared" si="47"/>
        <v>0</v>
      </c>
      <c r="AN49" s="49">
        <f t="shared" si="47"/>
        <v>0</v>
      </c>
      <c r="AO49" s="49">
        <f t="shared" si="47"/>
        <v>0</v>
      </c>
      <c r="AP49" s="49">
        <f t="shared" si="47"/>
        <v>0</v>
      </c>
      <c r="AQ49" s="49">
        <f t="shared" si="47"/>
        <v>0</v>
      </c>
      <c r="AR49" s="49">
        <f t="shared" si="47"/>
        <v>0</v>
      </c>
      <c r="AS49" s="49">
        <f t="shared" si="47"/>
        <v>0</v>
      </c>
      <c r="AT49" s="49">
        <f t="shared" si="47"/>
        <v>0</v>
      </c>
      <c r="AU49" s="49">
        <f t="shared" si="47"/>
        <v>0</v>
      </c>
      <c r="AV49" s="49">
        <f t="shared" si="47"/>
        <v>0</v>
      </c>
      <c r="AW49" s="49">
        <f t="shared" si="47"/>
        <v>0</v>
      </c>
      <c r="AX49" s="49">
        <f t="shared" si="47"/>
        <v>0</v>
      </c>
      <c r="AY49" s="49">
        <f t="shared" si="47"/>
        <v>0</v>
      </c>
      <c r="AZ49" s="49">
        <f t="shared" si="47"/>
        <v>0</v>
      </c>
      <c r="BA49" s="49">
        <f t="shared" si="47"/>
        <v>0</v>
      </c>
    </row>
    <row r="50" spans="2:53" x14ac:dyDescent="0.2">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row>
    <row r="51" spans="2:53" x14ac:dyDescent="0.2">
      <c r="B51" s="215">
        <v>6</v>
      </c>
      <c r="C51" s="74"/>
      <c r="D51" s="48"/>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row>
    <row r="52" spans="2:53" x14ac:dyDescent="0.2">
      <c r="B52" s="45" t="s">
        <v>100</v>
      </c>
      <c r="C52" s="73" t="s">
        <v>75</v>
      </c>
      <c r="D52" s="49">
        <f>0</f>
        <v>0</v>
      </c>
      <c r="E52" s="47">
        <f>D55</f>
        <v>0</v>
      </c>
      <c r="F52" s="47">
        <f t="shared" ref="F52:BA52" si="48">E55</f>
        <v>0</v>
      </c>
      <c r="G52" s="47">
        <f t="shared" si="48"/>
        <v>0</v>
      </c>
      <c r="H52" s="47">
        <f t="shared" si="48"/>
        <v>0</v>
      </c>
      <c r="I52" s="47">
        <f t="shared" si="48"/>
        <v>0</v>
      </c>
      <c r="J52" s="47">
        <f t="shared" si="48"/>
        <v>11.040808032000001</v>
      </c>
      <c r="K52" s="47">
        <f t="shared" si="48"/>
        <v>8.8326464256000001</v>
      </c>
      <c r="L52" s="47">
        <f t="shared" si="48"/>
        <v>6.6244848192000001</v>
      </c>
      <c r="M52" s="47">
        <f t="shared" si="48"/>
        <v>4.4163232128000001</v>
      </c>
      <c r="N52" s="47">
        <f t="shared" si="48"/>
        <v>2.2081616064</v>
      </c>
      <c r="O52" s="47">
        <f t="shared" si="48"/>
        <v>0</v>
      </c>
      <c r="P52" s="47">
        <f t="shared" si="48"/>
        <v>0</v>
      </c>
      <c r="Q52" s="47">
        <f t="shared" si="48"/>
        <v>0</v>
      </c>
      <c r="R52" s="47">
        <f t="shared" si="48"/>
        <v>0</v>
      </c>
      <c r="S52" s="47">
        <f t="shared" si="48"/>
        <v>0</v>
      </c>
      <c r="T52" s="47">
        <f t="shared" si="48"/>
        <v>0</v>
      </c>
      <c r="U52" s="47">
        <f t="shared" si="48"/>
        <v>0</v>
      </c>
      <c r="V52" s="47">
        <f t="shared" si="48"/>
        <v>0</v>
      </c>
      <c r="W52" s="47">
        <f t="shared" si="48"/>
        <v>0</v>
      </c>
      <c r="X52" s="47">
        <f t="shared" si="48"/>
        <v>0</v>
      </c>
      <c r="Y52" s="47">
        <f t="shared" si="48"/>
        <v>0</v>
      </c>
      <c r="Z52" s="47">
        <f t="shared" si="48"/>
        <v>0</v>
      </c>
      <c r="AA52" s="47">
        <f t="shared" si="48"/>
        <v>0</v>
      </c>
      <c r="AB52" s="47">
        <f t="shared" si="48"/>
        <v>0</v>
      </c>
      <c r="AC52" s="47">
        <f t="shared" si="48"/>
        <v>0</v>
      </c>
      <c r="AD52" s="47">
        <f t="shared" si="48"/>
        <v>0</v>
      </c>
      <c r="AE52" s="47">
        <f t="shared" si="48"/>
        <v>0</v>
      </c>
      <c r="AF52" s="47">
        <f t="shared" si="48"/>
        <v>0</v>
      </c>
      <c r="AG52" s="47">
        <f t="shared" si="48"/>
        <v>0</v>
      </c>
      <c r="AH52" s="47">
        <f t="shared" si="48"/>
        <v>0</v>
      </c>
      <c r="AI52" s="47">
        <f t="shared" si="48"/>
        <v>0</v>
      </c>
      <c r="AJ52" s="47">
        <f t="shared" si="48"/>
        <v>0</v>
      </c>
      <c r="AK52" s="47">
        <f t="shared" si="48"/>
        <v>0</v>
      </c>
      <c r="AL52" s="47">
        <f t="shared" si="48"/>
        <v>0</v>
      </c>
      <c r="AM52" s="47">
        <f t="shared" si="48"/>
        <v>0</v>
      </c>
      <c r="AN52" s="47">
        <f t="shared" si="48"/>
        <v>0</v>
      </c>
      <c r="AO52" s="47">
        <f t="shared" si="48"/>
        <v>0</v>
      </c>
      <c r="AP52" s="47">
        <f t="shared" si="48"/>
        <v>0</v>
      </c>
      <c r="AQ52" s="47">
        <f t="shared" si="48"/>
        <v>0</v>
      </c>
      <c r="AR52" s="47">
        <f t="shared" si="48"/>
        <v>0</v>
      </c>
      <c r="AS52" s="47">
        <f t="shared" si="48"/>
        <v>0</v>
      </c>
      <c r="AT52" s="47">
        <f t="shared" si="48"/>
        <v>0</v>
      </c>
      <c r="AU52" s="47">
        <f t="shared" si="48"/>
        <v>0</v>
      </c>
      <c r="AV52" s="47">
        <f t="shared" si="48"/>
        <v>0</v>
      </c>
      <c r="AW52" s="47">
        <f t="shared" si="48"/>
        <v>0</v>
      </c>
      <c r="AX52" s="47">
        <f t="shared" si="48"/>
        <v>0</v>
      </c>
      <c r="AY52" s="47">
        <f t="shared" si="48"/>
        <v>0</v>
      </c>
      <c r="AZ52" s="47">
        <f t="shared" si="48"/>
        <v>0</v>
      </c>
      <c r="BA52" s="47">
        <f t="shared" si="48"/>
        <v>0</v>
      </c>
    </row>
    <row r="53" spans="2:53" x14ac:dyDescent="0.2">
      <c r="B53" s="45" t="s">
        <v>101</v>
      </c>
      <c r="C53" s="75" t="s">
        <v>75</v>
      </c>
      <c r="D53" s="49">
        <f>IF($B51=D$2,D$4,0)</f>
        <v>0</v>
      </c>
      <c r="E53" s="49">
        <f t="shared" ref="E53:BA53" si="49">IF($B51=E$2,E$4,0)</f>
        <v>0</v>
      </c>
      <c r="F53" s="49">
        <f t="shared" si="49"/>
        <v>0</v>
      </c>
      <c r="G53" s="49">
        <f t="shared" si="49"/>
        <v>0</v>
      </c>
      <c r="H53" s="49">
        <f t="shared" si="49"/>
        <v>0</v>
      </c>
      <c r="I53" s="49">
        <f t="shared" si="49"/>
        <v>11.040808032000001</v>
      </c>
      <c r="J53" s="49">
        <f t="shared" si="49"/>
        <v>0</v>
      </c>
      <c r="K53" s="49">
        <f t="shared" si="49"/>
        <v>0</v>
      </c>
      <c r="L53" s="49">
        <f t="shared" si="49"/>
        <v>0</v>
      </c>
      <c r="M53" s="49">
        <f t="shared" si="49"/>
        <v>0</v>
      </c>
      <c r="N53" s="49">
        <f t="shared" si="49"/>
        <v>0</v>
      </c>
      <c r="O53" s="49">
        <f t="shared" si="49"/>
        <v>0</v>
      </c>
      <c r="P53" s="49">
        <f t="shared" si="49"/>
        <v>0</v>
      </c>
      <c r="Q53" s="49">
        <f t="shared" si="49"/>
        <v>0</v>
      </c>
      <c r="R53" s="49">
        <f t="shared" si="49"/>
        <v>0</v>
      </c>
      <c r="S53" s="49">
        <f t="shared" si="49"/>
        <v>0</v>
      </c>
      <c r="T53" s="49">
        <f t="shared" si="49"/>
        <v>0</v>
      </c>
      <c r="U53" s="49">
        <f t="shared" si="49"/>
        <v>0</v>
      </c>
      <c r="V53" s="49">
        <f t="shared" si="49"/>
        <v>0</v>
      </c>
      <c r="W53" s="49">
        <f t="shared" si="49"/>
        <v>0</v>
      </c>
      <c r="X53" s="49">
        <f t="shared" si="49"/>
        <v>0</v>
      </c>
      <c r="Y53" s="49">
        <f t="shared" si="49"/>
        <v>0</v>
      </c>
      <c r="Z53" s="49">
        <f t="shared" si="49"/>
        <v>0</v>
      </c>
      <c r="AA53" s="49">
        <f t="shared" si="49"/>
        <v>0</v>
      </c>
      <c r="AB53" s="49">
        <f t="shared" si="49"/>
        <v>0</v>
      </c>
      <c r="AC53" s="49">
        <f t="shared" si="49"/>
        <v>0</v>
      </c>
      <c r="AD53" s="49">
        <f t="shared" si="49"/>
        <v>0</v>
      </c>
      <c r="AE53" s="49">
        <f t="shared" si="49"/>
        <v>0</v>
      </c>
      <c r="AF53" s="49">
        <f t="shared" si="49"/>
        <v>0</v>
      </c>
      <c r="AG53" s="49">
        <f t="shared" si="49"/>
        <v>0</v>
      </c>
      <c r="AH53" s="49">
        <f t="shared" si="49"/>
        <v>0</v>
      </c>
      <c r="AI53" s="49">
        <f t="shared" si="49"/>
        <v>0</v>
      </c>
      <c r="AJ53" s="49">
        <f t="shared" si="49"/>
        <v>0</v>
      </c>
      <c r="AK53" s="49">
        <f t="shared" si="49"/>
        <v>0</v>
      </c>
      <c r="AL53" s="49">
        <f t="shared" si="49"/>
        <v>0</v>
      </c>
      <c r="AM53" s="49">
        <f t="shared" si="49"/>
        <v>0</v>
      </c>
      <c r="AN53" s="49">
        <f t="shared" si="49"/>
        <v>0</v>
      </c>
      <c r="AO53" s="49">
        <f t="shared" si="49"/>
        <v>0</v>
      </c>
      <c r="AP53" s="49">
        <f t="shared" si="49"/>
        <v>0</v>
      </c>
      <c r="AQ53" s="49">
        <f t="shared" si="49"/>
        <v>0</v>
      </c>
      <c r="AR53" s="49">
        <f t="shared" si="49"/>
        <v>0</v>
      </c>
      <c r="AS53" s="49">
        <f t="shared" si="49"/>
        <v>0</v>
      </c>
      <c r="AT53" s="49">
        <f t="shared" si="49"/>
        <v>0</v>
      </c>
      <c r="AU53" s="49">
        <f t="shared" si="49"/>
        <v>0</v>
      </c>
      <c r="AV53" s="49">
        <f t="shared" si="49"/>
        <v>0</v>
      </c>
      <c r="AW53" s="49">
        <f t="shared" si="49"/>
        <v>0</v>
      </c>
      <c r="AX53" s="49">
        <f t="shared" si="49"/>
        <v>0</v>
      </c>
      <c r="AY53" s="49">
        <f t="shared" si="49"/>
        <v>0</v>
      </c>
      <c r="AZ53" s="49">
        <f t="shared" si="49"/>
        <v>0</v>
      </c>
      <c r="BA53" s="49">
        <f t="shared" si="49"/>
        <v>0</v>
      </c>
    </row>
    <row r="54" spans="2:53" x14ac:dyDescent="0.2">
      <c r="B54" t="s">
        <v>102</v>
      </c>
      <c r="C54" s="73" t="s">
        <v>75</v>
      </c>
      <c r="D54" s="47"/>
      <c r="E54" s="47">
        <f>IF(OR(D55&lt;=$B$15*$I$53,F$1-$J$1&gt;$B$13),0,-IF($B$12="straight line",SLN($I$53,+$B$15*$I$53,$B$13),VDB($I$53,$B$15*$I$53,$B$13,E$1-$J$1,F$1-$J$1,$B$14)))</f>
        <v>0</v>
      </c>
      <c r="F54" s="47">
        <f t="shared" ref="F54:BA54" si="50">IF(OR(E55&lt;=$B$15*$I$53,G$1-$J$1&gt;$B$13),0,-IF($B$12="straight line",SLN($I$53,+$B$15*$I$53,$B$13),VDB($I$53,$B$15*$I$53,$B$13,F$1-$J$1,G$1-$J$1,$B$14)))</f>
        <v>0</v>
      </c>
      <c r="G54" s="47">
        <f t="shared" si="50"/>
        <v>0</v>
      </c>
      <c r="H54" s="47">
        <f t="shared" si="50"/>
        <v>0</v>
      </c>
      <c r="I54" s="47">
        <f t="shared" si="50"/>
        <v>0</v>
      </c>
      <c r="J54" s="47">
        <f t="shared" si="50"/>
        <v>-2.2081616064</v>
      </c>
      <c r="K54" s="47">
        <f t="shared" si="50"/>
        <v>-2.2081616064</v>
      </c>
      <c r="L54" s="47">
        <f t="shared" si="50"/>
        <v>-2.2081616064</v>
      </c>
      <c r="M54" s="47">
        <f t="shared" si="50"/>
        <v>-2.2081616064</v>
      </c>
      <c r="N54" s="47">
        <f t="shared" si="50"/>
        <v>-2.2081616064</v>
      </c>
      <c r="O54" s="47">
        <f t="shared" si="50"/>
        <v>0</v>
      </c>
      <c r="P54" s="47">
        <f t="shared" si="50"/>
        <v>0</v>
      </c>
      <c r="Q54" s="47">
        <f t="shared" si="50"/>
        <v>0</v>
      </c>
      <c r="R54" s="47">
        <f t="shared" si="50"/>
        <v>0</v>
      </c>
      <c r="S54" s="47">
        <f t="shared" si="50"/>
        <v>0</v>
      </c>
      <c r="T54" s="47">
        <f t="shared" si="50"/>
        <v>0</v>
      </c>
      <c r="U54" s="47">
        <f t="shared" si="50"/>
        <v>0</v>
      </c>
      <c r="V54" s="47">
        <f t="shared" si="50"/>
        <v>0</v>
      </c>
      <c r="W54" s="47">
        <f t="shared" si="50"/>
        <v>0</v>
      </c>
      <c r="X54" s="47">
        <f t="shared" si="50"/>
        <v>0</v>
      </c>
      <c r="Y54" s="47">
        <f t="shared" si="50"/>
        <v>0</v>
      </c>
      <c r="Z54" s="47">
        <f t="shared" si="50"/>
        <v>0</v>
      </c>
      <c r="AA54" s="47">
        <f t="shared" si="50"/>
        <v>0</v>
      </c>
      <c r="AB54" s="47">
        <f t="shared" si="50"/>
        <v>0</v>
      </c>
      <c r="AC54" s="47">
        <f t="shared" si="50"/>
        <v>0</v>
      </c>
      <c r="AD54" s="47">
        <f t="shared" si="50"/>
        <v>0</v>
      </c>
      <c r="AE54" s="47">
        <f t="shared" si="50"/>
        <v>0</v>
      </c>
      <c r="AF54" s="47">
        <f t="shared" si="50"/>
        <v>0</v>
      </c>
      <c r="AG54" s="47">
        <f t="shared" si="50"/>
        <v>0</v>
      </c>
      <c r="AH54" s="47">
        <f t="shared" si="50"/>
        <v>0</v>
      </c>
      <c r="AI54" s="47">
        <f t="shared" si="50"/>
        <v>0</v>
      </c>
      <c r="AJ54" s="47">
        <f t="shared" si="50"/>
        <v>0</v>
      </c>
      <c r="AK54" s="47">
        <f t="shared" si="50"/>
        <v>0</v>
      </c>
      <c r="AL54" s="47">
        <f t="shared" si="50"/>
        <v>0</v>
      </c>
      <c r="AM54" s="47">
        <f t="shared" si="50"/>
        <v>0</v>
      </c>
      <c r="AN54" s="47">
        <f t="shared" si="50"/>
        <v>0</v>
      </c>
      <c r="AO54" s="47">
        <f t="shared" si="50"/>
        <v>0</v>
      </c>
      <c r="AP54" s="47">
        <f t="shared" si="50"/>
        <v>0</v>
      </c>
      <c r="AQ54" s="47">
        <f t="shared" si="50"/>
        <v>0</v>
      </c>
      <c r="AR54" s="47">
        <f t="shared" si="50"/>
        <v>0</v>
      </c>
      <c r="AS54" s="47">
        <f t="shared" si="50"/>
        <v>0</v>
      </c>
      <c r="AT54" s="47">
        <f t="shared" si="50"/>
        <v>0</v>
      </c>
      <c r="AU54" s="47">
        <f t="shared" si="50"/>
        <v>0</v>
      </c>
      <c r="AV54" s="47">
        <f t="shared" si="50"/>
        <v>0</v>
      </c>
      <c r="AW54" s="47">
        <f t="shared" si="50"/>
        <v>0</v>
      </c>
      <c r="AX54" s="47">
        <f t="shared" si="50"/>
        <v>0</v>
      </c>
      <c r="AY54" s="47">
        <f t="shared" si="50"/>
        <v>0</v>
      </c>
      <c r="AZ54" s="47">
        <f t="shared" si="50"/>
        <v>0</v>
      </c>
      <c r="BA54" s="47">
        <f t="shared" si="50"/>
        <v>0</v>
      </c>
    </row>
    <row r="55" spans="2:53" x14ac:dyDescent="0.2">
      <c r="B55" t="s">
        <v>103</v>
      </c>
      <c r="C55" s="73" t="s">
        <v>75</v>
      </c>
      <c r="D55" s="49">
        <f>SUM(D52:D54)</f>
        <v>0</v>
      </c>
      <c r="E55" s="49">
        <f t="shared" ref="E55:BA55" si="51">SUM(E52:E54)</f>
        <v>0</v>
      </c>
      <c r="F55" s="49">
        <f t="shared" si="51"/>
        <v>0</v>
      </c>
      <c r="G55" s="49">
        <f t="shared" si="51"/>
        <v>0</v>
      </c>
      <c r="H55" s="49">
        <f t="shared" si="51"/>
        <v>0</v>
      </c>
      <c r="I55" s="49">
        <f t="shared" si="51"/>
        <v>11.040808032000001</v>
      </c>
      <c r="J55" s="49">
        <f t="shared" si="51"/>
        <v>8.8326464256000001</v>
      </c>
      <c r="K55" s="49">
        <f t="shared" si="51"/>
        <v>6.6244848192000001</v>
      </c>
      <c r="L55" s="49">
        <f t="shared" si="51"/>
        <v>4.4163232128000001</v>
      </c>
      <c r="M55" s="49">
        <f t="shared" si="51"/>
        <v>2.2081616064</v>
      </c>
      <c r="N55" s="49">
        <f t="shared" si="51"/>
        <v>0</v>
      </c>
      <c r="O55" s="49">
        <f t="shared" si="51"/>
        <v>0</v>
      </c>
      <c r="P55" s="49">
        <f t="shared" si="51"/>
        <v>0</v>
      </c>
      <c r="Q55" s="49">
        <f t="shared" si="51"/>
        <v>0</v>
      </c>
      <c r="R55" s="49">
        <f t="shared" si="51"/>
        <v>0</v>
      </c>
      <c r="S55" s="49">
        <f t="shared" si="51"/>
        <v>0</v>
      </c>
      <c r="T55" s="49">
        <f t="shared" si="51"/>
        <v>0</v>
      </c>
      <c r="U55" s="49">
        <f t="shared" si="51"/>
        <v>0</v>
      </c>
      <c r="V55" s="49">
        <f t="shared" si="51"/>
        <v>0</v>
      </c>
      <c r="W55" s="49">
        <f t="shared" si="51"/>
        <v>0</v>
      </c>
      <c r="X55" s="49">
        <f t="shared" si="51"/>
        <v>0</v>
      </c>
      <c r="Y55" s="49">
        <f t="shared" si="51"/>
        <v>0</v>
      </c>
      <c r="Z55" s="49">
        <f t="shared" si="51"/>
        <v>0</v>
      </c>
      <c r="AA55" s="49">
        <f t="shared" si="51"/>
        <v>0</v>
      </c>
      <c r="AB55" s="49">
        <f t="shared" si="51"/>
        <v>0</v>
      </c>
      <c r="AC55" s="49">
        <f t="shared" si="51"/>
        <v>0</v>
      </c>
      <c r="AD55" s="49">
        <f t="shared" si="51"/>
        <v>0</v>
      </c>
      <c r="AE55" s="49">
        <f t="shared" si="51"/>
        <v>0</v>
      </c>
      <c r="AF55" s="49">
        <f t="shared" si="51"/>
        <v>0</v>
      </c>
      <c r="AG55" s="49">
        <f t="shared" si="51"/>
        <v>0</v>
      </c>
      <c r="AH55" s="49">
        <f t="shared" si="51"/>
        <v>0</v>
      </c>
      <c r="AI55" s="49">
        <f t="shared" si="51"/>
        <v>0</v>
      </c>
      <c r="AJ55" s="49">
        <f t="shared" si="51"/>
        <v>0</v>
      </c>
      <c r="AK55" s="49">
        <f t="shared" si="51"/>
        <v>0</v>
      </c>
      <c r="AL55" s="49">
        <f t="shared" si="51"/>
        <v>0</v>
      </c>
      <c r="AM55" s="49">
        <f t="shared" si="51"/>
        <v>0</v>
      </c>
      <c r="AN55" s="49">
        <f t="shared" si="51"/>
        <v>0</v>
      </c>
      <c r="AO55" s="49">
        <f t="shared" si="51"/>
        <v>0</v>
      </c>
      <c r="AP55" s="49">
        <f t="shared" si="51"/>
        <v>0</v>
      </c>
      <c r="AQ55" s="49">
        <f t="shared" si="51"/>
        <v>0</v>
      </c>
      <c r="AR55" s="49">
        <f t="shared" si="51"/>
        <v>0</v>
      </c>
      <c r="AS55" s="49">
        <f t="shared" si="51"/>
        <v>0</v>
      </c>
      <c r="AT55" s="49">
        <f t="shared" si="51"/>
        <v>0</v>
      </c>
      <c r="AU55" s="49">
        <f t="shared" si="51"/>
        <v>0</v>
      </c>
      <c r="AV55" s="49">
        <f t="shared" si="51"/>
        <v>0</v>
      </c>
      <c r="AW55" s="49">
        <f t="shared" si="51"/>
        <v>0</v>
      </c>
      <c r="AX55" s="49">
        <f t="shared" si="51"/>
        <v>0</v>
      </c>
      <c r="AY55" s="49">
        <f t="shared" si="51"/>
        <v>0</v>
      </c>
      <c r="AZ55" s="49">
        <f t="shared" si="51"/>
        <v>0</v>
      </c>
      <c r="BA55" s="49">
        <f t="shared" si="51"/>
        <v>0</v>
      </c>
    </row>
    <row r="56" spans="2:53" x14ac:dyDescent="0.2">
      <c r="D56" s="47"/>
      <c r="E56" s="47"/>
      <c r="F56" s="47"/>
      <c r="G56" s="47"/>
      <c r="H56" s="47"/>
      <c r="I56" s="47"/>
      <c r="J56" s="47"/>
      <c r="K56" s="47"/>
      <c r="L56" s="47"/>
      <c r="M56" s="47"/>
      <c r="N56" s="47"/>
      <c r="O56" s="47"/>
      <c r="P56" s="47"/>
      <c r="Q56" s="47"/>
      <c r="R56" s="47"/>
      <c r="S56" s="47"/>
      <c r="T56" s="47"/>
      <c r="U56" s="47"/>
      <c r="V56" s="47"/>
      <c r="W56" s="47"/>
      <c r="X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row>
    <row r="57" spans="2:53" x14ac:dyDescent="0.2">
      <c r="B57" s="215">
        <v>7</v>
      </c>
      <c r="C57" s="74"/>
      <c r="D57" s="48"/>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row>
    <row r="58" spans="2:53" x14ac:dyDescent="0.2">
      <c r="B58" s="45" t="s">
        <v>100</v>
      </c>
      <c r="C58" s="73" t="s">
        <v>75</v>
      </c>
      <c r="D58" s="49">
        <f>0</f>
        <v>0</v>
      </c>
      <c r="E58" s="47">
        <f>D61</f>
        <v>0</v>
      </c>
      <c r="F58" s="47">
        <f t="shared" ref="F58:BA58" si="52">E61</f>
        <v>0</v>
      </c>
      <c r="G58" s="47">
        <f t="shared" si="52"/>
        <v>0</v>
      </c>
      <c r="H58" s="47">
        <f t="shared" si="52"/>
        <v>0</v>
      </c>
      <c r="I58" s="47">
        <f t="shared" si="52"/>
        <v>0</v>
      </c>
      <c r="J58" s="47">
        <f t="shared" si="52"/>
        <v>0</v>
      </c>
      <c r="K58" s="47">
        <f t="shared" si="52"/>
        <v>11.261624192640001</v>
      </c>
      <c r="L58" s="47">
        <f t="shared" si="52"/>
        <v>9.0092993541120006</v>
      </c>
      <c r="M58" s="47">
        <f t="shared" si="52"/>
        <v>6.756974515584</v>
      </c>
      <c r="N58" s="47">
        <f t="shared" si="52"/>
        <v>4.5046496770559994</v>
      </c>
      <c r="O58" s="47">
        <f t="shared" si="52"/>
        <v>2.2523248385279993</v>
      </c>
      <c r="P58" s="47">
        <f t="shared" si="52"/>
        <v>0</v>
      </c>
      <c r="Q58" s="47">
        <f t="shared" si="52"/>
        <v>0</v>
      </c>
      <c r="R58" s="47">
        <f t="shared" si="52"/>
        <v>0</v>
      </c>
      <c r="S58" s="47">
        <f t="shared" si="52"/>
        <v>0</v>
      </c>
      <c r="T58" s="47">
        <f t="shared" si="52"/>
        <v>0</v>
      </c>
      <c r="U58" s="47">
        <f t="shared" si="52"/>
        <v>0</v>
      </c>
      <c r="V58" s="47">
        <f t="shared" si="52"/>
        <v>0</v>
      </c>
      <c r="W58" s="47">
        <f t="shared" si="52"/>
        <v>0</v>
      </c>
      <c r="X58" s="47">
        <f t="shared" si="52"/>
        <v>0</v>
      </c>
      <c r="Y58" s="47">
        <f t="shared" si="52"/>
        <v>0</v>
      </c>
      <c r="Z58" s="47">
        <f t="shared" si="52"/>
        <v>0</v>
      </c>
      <c r="AA58" s="47">
        <f t="shared" si="52"/>
        <v>0</v>
      </c>
      <c r="AB58" s="47">
        <f t="shared" si="52"/>
        <v>0</v>
      </c>
      <c r="AC58" s="47">
        <f t="shared" si="52"/>
        <v>0</v>
      </c>
      <c r="AD58" s="47">
        <f t="shared" si="52"/>
        <v>0</v>
      </c>
      <c r="AE58" s="47">
        <f t="shared" si="52"/>
        <v>0</v>
      </c>
      <c r="AF58" s="47">
        <f t="shared" si="52"/>
        <v>0</v>
      </c>
      <c r="AG58" s="47">
        <f t="shared" si="52"/>
        <v>0</v>
      </c>
      <c r="AH58" s="47">
        <f t="shared" si="52"/>
        <v>0</v>
      </c>
      <c r="AI58" s="47">
        <f t="shared" si="52"/>
        <v>0</v>
      </c>
      <c r="AJ58" s="47">
        <f t="shared" si="52"/>
        <v>0</v>
      </c>
      <c r="AK58" s="47">
        <f t="shared" si="52"/>
        <v>0</v>
      </c>
      <c r="AL58" s="47">
        <f t="shared" si="52"/>
        <v>0</v>
      </c>
      <c r="AM58" s="47">
        <f t="shared" si="52"/>
        <v>0</v>
      </c>
      <c r="AN58" s="47">
        <f t="shared" si="52"/>
        <v>0</v>
      </c>
      <c r="AO58" s="47">
        <f t="shared" si="52"/>
        <v>0</v>
      </c>
      <c r="AP58" s="47">
        <f t="shared" si="52"/>
        <v>0</v>
      </c>
      <c r="AQ58" s="47">
        <f t="shared" si="52"/>
        <v>0</v>
      </c>
      <c r="AR58" s="47">
        <f t="shared" si="52"/>
        <v>0</v>
      </c>
      <c r="AS58" s="47">
        <f t="shared" si="52"/>
        <v>0</v>
      </c>
      <c r="AT58" s="47">
        <f t="shared" si="52"/>
        <v>0</v>
      </c>
      <c r="AU58" s="47">
        <f t="shared" si="52"/>
        <v>0</v>
      </c>
      <c r="AV58" s="47">
        <f t="shared" si="52"/>
        <v>0</v>
      </c>
      <c r="AW58" s="47">
        <f t="shared" si="52"/>
        <v>0</v>
      </c>
      <c r="AX58" s="47">
        <f t="shared" si="52"/>
        <v>0</v>
      </c>
      <c r="AY58" s="47">
        <f t="shared" si="52"/>
        <v>0</v>
      </c>
      <c r="AZ58" s="47">
        <f t="shared" si="52"/>
        <v>0</v>
      </c>
      <c r="BA58" s="47">
        <f t="shared" si="52"/>
        <v>0</v>
      </c>
    </row>
    <row r="59" spans="2:53" x14ac:dyDescent="0.2">
      <c r="B59" s="45" t="s">
        <v>101</v>
      </c>
      <c r="C59" s="75" t="s">
        <v>75</v>
      </c>
      <c r="D59" s="49">
        <f>IF($B57=D$2,D$4,0)</f>
        <v>0</v>
      </c>
      <c r="E59" s="49">
        <f t="shared" ref="E59:BA59" si="53">IF($B57=E$2,E$4,0)</f>
        <v>0</v>
      </c>
      <c r="F59" s="49">
        <f t="shared" si="53"/>
        <v>0</v>
      </c>
      <c r="G59" s="49">
        <f t="shared" si="53"/>
        <v>0</v>
      </c>
      <c r="H59" s="49">
        <f t="shared" si="53"/>
        <v>0</v>
      </c>
      <c r="I59" s="49">
        <f t="shared" si="53"/>
        <v>0</v>
      </c>
      <c r="J59" s="49">
        <f t="shared" si="53"/>
        <v>11.261624192640001</v>
      </c>
      <c r="K59" s="49">
        <f t="shared" si="53"/>
        <v>0</v>
      </c>
      <c r="L59" s="49">
        <f t="shared" si="53"/>
        <v>0</v>
      </c>
      <c r="M59" s="49">
        <f t="shared" si="53"/>
        <v>0</v>
      </c>
      <c r="N59" s="49">
        <f t="shared" si="53"/>
        <v>0</v>
      </c>
      <c r="O59" s="49">
        <f t="shared" si="53"/>
        <v>0</v>
      </c>
      <c r="P59" s="49">
        <f t="shared" si="53"/>
        <v>0</v>
      </c>
      <c r="Q59" s="49">
        <f t="shared" si="53"/>
        <v>0</v>
      </c>
      <c r="R59" s="49">
        <f t="shared" si="53"/>
        <v>0</v>
      </c>
      <c r="S59" s="49">
        <f t="shared" si="53"/>
        <v>0</v>
      </c>
      <c r="T59" s="49">
        <f t="shared" si="53"/>
        <v>0</v>
      </c>
      <c r="U59" s="49">
        <f t="shared" si="53"/>
        <v>0</v>
      </c>
      <c r="V59" s="49">
        <f t="shared" si="53"/>
        <v>0</v>
      </c>
      <c r="W59" s="49">
        <f t="shared" si="53"/>
        <v>0</v>
      </c>
      <c r="X59" s="49">
        <f t="shared" si="53"/>
        <v>0</v>
      </c>
      <c r="Y59" s="49">
        <f t="shared" si="53"/>
        <v>0</v>
      </c>
      <c r="Z59" s="49">
        <f t="shared" si="53"/>
        <v>0</v>
      </c>
      <c r="AA59" s="49">
        <f t="shared" si="53"/>
        <v>0</v>
      </c>
      <c r="AB59" s="49">
        <f t="shared" si="53"/>
        <v>0</v>
      </c>
      <c r="AC59" s="49">
        <f t="shared" si="53"/>
        <v>0</v>
      </c>
      <c r="AD59" s="49">
        <f t="shared" si="53"/>
        <v>0</v>
      </c>
      <c r="AE59" s="49">
        <f t="shared" si="53"/>
        <v>0</v>
      </c>
      <c r="AF59" s="49">
        <f t="shared" si="53"/>
        <v>0</v>
      </c>
      <c r="AG59" s="49">
        <f t="shared" si="53"/>
        <v>0</v>
      </c>
      <c r="AH59" s="49">
        <f t="shared" si="53"/>
        <v>0</v>
      </c>
      <c r="AI59" s="49">
        <f t="shared" si="53"/>
        <v>0</v>
      </c>
      <c r="AJ59" s="49">
        <f t="shared" si="53"/>
        <v>0</v>
      </c>
      <c r="AK59" s="49">
        <f t="shared" si="53"/>
        <v>0</v>
      </c>
      <c r="AL59" s="49">
        <f t="shared" si="53"/>
        <v>0</v>
      </c>
      <c r="AM59" s="49">
        <f t="shared" si="53"/>
        <v>0</v>
      </c>
      <c r="AN59" s="49">
        <f t="shared" si="53"/>
        <v>0</v>
      </c>
      <c r="AO59" s="49">
        <f t="shared" si="53"/>
        <v>0</v>
      </c>
      <c r="AP59" s="49">
        <f t="shared" si="53"/>
        <v>0</v>
      </c>
      <c r="AQ59" s="49">
        <f t="shared" si="53"/>
        <v>0</v>
      </c>
      <c r="AR59" s="49">
        <f t="shared" si="53"/>
        <v>0</v>
      </c>
      <c r="AS59" s="49">
        <f t="shared" si="53"/>
        <v>0</v>
      </c>
      <c r="AT59" s="49">
        <f t="shared" si="53"/>
        <v>0</v>
      </c>
      <c r="AU59" s="49">
        <f t="shared" si="53"/>
        <v>0</v>
      </c>
      <c r="AV59" s="49">
        <f t="shared" si="53"/>
        <v>0</v>
      </c>
      <c r="AW59" s="49">
        <f t="shared" si="53"/>
        <v>0</v>
      </c>
      <c r="AX59" s="49">
        <f t="shared" si="53"/>
        <v>0</v>
      </c>
      <c r="AY59" s="49">
        <f t="shared" si="53"/>
        <v>0</v>
      </c>
      <c r="AZ59" s="49">
        <f t="shared" si="53"/>
        <v>0</v>
      </c>
      <c r="BA59" s="49">
        <f t="shared" si="53"/>
        <v>0</v>
      </c>
    </row>
    <row r="60" spans="2:53" x14ac:dyDescent="0.2">
      <c r="B60" t="s">
        <v>102</v>
      </c>
      <c r="C60" s="73" t="s">
        <v>75</v>
      </c>
      <c r="D60" s="47"/>
      <c r="E60" s="47">
        <f t="shared" ref="E60:Z60" si="54">IF(OR(D61&lt;=$B$15*$J$59,F$1-$K$1&gt;$B$13),0,-IF($B$12="straight line",SLN($J$59,+$B$15*$J$59,$B$13),VDB($J$59,$B$15*$J$59,$B$13,E$1-$K$1,F$1-$K$1,$B$14)))</f>
        <v>0</v>
      </c>
      <c r="F60" s="47">
        <f t="shared" si="54"/>
        <v>0</v>
      </c>
      <c r="G60" s="47">
        <f t="shared" si="54"/>
        <v>0</v>
      </c>
      <c r="H60" s="47">
        <f t="shared" si="54"/>
        <v>0</v>
      </c>
      <c r="I60" s="47">
        <f t="shared" si="54"/>
        <v>0</v>
      </c>
      <c r="J60" s="47">
        <f t="shared" si="54"/>
        <v>0</v>
      </c>
      <c r="K60" s="47">
        <f t="shared" si="54"/>
        <v>-2.2523248385280001</v>
      </c>
      <c r="L60" s="47">
        <f t="shared" si="54"/>
        <v>-2.2523248385280001</v>
      </c>
      <c r="M60" s="47">
        <f t="shared" si="54"/>
        <v>-2.2523248385280001</v>
      </c>
      <c r="N60" s="47">
        <f t="shared" si="54"/>
        <v>-2.2523248385280001</v>
      </c>
      <c r="O60" s="47">
        <f t="shared" si="54"/>
        <v>-2.2523248385280001</v>
      </c>
      <c r="P60" s="47">
        <f t="shared" si="54"/>
        <v>0</v>
      </c>
      <c r="Q60" s="47">
        <f t="shared" si="54"/>
        <v>0</v>
      </c>
      <c r="R60" s="47">
        <f t="shared" si="54"/>
        <v>0</v>
      </c>
      <c r="S60" s="47">
        <f t="shared" si="54"/>
        <v>0</v>
      </c>
      <c r="T60" s="47">
        <f t="shared" si="54"/>
        <v>0</v>
      </c>
      <c r="U60" s="47">
        <f t="shared" si="54"/>
        <v>0</v>
      </c>
      <c r="V60" s="47">
        <f t="shared" si="54"/>
        <v>0</v>
      </c>
      <c r="W60" s="47">
        <f t="shared" si="54"/>
        <v>0</v>
      </c>
      <c r="X60" s="47">
        <f t="shared" si="54"/>
        <v>0</v>
      </c>
      <c r="Y60" s="47">
        <f t="shared" si="54"/>
        <v>0</v>
      </c>
      <c r="Z60" s="47">
        <f t="shared" si="54"/>
        <v>0</v>
      </c>
      <c r="AA60" s="47">
        <f>IF(OR(Z61&lt;=$B$15*$J$59,AB$1-$K$1&gt;$B$13),0,-IF($B$12="straight line",SLN($J$59,+$B$15*$J$59,$B$13),VDB($J$59,$B$15*$J$59,$B$13,AA$1-$K$1,AB$1-$K$1,$B$14)))</f>
        <v>0</v>
      </c>
      <c r="AB60" s="47">
        <f t="shared" ref="AB60:BA60" si="55">IF(OR(AA61&lt;=$B$15*$J$59,AC$1-$K$1&gt;$B$13),0,-IF($B$12="straight line",SLN($J$59,+$B$15*$J$59,$B$13),VDB($J$59,$B$15*$J$59,$B$13,AB$1-$K$1,AC$1-$K$1,$B$14)))</f>
        <v>0</v>
      </c>
      <c r="AC60" s="47">
        <f t="shared" si="55"/>
        <v>0</v>
      </c>
      <c r="AD60" s="47">
        <f t="shared" si="55"/>
        <v>0</v>
      </c>
      <c r="AE60" s="47">
        <f t="shared" si="55"/>
        <v>0</v>
      </c>
      <c r="AF60" s="47">
        <f t="shared" si="55"/>
        <v>0</v>
      </c>
      <c r="AG60" s="47">
        <f t="shared" si="55"/>
        <v>0</v>
      </c>
      <c r="AH60" s="47">
        <f t="shared" si="55"/>
        <v>0</v>
      </c>
      <c r="AI60" s="47">
        <f t="shared" si="55"/>
        <v>0</v>
      </c>
      <c r="AJ60" s="47">
        <f t="shared" si="55"/>
        <v>0</v>
      </c>
      <c r="AK60" s="47">
        <f t="shared" si="55"/>
        <v>0</v>
      </c>
      <c r="AL60" s="47">
        <f t="shared" si="55"/>
        <v>0</v>
      </c>
      <c r="AM60" s="47">
        <f t="shared" si="55"/>
        <v>0</v>
      </c>
      <c r="AN60" s="47">
        <f t="shared" si="55"/>
        <v>0</v>
      </c>
      <c r="AO60" s="47">
        <f t="shared" si="55"/>
        <v>0</v>
      </c>
      <c r="AP60" s="47">
        <f t="shared" si="55"/>
        <v>0</v>
      </c>
      <c r="AQ60" s="47">
        <f t="shared" si="55"/>
        <v>0</v>
      </c>
      <c r="AR60" s="47">
        <f t="shared" si="55"/>
        <v>0</v>
      </c>
      <c r="AS60" s="47">
        <f t="shared" si="55"/>
        <v>0</v>
      </c>
      <c r="AT60" s="47">
        <f t="shared" si="55"/>
        <v>0</v>
      </c>
      <c r="AU60" s="47">
        <f t="shared" si="55"/>
        <v>0</v>
      </c>
      <c r="AV60" s="47">
        <f t="shared" si="55"/>
        <v>0</v>
      </c>
      <c r="AW60" s="47">
        <f t="shared" si="55"/>
        <v>0</v>
      </c>
      <c r="AX60" s="47">
        <f t="shared" si="55"/>
        <v>0</v>
      </c>
      <c r="AY60" s="47">
        <f t="shared" si="55"/>
        <v>0</v>
      </c>
      <c r="AZ60" s="47">
        <f t="shared" si="55"/>
        <v>0</v>
      </c>
      <c r="BA60" s="47">
        <f t="shared" si="55"/>
        <v>0</v>
      </c>
    </row>
    <row r="61" spans="2:53" x14ac:dyDescent="0.2">
      <c r="B61" t="s">
        <v>103</v>
      </c>
      <c r="C61" s="73" t="s">
        <v>75</v>
      </c>
      <c r="D61" s="49">
        <f>SUM(D58:D60)</f>
        <v>0</v>
      </c>
      <c r="E61" s="49">
        <f t="shared" ref="E61:BA61" si="56">SUM(E58:E60)</f>
        <v>0</v>
      </c>
      <c r="F61" s="49">
        <f t="shared" si="56"/>
        <v>0</v>
      </c>
      <c r="G61" s="49">
        <f t="shared" si="56"/>
        <v>0</v>
      </c>
      <c r="H61" s="49">
        <f t="shared" si="56"/>
        <v>0</v>
      </c>
      <c r="I61" s="49">
        <f t="shared" si="56"/>
        <v>0</v>
      </c>
      <c r="J61" s="49">
        <f t="shared" si="56"/>
        <v>11.261624192640001</v>
      </c>
      <c r="K61" s="49">
        <f t="shared" si="56"/>
        <v>9.0092993541120006</v>
      </c>
      <c r="L61" s="49">
        <f t="shared" si="56"/>
        <v>6.756974515584</v>
      </c>
      <c r="M61" s="49">
        <f t="shared" si="56"/>
        <v>4.5046496770559994</v>
      </c>
      <c r="N61" s="49">
        <f t="shared" si="56"/>
        <v>2.2523248385279993</v>
      </c>
      <c r="O61" s="49">
        <f t="shared" si="56"/>
        <v>0</v>
      </c>
      <c r="P61" s="49">
        <f t="shared" si="56"/>
        <v>0</v>
      </c>
      <c r="Q61" s="49">
        <f t="shared" si="56"/>
        <v>0</v>
      </c>
      <c r="R61" s="49">
        <f t="shared" si="56"/>
        <v>0</v>
      </c>
      <c r="S61" s="49">
        <f t="shared" si="56"/>
        <v>0</v>
      </c>
      <c r="T61" s="49">
        <f t="shared" si="56"/>
        <v>0</v>
      </c>
      <c r="U61" s="49">
        <f t="shared" si="56"/>
        <v>0</v>
      </c>
      <c r="V61" s="49">
        <f t="shared" si="56"/>
        <v>0</v>
      </c>
      <c r="W61" s="49">
        <f t="shared" si="56"/>
        <v>0</v>
      </c>
      <c r="X61" s="49">
        <f t="shared" si="56"/>
        <v>0</v>
      </c>
      <c r="Y61" s="49">
        <f t="shared" si="56"/>
        <v>0</v>
      </c>
      <c r="Z61" s="213">
        <f t="shared" si="56"/>
        <v>0</v>
      </c>
      <c r="AA61" s="49">
        <f t="shared" si="56"/>
        <v>0</v>
      </c>
      <c r="AB61" s="49">
        <f t="shared" si="56"/>
        <v>0</v>
      </c>
      <c r="AC61" s="49">
        <f t="shared" si="56"/>
        <v>0</v>
      </c>
      <c r="AD61" s="49">
        <f t="shared" si="56"/>
        <v>0</v>
      </c>
      <c r="AE61" s="49">
        <f t="shared" si="56"/>
        <v>0</v>
      </c>
      <c r="AF61" s="49">
        <f t="shared" si="56"/>
        <v>0</v>
      </c>
      <c r="AG61" s="49">
        <f t="shared" si="56"/>
        <v>0</v>
      </c>
      <c r="AH61" s="49">
        <f t="shared" si="56"/>
        <v>0</v>
      </c>
      <c r="AI61" s="49">
        <f t="shared" si="56"/>
        <v>0</v>
      </c>
      <c r="AJ61" s="49">
        <f t="shared" si="56"/>
        <v>0</v>
      </c>
      <c r="AK61" s="49">
        <f t="shared" si="56"/>
        <v>0</v>
      </c>
      <c r="AL61" s="49">
        <f t="shared" si="56"/>
        <v>0</v>
      </c>
      <c r="AM61" s="49">
        <f t="shared" si="56"/>
        <v>0</v>
      </c>
      <c r="AN61" s="49">
        <f t="shared" si="56"/>
        <v>0</v>
      </c>
      <c r="AO61" s="49">
        <f t="shared" si="56"/>
        <v>0</v>
      </c>
      <c r="AP61" s="49">
        <f t="shared" si="56"/>
        <v>0</v>
      </c>
      <c r="AQ61" s="49">
        <f t="shared" si="56"/>
        <v>0</v>
      </c>
      <c r="AR61" s="49">
        <f t="shared" si="56"/>
        <v>0</v>
      </c>
      <c r="AS61" s="49">
        <f t="shared" si="56"/>
        <v>0</v>
      </c>
      <c r="AT61" s="49">
        <f t="shared" si="56"/>
        <v>0</v>
      </c>
      <c r="AU61" s="49">
        <f t="shared" si="56"/>
        <v>0</v>
      </c>
      <c r="AV61" s="49">
        <f t="shared" si="56"/>
        <v>0</v>
      </c>
      <c r="AW61" s="49">
        <f t="shared" si="56"/>
        <v>0</v>
      </c>
      <c r="AX61" s="49">
        <f t="shared" si="56"/>
        <v>0</v>
      </c>
      <c r="AY61" s="49">
        <f t="shared" si="56"/>
        <v>0</v>
      </c>
      <c r="AZ61" s="49">
        <f t="shared" si="56"/>
        <v>0</v>
      </c>
      <c r="BA61" s="49">
        <f t="shared" si="56"/>
        <v>0</v>
      </c>
    </row>
    <row r="63" spans="2:53" x14ac:dyDescent="0.2">
      <c r="B63" s="215">
        <v>8</v>
      </c>
      <c r="C63" s="74"/>
      <c r="D63" s="48"/>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row>
    <row r="64" spans="2:53" x14ac:dyDescent="0.2">
      <c r="B64" s="45" t="s">
        <v>100</v>
      </c>
      <c r="C64" s="73" t="s">
        <v>75</v>
      </c>
      <c r="D64" s="49">
        <f>0</f>
        <v>0</v>
      </c>
      <c r="E64" s="47">
        <f>D67</f>
        <v>0</v>
      </c>
      <c r="F64" s="47">
        <f t="shared" ref="F64:BA64" si="57">E67</f>
        <v>0</v>
      </c>
      <c r="G64" s="47">
        <f t="shared" si="57"/>
        <v>0</v>
      </c>
      <c r="H64" s="47">
        <f t="shared" si="57"/>
        <v>0</v>
      </c>
      <c r="I64" s="47">
        <f t="shared" si="57"/>
        <v>0</v>
      </c>
      <c r="J64" s="47">
        <f t="shared" si="57"/>
        <v>0</v>
      </c>
      <c r="K64" s="47">
        <f t="shared" si="57"/>
        <v>0</v>
      </c>
      <c r="L64" s="47">
        <f t="shared" si="57"/>
        <v>11.486856676492801</v>
      </c>
      <c r="M64" s="47">
        <f t="shared" si="57"/>
        <v>9.1894853411942403</v>
      </c>
      <c r="N64" s="47">
        <f t="shared" si="57"/>
        <v>6.8921140058956798</v>
      </c>
      <c r="O64" s="47">
        <f t="shared" si="57"/>
        <v>4.5947426705971193</v>
      </c>
      <c r="P64" s="47">
        <f t="shared" si="57"/>
        <v>2.2973713352985592</v>
      </c>
      <c r="Q64" s="47">
        <f t="shared" si="57"/>
        <v>0</v>
      </c>
      <c r="R64" s="47">
        <f t="shared" si="57"/>
        <v>0</v>
      </c>
      <c r="S64" s="47">
        <f t="shared" si="57"/>
        <v>0</v>
      </c>
      <c r="T64" s="47">
        <f t="shared" si="57"/>
        <v>0</v>
      </c>
      <c r="U64" s="47">
        <f t="shared" si="57"/>
        <v>0</v>
      </c>
      <c r="V64" s="47">
        <f t="shared" si="57"/>
        <v>0</v>
      </c>
      <c r="W64" s="47">
        <f t="shared" si="57"/>
        <v>0</v>
      </c>
      <c r="X64" s="47">
        <f t="shared" si="57"/>
        <v>0</v>
      </c>
      <c r="Y64" s="47">
        <f t="shared" si="57"/>
        <v>0</v>
      </c>
      <c r="Z64" s="47">
        <f t="shared" si="57"/>
        <v>0</v>
      </c>
      <c r="AA64" s="47">
        <f t="shared" si="57"/>
        <v>0</v>
      </c>
      <c r="AB64" s="47">
        <f t="shared" si="57"/>
        <v>0</v>
      </c>
      <c r="AC64" s="47">
        <f t="shared" si="57"/>
        <v>0</v>
      </c>
      <c r="AD64" s="47">
        <f t="shared" si="57"/>
        <v>0</v>
      </c>
      <c r="AE64" s="47">
        <f t="shared" si="57"/>
        <v>0</v>
      </c>
      <c r="AF64" s="47">
        <f t="shared" si="57"/>
        <v>0</v>
      </c>
      <c r="AG64" s="47">
        <f t="shared" si="57"/>
        <v>0</v>
      </c>
      <c r="AH64" s="47">
        <f t="shared" si="57"/>
        <v>0</v>
      </c>
      <c r="AI64" s="47">
        <f t="shared" si="57"/>
        <v>0</v>
      </c>
      <c r="AJ64" s="47">
        <f t="shared" si="57"/>
        <v>0</v>
      </c>
      <c r="AK64" s="47">
        <f t="shared" si="57"/>
        <v>0</v>
      </c>
      <c r="AL64" s="47">
        <f t="shared" si="57"/>
        <v>0</v>
      </c>
      <c r="AM64" s="47">
        <f t="shared" si="57"/>
        <v>0</v>
      </c>
      <c r="AN64" s="47">
        <f t="shared" si="57"/>
        <v>0</v>
      </c>
      <c r="AO64" s="47">
        <f t="shared" si="57"/>
        <v>0</v>
      </c>
      <c r="AP64" s="47">
        <f t="shared" si="57"/>
        <v>0</v>
      </c>
      <c r="AQ64" s="47">
        <f t="shared" si="57"/>
        <v>0</v>
      </c>
      <c r="AR64" s="47">
        <f t="shared" si="57"/>
        <v>0</v>
      </c>
      <c r="AS64" s="47">
        <f t="shared" si="57"/>
        <v>0</v>
      </c>
      <c r="AT64" s="47">
        <f t="shared" si="57"/>
        <v>0</v>
      </c>
      <c r="AU64" s="47">
        <f t="shared" si="57"/>
        <v>0</v>
      </c>
      <c r="AV64" s="47">
        <f t="shared" si="57"/>
        <v>0</v>
      </c>
      <c r="AW64" s="47">
        <f t="shared" si="57"/>
        <v>0</v>
      </c>
      <c r="AX64" s="47">
        <f t="shared" si="57"/>
        <v>0</v>
      </c>
      <c r="AY64" s="47">
        <f t="shared" si="57"/>
        <v>0</v>
      </c>
      <c r="AZ64" s="47">
        <f t="shared" si="57"/>
        <v>0</v>
      </c>
      <c r="BA64" s="47">
        <f t="shared" si="57"/>
        <v>0</v>
      </c>
    </row>
    <row r="65" spans="2:53" x14ac:dyDescent="0.2">
      <c r="B65" s="45" t="s">
        <v>101</v>
      </c>
      <c r="C65" s="75" t="s">
        <v>75</v>
      </c>
      <c r="D65" s="49">
        <f>IF($B63=D$2,D$4,0)</f>
        <v>0</v>
      </c>
      <c r="E65" s="49">
        <f t="shared" ref="E65:BA65" si="58">IF($B63=E$2,E$4,0)</f>
        <v>0</v>
      </c>
      <c r="F65" s="49">
        <f t="shared" si="58"/>
        <v>0</v>
      </c>
      <c r="G65" s="49">
        <f t="shared" si="58"/>
        <v>0</v>
      </c>
      <c r="H65" s="49">
        <f t="shared" si="58"/>
        <v>0</v>
      </c>
      <c r="I65" s="49">
        <f t="shared" si="58"/>
        <v>0</v>
      </c>
      <c r="J65" s="49">
        <f t="shared" si="58"/>
        <v>0</v>
      </c>
      <c r="K65" s="49">
        <f t="shared" si="58"/>
        <v>11.486856676492801</v>
      </c>
      <c r="L65" s="49">
        <f t="shared" si="58"/>
        <v>0</v>
      </c>
      <c r="M65" s="49">
        <f t="shared" si="58"/>
        <v>0</v>
      </c>
      <c r="N65" s="49">
        <f t="shared" si="58"/>
        <v>0</v>
      </c>
      <c r="O65" s="49">
        <f t="shared" si="58"/>
        <v>0</v>
      </c>
      <c r="P65" s="49">
        <f t="shared" si="58"/>
        <v>0</v>
      </c>
      <c r="Q65" s="49">
        <f t="shared" si="58"/>
        <v>0</v>
      </c>
      <c r="R65" s="49">
        <f t="shared" si="58"/>
        <v>0</v>
      </c>
      <c r="S65" s="49">
        <f t="shared" si="58"/>
        <v>0</v>
      </c>
      <c r="T65" s="49">
        <f t="shared" si="58"/>
        <v>0</v>
      </c>
      <c r="U65" s="49">
        <f t="shared" si="58"/>
        <v>0</v>
      </c>
      <c r="V65" s="49">
        <f t="shared" si="58"/>
        <v>0</v>
      </c>
      <c r="W65" s="49">
        <f t="shared" si="58"/>
        <v>0</v>
      </c>
      <c r="X65" s="49">
        <f t="shared" si="58"/>
        <v>0</v>
      </c>
      <c r="Y65" s="49">
        <f t="shared" si="58"/>
        <v>0</v>
      </c>
      <c r="Z65" s="49">
        <f t="shared" si="58"/>
        <v>0</v>
      </c>
      <c r="AA65" s="49">
        <f t="shared" si="58"/>
        <v>0</v>
      </c>
      <c r="AB65" s="49">
        <f t="shared" si="58"/>
        <v>0</v>
      </c>
      <c r="AC65" s="49">
        <f t="shared" si="58"/>
        <v>0</v>
      </c>
      <c r="AD65" s="49">
        <f t="shared" si="58"/>
        <v>0</v>
      </c>
      <c r="AE65" s="49">
        <f t="shared" si="58"/>
        <v>0</v>
      </c>
      <c r="AF65" s="49">
        <f t="shared" si="58"/>
        <v>0</v>
      </c>
      <c r="AG65" s="49">
        <f t="shared" si="58"/>
        <v>0</v>
      </c>
      <c r="AH65" s="49">
        <f t="shared" si="58"/>
        <v>0</v>
      </c>
      <c r="AI65" s="49">
        <f t="shared" si="58"/>
        <v>0</v>
      </c>
      <c r="AJ65" s="49">
        <f t="shared" si="58"/>
        <v>0</v>
      </c>
      <c r="AK65" s="49">
        <f t="shared" si="58"/>
        <v>0</v>
      </c>
      <c r="AL65" s="49">
        <f t="shared" si="58"/>
        <v>0</v>
      </c>
      <c r="AM65" s="49">
        <f t="shared" si="58"/>
        <v>0</v>
      </c>
      <c r="AN65" s="49">
        <f t="shared" si="58"/>
        <v>0</v>
      </c>
      <c r="AO65" s="49">
        <f t="shared" si="58"/>
        <v>0</v>
      </c>
      <c r="AP65" s="49">
        <f t="shared" si="58"/>
        <v>0</v>
      </c>
      <c r="AQ65" s="49">
        <f t="shared" si="58"/>
        <v>0</v>
      </c>
      <c r="AR65" s="49">
        <f t="shared" si="58"/>
        <v>0</v>
      </c>
      <c r="AS65" s="49">
        <f t="shared" si="58"/>
        <v>0</v>
      </c>
      <c r="AT65" s="49">
        <f t="shared" si="58"/>
        <v>0</v>
      </c>
      <c r="AU65" s="49">
        <f t="shared" si="58"/>
        <v>0</v>
      </c>
      <c r="AV65" s="49">
        <f t="shared" si="58"/>
        <v>0</v>
      </c>
      <c r="AW65" s="49">
        <f t="shared" si="58"/>
        <v>0</v>
      </c>
      <c r="AX65" s="49">
        <f t="shared" si="58"/>
        <v>0</v>
      </c>
      <c r="AY65" s="49">
        <f t="shared" si="58"/>
        <v>0</v>
      </c>
      <c r="AZ65" s="49">
        <f t="shared" si="58"/>
        <v>0</v>
      </c>
      <c r="BA65" s="49">
        <f t="shared" si="58"/>
        <v>0</v>
      </c>
    </row>
    <row r="66" spans="2:53" x14ac:dyDescent="0.2">
      <c r="B66" t="s">
        <v>102</v>
      </c>
      <c r="C66" s="73" t="s">
        <v>75</v>
      </c>
      <c r="D66" s="47"/>
      <c r="E66" s="47">
        <f>IF(OR(D67&lt;=$B$15*$K$65,F$1-$L$1&gt;$B$13),0,-IF($B$12="straight line",SLN($K$65,+$B$15*$K$65,$B$13),VDB($K$65,$B$15*$K$65,$B$13,E$1-$L$1,F$1-$L$1,$B$14)))</f>
        <v>0</v>
      </c>
      <c r="F66" s="47">
        <f t="shared" ref="F66:BA66" si="59">IF(OR(E67&lt;=$B$15*$K$65,G$1-$L$1&gt;$B$13),0,-IF($B$12="straight line",SLN($K$65,+$B$15*$K$65,$B$13),VDB($K$65,$B$15*$K$65,$B$13,F$1-$L$1,G$1-$L$1,$B$14)))</f>
        <v>0</v>
      </c>
      <c r="G66" s="47">
        <f t="shared" si="59"/>
        <v>0</v>
      </c>
      <c r="H66" s="47">
        <f t="shared" si="59"/>
        <v>0</v>
      </c>
      <c r="I66" s="47">
        <f t="shared" si="59"/>
        <v>0</v>
      </c>
      <c r="J66" s="47">
        <f t="shared" si="59"/>
        <v>0</v>
      </c>
      <c r="K66" s="47">
        <f t="shared" si="59"/>
        <v>0</v>
      </c>
      <c r="L66" s="47">
        <f t="shared" si="59"/>
        <v>-2.2973713352985601</v>
      </c>
      <c r="M66" s="47">
        <f t="shared" si="59"/>
        <v>-2.2973713352985601</v>
      </c>
      <c r="N66" s="47">
        <f t="shared" si="59"/>
        <v>-2.2973713352985601</v>
      </c>
      <c r="O66" s="47">
        <f t="shared" si="59"/>
        <v>-2.2973713352985601</v>
      </c>
      <c r="P66" s="47">
        <f t="shared" si="59"/>
        <v>-2.2973713352985601</v>
      </c>
      <c r="Q66" s="47">
        <f t="shared" si="59"/>
        <v>0</v>
      </c>
      <c r="R66" s="47">
        <f t="shared" si="59"/>
        <v>0</v>
      </c>
      <c r="S66" s="47">
        <f t="shared" si="59"/>
        <v>0</v>
      </c>
      <c r="T66" s="47">
        <f t="shared" si="59"/>
        <v>0</v>
      </c>
      <c r="U66" s="47">
        <f t="shared" si="59"/>
        <v>0</v>
      </c>
      <c r="V66" s="47">
        <f t="shared" si="59"/>
        <v>0</v>
      </c>
      <c r="W66" s="47">
        <f t="shared" si="59"/>
        <v>0</v>
      </c>
      <c r="X66" s="47">
        <f t="shared" si="59"/>
        <v>0</v>
      </c>
      <c r="Y66" s="47">
        <f t="shared" si="59"/>
        <v>0</v>
      </c>
      <c r="Z66" s="47">
        <f t="shared" si="59"/>
        <v>0</v>
      </c>
      <c r="AA66" s="47">
        <f t="shared" si="59"/>
        <v>0</v>
      </c>
      <c r="AB66" s="47">
        <f t="shared" si="59"/>
        <v>0</v>
      </c>
      <c r="AC66" s="47">
        <f t="shared" si="59"/>
        <v>0</v>
      </c>
      <c r="AD66" s="47">
        <f t="shared" si="59"/>
        <v>0</v>
      </c>
      <c r="AE66" s="47">
        <f t="shared" si="59"/>
        <v>0</v>
      </c>
      <c r="AF66" s="47">
        <f t="shared" si="59"/>
        <v>0</v>
      </c>
      <c r="AG66" s="47">
        <f t="shared" si="59"/>
        <v>0</v>
      </c>
      <c r="AH66" s="47">
        <f t="shared" si="59"/>
        <v>0</v>
      </c>
      <c r="AI66" s="47">
        <f t="shared" si="59"/>
        <v>0</v>
      </c>
      <c r="AJ66" s="47">
        <f t="shared" si="59"/>
        <v>0</v>
      </c>
      <c r="AK66" s="47">
        <f t="shared" si="59"/>
        <v>0</v>
      </c>
      <c r="AL66" s="47">
        <f t="shared" si="59"/>
        <v>0</v>
      </c>
      <c r="AM66" s="47">
        <f t="shared" si="59"/>
        <v>0</v>
      </c>
      <c r="AN66" s="47">
        <f t="shared" si="59"/>
        <v>0</v>
      </c>
      <c r="AO66" s="47">
        <f t="shared" si="59"/>
        <v>0</v>
      </c>
      <c r="AP66" s="47">
        <f t="shared" si="59"/>
        <v>0</v>
      </c>
      <c r="AQ66" s="47">
        <f t="shared" si="59"/>
        <v>0</v>
      </c>
      <c r="AR66" s="47">
        <f t="shared" si="59"/>
        <v>0</v>
      </c>
      <c r="AS66" s="47">
        <f t="shared" si="59"/>
        <v>0</v>
      </c>
      <c r="AT66" s="47">
        <f t="shared" si="59"/>
        <v>0</v>
      </c>
      <c r="AU66" s="47">
        <f t="shared" si="59"/>
        <v>0</v>
      </c>
      <c r="AV66" s="47">
        <f t="shared" si="59"/>
        <v>0</v>
      </c>
      <c r="AW66" s="47">
        <f t="shared" si="59"/>
        <v>0</v>
      </c>
      <c r="AX66" s="47">
        <f t="shared" si="59"/>
        <v>0</v>
      </c>
      <c r="AY66" s="47">
        <f t="shared" si="59"/>
        <v>0</v>
      </c>
      <c r="AZ66" s="47">
        <f t="shared" si="59"/>
        <v>0</v>
      </c>
      <c r="BA66" s="47">
        <f t="shared" si="59"/>
        <v>0</v>
      </c>
    </row>
    <row r="67" spans="2:53" x14ac:dyDescent="0.2">
      <c r="B67" t="s">
        <v>103</v>
      </c>
      <c r="C67" s="73" t="s">
        <v>75</v>
      </c>
      <c r="D67" s="49">
        <f>SUM(D64:D66)</f>
        <v>0</v>
      </c>
      <c r="E67" s="49">
        <f t="shared" ref="E67:BA67" si="60">SUM(E64:E66)</f>
        <v>0</v>
      </c>
      <c r="F67" s="49">
        <f t="shared" si="60"/>
        <v>0</v>
      </c>
      <c r="G67" s="49">
        <f t="shared" si="60"/>
        <v>0</v>
      </c>
      <c r="H67" s="49">
        <f t="shared" si="60"/>
        <v>0</v>
      </c>
      <c r="I67" s="49">
        <f t="shared" si="60"/>
        <v>0</v>
      </c>
      <c r="J67" s="49">
        <f t="shared" si="60"/>
        <v>0</v>
      </c>
      <c r="K67" s="49">
        <f t="shared" si="60"/>
        <v>11.486856676492801</v>
      </c>
      <c r="L67" s="49">
        <f t="shared" si="60"/>
        <v>9.1894853411942403</v>
      </c>
      <c r="M67" s="49">
        <f t="shared" si="60"/>
        <v>6.8921140058956798</v>
      </c>
      <c r="N67" s="49">
        <f t="shared" si="60"/>
        <v>4.5947426705971193</v>
      </c>
      <c r="O67" s="49">
        <f t="shared" si="60"/>
        <v>2.2973713352985592</v>
      </c>
      <c r="P67" s="49">
        <f t="shared" si="60"/>
        <v>0</v>
      </c>
      <c r="Q67" s="49">
        <f t="shared" si="60"/>
        <v>0</v>
      </c>
      <c r="R67" s="49">
        <f t="shared" si="60"/>
        <v>0</v>
      </c>
      <c r="S67" s="49">
        <f t="shared" si="60"/>
        <v>0</v>
      </c>
      <c r="T67" s="49">
        <f t="shared" si="60"/>
        <v>0</v>
      </c>
      <c r="U67" s="49">
        <f t="shared" si="60"/>
        <v>0</v>
      </c>
      <c r="V67" s="49">
        <f t="shared" si="60"/>
        <v>0</v>
      </c>
      <c r="W67" s="49">
        <f t="shared" si="60"/>
        <v>0</v>
      </c>
      <c r="X67" s="49">
        <f t="shared" si="60"/>
        <v>0</v>
      </c>
      <c r="Y67" s="49">
        <f t="shared" si="60"/>
        <v>0</v>
      </c>
      <c r="Z67" s="49">
        <f t="shared" si="60"/>
        <v>0</v>
      </c>
      <c r="AA67" s="49">
        <f t="shared" si="60"/>
        <v>0</v>
      </c>
      <c r="AB67" s="49">
        <f t="shared" si="60"/>
        <v>0</v>
      </c>
      <c r="AC67" s="49">
        <f t="shared" si="60"/>
        <v>0</v>
      </c>
      <c r="AD67" s="49">
        <f t="shared" si="60"/>
        <v>0</v>
      </c>
      <c r="AE67" s="49">
        <f t="shared" si="60"/>
        <v>0</v>
      </c>
      <c r="AF67" s="49">
        <f t="shared" si="60"/>
        <v>0</v>
      </c>
      <c r="AG67" s="49">
        <f t="shared" si="60"/>
        <v>0</v>
      </c>
      <c r="AH67" s="49">
        <f t="shared" si="60"/>
        <v>0</v>
      </c>
      <c r="AI67" s="49">
        <f t="shared" si="60"/>
        <v>0</v>
      </c>
      <c r="AJ67" s="49">
        <f t="shared" si="60"/>
        <v>0</v>
      </c>
      <c r="AK67" s="49">
        <f t="shared" si="60"/>
        <v>0</v>
      </c>
      <c r="AL67" s="49">
        <f t="shared" si="60"/>
        <v>0</v>
      </c>
      <c r="AM67" s="49">
        <f t="shared" si="60"/>
        <v>0</v>
      </c>
      <c r="AN67" s="49">
        <f t="shared" si="60"/>
        <v>0</v>
      </c>
      <c r="AO67" s="49">
        <f t="shared" si="60"/>
        <v>0</v>
      </c>
      <c r="AP67" s="49">
        <f t="shared" si="60"/>
        <v>0</v>
      </c>
      <c r="AQ67" s="49">
        <f t="shared" si="60"/>
        <v>0</v>
      </c>
      <c r="AR67" s="49">
        <f t="shared" si="60"/>
        <v>0</v>
      </c>
      <c r="AS67" s="49">
        <f t="shared" si="60"/>
        <v>0</v>
      </c>
      <c r="AT67" s="49">
        <f t="shared" si="60"/>
        <v>0</v>
      </c>
      <c r="AU67" s="49">
        <f t="shared" si="60"/>
        <v>0</v>
      </c>
      <c r="AV67" s="49">
        <f t="shared" si="60"/>
        <v>0</v>
      </c>
      <c r="AW67" s="49">
        <f t="shared" si="60"/>
        <v>0</v>
      </c>
      <c r="AX67" s="49">
        <f t="shared" si="60"/>
        <v>0</v>
      </c>
      <c r="AY67" s="49">
        <f t="shared" si="60"/>
        <v>0</v>
      </c>
      <c r="AZ67" s="49">
        <f t="shared" si="60"/>
        <v>0</v>
      </c>
      <c r="BA67" s="49">
        <f t="shared" si="60"/>
        <v>0</v>
      </c>
    </row>
    <row r="69" spans="2:53" x14ac:dyDescent="0.2">
      <c r="B69" s="215">
        <f>B63+1</f>
        <v>9</v>
      </c>
      <c r="C69" s="74"/>
      <c r="D69" s="48"/>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row>
    <row r="70" spans="2:53" x14ac:dyDescent="0.2">
      <c r="B70" s="45" t="s">
        <v>100</v>
      </c>
      <c r="C70" s="73" t="s">
        <v>75</v>
      </c>
      <c r="D70" s="49">
        <f>0</f>
        <v>0</v>
      </c>
      <c r="E70" s="47">
        <f>D73</f>
        <v>0</v>
      </c>
      <c r="F70" s="47">
        <f t="shared" ref="F70:BA70" si="61">E73</f>
        <v>0</v>
      </c>
      <c r="G70" s="47">
        <f t="shared" si="61"/>
        <v>0</v>
      </c>
      <c r="H70" s="47">
        <f t="shared" si="61"/>
        <v>0</v>
      </c>
      <c r="I70" s="47">
        <f t="shared" si="61"/>
        <v>0</v>
      </c>
      <c r="J70" s="47">
        <f t="shared" si="61"/>
        <v>0</v>
      </c>
      <c r="K70" s="47">
        <f t="shared" si="61"/>
        <v>0</v>
      </c>
      <c r="L70" s="47">
        <f t="shared" si="61"/>
        <v>0</v>
      </c>
      <c r="M70" s="47">
        <f t="shared" si="61"/>
        <v>11.716593810022658</v>
      </c>
      <c r="N70" s="47">
        <f t="shared" si="61"/>
        <v>9.3732750480181259</v>
      </c>
      <c r="O70" s="47">
        <f t="shared" si="61"/>
        <v>7.0299562860135945</v>
      </c>
      <c r="P70" s="47">
        <f t="shared" si="61"/>
        <v>4.686637524009063</v>
      </c>
      <c r="Q70" s="47">
        <f t="shared" si="61"/>
        <v>2.3433187620045315</v>
      </c>
      <c r="R70" s="47">
        <f t="shared" si="61"/>
        <v>0</v>
      </c>
      <c r="S70" s="47">
        <f t="shared" si="61"/>
        <v>0</v>
      </c>
      <c r="T70" s="47">
        <f t="shared" si="61"/>
        <v>0</v>
      </c>
      <c r="U70" s="47">
        <f t="shared" si="61"/>
        <v>0</v>
      </c>
      <c r="V70" s="47">
        <f t="shared" si="61"/>
        <v>0</v>
      </c>
      <c r="W70" s="47">
        <f t="shared" si="61"/>
        <v>0</v>
      </c>
      <c r="X70" s="47">
        <f t="shared" si="61"/>
        <v>0</v>
      </c>
      <c r="Y70" s="47">
        <f t="shared" si="61"/>
        <v>0</v>
      </c>
      <c r="Z70" s="47">
        <f t="shared" si="61"/>
        <v>0</v>
      </c>
      <c r="AA70" s="47">
        <f t="shared" si="61"/>
        <v>0</v>
      </c>
      <c r="AB70" s="47">
        <f t="shared" si="61"/>
        <v>0</v>
      </c>
      <c r="AC70" s="47">
        <f t="shared" si="61"/>
        <v>0</v>
      </c>
      <c r="AD70" s="47">
        <f t="shared" si="61"/>
        <v>0</v>
      </c>
      <c r="AE70" s="47">
        <f t="shared" si="61"/>
        <v>0</v>
      </c>
      <c r="AF70" s="47">
        <f t="shared" si="61"/>
        <v>0</v>
      </c>
      <c r="AG70" s="47">
        <f t="shared" si="61"/>
        <v>0</v>
      </c>
      <c r="AH70" s="47">
        <f t="shared" si="61"/>
        <v>0</v>
      </c>
      <c r="AI70" s="47">
        <f t="shared" si="61"/>
        <v>0</v>
      </c>
      <c r="AJ70" s="47">
        <f t="shared" si="61"/>
        <v>0</v>
      </c>
      <c r="AK70" s="47">
        <f t="shared" si="61"/>
        <v>0</v>
      </c>
      <c r="AL70" s="47">
        <f t="shared" si="61"/>
        <v>0</v>
      </c>
      <c r="AM70" s="47">
        <f t="shared" si="61"/>
        <v>0</v>
      </c>
      <c r="AN70" s="47">
        <f t="shared" si="61"/>
        <v>0</v>
      </c>
      <c r="AO70" s="47">
        <f t="shared" si="61"/>
        <v>0</v>
      </c>
      <c r="AP70" s="47">
        <f t="shared" si="61"/>
        <v>0</v>
      </c>
      <c r="AQ70" s="47">
        <f t="shared" si="61"/>
        <v>0</v>
      </c>
      <c r="AR70" s="47">
        <f t="shared" si="61"/>
        <v>0</v>
      </c>
      <c r="AS70" s="47">
        <f t="shared" si="61"/>
        <v>0</v>
      </c>
      <c r="AT70" s="47">
        <f t="shared" si="61"/>
        <v>0</v>
      </c>
      <c r="AU70" s="47">
        <f t="shared" si="61"/>
        <v>0</v>
      </c>
      <c r="AV70" s="47">
        <f t="shared" si="61"/>
        <v>0</v>
      </c>
      <c r="AW70" s="47">
        <f t="shared" si="61"/>
        <v>0</v>
      </c>
      <c r="AX70" s="47">
        <f t="shared" si="61"/>
        <v>0</v>
      </c>
      <c r="AY70" s="47">
        <f t="shared" si="61"/>
        <v>0</v>
      </c>
      <c r="AZ70" s="47">
        <f t="shared" si="61"/>
        <v>0</v>
      </c>
      <c r="BA70" s="47">
        <f t="shared" si="61"/>
        <v>0</v>
      </c>
    </row>
    <row r="71" spans="2:53" x14ac:dyDescent="0.2">
      <c r="B71" s="45" t="s">
        <v>101</v>
      </c>
      <c r="C71" s="75" t="s">
        <v>75</v>
      </c>
      <c r="D71" s="49">
        <f>IF($B69=D$2,D$4,0)</f>
        <v>0</v>
      </c>
      <c r="E71" s="49">
        <f t="shared" ref="E71:BA71" si="62">IF($B69=E$2,E$4,0)</f>
        <v>0</v>
      </c>
      <c r="F71" s="49">
        <f t="shared" si="62"/>
        <v>0</v>
      </c>
      <c r="G71" s="49">
        <f t="shared" si="62"/>
        <v>0</v>
      </c>
      <c r="H71" s="49">
        <f t="shared" si="62"/>
        <v>0</v>
      </c>
      <c r="I71" s="49">
        <f t="shared" si="62"/>
        <v>0</v>
      </c>
      <c r="J71" s="49">
        <f t="shared" si="62"/>
        <v>0</v>
      </c>
      <c r="K71" s="49">
        <f t="shared" si="62"/>
        <v>0</v>
      </c>
      <c r="L71" s="49">
        <f t="shared" si="62"/>
        <v>11.716593810022658</v>
      </c>
      <c r="M71" s="49">
        <f t="shared" si="62"/>
        <v>0</v>
      </c>
      <c r="N71" s="49">
        <f t="shared" si="62"/>
        <v>0</v>
      </c>
      <c r="O71" s="49">
        <f t="shared" si="62"/>
        <v>0</v>
      </c>
      <c r="P71" s="49">
        <f t="shared" si="62"/>
        <v>0</v>
      </c>
      <c r="Q71" s="49">
        <f t="shared" si="62"/>
        <v>0</v>
      </c>
      <c r="R71" s="49">
        <f t="shared" si="62"/>
        <v>0</v>
      </c>
      <c r="S71" s="49">
        <f t="shared" si="62"/>
        <v>0</v>
      </c>
      <c r="T71" s="49">
        <f t="shared" si="62"/>
        <v>0</v>
      </c>
      <c r="U71" s="49">
        <f t="shared" si="62"/>
        <v>0</v>
      </c>
      <c r="V71" s="49">
        <f t="shared" si="62"/>
        <v>0</v>
      </c>
      <c r="W71" s="49">
        <f t="shared" si="62"/>
        <v>0</v>
      </c>
      <c r="X71" s="49">
        <f t="shared" si="62"/>
        <v>0</v>
      </c>
      <c r="Y71" s="49">
        <f t="shared" si="62"/>
        <v>0</v>
      </c>
      <c r="Z71" s="49">
        <f t="shared" si="62"/>
        <v>0</v>
      </c>
      <c r="AA71" s="49">
        <f t="shared" si="62"/>
        <v>0</v>
      </c>
      <c r="AB71" s="49">
        <f t="shared" si="62"/>
        <v>0</v>
      </c>
      <c r="AC71" s="49">
        <f t="shared" si="62"/>
        <v>0</v>
      </c>
      <c r="AD71" s="49">
        <f t="shared" si="62"/>
        <v>0</v>
      </c>
      <c r="AE71" s="49">
        <f t="shared" si="62"/>
        <v>0</v>
      </c>
      <c r="AF71" s="49">
        <f t="shared" si="62"/>
        <v>0</v>
      </c>
      <c r="AG71" s="49">
        <f t="shared" si="62"/>
        <v>0</v>
      </c>
      <c r="AH71" s="49">
        <f t="shared" si="62"/>
        <v>0</v>
      </c>
      <c r="AI71" s="49">
        <f t="shared" si="62"/>
        <v>0</v>
      </c>
      <c r="AJ71" s="49">
        <f t="shared" si="62"/>
        <v>0</v>
      </c>
      <c r="AK71" s="49">
        <f t="shared" si="62"/>
        <v>0</v>
      </c>
      <c r="AL71" s="49">
        <f t="shared" si="62"/>
        <v>0</v>
      </c>
      <c r="AM71" s="49">
        <f t="shared" si="62"/>
        <v>0</v>
      </c>
      <c r="AN71" s="49">
        <f t="shared" si="62"/>
        <v>0</v>
      </c>
      <c r="AO71" s="49">
        <f t="shared" si="62"/>
        <v>0</v>
      </c>
      <c r="AP71" s="49">
        <f t="shared" si="62"/>
        <v>0</v>
      </c>
      <c r="AQ71" s="49">
        <f t="shared" si="62"/>
        <v>0</v>
      </c>
      <c r="AR71" s="49">
        <f t="shared" si="62"/>
        <v>0</v>
      </c>
      <c r="AS71" s="49">
        <f t="shared" si="62"/>
        <v>0</v>
      </c>
      <c r="AT71" s="49">
        <f t="shared" si="62"/>
        <v>0</v>
      </c>
      <c r="AU71" s="49">
        <f t="shared" si="62"/>
        <v>0</v>
      </c>
      <c r="AV71" s="49">
        <f t="shared" si="62"/>
        <v>0</v>
      </c>
      <c r="AW71" s="49">
        <f t="shared" si="62"/>
        <v>0</v>
      </c>
      <c r="AX71" s="49">
        <f t="shared" si="62"/>
        <v>0</v>
      </c>
      <c r="AY71" s="49">
        <f t="shared" si="62"/>
        <v>0</v>
      </c>
      <c r="AZ71" s="49">
        <f t="shared" si="62"/>
        <v>0</v>
      </c>
      <c r="BA71" s="49">
        <f t="shared" si="62"/>
        <v>0</v>
      </c>
    </row>
    <row r="72" spans="2:53" x14ac:dyDescent="0.2">
      <c r="B72" t="s">
        <v>102</v>
      </c>
      <c r="C72" s="73" t="s">
        <v>75</v>
      </c>
      <c r="D72" s="47"/>
      <c r="E72" s="47">
        <f>IF(OR(D73&lt;=$B$15*$L$71,F$1-$M$1&gt;$B$13),0,-IF($B$12="straight line",SLN($L$71,+$B$15*$L$71,$B$13),VDB($L$71,$B$15*$L$71,$B$13,E$1-$M$1,F$1-$M$1,$B$14)))</f>
        <v>0</v>
      </c>
      <c r="F72" s="47">
        <f t="shared" ref="F72:BA72" si="63">IF(OR(E73&lt;=$B$15*$L$71,G$1-$M$1&gt;$B$13),0,-IF($B$12="straight line",SLN($L$71,+$B$15*$L$71,$B$13),VDB($L$71,$B$15*$L$71,$B$13,F$1-$M$1,G$1-$M$1,$B$14)))</f>
        <v>0</v>
      </c>
      <c r="G72" s="47">
        <f t="shared" si="63"/>
        <v>0</v>
      </c>
      <c r="H72" s="47">
        <f t="shared" si="63"/>
        <v>0</v>
      </c>
      <c r="I72" s="47">
        <f t="shared" si="63"/>
        <v>0</v>
      </c>
      <c r="J72" s="47">
        <f t="shared" si="63"/>
        <v>0</v>
      </c>
      <c r="K72" s="47">
        <f t="shared" si="63"/>
        <v>0</v>
      </c>
      <c r="L72" s="47">
        <f t="shared" si="63"/>
        <v>0</v>
      </c>
      <c r="M72" s="47">
        <f t="shared" si="63"/>
        <v>-2.3433187620045315</v>
      </c>
      <c r="N72" s="47">
        <f t="shared" si="63"/>
        <v>-2.3433187620045315</v>
      </c>
      <c r="O72" s="47">
        <f t="shared" si="63"/>
        <v>-2.3433187620045315</v>
      </c>
      <c r="P72" s="47">
        <f t="shared" si="63"/>
        <v>-2.3433187620045315</v>
      </c>
      <c r="Q72" s="47">
        <f t="shared" si="63"/>
        <v>-2.3433187620045315</v>
      </c>
      <c r="R72" s="47">
        <f t="shared" si="63"/>
        <v>0</v>
      </c>
      <c r="S72" s="47">
        <f t="shared" si="63"/>
        <v>0</v>
      </c>
      <c r="T72" s="47">
        <f t="shared" si="63"/>
        <v>0</v>
      </c>
      <c r="U72" s="47">
        <f t="shared" si="63"/>
        <v>0</v>
      </c>
      <c r="V72" s="47">
        <f t="shared" si="63"/>
        <v>0</v>
      </c>
      <c r="W72" s="47">
        <f t="shared" si="63"/>
        <v>0</v>
      </c>
      <c r="X72" s="47">
        <f t="shared" si="63"/>
        <v>0</v>
      </c>
      <c r="Y72" s="47">
        <f t="shared" si="63"/>
        <v>0</v>
      </c>
      <c r="Z72" s="47">
        <f t="shared" si="63"/>
        <v>0</v>
      </c>
      <c r="AA72" s="47">
        <f t="shared" si="63"/>
        <v>0</v>
      </c>
      <c r="AB72" s="47">
        <f t="shared" si="63"/>
        <v>0</v>
      </c>
      <c r="AC72" s="47">
        <f t="shared" si="63"/>
        <v>0</v>
      </c>
      <c r="AD72" s="47">
        <f t="shared" si="63"/>
        <v>0</v>
      </c>
      <c r="AE72" s="47">
        <f t="shared" si="63"/>
        <v>0</v>
      </c>
      <c r="AF72" s="47">
        <f t="shared" si="63"/>
        <v>0</v>
      </c>
      <c r="AG72" s="47">
        <f t="shared" si="63"/>
        <v>0</v>
      </c>
      <c r="AH72" s="47">
        <f t="shared" si="63"/>
        <v>0</v>
      </c>
      <c r="AI72" s="47">
        <f t="shared" si="63"/>
        <v>0</v>
      </c>
      <c r="AJ72" s="47">
        <f t="shared" si="63"/>
        <v>0</v>
      </c>
      <c r="AK72" s="47">
        <f t="shared" si="63"/>
        <v>0</v>
      </c>
      <c r="AL72" s="47">
        <f t="shared" si="63"/>
        <v>0</v>
      </c>
      <c r="AM72" s="47">
        <f t="shared" si="63"/>
        <v>0</v>
      </c>
      <c r="AN72" s="47">
        <f t="shared" si="63"/>
        <v>0</v>
      </c>
      <c r="AO72" s="47">
        <f t="shared" si="63"/>
        <v>0</v>
      </c>
      <c r="AP72" s="47">
        <f t="shared" si="63"/>
        <v>0</v>
      </c>
      <c r="AQ72" s="47">
        <f t="shared" si="63"/>
        <v>0</v>
      </c>
      <c r="AR72" s="47">
        <f t="shared" si="63"/>
        <v>0</v>
      </c>
      <c r="AS72" s="47">
        <f t="shared" si="63"/>
        <v>0</v>
      </c>
      <c r="AT72" s="47">
        <f t="shared" si="63"/>
        <v>0</v>
      </c>
      <c r="AU72" s="47">
        <f t="shared" si="63"/>
        <v>0</v>
      </c>
      <c r="AV72" s="47">
        <f t="shared" si="63"/>
        <v>0</v>
      </c>
      <c r="AW72" s="47">
        <f t="shared" si="63"/>
        <v>0</v>
      </c>
      <c r="AX72" s="47">
        <f t="shared" si="63"/>
        <v>0</v>
      </c>
      <c r="AY72" s="47">
        <f t="shared" si="63"/>
        <v>0</v>
      </c>
      <c r="AZ72" s="47">
        <f t="shared" si="63"/>
        <v>0</v>
      </c>
      <c r="BA72" s="47">
        <f t="shared" si="63"/>
        <v>0</v>
      </c>
    </row>
    <row r="73" spans="2:53" x14ac:dyDescent="0.2">
      <c r="B73" t="s">
        <v>103</v>
      </c>
      <c r="C73" s="73" t="s">
        <v>75</v>
      </c>
      <c r="D73" s="49">
        <f>SUM(D70:D72)</f>
        <v>0</v>
      </c>
      <c r="E73" s="49">
        <f t="shared" ref="E73:BA73" si="64">SUM(E70:E72)</f>
        <v>0</v>
      </c>
      <c r="F73" s="49">
        <f t="shared" si="64"/>
        <v>0</v>
      </c>
      <c r="G73" s="49">
        <f t="shared" si="64"/>
        <v>0</v>
      </c>
      <c r="H73" s="49">
        <f t="shared" si="64"/>
        <v>0</v>
      </c>
      <c r="I73" s="49">
        <f t="shared" si="64"/>
        <v>0</v>
      </c>
      <c r="J73" s="49">
        <f t="shared" si="64"/>
        <v>0</v>
      </c>
      <c r="K73" s="49">
        <f t="shared" si="64"/>
        <v>0</v>
      </c>
      <c r="L73" s="49">
        <f t="shared" si="64"/>
        <v>11.716593810022658</v>
      </c>
      <c r="M73" s="49">
        <f t="shared" si="64"/>
        <v>9.3732750480181259</v>
      </c>
      <c r="N73" s="49">
        <f t="shared" si="64"/>
        <v>7.0299562860135945</v>
      </c>
      <c r="O73" s="49">
        <f t="shared" si="64"/>
        <v>4.686637524009063</v>
      </c>
      <c r="P73" s="49">
        <f t="shared" si="64"/>
        <v>2.3433187620045315</v>
      </c>
      <c r="Q73" s="49">
        <f t="shared" si="64"/>
        <v>0</v>
      </c>
      <c r="R73" s="49">
        <f t="shared" si="64"/>
        <v>0</v>
      </c>
      <c r="S73" s="49">
        <f t="shared" si="64"/>
        <v>0</v>
      </c>
      <c r="T73" s="49">
        <f t="shared" si="64"/>
        <v>0</v>
      </c>
      <c r="U73" s="49">
        <f t="shared" si="64"/>
        <v>0</v>
      </c>
      <c r="V73" s="49">
        <f t="shared" si="64"/>
        <v>0</v>
      </c>
      <c r="W73" s="49">
        <f t="shared" si="64"/>
        <v>0</v>
      </c>
      <c r="X73" s="49">
        <f t="shared" si="64"/>
        <v>0</v>
      </c>
      <c r="Y73" s="49">
        <f t="shared" si="64"/>
        <v>0</v>
      </c>
      <c r="Z73" s="49">
        <f t="shared" si="64"/>
        <v>0</v>
      </c>
      <c r="AA73" s="49">
        <f t="shared" si="64"/>
        <v>0</v>
      </c>
      <c r="AB73" s="49">
        <f t="shared" si="64"/>
        <v>0</v>
      </c>
      <c r="AC73" s="49">
        <f t="shared" si="64"/>
        <v>0</v>
      </c>
      <c r="AD73" s="49">
        <f t="shared" si="64"/>
        <v>0</v>
      </c>
      <c r="AE73" s="49">
        <f t="shared" si="64"/>
        <v>0</v>
      </c>
      <c r="AF73" s="49">
        <f t="shared" si="64"/>
        <v>0</v>
      </c>
      <c r="AG73" s="49">
        <f t="shared" si="64"/>
        <v>0</v>
      </c>
      <c r="AH73" s="49">
        <f t="shared" si="64"/>
        <v>0</v>
      </c>
      <c r="AI73" s="49">
        <f t="shared" si="64"/>
        <v>0</v>
      </c>
      <c r="AJ73" s="49">
        <f t="shared" si="64"/>
        <v>0</v>
      </c>
      <c r="AK73" s="49">
        <f t="shared" si="64"/>
        <v>0</v>
      </c>
      <c r="AL73" s="49">
        <f t="shared" si="64"/>
        <v>0</v>
      </c>
      <c r="AM73" s="49">
        <f t="shared" si="64"/>
        <v>0</v>
      </c>
      <c r="AN73" s="49">
        <f t="shared" si="64"/>
        <v>0</v>
      </c>
      <c r="AO73" s="49">
        <f t="shared" si="64"/>
        <v>0</v>
      </c>
      <c r="AP73" s="49">
        <f t="shared" si="64"/>
        <v>0</v>
      </c>
      <c r="AQ73" s="49">
        <f t="shared" si="64"/>
        <v>0</v>
      </c>
      <c r="AR73" s="49">
        <f t="shared" si="64"/>
        <v>0</v>
      </c>
      <c r="AS73" s="49">
        <f t="shared" si="64"/>
        <v>0</v>
      </c>
      <c r="AT73" s="49">
        <f t="shared" si="64"/>
        <v>0</v>
      </c>
      <c r="AU73" s="49">
        <f t="shared" si="64"/>
        <v>0</v>
      </c>
      <c r="AV73" s="49">
        <f t="shared" si="64"/>
        <v>0</v>
      </c>
      <c r="AW73" s="49">
        <f t="shared" si="64"/>
        <v>0</v>
      </c>
      <c r="AX73" s="49">
        <f t="shared" si="64"/>
        <v>0</v>
      </c>
      <c r="AY73" s="49">
        <f t="shared" si="64"/>
        <v>0</v>
      </c>
      <c r="AZ73" s="49">
        <f t="shared" si="64"/>
        <v>0</v>
      </c>
      <c r="BA73" s="49">
        <f t="shared" si="64"/>
        <v>0</v>
      </c>
    </row>
    <row r="75" spans="2:53" x14ac:dyDescent="0.2">
      <c r="B75" s="215">
        <f>B69+1</f>
        <v>10</v>
      </c>
      <c r="C75" s="74"/>
      <c r="D75" s="48"/>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row>
    <row r="76" spans="2:53" x14ac:dyDescent="0.2">
      <c r="B76" s="45" t="s">
        <v>100</v>
      </c>
      <c r="C76" s="73" t="s">
        <v>75</v>
      </c>
      <c r="D76" s="49">
        <f>0</f>
        <v>0</v>
      </c>
      <c r="E76" s="47">
        <f>D79</f>
        <v>0</v>
      </c>
      <c r="F76" s="47">
        <f t="shared" ref="F76:BA76" si="65">E79</f>
        <v>0</v>
      </c>
      <c r="G76" s="47">
        <f t="shared" si="65"/>
        <v>0</v>
      </c>
      <c r="H76" s="47">
        <f t="shared" si="65"/>
        <v>0</v>
      </c>
      <c r="I76" s="47">
        <f t="shared" si="65"/>
        <v>0</v>
      </c>
      <c r="J76" s="47">
        <f t="shared" si="65"/>
        <v>0</v>
      </c>
      <c r="K76" s="47">
        <f t="shared" si="65"/>
        <v>0</v>
      </c>
      <c r="L76" s="47">
        <f t="shared" si="65"/>
        <v>0</v>
      </c>
      <c r="M76" s="47">
        <f t="shared" si="65"/>
        <v>0</v>
      </c>
      <c r="N76" s="47">
        <f t="shared" si="65"/>
        <v>11.95092568622311</v>
      </c>
      <c r="O76" s="47">
        <f t="shared" si="65"/>
        <v>9.5607405489784885</v>
      </c>
      <c r="P76" s="47">
        <f t="shared" si="65"/>
        <v>7.1705554117338668</v>
      </c>
      <c r="Q76" s="47">
        <f t="shared" si="65"/>
        <v>4.7803702744892451</v>
      </c>
      <c r="R76" s="47">
        <f t="shared" si="65"/>
        <v>2.390185137244623</v>
      </c>
      <c r="S76" s="47">
        <f t="shared" si="65"/>
        <v>0</v>
      </c>
      <c r="T76" s="47">
        <f t="shared" si="65"/>
        <v>0</v>
      </c>
      <c r="U76" s="47">
        <f t="shared" si="65"/>
        <v>0</v>
      </c>
      <c r="V76" s="47">
        <f t="shared" si="65"/>
        <v>0</v>
      </c>
      <c r="W76" s="47">
        <f t="shared" si="65"/>
        <v>0</v>
      </c>
      <c r="X76" s="47">
        <f t="shared" si="65"/>
        <v>0</v>
      </c>
      <c r="Y76" s="47">
        <f t="shared" si="65"/>
        <v>0</v>
      </c>
      <c r="Z76" s="47">
        <f t="shared" si="65"/>
        <v>0</v>
      </c>
      <c r="AA76" s="47">
        <f t="shared" si="65"/>
        <v>0</v>
      </c>
      <c r="AB76" s="47">
        <f t="shared" si="65"/>
        <v>0</v>
      </c>
      <c r="AC76" s="47">
        <f t="shared" si="65"/>
        <v>0</v>
      </c>
      <c r="AD76" s="47">
        <f t="shared" si="65"/>
        <v>0</v>
      </c>
      <c r="AE76" s="47">
        <f t="shared" si="65"/>
        <v>0</v>
      </c>
      <c r="AF76" s="47">
        <f t="shared" si="65"/>
        <v>0</v>
      </c>
      <c r="AG76" s="47">
        <f t="shared" si="65"/>
        <v>0</v>
      </c>
      <c r="AH76" s="47">
        <f t="shared" si="65"/>
        <v>0</v>
      </c>
      <c r="AI76" s="47">
        <f t="shared" si="65"/>
        <v>0</v>
      </c>
      <c r="AJ76" s="47">
        <f t="shared" si="65"/>
        <v>0</v>
      </c>
      <c r="AK76" s="47">
        <f t="shared" si="65"/>
        <v>0</v>
      </c>
      <c r="AL76" s="47">
        <f t="shared" si="65"/>
        <v>0</v>
      </c>
      <c r="AM76" s="47">
        <f t="shared" si="65"/>
        <v>0</v>
      </c>
      <c r="AN76" s="47">
        <f t="shared" si="65"/>
        <v>0</v>
      </c>
      <c r="AO76" s="47">
        <f t="shared" si="65"/>
        <v>0</v>
      </c>
      <c r="AP76" s="47">
        <f t="shared" si="65"/>
        <v>0</v>
      </c>
      <c r="AQ76" s="47">
        <f t="shared" si="65"/>
        <v>0</v>
      </c>
      <c r="AR76" s="47">
        <f t="shared" si="65"/>
        <v>0</v>
      </c>
      <c r="AS76" s="47">
        <f t="shared" si="65"/>
        <v>0</v>
      </c>
      <c r="AT76" s="47">
        <f t="shared" si="65"/>
        <v>0</v>
      </c>
      <c r="AU76" s="47">
        <f t="shared" si="65"/>
        <v>0</v>
      </c>
      <c r="AV76" s="47">
        <f t="shared" si="65"/>
        <v>0</v>
      </c>
      <c r="AW76" s="47">
        <f t="shared" si="65"/>
        <v>0</v>
      </c>
      <c r="AX76" s="47">
        <f t="shared" si="65"/>
        <v>0</v>
      </c>
      <c r="AY76" s="47">
        <f t="shared" si="65"/>
        <v>0</v>
      </c>
      <c r="AZ76" s="47">
        <f t="shared" si="65"/>
        <v>0</v>
      </c>
      <c r="BA76" s="47">
        <f t="shared" si="65"/>
        <v>0</v>
      </c>
    </row>
    <row r="77" spans="2:53" x14ac:dyDescent="0.2">
      <c r="B77" s="45" t="s">
        <v>101</v>
      </c>
      <c r="C77" s="75" t="s">
        <v>75</v>
      </c>
      <c r="D77" s="49">
        <f>IF($B75=D$2,D$4,0)</f>
        <v>0</v>
      </c>
      <c r="E77" s="49">
        <f t="shared" ref="E77:BA77" si="66">IF($B75=E$2,E$4,0)</f>
        <v>0</v>
      </c>
      <c r="F77" s="49">
        <f t="shared" si="66"/>
        <v>0</v>
      </c>
      <c r="G77" s="49">
        <f t="shared" si="66"/>
        <v>0</v>
      </c>
      <c r="H77" s="49">
        <f t="shared" si="66"/>
        <v>0</v>
      </c>
      <c r="I77" s="49">
        <f t="shared" si="66"/>
        <v>0</v>
      </c>
      <c r="J77" s="49">
        <f t="shared" si="66"/>
        <v>0</v>
      </c>
      <c r="K77" s="49">
        <f t="shared" si="66"/>
        <v>0</v>
      </c>
      <c r="L77" s="49">
        <f t="shared" si="66"/>
        <v>0</v>
      </c>
      <c r="M77" s="49">
        <f t="shared" si="66"/>
        <v>11.95092568622311</v>
      </c>
      <c r="N77" s="49">
        <f t="shared" si="66"/>
        <v>0</v>
      </c>
      <c r="O77" s="49">
        <f t="shared" si="66"/>
        <v>0</v>
      </c>
      <c r="P77" s="49">
        <f t="shared" si="66"/>
        <v>0</v>
      </c>
      <c r="Q77" s="49">
        <f t="shared" si="66"/>
        <v>0</v>
      </c>
      <c r="R77" s="49">
        <f t="shared" si="66"/>
        <v>0</v>
      </c>
      <c r="S77" s="49">
        <f t="shared" si="66"/>
        <v>0</v>
      </c>
      <c r="T77" s="49">
        <f t="shared" si="66"/>
        <v>0</v>
      </c>
      <c r="U77" s="49">
        <f t="shared" si="66"/>
        <v>0</v>
      </c>
      <c r="V77" s="49">
        <f t="shared" si="66"/>
        <v>0</v>
      </c>
      <c r="W77" s="49">
        <f t="shared" si="66"/>
        <v>0</v>
      </c>
      <c r="X77" s="49">
        <f t="shared" si="66"/>
        <v>0</v>
      </c>
      <c r="Y77" s="49">
        <f t="shared" si="66"/>
        <v>0</v>
      </c>
      <c r="Z77" s="49">
        <f t="shared" si="66"/>
        <v>0</v>
      </c>
      <c r="AA77" s="49">
        <f t="shared" si="66"/>
        <v>0</v>
      </c>
      <c r="AB77" s="49">
        <f t="shared" si="66"/>
        <v>0</v>
      </c>
      <c r="AC77" s="49">
        <f t="shared" si="66"/>
        <v>0</v>
      </c>
      <c r="AD77" s="49">
        <f t="shared" si="66"/>
        <v>0</v>
      </c>
      <c r="AE77" s="49">
        <f t="shared" si="66"/>
        <v>0</v>
      </c>
      <c r="AF77" s="49">
        <f t="shared" si="66"/>
        <v>0</v>
      </c>
      <c r="AG77" s="49">
        <f t="shared" si="66"/>
        <v>0</v>
      </c>
      <c r="AH77" s="49">
        <f t="shared" si="66"/>
        <v>0</v>
      </c>
      <c r="AI77" s="49">
        <f t="shared" si="66"/>
        <v>0</v>
      </c>
      <c r="AJ77" s="49">
        <f t="shared" si="66"/>
        <v>0</v>
      </c>
      <c r="AK77" s="49">
        <f t="shared" si="66"/>
        <v>0</v>
      </c>
      <c r="AL77" s="49">
        <f t="shared" si="66"/>
        <v>0</v>
      </c>
      <c r="AM77" s="49">
        <f t="shared" si="66"/>
        <v>0</v>
      </c>
      <c r="AN77" s="49">
        <f t="shared" si="66"/>
        <v>0</v>
      </c>
      <c r="AO77" s="49">
        <f t="shared" si="66"/>
        <v>0</v>
      </c>
      <c r="AP77" s="49">
        <f t="shared" si="66"/>
        <v>0</v>
      </c>
      <c r="AQ77" s="49">
        <f t="shared" si="66"/>
        <v>0</v>
      </c>
      <c r="AR77" s="49">
        <f t="shared" si="66"/>
        <v>0</v>
      </c>
      <c r="AS77" s="49">
        <f t="shared" si="66"/>
        <v>0</v>
      </c>
      <c r="AT77" s="49">
        <f t="shared" si="66"/>
        <v>0</v>
      </c>
      <c r="AU77" s="49">
        <f t="shared" si="66"/>
        <v>0</v>
      </c>
      <c r="AV77" s="49">
        <f t="shared" si="66"/>
        <v>0</v>
      </c>
      <c r="AW77" s="49">
        <f t="shared" si="66"/>
        <v>0</v>
      </c>
      <c r="AX77" s="49">
        <f t="shared" si="66"/>
        <v>0</v>
      </c>
      <c r="AY77" s="49">
        <f t="shared" si="66"/>
        <v>0</v>
      </c>
      <c r="AZ77" s="49">
        <f t="shared" si="66"/>
        <v>0</v>
      </c>
      <c r="BA77" s="49">
        <f t="shared" si="66"/>
        <v>0</v>
      </c>
    </row>
    <row r="78" spans="2:53" x14ac:dyDescent="0.2">
      <c r="B78" t="s">
        <v>102</v>
      </c>
      <c r="C78" s="73" t="s">
        <v>75</v>
      </c>
      <c r="D78" s="47"/>
      <c r="E78" s="47">
        <f>IF(OR(D79&lt;=$B$15*$M$77,F$1-$N$1&gt;$B$13),0,-IF($B$12="straight line",SLN($M$77,+$B$15*$M$77,$B$13),VDB($M$77,$B$15*$M$77,$B$13,E$1-$N$1,F$1-$N$1,$B$14)))</f>
        <v>0</v>
      </c>
      <c r="F78" s="47">
        <f t="shared" ref="F78:BA78" si="67">IF(OR(E79&lt;=$B$15*$M$77,G$1-$N$1&gt;$B$13),0,-IF($B$12="straight line",SLN($M$77,+$B$15*$M$77,$B$13),VDB($M$77,$B$15*$M$77,$B$13,F$1-$N$1,G$1-$N$1,$B$14)))</f>
        <v>0</v>
      </c>
      <c r="G78" s="47">
        <f t="shared" si="67"/>
        <v>0</v>
      </c>
      <c r="H78" s="47">
        <f t="shared" si="67"/>
        <v>0</v>
      </c>
      <c r="I78" s="47">
        <f t="shared" si="67"/>
        <v>0</v>
      </c>
      <c r="J78" s="47">
        <f t="shared" si="67"/>
        <v>0</v>
      </c>
      <c r="K78" s="47">
        <f t="shared" si="67"/>
        <v>0</v>
      </c>
      <c r="L78" s="47">
        <f t="shared" si="67"/>
        <v>0</v>
      </c>
      <c r="M78" s="47">
        <f t="shared" si="67"/>
        <v>0</v>
      </c>
      <c r="N78" s="47">
        <f t="shared" si="67"/>
        <v>-2.3901851372446221</v>
      </c>
      <c r="O78" s="47">
        <f t="shared" si="67"/>
        <v>-2.3901851372446221</v>
      </c>
      <c r="P78" s="47">
        <f t="shared" si="67"/>
        <v>-2.3901851372446221</v>
      </c>
      <c r="Q78" s="47">
        <f t="shared" si="67"/>
        <v>-2.3901851372446221</v>
      </c>
      <c r="R78" s="47">
        <f t="shared" si="67"/>
        <v>-2.3901851372446221</v>
      </c>
      <c r="S78" s="47">
        <f t="shared" si="67"/>
        <v>0</v>
      </c>
      <c r="T78" s="47">
        <f t="shared" si="67"/>
        <v>0</v>
      </c>
      <c r="U78" s="47">
        <f t="shared" si="67"/>
        <v>0</v>
      </c>
      <c r="V78" s="47">
        <f t="shared" si="67"/>
        <v>0</v>
      </c>
      <c r="W78" s="47">
        <f t="shared" si="67"/>
        <v>0</v>
      </c>
      <c r="X78" s="47">
        <f t="shared" si="67"/>
        <v>0</v>
      </c>
      <c r="Y78" s="47">
        <f t="shared" si="67"/>
        <v>0</v>
      </c>
      <c r="Z78" s="47">
        <f t="shared" si="67"/>
        <v>0</v>
      </c>
      <c r="AA78" s="47">
        <f t="shared" si="67"/>
        <v>0</v>
      </c>
      <c r="AB78" s="47">
        <f t="shared" si="67"/>
        <v>0</v>
      </c>
      <c r="AC78" s="47">
        <f t="shared" si="67"/>
        <v>0</v>
      </c>
      <c r="AD78" s="47">
        <f t="shared" si="67"/>
        <v>0</v>
      </c>
      <c r="AE78" s="47">
        <f t="shared" si="67"/>
        <v>0</v>
      </c>
      <c r="AF78" s="47">
        <f t="shared" si="67"/>
        <v>0</v>
      </c>
      <c r="AG78" s="47">
        <f t="shared" si="67"/>
        <v>0</v>
      </c>
      <c r="AH78" s="47">
        <f t="shared" si="67"/>
        <v>0</v>
      </c>
      <c r="AI78" s="47">
        <f t="shared" si="67"/>
        <v>0</v>
      </c>
      <c r="AJ78" s="47">
        <f t="shared" si="67"/>
        <v>0</v>
      </c>
      <c r="AK78" s="47">
        <f t="shared" si="67"/>
        <v>0</v>
      </c>
      <c r="AL78" s="47">
        <f t="shared" si="67"/>
        <v>0</v>
      </c>
      <c r="AM78" s="47">
        <f t="shared" si="67"/>
        <v>0</v>
      </c>
      <c r="AN78" s="47">
        <f t="shared" si="67"/>
        <v>0</v>
      </c>
      <c r="AO78" s="47">
        <f t="shared" si="67"/>
        <v>0</v>
      </c>
      <c r="AP78" s="47">
        <f t="shared" si="67"/>
        <v>0</v>
      </c>
      <c r="AQ78" s="47">
        <f t="shared" si="67"/>
        <v>0</v>
      </c>
      <c r="AR78" s="47">
        <f t="shared" si="67"/>
        <v>0</v>
      </c>
      <c r="AS78" s="47">
        <f t="shared" si="67"/>
        <v>0</v>
      </c>
      <c r="AT78" s="47">
        <f t="shared" si="67"/>
        <v>0</v>
      </c>
      <c r="AU78" s="47">
        <f t="shared" si="67"/>
        <v>0</v>
      </c>
      <c r="AV78" s="47">
        <f t="shared" si="67"/>
        <v>0</v>
      </c>
      <c r="AW78" s="47">
        <f t="shared" si="67"/>
        <v>0</v>
      </c>
      <c r="AX78" s="47">
        <f t="shared" si="67"/>
        <v>0</v>
      </c>
      <c r="AY78" s="47">
        <f t="shared" si="67"/>
        <v>0</v>
      </c>
      <c r="AZ78" s="47">
        <f t="shared" si="67"/>
        <v>0</v>
      </c>
      <c r="BA78" s="47">
        <f t="shared" si="67"/>
        <v>0</v>
      </c>
    </row>
    <row r="79" spans="2:53" x14ac:dyDescent="0.2">
      <c r="B79" t="s">
        <v>103</v>
      </c>
      <c r="C79" s="73" t="s">
        <v>75</v>
      </c>
      <c r="D79" s="49">
        <f>SUM(D76:D78)</f>
        <v>0</v>
      </c>
      <c r="E79" s="49">
        <f t="shared" ref="E79:BA79" si="68">SUM(E76:E78)</f>
        <v>0</v>
      </c>
      <c r="F79" s="49">
        <f t="shared" si="68"/>
        <v>0</v>
      </c>
      <c r="G79" s="49">
        <f t="shared" si="68"/>
        <v>0</v>
      </c>
      <c r="H79" s="49">
        <f t="shared" si="68"/>
        <v>0</v>
      </c>
      <c r="I79" s="49">
        <f t="shared" si="68"/>
        <v>0</v>
      </c>
      <c r="J79" s="49">
        <f t="shared" si="68"/>
        <v>0</v>
      </c>
      <c r="K79" s="49">
        <f t="shared" si="68"/>
        <v>0</v>
      </c>
      <c r="L79" s="49">
        <f t="shared" si="68"/>
        <v>0</v>
      </c>
      <c r="M79" s="49">
        <f t="shared" si="68"/>
        <v>11.95092568622311</v>
      </c>
      <c r="N79" s="49">
        <f t="shared" si="68"/>
        <v>9.5607405489784885</v>
      </c>
      <c r="O79" s="49">
        <f t="shared" si="68"/>
        <v>7.1705554117338668</v>
      </c>
      <c r="P79" s="49">
        <f t="shared" si="68"/>
        <v>4.7803702744892451</v>
      </c>
      <c r="Q79" s="49">
        <f t="shared" si="68"/>
        <v>2.390185137244623</v>
      </c>
      <c r="R79" s="49">
        <f t="shared" si="68"/>
        <v>0</v>
      </c>
      <c r="S79" s="49">
        <f t="shared" si="68"/>
        <v>0</v>
      </c>
      <c r="T79" s="49">
        <f t="shared" si="68"/>
        <v>0</v>
      </c>
      <c r="U79" s="49">
        <f t="shared" si="68"/>
        <v>0</v>
      </c>
      <c r="V79" s="49">
        <f t="shared" si="68"/>
        <v>0</v>
      </c>
      <c r="W79" s="49">
        <f t="shared" si="68"/>
        <v>0</v>
      </c>
      <c r="X79" s="49">
        <f t="shared" si="68"/>
        <v>0</v>
      </c>
      <c r="Y79" s="49">
        <f t="shared" si="68"/>
        <v>0</v>
      </c>
      <c r="Z79" s="49">
        <f t="shared" si="68"/>
        <v>0</v>
      </c>
      <c r="AA79" s="49">
        <f t="shared" si="68"/>
        <v>0</v>
      </c>
      <c r="AB79" s="49">
        <f t="shared" si="68"/>
        <v>0</v>
      </c>
      <c r="AC79" s="49">
        <f t="shared" si="68"/>
        <v>0</v>
      </c>
      <c r="AD79" s="49">
        <f t="shared" si="68"/>
        <v>0</v>
      </c>
      <c r="AE79" s="49">
        <f t="shared" si="68"/>
        <v>0</v>
      </c>
      <c r="AF79" s="49">
        <f t="shared" si="68"/>
        <v>0</v>
      </c>
      <c r="AG79" s="49">
        <f t="shared" si="68"/>
        <v>0</v>
      </c>
      <c r="AH79" s="49">
        <f t="shared" si="68"/>
        <v>0</v>
      </c>
      <c r="AI79" s="49">
        <f t="shared" si="68"/>
        <v>0</v>
      </c>
      <c r="AJ79" s="49">
        <f t="shared" si="68"/>
        <v>0</v>
      </c>
      <c r="AK79" s="49">
        <f t="shared" si="68"/>
        <v>0</v>
      </c>
      <c r="AL79" s="49">
        <f t="shared" si="68"/>
        <v>0</v>
      </c>
      <c r="AM79" s="49">
        <f t="shared" si="68"/>
        <v>0</v>
      </c>
      <c r="AN79" s="49">
        <f t="shared" si="68"/>
        <v>0</v>
      </c>
      <c r="AO79" s="49">
        <f t="shared" si="68"/>
        <v>0</v>
      </c>
      <c r="AP79" s="49">
        <f t="shared" si="68"/>
        <v>0</v>
      </c>
      <c r="AQ79" s="49">
        <f t="shared" si="68"/>
        <v>0</v>
      </c>
      <c r="AR79" s="49">
        <f t="shared" si="68"/>
        <v>0</v>
      </c>
      <c r="AS79" s="49">
        <f t="shared" si="68"/>
        <v>0</v>
      </c>
      <c r="AT79" s="49">
        <f t="shared" si="68"/>
        <v>0</v>
      </c>
      <c r="AU79" s="49">
        <f t="shared" si="68"/>
        <v>0</v>
      </c>
      <c r="AV79" s="49">
        <f t="shared" si="68"/>
        <v>0</v>
      </c>
      <c r="AW79" s="49">
        <f t="shared" si="68"/>
        <v>0</v>
      </c>
      <c r="AX79" s="49">
        <f t="shared" si="68"/>
        <v>0</v>
      </c>
      <c r="AY79" s="49">
        <f t="shared" si="68"/>
        <v>0</v>
      </c>
      <c r="AZ79" s="49">
        <f t="shared" si="68"/>
        <v>0</v>
      </c>
      <c r="BA79" s="49">
        <f t="shared" si="68"/>
        <v>0</v>
      </c>
    </row>
    <row r="80" spans="2:53" x14ac:dyDescent="0.2">
      <c r="B80"/>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row>
    <row r="81" spans="2:53" x14ac:dyDescent="0.2">
      <c r="B81" s="215">
        <f>B75+1</f>
        <v>11</v>
      </c>
    </row>
    <row r="82" spans="2:53" x14ac:dyDescent="0.2">
      <c r="B82" s="94" t="s">
        <v>100</v>
      </c>
      <c r="C82" s="73" t="s">
        <v>75</v>
      </c>
      <c r="D82" s="95">
        <f>0</f>
        <v>0</v>
      </c>
      <c r="E82" s="47">
        <f t="shared" ref="E82:BA82" si="69">D85</f>
        <v>0</v>
      </c>
      <c r="F82" s="47">
        <f t="shared" si="69"/>
        <v>0</v>
      </c>
      <c r="G82" s="47">
        <f t="shared" si="69"/>
        <v>0</v>
      </c>
      <c r="H82" s="47">
        <f t="shared" si="69"/>
        <v>0</v>
      </c>
      <c r="I82" s="47">
        <f t="shared" si="69"/>
        <v>0</v>
      </c>
      <c r="J82" s="47">
        <f t="shared" si="69"/>
        <v>0</v>
      </c>
      <c r="K82" s="47">
        <f t="shared" si="69"/>
        <v>0</v>
      </c>
      <c r="L82" s="47">
        <f t="shared" si="69"/>
        <v>0</v>
      </c>
      <c r="M82" s="47">
        <f t="shared" si="69"/>
        <v>0</v>
      </c>
      <c r="N82" s="47">
        <f t="shared" si="69"/>
        <v>0</v>
      </c>
      <c r="O82" s="47">
        <f t="shared" si="69"/>
        <v>12.189944199947574</v>
      </c>
      <c r="P82" s="47">
        <f t="shared" si="69"/>
        <v>9.7519553599580586</v>
      </c>
      <c r="Q82" s="47">
        <f t="shared" si="69"/>
        <v>7.3139665199685435</v>
      </c>
      <c r="R82" s="47">
        <f t="shared" si="69"/>
        <v>4.8759776799790284</v>
      </c>
      <c r="S82" s="47">
        <f t="shared" si="69"/>
        <v>2.4379888399895138</v>
      </c>
      <c r="T82" s="47">
        <f t="shared" si="69"/>
        <v>0</v>
      </c>
      <c r="U82" s="47">
        <f t="shared" si="69"/>
        <v>0</v>
      </c>
      <c r="V82" s="47">
        <f t="shared" si="69"/>
        <v>0</v>
      </c>
      <c r="W82" s="47">
        <f t="shared" si="69"/>
        <v>0</v>
      </c>
      <c r="X82" s="47">
        <f t="shared" si="69"/>
        <v>0</v>
      </c>
      <c r="Y82" s="47">
        <f t="shared" si="69"/>
        <v>0</v>
      </c>
      <c r="Z82" s="47">
        <f t="shared" si="69"/>
        <v>0</v>
      </c>
      <c r="AA82" s="47">
        <f t="shared" si="69"/>
        <v>0</v>
      </c>
      <c r="AB82" s="47">
        <f t="shared" si="69"/>
        <v>0</v>
      </c>
      <c r="AC82" s="47">
        <f t="shared" si="69"/>
        <v>0</v>
      </c>
      <c r="AD82" s="47">
        <f t="shared" si="69"/>
        <v>0</v>
      </c>
      <c r="AE82" s="47">
        <f t="shared" si="69"/>
        <v>0</v>
      </c>
      <c r="AF82" s="47">
        <f t="shared" si="69"/>
        <v>0</v>
      </c>
      <c r="AG82" s="47">
        <f t="shared" si="69"/>
        <v>0</v>
      </c>
      <c r="AH82" s="47">
        <f t="shared" si="69"/>
        <v>0</v>
      </c>
      <c r="AI82" s="47">
        <f t="shared" si="69"/>
        <v>0</v>
      </c>
      <c r="AJ82" s="47">
        <f t="shared" si="69"/>
        <v>0</v>
      </c>
      <c r="AK82" s="47">
        <f t="shared" si="69"/>
        <v>0</v>
      </c>
      <c r="AL82" s="47">
        <f t="shared" si="69"/>
        <v>0</v>
      </c>
      <c r="AM82" s="47">
        <f t="shared" si="69"/>
        <v>0</v>
      </c>
      <c r="AN82" s="47">
        <f t="shared" si="69"/>
        <v>0</v>
      </c>
      <c r="AO82" s="47">
        <f t="shared" si="69"/>
        <v>0</v>
      </c>
      <c r="AP82" s="47">
        <f t="shared" si="69"/>
        <v>0</v>
      </c>
      <c r="AQ82" s="47">
        <f t="shared" si="69"/>
        <v>0</v>
      </c>
      <c r="AR82" s="47">
        <f t="shared" si="69"/>
        <v>0</v>
      </c>
      <c r="AS82" s="47">
        <f t="shared" si="69"/>
        <v>0</v>
      </c>
      <c r="AT82" s="47">
        <f t="shared" si="69"/>
        <v>0</v>
      </c>
      <c r="AU82" s="47">
        <f t="shared" si="69"/>
        <v>0</v>
      </c>
      <c r="AV82" s="47">
        <f t="shared" si="69"/>
        <v>0</v>
      </c>
      <c r="AW82" s="47">
        <f t="shared" si="69"/>
        <v>0</v>
      </c>
      <c r="AX82" s="47">
        <f t="shared" si="69"/>
        <v>0</v>
      </c>
      <c r="AY82" s="47">
        <f t="shared" si="69"/>
        <v>0</v>
      </c>
      <c r="AZ82" s="47">
        <f t="shared" si="69"/>
        <v>0</v>
      </c>
      <c r="BA82" s="47">
        <f t="shared" si="69"/>
        <v>0</v>
      </c>
    </row>
    <row r="83" spans="2:53" x14ac:dyDescent="0.2">
      <c r="B83" s="94" t="s">
        <v>101</v>
      </c>
      <c r="C83" s="73" t="s">
        <v>75</v>
      </c>
      <c r="D83" s="95">
        <f>IF($B81=D$2,D$4,0)</f>
        <v>0</v>
      </c>
      <c r="E83" s="95">
        <f t="shared" ref="E83:BA83" si="70">IF($B81=E$2,E$4,0)</f>
        <v>0</v>
      </c>
      <c r="F83" s="95">
        <f t="shared" si="70"/>
        <v>0</v>
      </c>
      <c r="G83" s="95">
        <f t="shared" si="70"/>
        <v>0</v>
      </c>
      <c r="H83" s="95">
        <f t="shared" si="70"/>
        <v>0</v>
      </c>
      <c r="I83" s="95">
        <f t="shared" si="70"/>
        <v>0</v>
      </c>
      <c r="J83" s="95">
        <f t="shared" si="70"/>
        <v>0</v>
      </c>
      <c r="K83" s="95">
        <f t="shared" si="70"/>
        <v>0</v>
      </c>
      <c r="L83" s="95">
        <f t="shared" si="70"/>
        <v>0</v>
      </c>
      <c r="M83" s="95">
        <f t="shared" si="70"/>
        <v>0</v>
      </c>
      <c r="N83" s="95">
        <f t="shared" si="70"/>
        <v>12.189944199947574</v>
      </c>
      <c r="O83" s="95">
        <f t="shared" si="70"/>
        <v>0</v>
      </c>
      <c r="P83" s="95">
        <f t="shared" si="70"/>
        <v>0</v>
      </c>
      <c r="Q83" s="95">
        <f t="shared" si="70"/>
        <v>0</v>
      </c>
      <c r="R83" s="95">
        <f t="shared" si="70"/>
        <v>0</v>
      </c>
      <c r="S83" s="95">
        <f t="shared" si="70"/>
        <v>0</v>
      </c>
      <c r="T83" s="95">
        <f t="shared" si="70"/>
        <v>0</v>
      </c>
      <c r="U83" s="95">
        <f t="shared" si="70"/>
        <v>0</v>
      </c>
      <c r="V83" s="95">
        <f t="shared" si="70"/>
        <v>0</v>
      </c>
      <c r="W83" s="95">
        <f t="shared" si="70"/>
        <v>0</v>
      </c>
      <c r="X83" s="95">
        <f t="shared" si="70"/>
        <v>0</v>
      </c>
      <c r="Y83" s="95">
        <f t="shared" si="70"/>
        <v>0</v>
      </c>
      <c r="Z83" s="95">
        <f t="shared" si="70"/>
        <v>0</v>
      </c>
      <c r="AA83" s="95">
        <f t="shared" si="70"/>
        <v>0</v>
      </c>
      <c r="AB83" s="95">
        <f t="shared" si="70"/>
        <v>0</v>
      </c>
      <c r="AC83" s="95">
        <f t="shared" si="70"/>
        <v>0</v>
      </c>
      <c r="AD83" s="95">
        <f t="shared" si="70"/>
        <v>0</v>
      </c>
      <c r="AE83" s="95">
        <f t="shared" si="70"/>
        <v>0</v>
      </c>
      <c r="AF83" s="95">
        <f t="shared" si="70"/>
        <v>0</v>
      </c>
      <c r="AG83" s="95">
        <f t="shared" si="70"/>
        <v>0</v>
      </c>
      <c r="AH83" s="95">
        <f t="shared" si="70"/>
        <v>0</v>
      </c>
      <c r="AI83" s="95">
        <f t="shared" si="70"/>
        <v>0</v>
      </c>
      <c r="AJ83" s="95">
        <f t="shared" si="70"/>
        <v>0</v>
      </c>
      <c r="AK83" s="95">
        <f t="shared" si="70"/>
        <v>0</v>
      </c>
      <c r="AL83" s="95">
        <f t="shared" si="70"/>
        <v>0</v>
      </c>
      <c r="AM83" s="95">
        <f t="shared" si="70"/>
        <v>0</v>
      </c>
      <c r="AN83" s="95">
        <f t="shared" si="70"/>
        <v>0</v>
      </c>
      <c r="AO83" s="95">
        <f t="shared" si="70"/>
        <v>0</v>
      </c>
      <c r="AP83" s="95">
        <f t="shared" si="70"/>
        <v>0</v>
      </c>
      <c r="AQ83" s="95">
        <f t="shared" si="70"/>
        <v>0</v>
      </c>
      <c r="AR83" s="95">
        <f t="shared" si="70"/>
        <v>0</v>
      </c>
      <c r="AS83" s="95">
        <f t="shared" si="70"/>
        <v>0</v>
      </c>
      <c r="AT83" s="95">
        <f t="shared" si="70"/>
        <v>0</v>
      </c>
      <c r="AU83" s="95">
        <f t="shared" si="70"/>
        <v>0</v>
      </c>
      <c r="AV83" s="95">
        <f t="shared" si="70"/>
        <v>0</v>
      </c>
      <c r="AW83" s="95">
        <f t="shared" si="70"/>
        <v>0</v>
      </c>
      <c r="AX83" s="95">
        <f t="shared" si="70"/>
        <v>0</v>
      </c>
      <c r="AY83" s="95">
        <f t="shared" si="70"/>
        <v>0</v>
      </c>
      <c r="AZ83" s="95">
        <f t="shared" si="70"/>
        <v>0</v>
      </c>
      <c r="BA83" s="95">
        <f t="shared" si="70"/>
        <v>0</v>
      </c>
    </row>
    <row r="84" spans="2:53" x14ac:dyDescent="0.2">
      <c r="B84" s="76" t="s">
        <v>102</v>
      </c>
      <c r="C84" s="73" t="s">
        <v>75</v>
      </c>
      <c r="D84" s="47"/>
      <c r="E84" s="47">
        <f>IF(OR(D85&lt;=$B$15*$N$83,F$1-$O$1&gt;$B$13),0,-IF($B$12="straight line",SLN($N$83,+$B$15*$N$83,$B$13),VDB($N$83,$B$15*$N$83,$B$13,E$1-$O$1,F$1-$O$1,$B$14)))</f>
        <v>0</v>
      </c>
      <c r="F84" s="47">
        <f t="shared" ref="F84:BA84" si="71">IF(OR(E85&lt;=$B$15*$N$83,G$1-$O$1&gt;$B$13),0,-IF($B$12="straight line",SLN($N$83,+$B$15*$N$83,$B$13),VDB($N$83,$B$15*$N$83,$B$13,F$1-$O$1,G$1-$O$1,$B$14)))</f>
        <v>0</v>
      </c>
      <c r="G84" s="47">
        <f t="shared" si="71"/>
        <v>0</v>
      </c>
      <c r="H84" s="47">
        <f t="shared" si="71"/>
        <v>0</v>
      </c>
      <c r="I84" s="47">
        <f t="shared" si="71"/>
        <v>0</v>
      </c>
      <c r="J84" s="47">
        <f t="shared" si="71"/>
        <v>0</v>
      </c>
      <c r="K84" s="47">
        <f t="shared" si="71"/>
        <v>0</v>
      </c>
      <c r="L84" s="47">
        <f t="shared" si="71"/>
        <v>0</v>
      </c>
      <c r="M84" s="47">
        <f t="shared" si="71"/>
        <v>0</v>
      </c>
      <c r="N84" s="47">
        <f t="shared" si="71"/>
        <v>0</v>
      </c>
      <c r="O84" s="47">
        <f t="shared" si="71"/>
        <v>-2.4379888399895147</v>
      </c>
      <c r="P84" s="47">
        <f t="shared" si="71"/>
        <v>-2.4379888399895147</v>
      </c>
      <c r="Q84" s="47">
        <f t="shared" si="71"/>
        <v>-2.4379888399895147</v>
      </c>
      <c r="R84" s="47">
        <f t="shared" si="71"/>
        <v>-2.4379888399895147</v>
      </c>
      <c r="S84" s="47">
        <f t="shared" si="71"/>
        <v>-2.4379888399895147</v>
      </c>
      <c r="T84" s="47">
        <f t="shared" si="71"/>
        <v>0</v>
      </c>
      <c r="U84" s="47">
        <f t="shared" si="71"/>
        <v>0</v>
      </c>
      <c r="V84" s="47">
        <f t="shared" si="71"/>
        <v>0</v>
      </c>
      <c r="W84" s="47">
        <f t="shared" si="71"/>
        <v>0</v>
      </c>
      <c r="X84" s="47">
        <f t="shared" si="71"/>
        <v>0</v>
      </c>
      <c r="Y84" s="47">
        <f t="shared" si="71"/>
        <v>0</v>
      </c>
      <c r="Z84" s="47">
        <f t="shared" si="71"/>
        <v>0</v>
      </c>
      <c r="AA84" s="47">
        <f t="shared" si="71"/>
        <v>0</v>
      </c>
      <c r="AB84" s="47">
        <f t="shared" si="71"/>
        <v>0</v>
      </c>
      <c r="AC84" s="47">
        <f t="shared" si="71"/>
        <v>0</v>
      </c>
      <c r="AD84" s="47">
        <f t="shared" si="71"/>
        <v>0</v>
      </c>
      <c r="AE84" s="47">
        <f t="shared" si="71"/>
        <v>0</v>
      </c>
      <c r="AF84" s="47">
        <f t="shared" si="71"/>
        <v>0</v>
      </c>
      <c r="AG84" s="47">
        <f t="shared" si="71"/>
        <v>0</v>
      </c>
      <c r="AH84" s="47">
        <f t="shared" si="71"/>
        <v>0</v>
      </c>
      <c r="AI84" s="47">
        <f t="shared" si="71"/>
        <v>0</v>
      </c>
      <c r="AJ84" s="47">
        <f t="shared" si="71"/>
        <v>0</v>
      </c>
      <c r="AK84" s="47">
        <f t="shared" si="71"/>
        <v>0</v>
      </c>
      <c r="AL84" s="47">
        <f t="shared" si="71"/>
        <v>0</v>
      </c>
      <c r="AM84" s="47">
        <f t="shared" si="71"/>
        <v>0</v>
      </c>
      <c r="AN84" s="47">
        <f t="shared" si="71"/>
        <v>0</v>
      </c>
      <c r="AO84" s="47">
        <f t="shared" si="71"/>
        <v>0</v>
      </c>
      <c r="AP84" s="47">
        <f t="shared" si="71"/>
        <v>0</v>
      </c>
      <c r="AQ84" s="47">
        <f t="shared" si="71"/>
        <v>0</v>
      </c>
      <c r="AR84" s="47">
        <f t="shared" si="71"/>
        <v>0</v>
      </c>
      <c r="AS84" s="47">
        <f t="shared" si="71"/>
        <v>0</v>
      </c>
      <c r="AT84" s="47">
        <f t="shared" si="71"/>
        <v>0</v>
      </c>
      <c r="AU84" s="47">
        <f t="shared" si="71"/>
        <v>0</v>
      </c>
      <c r="AV84" s="47">
        <f t="shared" si="71"/>
        <v>0</v>
      </c>
      <c r="AW84" s="47">
        <f t="shared" si="71"/>
        <v>0</v>
      </c>
      <c r="AX84" s="47">
        <f t="shared" si="71"/>
        <v>0</v>
      </c>
      <c r="AY84" s="47">
        <f t="shared" si="71"/>
        <v>0</v>
      </c>
      <c r="AZ84" s="47">
        <f t="shared" si="71"/>
        <v>0</v>
      </c>
      <c r="BA84" s="47">
        <f t="shared" si="71"/>
        <v>0</v>
      </c>
    </row>
    <row r="85" spans="2:53" x14ac:dyDescent="0.2">
      <c r="B85" s="76" t="s">
        <v>103</v>
      </c>
      <c r="C85" s="73" t="s">
        <v>75</v>
      </c>
      <c r="D85" s="95">
        <f>SUM(D82:D84)</f>
        <v>0</v>
      </c>
      <c r="E85" s="95">
        <f t="shared" ref="E85:BA85" si="72">SUM(E82:E84)</f>
        <v>0</v>
      </c>
      <c r="F85" s="95">
        <f t="shared" si="72"/>
        <v>0</v>
      </c>
      <c r="G85" s="95">
        <f t="shared" si="72"/>
        <v>0</v>
      </c>
      <c r="H85" s="95">
        <f t="shared" si="72"/>
        <v>0</v>
      </c>
      <c r="I85" s="95">
        <f t="shared" si="72"/>
        <v>0</v>
      </c>
      <c r="J85" s="95">
        <f t="shared" si="72"/>
        <v>0</v>
      </c>
      <c r="K85" s="95">
        <f t="shared" si="72"/>
        <v>0</v>
      </c>
      <c r="L85" s="95">
        <f t="shared" si="72"/>
        <v>0</v>
      </c>
      <c r="M85" s="95">
        <f t="shared" si="72"/>
        <v>0</v>
      </c>
      <c r="N85" s="95">
        <f t="shared" si="72"/>
        <v>12.189944199947574</v>
      </c>
      <c r="O85" s="95">
        <f t="shared" si="72"/>
        <v>9.7519553599580586</v>
      </c>
      <c r="P85" s="95">
        <f t="shared" si="72"/>
        <v>7.3139665199685435</v>
      </c>
      <c r="Q85" s="95">
        <f t="shared" si="72"/>
        <v>4.8759776799790284</v>
      </c>
      <c r="R85" s="95">
        <f t="shared" si="72"/>
        <v>2.4379888399895138</v>
      </c>
      <c r="S85" s="95">
        <f t="shared" si="72"/>
        <v>0</v>
      </c>
      <c r="T85" s="95">
        <f t="shared" si="72"/>
        <v>0</v>
      </c>
      <c r="U85" s="95">
        <f t="shared" si="72"/>
        <v>0</v>
      </c>
      <c r="V85" s="95">
        <f t="shared" si="72"/>
        <v>0</v>
      </c>
      <c r="W85" s="95">
        <f t="shared" si="72"/>
        <v>0</v>
      </c>
      <c r="X85" s="95">
        <f t="shared" si="72"/>
        <v>0</v>
      </c>
      <c r="Y85" s="95">
        <f t="shared" si="72"/>
        <v>0</v>
      </c>
      <c r="Z85" s="95">
        <f t="shared" si="72"/>
        <v>0</v>
      </c>
      <c r="AA85" s="95">
        <f t="shared" si="72"/>
        <v>0</v>
      </c>
      <c r="AB85" s="95">
        <f t="shared" si="72"/>
        <v>0</v>
      </c>
      <c r="AC85" s="95">
        <f t="shared" si="72"/>
        <v>0</v>
      </c>
      <c r="AD85" s="95">
        <f t="shared" si="72"/>
        <v>0</v>
      </c>
      <c r="AE85" s="95">
        <f t="shared" si="72"/>
        <v>0</v>
      </c>
      <c r="AF85" s="95">
        <f t="shared" si="72"/>
        <v>0</v>
      </c>
      <c r="AG85" s="95">
        <f t="shared" si="72"/>
        <v>0</v>
      </c>
      <c r="AH85" s="95">
        <f t="shared" si="72"/>
        <v>0</v>
      </c>
      <c r="AI85" s="95">
        <f t="shared" si="72"/>
        <v>0</v>
      </c>
      <c r="AJ85" s="95">
        <f t="shared" si="72"/>
        <v>0</v>
      </c>
      <c r="AK85" s="95">
        <f t="shared" si="72"/>
        <v>0</v>
      </c>
      <c r="AL85" s="95">
        <f t="shared" si="72"/>
        <v>0</v>
      </c>
      <c r="AM85" s="95">
        <f t="shared" si="72"/>
        <v>0</v>
      </c>
      <c r="AN85" s="95">
        <f t="shared" si="72"/>
        <v>0</v>
      </c>
      <c r="AO85" s="95">
        <f t="shared" si="72"/>
        <v>0</v>
      </c>
      <c r="AP85" s="95">
        <f t="shared" si="72"/>
        <v>0</v>
      </c>
      <c r="AQ85" s="95">
        <f t="shared" si="72"/>
        <v>0</v>
      </c>
      <c r="AR85" s="95">
        <f t="shared" si="72"/>
        <v>0</v>
      </c>
      <c r="AS85" s="95">
        <f t="shared" si="72"/>
        <v>0</v>
      </c>
      <c r="AT85" s="95">
        <f t="shared" si="72"/>
        <v>0</v>
      </c>
      <c r="AU85" s="95">
        <f t="shared" si="72"/>
        <v>0</v>
      </c>
      <c r="AV85" s="95">
        <f t="shared" si="72"/>
        <v>0</v>
      </c>
      <c r="AW85" s="95">
        <f t="shared" si="72"/>
        <v>0</v>
      </c>
      <c r="AX85" s="95">
        <f t="shared" si="72"/>
        <v>0</v>
      </c>
      <c r="AY85" s="95">
        <f t="shared" si="72"/>
        <v>0</v>
      </c>
      <c r="AZ85" s="95">
        <f t="shared" si="72"/>
        <v>0</v>
      </c>
      <c r="BA85" s="95">
        <f t="shared" si="72"/>
        <v>0</v>
      </c>
    </row>
    <row r="87" spans="2:53" x14ac:dyDescent="0.2">
      <c r="B87" s="215">
        <f>B81+1</f>
        <v>12</v>
      </c>
    </row>
    <row r="88" spans="2:53" x14ac:dyDescent="0.2">
      <c r="B88" s="94" t="s">
        <v>100</v>
      </c>
      <c r="C88" s="73" t="s">
        <v>75</v>
      </c>
      <c r="D88" s="95">
        <f>0</f>
        <v>0</v>
      </c>
      <c r="E88" s="47">
        <f t="shared" ref="E88:BA88" si="73">D91</f>
        <v>0</v>
      </c>
      <c r="F88" s="47">
        <f t="shared" si="73"/>
        <v>0</v>
      </c>
      <c r="G88" s="47">
        <f t="shared" si="73"/>
        <v>0</v>
      </c>
      <c r="H88" s="47">
        <f t="shared" si="73"/>
        <v>0</v>
      </c>
      <c r="I88" s="47">
        <f t="shared" si="73"/>
        <v>0</v>
      </c>
      <c r="J88" s="47">
        <f t="shared" si="73"/>
        <v>0</v>
      </c>
      <c r="K88" s="47">
        <f t="shared" si="73"/>
        <v>0</v>
      </c>
      <c r="L88" s="47">
        <f t="shared" si="73"/>
        <v>0</v>
      </c>
      <c r="M88" s="47">
        <f t="shared" si="73"/>
        <v>0</v>
      </c>
      <c r="N88" s="47">
        <f t="shared" si="73"/>
        <v>0</v>
      </c>
      <c r="O88" s="47">
        <f t="shared" si="73"/>
        <v>0</v>
      </c>
      <c r="P88" s="47">
        <f t="shared" si="73"/>
        <v>12.433743083946524</v>
      </c>
      <c r="Q88" s="47">
        <f t="shared" si="73"/>
        <v>9.9469944671572197</v>
      </c>
      <c r="R88" s="47">
        <f t="shared" si="73"/>
        <v>7.4602458503679152</v>
      </c>
      <c r="S88" s="47">
        <f t="shared" si="73"/>
        <v>4.9734972335786107</v>
      </c>
      <c r="T88" s="47">
        <f t="shared" si="73"/>
        <v>2.4867486167893058</v>
      </c>
      <c r="U88" s="47">
        <f t="shared" si="73"/>
        <v>0</v>
      </c>
      <c r="V88" s="47">
        <f t="shared" si="73"/>
        <v>0</v>
      </c>
      <c r="W88" s="47">
        <f t="shared" si="73"/>
        <v>0</v>
      </c>
      <c r="X88" s="47">
        <f t="shared" si="73"/>
        <v>0</v>
      </c>
      <c r="Y88" s="47">
        <f t="shared" si="73"/>
        <v>0</v>
      </c>
      <c r="Z88" s="47">
        <f t="shared" si="73"/>
        <v>0</v>
      </c>
      <c r="AA88" s="47">
        <f t="shared" si="73"/>
        <v>0</v>
      </c>
      <c r="AB88" s="47">
        <f t="shared" si="73"/>
        <v>0</v>
      </c>
      <c r="AC88" s="47">
        <f t="shared" si="73"/>
        <v>0</v>
      </c>
      <c r="AD88" s="47">
        <f t="shared" si="73"/>
        <v>0</v>
      </c>
      <c r="AE88" s="47">
        <f t="shared" si="73"/>
        <v>0</v>
      </c>
      <c r="AF88" s="47">
        <f t="shared" si="73"/>
        <v>0</v>
      </c>
      <c r="AG88" s="47">
        <f t="shared" si="73"/>
        <v>0</v>
      </c>
      <c r="AH88" s="47">
        <f t="shared" si="73"/>
        <v>0</v>
      </c>
      <c r="AI88" s="47">
        <f t="shared" si="73"/>
        <v>0</v>
      </c>
      <c r="AJ88" s="47">
        <f t="shared" si="73"/>
        <v>0</v>
      </c>
      <c r="AK88" s="47">
        <f t="shared" si="73"/>
        <v>0</v>
      </c>
      <c r="AL88" s="47">
        <f t="shared" si="73"/>
        <v>0</v>
      </c>
      <c r="AM88" s="47">
        <f t="shared" si="73"/>
        <v>0</v>
      </c>
      <c r="AN88" s="47">
        <f t="shared" si="73"/>
        <v>0</v>
      </c>
      <c r="AO88" s="47">
        <f t="shared" si="73"/>
        <v>0</v>
      </c>
      <c r="AP88" s="47">
        <f t="shared" si="73"/>
        <v>0</v>
      </c>
      <c r="AQ88" s="47">
        <f t="shared" si="73"/>
        <v>0</v>
      </c>
      <c r="AR88" s="47">
        <f t="shared" si="73"/>
        <v>0</v>
      </c>
      <c r="AS88" s="47">
        <f t="shared" si="73"/>
        <v>0</v>
      </c>
      <c r="AT88" s="47">
        <f t="shared" si="73"/>
        <v>0</v>
      </c>
      <c r="AU88" s="47">
        <f t="shared" si="73"/>
        <v>0</v>
      </c>
      <c r="AV88" s="47">
        <f t="shared" si="73"/>
        <v>0</v>
      </c>
      <c r="AW88" s="47">
        <f t="shared" si="73"/>
        <v>0</v>
      </c>
      <c r="AX88" s="47">
        <f t="shared" si="73"/>
        <v>0</v>
      </c>
      <c r="AY88" s="47">
        <f t="shared" si="73"/>
        <v>0</v>
      </c>
      <c r="AZ88" s="47">
        <f t="shared" si="73"/>
        <v>0</v>
      </c>
      <c r="BA88" s="47">
        <f t="shared" si="73"/>
        <v>0</v>
      </c>
    </row>
    <row r="89" spans="2:53" x14ac:dyDescent="0.2">
      <c r="B89" s="94" t="s">
        <v>101</v>
      </c>
      <c r="C89" s="73" t="s">
        <v>75</v>
      </c>
      <c r="D89" s="95">
        <f>IF($B87=D$2,D$4,0)</f>
        <v>0</v>
      </c>
      <c r="E89" s="95">
        <f t="shared" ref="E89:BA89" si="74">IF($B87=E$2,E$4,0)</f>
        <v>0</v>
      </c>
      <c r="F89" s="95">
        <f t="shared" si="74"/>
        <v>0</v>
      </c>
      <c r="G89" s="95">
        <f t="shared" si="74"/>
        <v>0</v>
      </c>
      <c r="H89" s="95">
        <f t="shared" si="74"/>
        <v>0</v>
      </c>
      <c r="I89" s="95">
        <f t="shared" si="74"/>
        <v>0</v>
      </c>
      <c r="J89" s="95">
        <f t="shared" si="74"/>
        <v>0</v>
      </c>
      <c r="K89" s="95">
        <f t="shared" si="74"/>
        <v>0</v>
      </c>
      <c r="L89" s="95">
        <f t="shared" si="74"/>
        <v>0</v>
      </c>
      <c r="M89" s="95">
        <f t="shared" si="74"/>
        <v>0</v>
      </c>
      <c r="N89" s="95">
        <f t="shared" si="74"/>
        <v>0</v>
      </c>
      <c r="O89" s="95">
        <f t="shared" si="74"/>
        <v>12.433743083946524</v>
      </c>
      <c r="P89" s="95">
        <f t="shared" si="74"/>
        <v>0</v>
      </c>
      <c r="Q89" s="95">
        <f t="shared" si="74"/>
        <v>0</v>
      </c>
      <c r="R89" s="95">
        <f t="shared" si="74"/>
        <v>0</v>
      </c>
      <c r="S89" s="95">
        <f t="shared" si="74"/>
        <v>0</v>
      </c>
      <c r="T89" s="95">
        <f t="shared" si="74"/>
        <v>0</v>
      </c>
      <c r="U89" s="95">
        <f t="shared" si="74"/>
        <v>0</v>
      </c>
      <c r="V89" s="95">
        <f t="shared" si="74"/>
        <v>0</v>
      </c>
      <c r="W89" s="95">
        <f t="shared" si="74"/>
        <v>0</v>
      </c>
      <c r="X89" s="95">
        <f t="shared" si="74"/>
        <v>0</v>
      </c>
      <c r="Y89" s="95">
        <f t="shared" si="74"/>
        <v>0</v>
      </c>
      <c r="Z89" s="95">
        <f t="shared" si="74"/>
        <v>0</v>
      </c>
      <c r="AA89" s="95">
        <f t="shared" si="74"/>
        <v>0</v>
      </c>
      <c r="AB89" s="95">
        <f t="shared" si="74"/>
        <v>0</v>
      </c>
      <c r="AC89" s="95">
        <f t="shared" si="74"/>
        <v>0</v>
      </c>
      <c r="AD89" s="95">
        <f t="shared" si="74"/>
        <v>0</v>
      </c>
      <c r="AE89" s="95">
        <f t="shared" si="74"/>
        <v>0</v>
      </c>
      <c r="AF89" s="95">
        <f t="shared" si="74"/>
        <v>0</v>
      </c>
      <c r="AG89" s="95">
        <f t="shared" si="74"/>
        <v>0</v>
      </c>
      <c r="AH89" s="95">
        <f t="shared" si="74"/>
        <v>0</v>
      </c>
      <c r="AI89" s="95">
        <f t="shared" si="74"/>
        <v>0</v>
      </c>
      <c r="AJ89" s="95">
        <f t="shared" si="74"/>
        <v>0</v>
      </c>
      <c r="AK89" s="95">
        <f t="shared" si="74"/>
        <v>0</v>
      </c>
      <c r="AL89" s="95">
        <f t="shared" si="74"/>
        <v>0</v>
      </c>
      <c r="AM89" s="95">
        <f t="shared" si="74"/>
        <v>0</v>
      </c>
      <c r="AN89" s="95">
        <f t="shared" si="74"/>
        <v>0</v>
      </c>
      <c r="AO89" s="95">
        <f t="shared" si="74"/>
        <v>0</v>
      </c>
      <c r="AP89" s="95">
        <f t="shared" si="74"/>
        <v>0</v>
      </c>
      <c r="AQ89" s="95">
        <f t="shared" si="74"/>
        <v>0</v>
      </c>
      <c r="AR89" s="95">
        <f t="shared" si="74"/>
        <v>0</v>
      </c>
      <c r="AS89" s="95">
        <f t="shared" si="74"/>
        <v>0</v>
      </c>
      <c r="AT89" s="95">
        <f t="shared" si="74"/>
        <v>0</v>
      </c>
      <c r="AU89" s="95">
        <f t="shared" si="74"/>
        <v>0</v>
      </c>
      <c r="AV89" s="95">
        <f t="shared" si="74"/>
        <v>0</v>
      </c>
      <c r="AW89" s="95">
        <f t="shared" si="74"/>
        <v>0</v>
      </c>
      <c r="AX89" s="95">
        <f t="shared" si="74"/>
        <v>0</v>
      </c>
      <c r="AY89" s="95">
        <f t="shared" si="74"/>
        <v>0</v>
      </c>
      <c r="AZ89" s="95">
        <f t="shared" si="74"/>
        <v>0</v>
      </c>
      <c r="BA89" s="95">
        <f t="shared" si="74"/>
        <v>0</v>
      </c>
    </row>
    <row r="90" spans="2:53" x14ac:dyDescent="0.2">
      <c r="B90" s="76" t="s">
        <v>102</v>
      </c>
      <c r="C90" s="73" t="s">
        <v>75</v>
      </c>
      <c r="D90" s="47"/>
      <c r="E90" s="47">
        <f>IF(OR(D91&lt;=$B$15*$O$89,F$1-$P$1&gt;$B$13),0,-IF($B$12="straight line",SLN($O$89,+$B$15*$O$89,$B$13),VDB($O$89,$B$15*$O$89,$B$13,E$1-$P$1,F$1-$P$1,$B$14)))</f>
        <v>0</v>
      </c>
      <c r="F90" s="47">
        <f t="shared" ref="F90:BA90" si="75">IF(OR(E91&lt;=$B$15*$O$89,G$1-$P$1&gt;$B$13),0,-IF($B$12="straight line",SLN($O$89,+$B$15*$O$89,$B$13),VDB($O$89,$B$15*$O$89,$B$13,F$1-$P$1,G$1-$P$1,$B$14)))</f>
        <v>0</v>
      </c>
      <c r="G90" s="47">
        <f t="shared" si="75"/>
        <v>0</v>
      </c>
      <c r="H90" s="47">
        <f t="shared" si="75"/>
        <v>0</v>
      </c>
      <c r="I90" s="47">
        <f t="shared" si="75"/>
        <v>0</v>
      </c>
      <c r="J90" s="47">
        <f t="shared" si="75"/>
        <v>0</v>
      </c>
      <c r="K90" s="47">
        <f t="shared" si="75"/>
        <v>0</v>
      </c>
      <c r="L90" s="47">
        <f t="shared" si="75"/>
        <v>0</v>
      </c>
      <c r="M90" s="47">
        <f t="shared" si="75"/>
        <v>0</v>
      </c>
      <c r="N90" s="47">
        <f t="shared" si="75"/>
        <v>0</v>
      </c>
      <c r="O90" s="47">
        <f t="shared" si="75"/>
        <v>0</v>
      </c>
      <c r="P90" s="47">
        <f t="shared" si="75"/>
        <v>-2.4867486167893049</v>
      </c>
      <c r="Q90" s="47">
        <f t="shared" si="75"/>
        <v>-2.4867486167893049</v>
      </c>
      <c r="R90" s="47">
        <f t="shared" si="75"/>
        <v>-2.4867486167893049</v>
      </c>
      <c r="S90" s="47">
        <f t="shared" si="75"/>
        <v>-2.4867486167893049</v>
      </c>
      <c r="T90" s="47">
        <f t="shared" si="75"/>
        <v>-2.4867486167893049</v>
      </c>
      <c r="U90" s="47">
        <f t="shared" si="75"/>
        <v>0</v>
      </c>
      <c r="V90" s="47">
        <f t="shared" si="75"/>
        <v>0</v>
      </c>
      <c r="W90" s="47">
        <f t="shared" si="75"/>
        <v>0</v>
      </c>
      <c r="X90" s="47">
        <f t="shared" si="75"/>
        <v>0</v>
      </c>
      <c r="Y90" s="47">
        <f t="shared" si="75"/>
        <v>0</v>
      </c>
      <c r="Z90" s="47">
        <f t="shared" si="75"/>
        <v>0</v>
      </c>
      <c r="AA90" s="47">
        <f t="shared" si="75"/>
        <v>0</v>
      </c>
      <c r="AB90" s="47">
        <f t="shared" si="75"/>
        <v>0</v>
      </c>
      <c r="AC90" s="47">
        <f t="shared" si="75"/>
        <v>0</v>
      </c>
      <c r="AD90" s="47">
        <f t="shared" si="75"/>
        <v>0</v>
      </c>
      <c r="AE90" s="47">
        <f t="shared" si="75"/>
        <v>0</v>
      </c>
      <c r="AF90" s="47">
        <f t="shared" si="75"/>
        <v>0</v>
      </c>
      <c r="AG90" s="47">
        <f t="shared" si="75"/>
        <v>0</v>
      </c>
      <c r="AH90" s="47">
        <f t="shared" si="75"/>
        <v>0</v>
      </c>
      <c r="AI90" s="47">
        <f t="shared" si="75"/>
        <v>0</v>
      </c>
      <c r="AJ90" s="47">
        <f t="shared" si="75"/>
        <v>0</v>
      </c>
      <c r="AK90" s="47">
        <f t="shared" si="75"/>
        <v>0</v>
      </c>
      <c r="AL90" s="47">
        <f t="shared" si="75"/>
        <v>0</v>
      </c>
      <c r="AM90" s="47">
        <f t="shared" si="75"/>
        <v>0</v>
      </c>
      <c r="AN90" s="47">
        <f t="shared" si="75"/>
        <v>0</v>
      </c>
      <c r="AO90" s="47">
        <f t="shared" si="75"/>
        <v>0</v>
      </c>
      <c r="AP90" s="47">
        <f t="shared" si="75"/>
        <v>0</v>
      </c>
      <c r="AQ90" s="47">
        <f t="shared" si="75"/>
        <v>0</v>
      </c>
      <c r="AR90" s="47">
        <f t="shared" si="75"/>
        <v>0</v>
      </c>
      <c r="AS90" s="47">
        <f t="shared" si="75"/>
        <v>0</v>
      </c>
      <c r="AT90" s="47">
        <f t="shared" si="75"/>
        <v>0</v>
      </c>
      <c r="AU90" s="47">
        <f t="shared" si="75"/>
        <v>0</v>
      </c>
      <c r="AV90" s="47">
        <f t="shared" si="75"/>
        <v>0</v>
      </c>
      <c r="AW90" s="47">
        <f t="shared" si="75"/>
        <v>0</v>
      </c>
      <c r="AX90" s="47">
        <f t="shared" si="75"/>
        <v>0</v>
      </c>
      <c r="AY90" s="47">
        <f t="shared" si="75"/>
        <v>0</v>
      </c>
      <c r="AZ90" s="47">
        <f t="shared" si="75"/>
        <v>0</v>
      </c>
      <c r="BA90" s="47">
        <f t="shared" si="75"/>
        <v>0</v>
      </c>
    </row>
    <row r="91" spans="2:53" x14ac:dyDescent="0.2">
      <c r="B91" s="76" t="s">
        <v>103</v>
      </c>
      <c r="C91" s="73" t="s">
        <v>75</v>
      </c>
      <c r="D91" s="95">
        <f>SUM(D88:D90)</f>
        <v>0</v>
      </c>
      <c r="E91" s="95">
        <f t="shared" ref="E91:BA91" si="76">SUM(E88:E90)</f>
        <v>0</v>
      </c>
      <c r="F91" s="95">
        <f t="shared" si="76"/>
        <v>0</v>
      </c>
      <c r="G91" s="95">
        <f t="shared" si="76"/>
        <v>0</v>
      </c>
      <c r="H91" s="95">
        <f t="shared" si="76"/>
        <v>0</v>
      </c>
      <c r="I91" s="95">
        <f t="shared" si="76"/>
        <v>0</v>
      </c>
      <c r="J91" s="95">
        <f t="shared" si="76"/>
        <v>0</v>
      </c>
      <c r="K91" s="95">
        <f t="shared" si="76"/>
        <v>0</v>
      </c>
      <c r="L91" s="95">
        <f t="shared" si="76"/>
        <v>0</v>
      </c>
      <c r="M91" s="95">
        <f t="shared" si="76"/>
        <v>0</v>
      </c>
      <c r="N91" s="95">
        <f t="shared" si="76"/>
        <v>0</v>
      </c>
      <c r="O91" s="95">
        <f t="shared" si="76"/>
        <v>12.433743083946524</v>
      </c>
      <c r="P91" s="95">
        <f t="shared" si="76"/>
        <v>9.9469944671572197</v>
      </c>
      <c r="Q91" s="95">
        <f t="shared" si="76"/>
        <v>7.4602458503679152</v>
      </c>
      <c r="R91" s="95">
        <f t="shared" si="76"/>
        <v>4.9734972335786107</v>
      </c>
      <c r="S91" s="95">
        <f t="shared" si="76"/>
        <v>2.4867486167893058</v>
      </c>
      <c r="T91" s="95">
        <f t="shared" si="76"/>
        <v>0</v>
      </c>
      <c r="U91" s="95">
        <f t="shared" si="76"/>
        <v>0</v>
      </c>
      <c r="V91" s="95">
        <f t="shared" si="76"/>
        <v>0</v>
      </c>
      <c r="W91" s="95">
        <f t="shared" si="76"/>
        <v>0</v>
      </c>
      <c r="X91" s="95">
        <f t="shared" si="76"/>
        <v>0</v>
      </c>
      <c r="Y91" s="95">
        <f t="shared" si="76"/>
        <v>0</v>
      </c>
      <c r="Z91" s="95">
        <f t="shared" si="76"/>
        <v>0</v>
      </c>
      <c r="AA91" s="95">
        <f t="shared" si="76"/>
        <v>0</v>
      </c>
      <c r="AB91" s="95">
        <f t="shared" si="76"/>
        <v>0</v>
      </c>
      <c r="AC91" s="95">
        <f t="shared" si="76"/>
        <v>0</v>
      </c>
      <c r="AD91" s="95">
        <f t="shared" si="76"/>
        <v>0</v>
      </c>
      <c r="AE91" s="95">
        <f t="shared" si="76"/>
        <v>0</v>
      </c>
      <c r="AF91" s="95">
        <f t="shared" si="76"/>
        <v>0</v>
      </c>
      <c r="AG91" s="95">
        <f t="shared" si="76"/>
        <v>0</v>
      </c>
      <c r="AH91" s="95">
        <f t="shared" si="76"/>
        <v>0</v>
      </c>
      <c r="AI91" s="95">
        <f t="shared" si="76"/>
        <v>0</v>
      </c>
      <c r="AJ91" s="95">
        <f t="shared" si="76"/>
        <v>0</v>
      </c>
      <c r="AK91" s="95">
        <f t="shared" si="76"/>
        <v>0</v>
      </c>
      <c r="AL91" s="95">
        <f t="shared" si="76"/>
        <v>0</v>
      </c>
      <c r="AM91" s="95">
        <f t="shared" si="76"/>
        <v>0</v>
      </c>
      <c r="AN91" s="95">
        <f t="shared" si="76"/>
        <v>0</v>
      </c>
      <c r="AO91" s="95">
        <f t="shared" si="76"/>
        <v>0</v>
      </c>
      <c r="AP91" s="95">
        <f t="shared" si="76"/>
        <v>0</v>
      </c>
      <c r="AQ91" s="95">
        <f t="shared" si="76"/>
        <v>0</v>
      </c>
      <c r="AR91" s="95">
        <f t="shared" si="76"/>
        <v>0</v>
      </c>
      <c r="AS91" s="95">
        <f t="shared" si="76"/>
        <v>0</v>
      </c>
      <c r="AT91" s="95">
        <f t="shared" si="76"/>
        <v>0</v>
      </c>
      <c r="AU91" s="95">
        <f t="shared" si="76"/>
        <v>0</v>
      </c>
      <c r="AV91" s="95">
        <f t="shared" si="76"/>
        <v>0</v>
      </c>
      <c r="AW91" s="95">
        <f t="shared" si="76"/>
        <v>0</v>
      </c>
      <c r="AX91" s="95">
        <f t="shared" si="76"/>
        <v>0</v>
      </c>
      <c r="AY91" s="95">
        <f t="shared" si="76"/>
        <v>0</v>
      </c>
      <c r="AZ91" s="95">
        <f t="shared" si="76"/>
        <v>0</v>
      </c>
      <c r="BA91" s="95">
        <f t="shared" si="76"/>
        <v>0</v>
      </c>
    </row>
    <row r="93" spans="2:53" x14ac:dyDescent="0.2">
      <c r="B93" s="215">
        <f>B87+1</f>
        <v>13</v>
      </c>
    </row>
    <row r="94" spans="2:53" x14ac:dyDescent="0.2">
      <c r="B94" s="94" t="s">
        <v>100</v>
      </c>
      <c r="C94" s="73" t="s">
        <v>75</v>
      </c>
      <c r="D94" s="95">
        <f>0</f>
        <v>0</v>
      </c>
      <c r="E94" s="47">
        <f t="shared" ref="E94:BA94" si="77">D97</f>
        <v>0</v>
      </c>
      <c r="F94" s="47">
        <f t="shared" si="77"/>
        <v>0</v>
      </c>
      <c r="G94" s="47">
        <f t="shared" si="77"/>
        <v>0</v>
      </c>
      <c r="H94" s="47">
        <f t="shared" si="77"/>
        <v>0</v>
      </c>
      <c r="I94" s="47">
        <f t="shared" si="77"/>
        <v>0</v>
      </c>
      <c r="J94" s="47">
        <f t="shared" si="77"/>
        <v>0</v>
      </c>
      <c r="K94" s="47">
        <f t="shared" si="77"/>
        <v>0</v>
      </c>
      <c r="L94" s="47">
        <f t="shared" si="77"/>
        <v>0</v>
      </c>
      <c r="M94" s="47">
        <f t="shared" si="77"/>
        <v>0</v>
      </c>
      <c r="N94" s="47">
        <f t="shared" si="77"/>
        <v>0</v>
      </c>
      <c r="O94" s="47">
        <f t="shared" si="77"/>
        <v>0</v>
      </c>
      <c r="P94" s="47">
        <f t="shared" si="77"/>
        <v>0</v>
      </c>
      <c r="Q94" s="47">
        <f t="shared" si="77"/>
        <v>12.682417945625454</v>
      </c>
      <c r="R94" s="47">
        <f t="shared" si="77"/>
        <v>10.145934356500364</v>
      </c>
      <c r="S94" s="47">
        <f t="shared" si="77"/>
        <v>7.6094507673752734</v>
      </c>
      <c r="T94" s="47">
        <f t="shared" si="77"/>
        <v>5.0729671782501828</v>
      </c>
      <c r="U94" s="47">
        <f t="shared" si="77"/>
        <v>2.5364835891250919</v>
      </c>
      <c r="V94" s="47">
        <f t="shared" si="77"/>
        <v>0</v>
      </c>
      <c r="W94" s="47">
        <f t="shared" si="77"/>
        <v>0</v>
      </c>
      <c r="X94" s="47">
        <f t="shared" si="77"/>
        <v>0</v>
      </c>
      <c r="Y94" s="47">
        <f t="shared" si="77"/>
        <v>0</v>
      </c>
      <c r="Z94" s="47">
        <f t="shared" si="77"/>
        <v>0</v>
      </c>
      <c r="AA94" s="47">
        <f t="shared" si="77"/>
        <v>0</v>
      </c>
      <c r="AB94" s="47">
        <f t="shared" si="77"/>
        <v>0</v>
      </c>
      <c r="AC94" s="47">
        <f t="shared" si="77"/>
        <v>0</v>
      </c>
      <c r="AD94" s="47">
        <f t="shared" si="77"/>
        <v>0</v>
      </c>
      <c r="AE94" s="47">
        <f t="shared" si="77"/>
        <v>0</v>
      </c>
      <c r="AF94" s="47">
        <f t="shared" si="77"/>
        <v>0</v>
      </c>
      <c r="AG94" s="47">
        <f t="shared" si="77"/>
        <v>0</v>
      </c>
      <c r="AH94" s="47">
        <f t="shared" si="77"/>
        <v>0</v>
      </c>
      <c r="AI94" s="47">
        <f t="shared" si="77"/>
        <v>0</v>
      </c>
      <c r="AJ94" s="47">
        <f t="shared" si="77"/>
        <v>0</v>
      </c>
      <c r="AK94" s="47">
        <f t="shared" si="77"/>
        <v>0</v>
      </c>
      <c r="AL94" s="47">
        <f t="shared" si="77"/>
        <v>0</v>
      </c>
      <c r="AM94" s="47">
        <f t="shared" si="77"/>
        <v>0</v>
      </c>
      <c r="AN94" s="47">
        <f t="shared" si="77"/>
        <v>0</v>
      </c>
      <c r="AO94" s="47">
        <f t="shared" si="77"/>
        <v>0</v>
      </c>
      <c r="AP94" s="47">
        <f t="shared" si="77"/>
        <v>0</v>
      </c>
      <c r="AQ94" s="47">
        <f t="shared" si="77"/>
        <v>0</v>
      </c>
      <c r="AR94" s="47">
        <f t="shared" si="77"/>
        <v>0</v>
      </c>
      <c r="AS94" s="47">
        <f t="shared" si="77"/>
        <v>0</v>
      </c>
      <c r="AT94" s="47">
        <f t="shared" si="77"/>
        <v>0</v>
      </c>
      <c r="AU94" s="47">
        <f t="shared" si="77"/>
        <v>0</v>
      </c>
      <c r="AV94" s="47">
        <f t="shared" si="77"/>
        <v>0</v>
      </c>
      <c r="AW94" s="47">
        <f t="shared" si="77"/>
        <v>0</v>
      </c>
      <c r="AX94" s="47">
        <f t="shared" si="77"/>
        <v>0</v>
      </c>
      <c r="AY94" s="47">
        <f t="shared" si="77"/>
        <v>0</v>
      </c>
      <c r="AZ94" s="47">
        <f t="shared" si="77"/>
        <v>0</v>
      </c>
      <c r="BA94" s="47">
        <f t="shared" si="77"/>
        <v>0</v>
      </c>
    </row>
    <row r="95" spans="2:53" x14ac:dyDescent="0.2">
      <c r="B95" s="94" t="s">
        <v>101</v>
      </c>
      <c r="C95" s="73" t="s">
        <v>75</v>
      </c>
      <c r="D95" s="95">
        <f>IF($B93=D$2,D$4,0)</f>
        <v>0</v>
      </c>
      <c r="E95" s="95">
        <f t="shared" ref="E95:BA95" si="78">IF($B93=E$2,E$4,0)</f>
        <v>0</v>
      </c>
      <c r="F95" s="95">
        <f t="shared" si="78"/>
        <v>0</v>
      </c>
      <c r="G95" s="95">
        <f t="shared" si="78"/>
        <v>0</v>
      </c>
      <c r="H95" s="95">
        <f t="shared" si="78"/>
        <v>0</v>
      </c>
      <c r="I95" s="95">
        <f t="shared" si="78"/>
        <v>0</v>
      </c>
      <c r="J95" s="95">
        <f t="shared" si="78"/>
        <v>0</v>
      </c>
      <c r="K95" s="95">
        <f t="shared" si="78"/>
        <v>0</v>
      </c>
      <c r="L95" s="95">
        <f t="shared" si="78"/>
        <v>0</v>
      </c>
      <c r="M95" s="95">
        <f t="shared" si="78"/>
        <v>0</v>
      </c>
      <c r="N95" s="95">
        <f t="shared" si="78"/>
        <v>0</v>
      </c>
      <c r="O95" s="95">
        <f t="shared" si="78"/>
        <v>0</v>
      </c>
      <c r="P95" s="95">
        <f t="shared" si="78"/>
        <v>12.682417945625454</v>
      </c>
      <c r="Q95" s="95">
        <f t="shared" si="78"/>
        <v>0</v>
      </c>
      <c r="R95" s="95">
        <f t="shared" si="78"/>
        <v>0</v>
      </c>
      <c r="S95" s="95">
        <f t="shared" si="78"/>
        <v>0</v>
      </c>
      <c r="T95" s="95">
        <f t="shared" si="78"/>
        <v>0</v>
      </c>
      <c r="U95" s="95">
        <f t="shared" si="78"/>
        <v>0</v>
      </c>
      <c r="V95" s="95">
        <f t="shared" si="78"/>
        <v>0</v>
      </c>
      <c r="W95" s="95">
        <f t="shared" si="78"/>
        <v>0</v>
      </c>
      <c r="X95" s="95">
        <f t="shared" si="78"/>
        <v>0</v>
      </c>
      <c r="Y95" s="95">
        <f t="shared" si="78"/>
        <v>0</v>
      </c>
      <c r="Z95" s="95">
        <f t="shared" si="78"/>
        <v>0</v>
      </c>
      <c r="AA95" s="95">
        <f t="shared" si="78"/>
        <v>0</v>
      </c>
      <c r="AB95" s="95">
        <f t="shared" si="78"/>
        <v>0</v>
      </c>
      <c r="AC95" s="95">
        <f t="shared" si="78"/>
        <v>0</v>
      </c>
      <c r="AD95" s="95">
        <f t="shared" si="78"/>
        <v>0</v>
      </c>
      <c r="AE95" s="95">
        <f t="shared" si="78"/>
        <v>0</v>
      </c>
      <c r="AF95" s="95">
        <f t="shared" si="78"/>
        <v>0</v>
      </c>
      <c r="AG95" s="95">
        <f t="shared" si="78"/>
        <v>0</v>
      </c>
      <c r="AH95" s="95">
        <f t="shared" si="78"/>
        <v>0</v>
      </c>
      <c r="AI95" s="95">
        <f t="shared" si="78"/>
        <v>0</v>
      </c>
      <c r="AJ95" s="95">
        <f t="shared" si="78"/>
        <v>0</v>
      </c>
      <c r="AK95" s="95">
        <f t="shared" si="78"/>
        <v>0</v>
      </c>
      <c r="AL95" s="95">
        <f t="shared" si="78"/>
        <v>0</v>
      </c>
      <c r="AM95" s="95">
        <f t="shared" si="78"/>
        <v>0</v>
      </c>
      <c r="AN95" s="95">
        <f t="shared" si="78"/>
        <v>0</v>
      </c>
      <c r="AO95" s="95">
        <f t="shared" si="78"/>
        <v>0</v>
      </c>
      <c r="AP95" s="95">
        <f t="shared" si="78"/>
        <v>0</v>
      </c>
      <c r="AQ95" s="95">
        <f t="shared" si="78"/>
        <v>0</v>
      </c>
      <c r="AR95" s="95">
        <f t="shared" si="78"/>
        <v>0</v>
      </c>
      <c r="AS95" s="95">
        <f t="shared" si="78"/>
        <v>0</v>
      </c>
      <c r="AT95" s="95">
        <f t="shared" si="78"/>
        <v>0</v>
      </c>
      <c r="AU95" s="95">
        <f t="shared" si="78"/>
        <v>0</v>
      </c>
      <c r="AV95" s="95">
        <f t="shared" si="78"/>
        <v>0</v>
      </c>
      <c r="AW95" s="95">
        <f t="shared" si="78"/>
        <v>0</v>
      </c>
      <c r="AX95" s="95">
        <f t="shared" si="78"/>
        <v>0</v>
      </c>
      <c r="AY95" s="95">
        <f t="shared" si="78"/>
        <v>0</v>
      </c>
      <c r="AZ95" s="95">
        <f t="shared" si="78"/>
        <v>0</v>
      </c>
      <c r="BA95" s="95">
        <f t="shared" si="78"/>
        <v>0</v>
      </c>
    </row>
    <row r="96" spans="2:53" x14ac:dyDescent="0.2">
      <c r="B96" s="76" t="s">
        <v>102</v>
      </c>
      <c r="C96" s="73" t="s">
        <v>75</v>
      </c>
      <c r="D96" s="47"/>
      <c r="E96" s="47">
        <f>IF(OR(D97&lt;=$B$15*$P$95,F$1-$Q$1&gt;$B$13),0,-IF($B$12="straight line",SLN($P$95,+$B$15*$P$95,$B$13),VDB($P$95,$B$15*$P$95,$B$13,E$1-$Q$1,F$1-$Q$1,$B$14)))</f>
        <v>0</v>
      </c>
      <c r="F96" s="47">
        <f t="shared" ref="F96:BA96" si="79">IF(OR(E97&lt;=$B$15*$P$95,G$1-$Q$1&gt;$B$13),0,-IF($B$12="straight line",SLN($P$95,+$B$15*$P$95,$B$13),VDB($P$95,$B$15*$P$95,$B$13,F$1-$Q$1,G$1-$Q$1,$B$14)))</f>
        <v>0</v>
      </c>
      <c r="G96" s="47">
        <f t="shared" si="79"/>
        <v>0</v>
      </c>
      <c r="H96" s="47">
        <f t="shared" si="79"/>
        <v>0</v>
      </c>
      <c r="I96" s="47">
        <f t="shared" si="79"/>
        <v>0</v>
      </c>
      <c r="J96" s="47">
        <f t="shared" si="79"/>
        <v>0</v>
      </c>
      <c r="K96" s="47">
        <f t="shared" si="79"/>
        <v>0</v>
      </c>
      <c r="L96" s="47">
        <f t="shared" si="79"/>
        <v>0</v>
      </c>
      <c r="M96" s="47">
        <f t="shared" si="79"/>
        <v>0</v>
      </c>
      <c r="N96" s="47">
        <f t="shared" si="79"/>
        <v>0</v>
      </c>
      <c r="O96" s="47">
        <f t="shared" si="79"/>
        <v>0</v>
      </c>
      <c r="P96" s="47">
        <f t="shared" si="79"/>
        <v>0</v>
      </c>
      <c r="Q96" s="47">
        <f t="shared" si="79"/>
        <v>-2.536483589125091</v>
      </c>
      <c r="R96" s="47">
        <f t="shared" si="79"/>
        <v>-2.536483589125091</v>
      </c>
      <c r="S96" s="47">
        <f t="shared" si="79"/>
        <v>-2.536483589125091</v>
      </c>
      <c r="T96" s="47">
        <f t="shared" si="79"/>
        <v>-2.536483589125091</v>
      </c>
      <c r="U96" s="47">
        <f t="shared" si="79"/>
        <v>-2.536483589125091</v>
      </c>
      <c r="V96" s="47">
        <f t="shared" si="79"/>
        <v>0</v>
      </c>
      <c r="W96" s="47">
        <f t="shared" si="79"/>
        <v>0</v>
      </c>
      <c r="X96" s="47">
        <f t="shared" si="79"/>
        <v>0</v>
      </c>
      <c r="Y96" s="47">
        <f t="shared" si="79"/>
        <v>0</v>
      </c>
      <c r="Z96" s="47">
        <f t="shared" si="79"/>
        <v>0</v>
      </c>
      <c r="AA96" s="47">
        <f t="shared" si="79"/>
        <v>0</v>
      </c>
      <c r="AB96" s="47">
        <f t="shared" si="79"/>
        <v>0</v>
      </c>
      <c r="AC96" s="47">
        <f t="shared" si="79"/>
        <v>0</v>
      </c>
      <c r="AD96" s="47">
        <f t="shared" si="79"/>
        <v>0</v>
      </c>
      <c r="AE96" s="47">
        <f t="shared" si="79"/>
        <v>0</v>
      </c>
      <c r="AF96" s="47">
        <f t="shared" si="79"/>
        <v>0</v>
      </c>
      <c r="AG96" s="47">
        <f t="shared" si="79"/>
        <v>0</v>
      </c>
      <c r="AH96" s="47">
        <f t="shared" si="79"/>
        <v>0</v>
      </c>
      <c r="AI96" s="47">
        <f t="shared" si="79"/>
        <v>0</v>
      </c>
      <c r="AJ96" s="47">
        <f t="shared" si="79"/>
        <v>0</v>
      </c>
      <c r="AK96" s="47">
        <f t="shared" si="79"/>
        <v>0</v>
      </c>
      <c r="AL96" s="47">
        <f t="shared" si="79"/>
        <v>0</v>
      </c>
      <c r="AM96" s="47">
        <f t="shared" si="79"/>
        <v>0</v>
      </c>
      <c r="AN96" s="47">
        <f t="shared" si="79"/>
        <v>0</v>
      </c>
      <c r="AO96" s="47">
        <f t="shared" si="79"/>
        <v>0</v>
      </c>
      <c r="AP96" s="47">
        <f t="shared" si="79"/>
        <v>0</v>
      </c>
      <c r="AQ96" s="47">
        <f t="shared" si="79"/>
        <v>0</v>
      </c>
      <c r="AR96" s="47">
        <f t="shared" si="79"/>
        <v>0</v>
      </c>
      <c r="AS96" s="47">
        <f t="shared" si="79"/>
        <v>0</v>
      </c>
      <c r="AT96" s="47">
        <f t="shared" si="79"/>
        <v>0</v>
      </c>
      <c r="AU96" s="47">
        <f t="shared" si="79"/>
        <v>0</v>
      </c>
      <c r="AV96" s="47">
        <f t="shared" si="79"/>
        <v>0</v>
      </c>
      <c r="AW96" s="47">
        <f t="shared" si="79"/>
        <v>0</v>
      </c>
      <c r="AX96" s="47">
        <f t="shared" si="79"/>
        <v>0</v>
      </c>
      <c r="AY96" s="47">
        <f t="shared" si="79"/>
        <v>0</v>
      </c>
      <c r="AZ96" s="47">
        <f t="shared" si="79"/>
        <v>0</v>
      </c>
      <c r="BA96" s="47">
        <f t="shared" si="79"/>
        <v>0</v>
      </c>
    </row>
    <row r="97" spans="2:53" x14ac:dyDescent="0.2">
      <c r="B97" s="76" t="s">
        <v>103</v>
      </c>
      <c r="C97" s="73" t="s">
        <v>75</v>
      </c>
      <c r="D97" s="95">
        <f>SUM(D94:D96)</f>
        <v>0</v>
      </c>
      <c r="E97" s="95">
        <f t="shared" ref="E97:BA97" si="80">SUM(E94:E96)</f>
        <v>0</v>
      </c>
      <c r="F97" s="95">
        <f t="shared" si="80"/>
        <v>0</v>
      </c>
      <c r="G97" s="95">
        <f t="shared" si="80"/>
        <v>0</v>
      </c>
      <c r="H97" s="95">
        <f t="shared" si="80"/>
        <v>0</v>
      </c>
      <c r="I97" s="95">
        <f t="shared" si="80"/>
        <v>0</v>
      </c>
      <c r="J97" s="95">
        <f t="shared" si="80"/>
        <v>0</v>
      </c>
      <c r="K97" s="95">
        <f t="shared" si="80"/>
        <v>0</v>
      </c>
      <c r="L97" s="95">
        <f t="shared" si="80"/>
        <v>0</v>
      </c>
      <c r="M97" s="95">
        <f t="shared" si="80"/>
        <v>0</v>
      </c>
      <c r="N97" s="95">
        <f t="shared" si="80"/>
        <v>0</v>
      </c>
      <c r="O97" s="95">
        <f t="shared" si="80"/>
        <v>0</v>
      </c>
      <c r="P97" s="95">
        <f t="shared" si="80"/>
        <v>12.682417945625454</v>
      </c>
      <c r="Q97" s="95">
        <f t="shared" si="80"/>
        <v>10.145934356500364</v>
      </c>
      <c r="R97" s="95">
        <f t="shared" si="80"/>
        <v>7.6094507673752734</v>
      </c>
      <c r="S97" s="95">
        <f t="shared" si="80"/>
        <v>5.0729671782501828</v>
      </c>
      <c r="T97" s="95">
        <f t="shared" si="80"/>
        <v>2.5364835891250919</v>
      </c>
      <c r="U97" s="95">
        <f t="shared" si="80"/>
        <v>0</v>
      </c>
      <c r="V97" s="95">
        <f t="shared" si="80"/>
        <v>0</v>
      </c>
      <c r="W97" s="95">
        <f t="shared" si="80"/>
        <v>0</v>
      </c>
      <c r="X97" s="95">
        <f t="shared" si="80"/>
        <v>0</v>
      </c>
      <c r="Y97" s="95">
        <f t="shared" si="80"/>
        <v>0</v>
      </c>
      <c r="Z97" s="95">
        <f t="shared" si="80"/>
        <v>0</v>
      </c>
      <c r="AA97" s="95">
        <f t="shared" si="80"/>
        <v>0</v>
      </c>
      <c r="AB97" s="95">
        <f t="shared" si="80"/>
        <v>0</v>
      </c>
      <c r="AC97" s="95">
        <f t="shared" si="80"/>
        <v>0</v>
      </c>
      <c r="AD97" s="95">
        <f t="shared" si="80"/>
        <v>0</v>
      </c>
      <c r="AE97" s="95">
        <f t="shared" si="80"/>
        <v>0</v>
      </c>
      <c r="AF97" s="95">
        <f t="shared" si="80"/>
        <v>0</v>
      </c>
      <c r="AG97" s="95">
        <f t="shared" si="80"/>
        <v>0</v>
      </c>
      <c r="AH97" s="95">
        <f t="shared" si="80"/>
        <v>0</v>
      </c>
      <c r="AI97" s="95">
        <f t="shared" si="80"/>
        <v>0</v>
      </c>
      <c r="AJ97" s="95">
        <f t="shared" si="80"/>
        <v>0</v>
      </c>
      <c r="AK97" s="95">
        <f t="shared" si="80"/>
        <v>0</v>
      </c>
      <c r="AL97" s="95">
        <f t="shared" si="80"/>
        <v>0</v>
      </c>
      <c r="AM97" s="95">
        <f t="shared" si="80"/>
        <v>0</v>
      </c>
      <c r="AN97" s="95">
        <f t="shared" si="80"/>
        <v>0</v>
      </c>
      <c r="AO97" s="95">
        <f t="shared" si="80"/>
        <v>0</v>
      </c>
      <c r="AP97" s="95">
        <f t="shared" si="80"/>
        <v>0</v>
      </c>
      <c r="AQ97" s="95">
        <f t="shared" si="80"/>
        <v>0</v>
      </c>
      <c r="AR97" s="95">
        <f t="shared" si="80"/>
        <v>0</v>
      </c>
      <c r="AS97" s="95">
        <f t="shared" si="80"/>
        <v>0</v>
      </c>
      <c r="AT97" s="95">
        <f t="shared" si="80"/>
        <v>0</v>
      </c>
      <c r="AU97" s="95">
        <f t="shared" si="80"/>
        <v>0</v>
      </c>
      <c r="AV97" s="95">
        <f t="shared" si="80"/>
        <v>0</v>
      </c>
      <c r="AW97" s="95">
        <f t="shared" si="80"/>
        <v>0</v>
      </c>
      <c r="AX97" s="95">
        <f t="shared" si="80"/>
        <v>0</v>
      </c>
      <c r="AY97" s="95">
        <f t="shared" si="80"/>
        <v>0</v>
      </c>
      <c r="AZ97" s="95">
        <f t="shared" si="80"/>
        <v>0</v>
      </c>
      <c r="BA97" s="95">
        <f t="shared" si="80"/>
        <v>0</v>
      </c>
    </row>
    <row r="99" spans="2:53" x14ac:dyDescent="0.2">
      <c r="B99" s="215">
        <f>B93+1</f>
        <v>14</v>
      </c>
    </row>
    <row r="100" spans="2:53" x14ac:dyDescent="0.2">
      <c r="B100" s="94" t="s">
        <v>100</v>
      </c>
      <c r="C100" s="73" t="s">
        <v>75</v>
      </c>
      <c r="D100" s="95">
        <f>0</f>
        <v>0</v>
      </c>
      <c r="E100" s="47">
        <f t="shared" ref="E100:BA100" si="81">D103</f>
        <v>0</v>
      </c>
      <c r="F100" s="47">
        <f t="shared" si="81"/>
        <v>0</v>
      </c>
      <c r="G100" s="47">
        <f t="shared" si="81"/>
        <v>0</v>
      </c>
      <c r="H100" s="47">
        <f t="shared" si="81"/>
        <v>0</v>
      </c>
      <c r="I100" s="47">
        <f t="shared" si="81"/>
        <v>0</v>
      </c>
      <c r="J100" s="47">
        <f t="shared" si="81"/>
        <v>0</v>
      </c>
      <c r="K100" s="47">
        <f t="shared" si="81"/>
        <v>0</v>
      </c>
      <c r="L100" s="47">
        <f t="shared" si="81"/>
        <v>0</v>
      </c>
      <c r="M100" s="47">
        <f t="shared" si="81"/>
        <v>0</v>
      </c>
      <c r="N100" s="47">
        <f t="shared" si="81"/>
        <v>0</v>
      </c>
      <c r="O100" s="47">
        <f t="shared" si="81"/>
        <v>0</v>
      </c>
      <c r="P100" s="47">
        <f t="shared" si="81"/>
        <v>0</v>
      </c>
      <c r="Q100" s="47">
        <f t="shared" si="81"/>
        <v>0</v>
      </c>
      <c r="R100" s="47">
        <f t="shared" si="81"/>
        <v>12.936066304537963</v>
      </c>
      <c r="S100" s="47">
        <f t="shared" si="81"/>
        <v>10.348853043630371</v>
      </c>
      <c r="T100" s="47">
        <f t="shared" si="81"/>
        <v>7.7616397827227779</v>
      </c>
      <c r="U100" s="47">
        <f t="shared" si="81"/>
        <v>5.1744265218151853</v>
      </c>
      <c r="V100" s="47">
        <f t="shared" si="81"/>
        <v>2.5872132609075926</v>
      </c>
      <c r="W100" s="47">
        <f t="shared" si="81"/>
        <v>0</v>
      </c>
      <c r="X100" s="47">
        <f t="shared" si="81"/>
        <v>0</v>
      </c>
      <c r="Y100" s="47">
        <f t="shared" si="81"/>
        <v>0</v>
      </c>
      <c r="Z100" s="47">
        <f t="shared" si="81"/>
        <v>0</v>
      </c>
      <c r="AA100" s="47">
        <f t="shared" si="81"/>
        <v>0</v>
      </c>
      <c r="AB100" s="47">
        <f t="shared" si="81"/>
        <v>0</v>
      </c>
      <c r="AC100" s="47">
        <f t="shared" si="81"/>
        <v>0</v>
      </c>
      <c r="AD100" s="47">
        <f t="shared" si="81"/>
        <v>0</v>
      </c>
      <c r="AE100" s="47">
        <f t="shared" si="81"/>
        <v>0</v>
      </c>
      <c r="AF100" s="47">
        <f t="shared" si="81"/>
        <v>0</v>
      </c>
      <c r="AG100" s="47">
        <f t="shared" si="81"/>
        <v>0</v>
      </c>
      <c r="AH100" s="47">
        <f t="shared" si="81"/>
        <v>0</v>
      </c>
      <c r="AI100" s="47">
        <f t="shared" si="81"/>
        <v>0</v>
      </c>
      <c r="AJ100" s="47">
        <f t="shared" si="81"/>
        <v>0</v>
      </c>
      <c r="AK100" s="47">
        <f t="shared" si="81"/>
        <v>0</v>
      </c>
      <c r="AL100" s="47">
        <f t="shared" si="81"/>
        <v>0</v>
      </c>
      <c r="AM100" s="47">
        <f t="shared" si="81"/>
        <v>0</v>
      </c>
      <c r="AN100" s="47">
        <f t="shared" si="81"/>
        <v>0</v>
      </c>
      <c r="AO100" s="47">
        <f t="shared" si="81"/>
        <v>0</v>
      </c>
      <c r="AP100" s="47">
        <f t="shared" si="81"/>
        <v>0</v>
      </c>
      <c r="AQ100" s="47">
        <f t="shared" si="81"/>
        <v>0</v>
      </c>
      <c r="AR100" s="47">
        <f t="shared" si="81"/>
        <v>0</v>
      </c>
      <c r="AS100" s="47">
        <f t="shared" si="81"/>
        <v>0</v>
      </c>
      <c r="AT100" s="47">
        <f t="shared" si="81"/>
        <v>0</v>
      </c>
      <c r="AU100" s="47">
        <f t="shared" si="81"/>
        <v>0</v>
      </c>
      <c r="AV100" s="47">
        <f t="shared" si="81"/>
        <v>0</v>
      </c>
      <c r="AW100" s="47">
        <f t="shared" si="81"/>
        <v>0</v>
      </c>
      <c r="AX100" s="47">
        <f t="shared" si="81"/>
        <v>0</v>
      </c>
      <c r="AY100" s="47">
        <f t="shared" si="81"/>
        <v>0</v>
      </c>
      <c r="AZ100" s="47">
        <f t="shared" si="81"/>
        <v>0</v>
      </c>
      <c r="BA100" s="47">
        <f t="shared" si="81"/>
        <v>0</v>
      </c>
    </row>
    <row r="101" spans="2:53" x14ac:dyDescent="0.2">
      <c r="B101" s="94" t="s">
        <v>101</v>
      </c>
      <c r="C101" s="73" t="s">
        <v>75</v>
      </c>
      <c r="D101" s="95">
        <f>IF($B99=D$2,D$4,0)</f>
        <v>0</v>
      </c>
      <c r="E101" s="95">
        <f t="shared" ref="E101:BA101" si="82">IF($B99=E$2,E$4,0)</f>
        <v>0</v>
      </c>
      <c r="F101" s="95">
        <f t="shared" si="82"/>
        <v>0</v>
      </c>
      <c r="G101" s="95">
        <f t="shared" si="82"/>
        <v>0</v>
      </c>
      <c r="H101" s="95">
        <f t="shared" si="82"/>
        <v>0</v>
      </c>
      <c r="I101" s="95">
        <f t="shared" si="82"/>
        <v>0</v>
      </c>
      <c r="J101" s="95">
        <f t="shared" si="82"/>
        <v>0</v>
      </c>
      <c r="K101" s="95">
        <f t="shared" si="82"/>
        <v>0</v>
      </c>
      <c r="L101" s="95">
        <f t="shared" si="82"/>
        <v>0</v>
      </c>
      <c r="M101" s="95">
        <f t="shared" si="82"/>
        <v>0</v>
      </c>
      <c r="N101" s="95">
        <f t="shared" si="82"/>
        <v>0</v>
      </c>
      <c r="O101" s="95">
        <f t="shared" si="82"/>
        <v>0</v>
      </c>
      <c r="P101" s="95">
        <f t="shared" si="82"/>
        <v>0</v>
      </c>
      <c r="Q101" s="95">
        <f t="shared" si="82"/>
        <v>12.936066304537963</v>
      </c>
      <c r="R101" s="95">
        <f t="shared" si="82"/>
        <v>0</v>
      </c>
      <c r="S101" s="95">
        <f t="shared" si="82"/>
        <v>0</v>
      </c>
      <c r="T101" s="95">
        <f t="shared" si="82"/>
        <v>0</v>
      </c>
      <c r="U101" s="95">
        <f t="shared" si="82"/>
        <v>0</v>
      </c>
      <c r="V101" s="95">
        <f t="shared" si="82"/>
        <v>0</v>
      </c>
      <c r="W101" s="95">
        <f t="shared" si="82"/>
        <v>0</v>
      </c>
      <c r="X101" s="95">
        <f t="shared" si="82"/>
        <v>0</v>
      </c>
      <c r="Y101" s="95">
        <f t="shared" si="82"/>
        <v>0</v>
      </c>
      <c r="Z101" s="95">
        <f t="shared" si="82"/>
        <v>0</v>
      </c>
      <c r="AA101" s="95">
        <f t="shared" si="82"/>
        <v>0</v>
      </c>
      <c r="AB101" s="95">
        <f t="shared" si="82"/>
        <v>0</v>
      </c>
      <c r="AC101" s="95">
        <f t="shared" si="82"/>
        <v>0</v>
      </c>
      <c r="AD101" s="95">
        <f t="shared" si="82"/>
        <v>0</v>
      </c>
      <c r="AE101" s="95">
        <f t="shared" si="82"/>
        <v>0</v>
      </c>
      <c r="AF101" s="95">
        <f t="shared" si="82"/>
        <v>0</v>
      </c>
      <c r="AG101" s="95">
        <f t="shared" si="82"/>
        <v>0</v>
      </c>
      <c r="AH101" s="95">
        <f t="shared" si="82"/>
        <v>0</v>
      </c>
      <c r="AI101" s="95">
        <f t="shared" si="82"/>
        <v>0</v>
      </c>
      <c r="AJ101" s="95">
        <f t="shared" si="82"/>
        <v>0</v>
      </c>
      <c r="AK101" s="95">
        <f t="shared" si="82"/>
        <v>0</v>
      </c>
      <c r="AL101" s="95">
        <f t="shared" si="82"/>
        <v>0</v>
      </c>
      <c r="AM101" s="95">
        <f t="shared" si="82"/>
        <v>0</v>
      </c>
      <c r="AN101" s="95">
        <f t="shared" si="82"/>
        <v>0</v>
      </c>
      <c r="AO101" s="95">
        <f t="shared" si="82"/>
        <v>0</v>
      </c>
      <c r="AP101" s="95">
        <f t="shared" si="82"/>
        <v>0</v>
      </c>
      <c r="AQ101" s="95">
        <f t="shared" si="82"/>
        <v>0</v>
      </c>
      <c r="AR101" s="95">
        <f t="shared" si="82"/>
        <v>0</v>
      </c>
      <c r="AS101" s="95">
        <f t="shared" si="82"/>
        <v>0</v>
      </c>
      <c r="AT101" s="95">
        <f t="shared" si="82"/>
        <v>0</v>
      </c>
      <c r="AU101" s="95">
        <f t="shared" si="82"/>
        <v>0</v>
      </c>
      <c r="AV101" s="95">
        <f t="shared" si="82"/>
        <v>0</v>
      </c>
      <c r="AW101" s="95">
        <f t="shared" si="82"/>
        <v>0</v>
      </c>
      <c r="AX101" s="95">
        <f t="shared" si="82"/>
        <v>0</v>
      </c>
      <c r="AY101" s="95">
        <f t="shared" si="82"/>
        <v>0</v>
      </c>
      <c r="AZ101" s="95">
        <f t="shared" si="82"/>
        <v>0</v>
      </c>
      <c r="BA101" s="95">
        <f t="shared" si="82"/>
        <v>0</v>
      </c>
    </row>
    <row r="102" spans="2:53" x14ac:dyDescent="0.2">
      <c r="B102" s="76" t="s">
        <v>102</v>
      </c>
      <c r="C102" s="73" t="s">
        <v>75</v>
      </c>
      <c r="D102" s="47"/>
      <c r="E102" s="47">
        <f>IF(OR(D103&lt;=$B$15*$Q$101,F$1-$R$1&gt;$B$13),0,-IF($B$12="straight line",SLN($Q$101,+$B$15*$Q$101,$B$13),VDB($Q$101,$B$15*$Q$101,$B$13,E$1-$R$1,F$1-$R$1,$B$14)))</f>
        <v>0</v>
      </c>
      <c r="F102" s="47">
        <f t="shared" ref="F102:BA102" si="83">IF(OR(E103&lt;=$B$15*$Q$101,G$1-$R$1&gt;$B$13),0,-IF($B$12="straight line",SLN($Q$101,+$B$15*$Q$101,$B$13),VDB($Q$101,$B$15*$Q$101,$B$13,F$1-$R$1,G$1-$R$1,$B$14)))</f>
        <v>0</v>
      </c>
      <c r="G102" s="47">
        <f t="shared" si="83"/>
        <v>0</v>
      </c>
      <c r="H102" s="47">
        <f t="shared" si="83"/>
        <v>0</v>
      </c>
      <c r="I102" s="47">
        <f t="shared" si="83"/>
        <v>0</v>
      </c>
      <c r="J102" s="47">
        <f t="shared" si="83"/>
        <v>0</v>
      </c>
      <c r="K102" s="47">
        <f t="shared" si="83"/>
        <v>0</v>
      </c>
      <c r="L102" s="47">
        <f t="shared" si="83"/>
        <v>0</v>
      </c>
      <c r="M102" s="47">
        <f t="shared" si="83"/>
        <v>0</v>
      </c>
      <c r="N102" s="47">
        <f t="shared" si="83"/>
        <v>0</v>
      </c>
      <c r="O102" s="47">
        <f t="shared" si="83"/>
        <v>0</v>
      </c>
      <c r="P102" s="47">
        <f t="shared" si="83"/>
        <v>0</v>
      </c>
      <c r="Q102" s="47">
        <f t="shared" si="83"/>
        <v>0</v>
      </c>
      <c r="R102" s="47">
        <f t="shared" si="83"/>
        <v>-2.5872132609075926</v>
      </c>
      <c r="S102" s="47">
        <f t="shared" si="83"/>
        <v>-2.5872132609075926</v>
      </c>
      <c r="T102" s="47">
        <f t="shared" si="83"/>
        <v>-2.5872132609075926</v>
      </c>
      <c r="U102" s="47">
        <f t="shared" si="83"/>
        <v>-2.5872132609075926</v>
      </c>
      <c r="V102" s="47">
        <f t="shared" si="83"/>
        <v>-2.5872132609075926</v>
      </c>
      <c r="W102" s="47">
        <f t="shared" si="83"/>
        <v>0</v>
      </c>
      <c r="X102" s="47">
        <f t="shared" si="83"/>
        <v>0</v>
      </c>
      <c r="Y102" s="47">
        <f t="shared" si="83"/>
        <v>0</v>
      </c>
      <c r="Z102" s="47">
        <f t="shared" si="83"/>
        <v>0</v>
      </c>
      <c r="AA102" s="47">
        <f t="shared" si="83"/>
        <v>0</v>
      </c>
      <c r="AB102" s="47">
        <f t="shared" si="83"/>
        <v>0</v>
      </c>
      <c r="AC102" s="47">
        <f t="shared" si="83"/>
        <v>0</v>
      </c>
      <c r="AD102" s="47">
        <f t="shared" si="83"/>
        <v>0</v>
      </c>
      <c r="AE102" s="47">
        <f t="shared" si="83"/>
        <v>0</v>
      </c>
      <c r="AF102" s="47">
        <f t="shared" si="83"/>
        <v>0</v>
      </c>
      <c r="AG102" s="47">
        <f t="shared" si="83"/>
        <v>0</v>
      </c>
      <c r="AH102" s="47">
        <f t="shared" si="83"/>
        <v>0</v>
      </c>
      <c r="AI102" s="47">
        <f t="shared" si="83"/>
        <v>0</v>
      </c>
      <c r="AJ102" s="47">
        <f t="shared" si="83"/>
        <v>0</v>
      </c>
      <c r="AK102" s="47">
        <f t="shared" si="83"/>
        <v>0</v>
      </c>
      <c r="AL102" s="47">
        <f t="shared" si="83"/>
        <v>0</v>
      </c>
      <c r="AM102" s="47">
        <f t="shared" si="83"/>
        <v>0</v>
      </c>
      <c r="AN102" s="47">
        <f t="shared" si="83"/>
        <v>0</v>
      </c>
      <c r="AO102" s="47">
        <f t="shared" si="83"/>
        <v>0</v>
      </c>
      <c r="AP102" s="47">
        <f t="shared" si="83"/>
        <v>0</v>
      </c>
      <c r="AQ102" s="47">
        <f t="shared" si="83"/>
        <v>0</v>
      </c>
      <c r="AR102" s="47">
        <f t="shared" si="83"/>
        <v>0</v>
      </c>
      <c r="AS102" s="47">
        <f t="shared" si="83"/>
        <v>0</v>
      </c>
      <c r="AT102" s="47">
        <f t="shared" si="83"/>
        <v>0</v>
      </c>
      <c r="AU102" s="47">
        <f t="shared" si="83"/>
        <v>0</v>
      </c>
      <c r="AV102" s="47">
        <f t="shared" si="83"/>
        <v>0</v>
      </c>
      <c r="AW102" s="47">
        <f t="shared" si="83"/>
        <v>0</v>
      </c>
      <c r="AX102" s="47">
        <f t="shared" si="83"/>
        <v>0</v>
      </c>
      <c r="AY102" s="47">
        <f t="shared" si="83"/>
        <v>0</v>
      </c>
      <c r="AZ102" s="47">
        <f t="shared" si="83"/>
        <v>0</v>
      </c>
      <c r="BA102" s="47">
        <f t="shared" si="83"/>
        <v>0</v>
      </c>
    </row>
    <row r="103" spans="2:53" x14ac:dyDescent="0.2">
      <c r="B103" s="76" t="s">
        <v>103</v>
      </c>
      <c r="C103" s="73" t="s">
        <v>75</v>
      </c>
      <c r="D103" s="95">
        <f>SUM(D100:D102)</f>
        <v>0</v>
      </c>
      <c r="E103" s="95">
        <f t="shared" ref="E103:BA103" si="84">SUM(E100:E102)</f>
        <v>0</v>
      </c>
      <c r="F103" s="95">
        <f t="shared" si="84"/>
        <v>0</v>
      </c>
      <c r="G103" s="95">
        <f t="shared" si="84"/>
        <v>0</v>
      </c>
      <c r="H103" s="95">
        <f t="shared" si="84"/>
        <v>0</v>
      </c>
      <c r="I103" s="95">
        <f t="shared" si="84"/>
        <v>0</v>
      </c>
      <c r="J103" s="95">
        <f t="shared" si="84"/>
        <v>0</v>
      </c>
      <c r="K103" s="95">
        <f t="shared" si="84"/>
        <v>0</v>
      </c>
      <c r="L103" s="95">
        <f t="shared" si="84"/>
        <v>0</v>
      </c>
      <c r="M103" s="95">
        <f t="shared" si="84"/>
        <v>0</v>
      </c>
      <c r="N103" s="95">
        <f t="shared" si="84"/>
        <v>0</v>
      </c>
      <c r="O103" s="95">
        <f t="shared" si="84"/>
        <v>0</v>
      </c>
      <c r="P103" s="95">
        <f t="shared" si="84"/>
        <v>0</v>
      </c>
      <c r="Q103" s="95">
        <f t="shared" si="84"/>
        <v>12.936066304537963</v>
      </c>
      <c r="R103" s="95">
        <f t="shared" si="84"/>
        <v>10.348853043630371</v>
      </c>
      <c r="S103" s="95">
        <f t="shared" si="84"/>
        <v>7.7616397827227779</v>
      </c>
      <c r="T103" s="95">
        <f t="shared" si="84"/>
        <v>5.1744265218151853</v>
      </c>
      <c r="U103" s="95">
        <f t="shared" si="84"/>
        <v>2.5872132609075926</v>
      </c>
      <c r="V103" s="95">
        <f t="shared" si="84"/>
        <v>0</v>
      </c>
      <c r="W103" s="95">
        <f t="shared" si="84"/>
        <v>0</v>
      </c>
      <c r="X103" s="95">
        <f t="shared" si="84"/>
        <v>0</v>
      </c>
      <c r="Y103" s="95">
        <f t="shared" si="84"/>
        <v>0</v>
      </c>
      <c r="Z103" s="95">
        <f t="shared" si="84"/>
        <v>0</v>
      </c>
      <c r="AA103" s="95">
        <f t="shared" si="84"/>
        <v>0</v>
      </c>
      <c r="AB103" s="95">
        <f t="shared" si="84"/>
        <v>0</v>
      </c>
      <c r="AC103" s="95">
        <f t="shared" si="84"/>
        <v>0</v>
      </c>
      <c r="AD103" s="95">
        <f t="shared" si="84"/>
        <v>0</v>
      </c>
      <c r="AE103" s="95">
        <f t="shared" si="84"/>
        <v>0</v>
      </c>
      <c r="AF103" s="95">
        <f t="shared" si="84"/>
        <v>0</v>
      </c>
      <c r="AG103" s="95">
        <f t="shared" si="84"/>
        <v>0</v>
      </c>
      <c r="AH103" s="95">
        <f t="shared" si="84"/>
        <v>0</v>
      </c>
      <c r="AI103" s="95">
        <f t="shared" si="84"/>
        <v>0</v>
      </c>
      <c r="AJ103" s="95">
        <f t="shared" si="84"/>
        <v>0</v>
      </c>
      <c r="AK103" s="95">
        <f t="shared" si="84"/>
        <v>0</v>
      </c>
      <c r="AL103" s="95">
        <f t="shared" si="84"/>
        <v>0</v>
      </c>
      <c r="AM103" s="95">
        <f t="shared" si="84"/>
        <v>0</v>
      </c>
      <c r="AN103" s="95">
        <f t="shared" si="84"/>
        <v>0</v>
      </c>
      <c r="AO103" s="95">
        <f t="shared" si="84"/>
        <v>0</v>
      </c>
      <c r="AP103" s="95">
        <f t="shared" si="84"/>
        <v>0</v>
      </c>
      <c r="AQ103" s="95">
        <f t="shared" si="84"/>
        <v>0</v>
      </c>
      <c r="AR103" s="95">
        <f t="shared" si="84"/>
        <v>0</v>
      </c>
      <c r="AS103" s="95">
        <f t="shared" si="84"/>
        <v>0</v>
      </c>
      <c r="AT103" s="95">
        <f t="shared" si="84"/>
        <v>0</v>
      </c>
      <c r="AU103" s="95">
        <f t="shared" si="84"/>
        <v>0</v>
      </c>
      <c r="AV103" s="95">
        <f t="shared" si="84"/>
        <v>0</v>
      </c>
      <c r="AW103" s="95">
        <f t="shared" si="84"/>
        <v>0</v>
      </c>
      <c r="AX103" s="95">
        <f t="shared" si="84"/>
        <v>0</v>
      </c>
      <c r="AY103" s="95">
        <f t="shared" si="84"/>
        <v>0</v>
      </c>
      <c r="AZ103" s="95">
        <f t="shared" si="84"/>
        <v>0</v>
      </c>
      <c r="BA103" s="95">
        <f t="shared" si="84"/>
        <v>0</v>
      </c>
    </row>
    <row r="105" spans="2:53" x14ac:dyDescent="0.2">
      <c r="B105" s="215">
        <f>B99+1</f>
        <v>15</v>
      </c>
    </row>
    <row r="106" spans="2:53" x14ac:dyDescent="0.2">
      <c r="B106" s="94" t="s">
        <v>100</v>
      </c>
      <c r="C106" s="73" t="s">
        <v>75</v>
      </c>
      <c r="D106" s="95">
        <f>0</f>
        <v>0</v>
      </c>
      <c r="E106" s="47">
        <f t="shared" ref="E106:BA106" si="85">D109</f>
        <v>0</v>
      </c>
      <c r="F106" s="47">
        <f t="shared" si="85"/>
        <v>0</v>
      </c>
      <c r="G106" s="47">
        <f t="shared" si="85"/>
        <v>0</v>
      </c>
      <c r="H106" s="47">
        <f t="shared" si="85"/>
        <v>0</v>
      </c>
      <c r="I106" s="47">
        <f t="shared" si="85"/>
        <v>0</v>
      </c>
      <c r="J106" s="47">
        <f t="shared" si="85"/>
        <v>0</v>
      </c>
      <c r="K106" s="47">
        <f t="shared" si="85"/>
        <v>0</v>
      </c>
      <c r="L106" s="47">
        <f t="shared" si="85"/>
        <v>0</v>
      </c>
      <c r="M106" s="47">
        <f t="shared" si="85"/>
        <v>0</v>
      </c>
      <c r="N106" s="47">
        <f t="shared" si="85"/>
        <v>0</v>
      </c>
      <c r="O106" s="47">
        <f t="shared" si="85"/>
        <v>0</v>
      </c>
      <c r="P106" s="47">
        <f t="shared" si="85"/>
        <v>0</v>
      </c>
      <c r="Q106" s="47">
        <f t="shared" si="85"/>
        <v>0</v>
      </c>
      <c r="R106" s="47">
        <f t="shared" si="85"/>
        <v>0</v>
      </c>
      <c r="S106" s="47">
        <f t="shared" si="85"/>
        <v>13.194787630628724</v>
      </c>
      <c r="T106" s="47">
        <f t="shared" si="85"/>
        <v>10.555830104502979</v>
      </c>
      <c r="U106" s="47">
        <f t="shared" si="85"/>
        <v>7.9168725783772338</v>
      </c>
      <c r="V106" s="47">
        <f t="shared" si="85"/>
        <v>5.2779150522514886</v>
      </c>
      <c r="W106" s="47">
        <f t="shared" si="85"/>
        <v>2.6389575261257439</v>
      </c>
      <c r="X106" s="47">
        <f t="shared" si="85"/>
        <v>0</v>
      </c>
      <c r="Y106" s="47">
        <f t="shared" si="85"/>
        <v>0</v>
      </c>
      <c r="Z106" s="47">
        <f t="shared" si="85"/>
        <v>0</v>
      </c>
      <c r="AA106" s="47">
        <f t="shared" si="85"/>
        <v>0</v>
      </c>
      <c r="AB106" s="47">
        <f t="shared" si="85"/>
        <v>0</v>
      </c>
      <c r="AC106" s="47">
        <f t="shared" si="85"/>
        <v>0</v>
      </c>
      <c r="AD106" s="47">
        <f t="shared" si="85"/>
        <v>0</v>
      </c>
      <c r="AE106" s="47">
        <f t="shared" si="85"/>
        <v>0</v>
      </c>
      <c r="AF106" s="47">
        <f t="shared" si="85"/>
        <v>0</v>
      </c>
      <c r="AG106" s="47">
        <f t="shared" si="85"/>
        <v>0</v>
      </c>
      <c r="AH106" s="47">
        <f t="shared" si="85"/>
        <v>0</v>
      </c>
      <c r="AI106" s="47">
        <f t="shared" si="85"/>
        <v>0</v>
      </c>
      <c r="AJ106" s="47">
        <f t="shared" si="85"/>
        <v>0</v>
      </c>
      <c r="AK106" s="47">
        <f t="shared" si="85"/>
        <v>0</v>
      </c>
      <c r="AL106" s="47">
        <f t="shared" si="85"/>
        <v>0</v>
      </c>
      <c r="AM106" s="47">
        <f t="shared" si="85"/>
        <v>0</v>
      </c>
      <c r="AN106" s="47">
        <f t="shared" si="85"/>
        <v>0</v>
      </c>
      <c r="AO106" s="47">
        <f t="shared" si="85"/>
        <v>0</v>
      </c>
      <c r="AP106" s="47">
        <f t="shared" si="85"/>
        <v>0</v>
      </c>
      <c r="AQ106" s="47">
        <f t="shared" si="85"/>
        <v>0</v>
      </c>
      <c r="AR106" s="47">
        <f t="shared" si="85"/>
        <v>0</v>
      </c>
      <c r="AS106" s="47">
        <f t="shared" si="85"/>
        <v>0</v>
      </c>
      <c r="AT106" s="47">
        <f t="shared" si="85"/>
        <v>0</v>
      </c>
      <c r="AU106" s="47">
        <f t="shared" si="85"/>
        <v>0</v>
      </c>
      <c r="AV106" s="47">
        <f t="shared" si="85"/>
        <v>0</v>
      </c>
      <c r="AW106" s="47">
        <f t="shared" si="85"/>
        <v>0</v>
      </c>
      <c r="AX106" s="47">
        <f t="shared" si="85"/>
        <v>0</v>
      </c>
      <c r="AY106" s="47">
        <f t="shared" si="85"/>
        <v>0</v>
      </c>
      <c r="AZ106" s="47">
        <f t="shared" si="85"/>
        <v>0</v>
      </c>
      <c r="BA106" s="47">
        <f t="shared" si="85"/>
        <v>0</v>
      </c>
    </row>
    <row r="107" spans="2:53" x14ac:dyDescent="0.2">
      <c r="B107" s="94" t="s">
        <v>101</v>
      </c>
      <c r="C107" s="73" t="s">
        <v>75</v>
      </c>
      <c r="D107" s="95">
        <f>IF($B105=D$2,D$4,0)</f>
        <v>0</v>
      </c>
      <c r="E107" s="95">
        <f t="shared" ref="E107:BA107" si="86">IF($B105=E$2,E$4,0)</f>
        <v>0</v>
      </c>
      <c r="F107" s="95">
        <f t="shared" si="86"/>
        <v>0</v>
      </c>
      <c r="G107" s="95">
        <f t="shared" si="86"/>
        <v>0</v>
      </c>
      <c r="H107" s="95">
        <f t="shared" si="86"/>
        <v>0</v>
      </c>
      <c r="I107" s="95">
        <f t="shared" si="86"/>
        <v>0</v>
      </c>
      <c r="J107" s="95">
        <f t="shared" si="86"/>
        <v>0</v>
      </c>
      <c r="K107" s="95">
        <f t="shared" si="86"/>
        <v>0</v>
      </c>
      <c r="L107" s="95">
        <f t="shared" si="86"/>
        <v>0</v>
      </c>
      <c r="M107" s="95">
        <f t="shared" si="86"/>
        <v>0</v>
      </c>
      <c r="N107" s="95">
        <f t="shared" si="86"/>
        <v>0</v>
      </c>
      <c r="O107" s="95">
        <f t="shared" si="86"/>
        <v>0</v>
      </c>
      <c r="P107" s="95">
        <f t="shared" si="86"/>
        <v>0</v>
      </c>
      <c r="Q107" s="95">
        <f t="shared" si="86"/>
        <v>0</v>
      </c>
      <c r="R107" s="95">
        <f t="shared" si="86"/>
        <v>13.194787630628724</v>
      </c>
      <c r="S107" s="95">
        <f t="shared" si="86"/>
        <v>0</v>
      </c>
      <c r="T107" s="95">
        <f t="shared" si="86"/>
        <v>0</v>
      </c>
      <c r="U107" s="95">
        <f t="shared" si="86"/>
        <v>0</v>
      </c>
      <c r="V107" s="95">
        <f t="shared" si="86"/>
        <v>0</v>
      </c>
      <c r="W107" s="95">
        <f t="shared" si="86"/>
        <v>0</v>
      </c>
      <c r="X107" s="95">
        <f t="shared" si="86"/>
        <v>0</v>
      </c>
      <c r="Y107" s="95">
        <f t="shared" si="86"/>
        <v>0</v>
      </c>
      <c r="Z107" s="95">
        <f t="shared" si="86"/>
        <v>0</v>
      </c>
      <c r="AA107" s="95">
        <f t="shared" si="86"/>
        <v>0</v>
      </c>
      <c r="AB107" s="95">
        <f t="shared" si="86"/>
        <v>0</v>
      </c>
      <c r="AC107" s="95">
        <f t="shared" si="86"/>
        <v>0</v>
      </c>
      <c r="AD107" s="95">
        <f t="shared" si="86"/>
        <v>0</v>
      </c>
      <c r="AE107" s="95">
        <f t="shared" si="86"/>
        <v>0</v>
      </c>
      <c r="AF107" s="95">
        <f t="shared" si="86"/>
        <v>0</v>
      </c>
      <c r="AG107" s="95">
        <f t="shared" si="86"/>
        <v>0</v>
      </c>
      <c r="AH107" s="95">
        <f t="shared" si="86"/>
        <v>0</v>
      </c>
      <c r="AI107" s="95">
        <f t="shared" si="86"/>
        <v>0</v>
      </c>
      <c r="AJ107" s="95">
        <f t="shared" si="86"/>
        <v>0</v>
      </c>
      <c r="AK107" s="95">
        <f t="shared" si="86"/>
        <v>0</v>
      </c>
      <c r="AL107" s="95">
        <f t="shared" si="86"/>
        <v>0</v>
      </c>
      <c r="AM107" s="95">
        <f t="shared" si="86"/>
        <v>0</v>
      </c>
      <c r="AN107" s="95">
        <f t="shared" si="86"/>
        <v>0</v>
      </c>
      <c r="AO107" s="95">
        <f t="shared" si="86"/>
        <v>0</v>
      </c>
      <c r="AP107" s="95">
        <f t="shared" si="86"/>
        <v>0</v>
      </c>
      <c r="AQ107" s="95">
        <f t="shared" si="86"/>
        <v>0</v>
      </c>
      <c r="AR107" s="95">
        <f t="shared" si="86"/>
        <v>0</v>
      </c>
      <c r="AS107" s="95">
        <f t="shared" si="86"/>
        <v>0</v>
      </c>
      <c r="AT107" s="95">
        <f t="shared" si="86"/>
        <v>0</v>
      </c>
      <c r="AU107" s="95">
        <f t="shared" si="86"/>
        <v>0</v>
      </c>
      <c r="AV107" s="95">
        <f t="shared" si="86"/>
        <v>0</v>
      </c>
      <c r="AW107" s="95">
        <f t="shared" si="86"/>
        <v>0</v>
      </c>
      <c r="AX107" s="95">
        <f t="shared" si="86"/>
        <v>0</v>
      </c>
      <c r="AY107" s="95">
        <f t="shared" si="86"/>
        <v>0</v>
      </c>
      <c r="AZ107" s="95">
        <f t="shared" si="86"/>
        <v>0</v>
      </c>
      <c r="BA107" s="95">
        <f t="shared" si="86"/>
        <v>0</v>
      </c>
    </row>
    <row r="108" spans="2:53" x14ac:dyDescent="0.2">
      <c r="B108" s="76" t="s">
        <v>102</v>
      </c>
      <c r="C108" s="73" t="s">
        <v>75</v>
      </c>
      <c r="D108" s="47"/>
      <c r="E108" s="47">
        <f>IF(OR(D109&lt;=$B$15*$R$107,F$1-$S$1&gt;$B$13),0,-IF($B$12="straight line",SLN($R$107,+$B$15*$R$107,$B$13),VDB($R$107,$B$15*$R$107,$B$13,E$1-$S$1,F$1-$S$1,$B$14)))</f>
        <v>0</v>
      </c>
      <c r="F108" s="47">
        <f t="shared" ref="F108:BA108" si="87">IF(OR(E109&lt;=$B$15*$R$107,G$1-$S$1&gt;$B$13),0,-IF($B$12="straight line",SLN($R$107,+$B$15*$R$107,$B$13),VDB($R$107,$B$15*$R$107,$B$13,F$1-$S$1,G$1-$S$1,$B$14)))</f>
        <v>0</v>
      </c>
      <c r="G108" s="47">
        <f t="shared" si="87"/>
        <v>0</v>
      </c>
      <c r="H108" s="47">
        <f t="shared" si="87"/>
        <v>0</v>
      </c>
      <c r="I108" s="47">
        <f t="shared" si="87"/>
        <v>0</v>
      </c>
      <c r="J108" s="47">
        <f t="shared" si="87"/>
        <v>0</v>
      </c>
      <c r="K108" s="47">
        <f t="shared" si="87"/>
        <v>0</v>
      </c>
      <c r="L108" s="47">
        <f t="shared" si="87"/>
        <v>0</v>
      </c>
      <c r="M108" s="47">
        <f t="shared" si="87"/>
        <v>0</v>
      </c>
      <c r="N108" s="47">
        <f t="shared" si="87"/>
        <v>0</v>
      </c>
      <c r="O108" s="47">
        <f t="shared" si="87"/>
        <v>0</v>
      </c>
      <c r="P108" s="47">
        <f t="shared" si="87"/>
        <v>0</v>
      </c>
      <c r="Q108" s="47">
        <f t="shared" si="87"/>
        <v>0</v>
      </c>
      <c r="R108" s="47">
        <f t="shared" si="87"/>
        <v>0</v>
      </c>
      <c r="S108" s="47">
        <f t="shared" si="87"/>
        <v>-2.6389575261257447</v>
      </c>
      <c r="T108" s="47">
        <f t="shared" si="87"/>
        <v>-2.6389575261257447</v>
      </c>
      <c r="U108" s="47">
        <f t="shared" si="87"/>
        <v>-2.6389575261257447</v>
      </c>
      <c r="V108" s="47">
        <f t="shared" si="87"/>
        <v>-2.6389575261257447</v>
      </c>
      <c r="W108" s="47">
        <f t="shared" si="87"/>
        <v>-2.6389575261257447</v>
      </c>
      <c r="X108" s="47">
        <f t="shared" si="87"/>
        <v>0</v>
      </c>
      <c r="Y108" s="47">
        <f t="shared" si="87"/>
        <v>0</v>
      </c>
      <c r="Z108" s="47">
        <f t="shared" si="87"/>
        <v>0</v>
      </c>
      <c r="AA108" s="47">
        <f t="shared" si="87"/>
        <v>0</v>
      </c>
      <c r="AB108" s="47">
        <f t="shared" si="87"/>
        <v>0</v>
      </c>
      <c r="AC108" s="47">
        <f t="shared" si="87"/>
        <v>0</v>
      </c>
      <c r="AD108" s="47">
        <f t="shared" si="87"/>
        <v>0</v>
      </c>
      <c r="AE108" s="47">
        <f t="shared" si="87"/>
        <v>0</v>
      </c>
      <c r="AF108" s="47">
        <f t="shared" si="87"/>
        <v>0</v>
      </c>
      <c r="AG108" s="47">
        <f t="shared" si="87"/>
        <v>0</v>
      </c>
      <c r="AH108" s="47">
        <f t="shared" si="87"/>
        <v>0</v>
      </c>
      <c r="AI108" s="47">
        <f t="shared" si="87"/>
        <v>0</v>
      </c>
      <c r="AJ108" s="47">
        <f t="shared" si="87"/>
        <v>0</v>
      </c>
      <c r="AK108" s="47">
        <f t="shared" si="87"/>
        <v>0</v>
      </c>
      <c r="AL108" s="47">
        <f t="shared" si="87"/>
        <v>0</v>
      </c>
      <c r="AM108" s="47">
        <f t="shared" si="87"/>
        <v>0</v>
      </c>
      <c r="AN108" s="47">
        <f t="shared" si="87"/>
        <v>0</v>
      </c>
      <c r="AO108" s="47">
        <f t="shared" si="87"/>
        <v>0</v>
      </c>
      <c r="AP108" s="47">
        <f t="shared" si="87"/>
        <v>0</v>
      </c>
      <c r="AQ108" s="47">
        <f t="shared" si="87"/>
        <v>0</v>
      </c>
      <c r="AR108" s="47">
        <f t="shared" si="87"/>
        <v>0</v>
      </c>
      <c r="AS108" s="47">
        <f t="shared" si="87"/>
        <v>0</v>
      </c>
      <c r="AT108" s="47">
        <f t="shared" si="87"/>
        <v>0</v>
      </c>
      <c r="AU108" s="47">
        <f t="shared" si="87"/>
        <v>0</v>
      </c>
      <c r="AV108" s="47">
        <f t="shared" si="87"/>
        <v>0</v>
      </c>
      <c r="AW108" s="47">
        <f t="shared" si="87"/>
        <v>0</v>
      </c>
      <c r="AX108" s="47">
        <f t="shared" si="87"/>
        <v>0</v>
      </c>
      <c r="AY108" s="47">
        <f t="shared" si="87"/>
        <v>0</v>
      </c>
      <c r="AZ108" s="47">
        <f t="shared" si="87"/>
        <v>0</v>
      </c>
      <c r="BA108" s="47">
        <f t="shared" si="87"/>
        <v>0</v>
      </c>
    </row>
    <row r="109" spans="2:53" x14ac:dyDescent="0.2">
      <c r="B109" s="76" t="s">
        <v>103</v>
      </c>
      <c r="C109" s="73" t="s">
        <v>75</v>
      </c>
      <c r="D109" s="95">
        <f>SUM(D106:D108)</f>
        <v>0</v>
      </c>
      <c r="E109" s="95">
        <f t="shared" ref="E109:BA109" si="88">SUM(E106:E108)</f>
        <v>0</v>
      </c>
      <c r="F109" s="95">
        <f t="shared" si="88"/>
        <v>0</v>
      </c>
      <c r="G109" s="95">
        <f t="shared" si="88"/>
        <v>0</v>
      </c>
      <c r="H109" s="95">
        <f t="shared" si="88"/>
        <v>0</v>
      </c>
      <c r="I109" s="95">
        <f t="shared" si="88"/>
        <v>0</v>
      </c>
      <c r="J109" s="95">
        <f t="shared" si="88"/>
        <v>0</v>
      </c>
      <c r="K109" s="95">
        <f t="shared" si="88"/>
        <v>0</v>
      </c>
      <c r="L109" s="95">
        <f t="shared" si="88"/>
        <v>0</v>
      </c>
      <c r="M109" s="95">
        <f t="shared" si="88"/>
        <v>0</v>
      </c>
      <c r="N109" s="95">
        <f t="shared" si="88"/>
        <v>0</v>
      </c>
      <c r="O109" s="95">
        <f t="shared" si="88"/>
        <v>0</v>
      </c>
      <c r="P109" s="95">
        <f t="shared" si="88"/>
        <v>0</v>
      </c>
      <c r="Q109" s="95">
        <f t="shared" si="88"/>
        <v>0</v>
      </c>
      <c r="R109" s="95">
        <f t="shared" si="88"/>
        <v>13.194787630628724</v>
      </c>
      <c r="S109" s="95">
        <f t="shared" si="88"/>
        <v>10.555830104502979</v>
      </c>
      <c r="T109" s="95">
        <f t="shared" si="88"/>
        <v>7.9168725783772338</v>
      </c>
      <c r="U109" s="95">
        <f t="shared" si="88"/>
        <v>5.2779150522514886</v>
      </c>
      <c r="V109" s="95">
        <f t="shared" si="88"/>
        <v>2.6389575261257439</v>
      </c>
      <c r="W109" s="95">
        <f t="shared" si="88"/>
        <v>0</v>
      </c>
      <c r="X109" s="95">
        <f t="shared" si="88"/>
        <v>0</v>
      </c>
      <c r="Y109" s="95">
        <f t="shared" si="88"/>
        <v>0</v>
      </c>
      <c r="Z109" s="95">
        <f t="shared" si="88"/>
        <v>0</v>
      </c>
      <c r="AA109" s="95">
        <f t="shared" si="88"/>
        <v>0</v>
      </c>
      <c r="AB109" s="95">
        <f t="shared" si="88"/>
        <v>0</v>
      </c>
      <c r="AC109" s="95">
        <f t="shared" si="88"/>
        <v>0</v>
      </c>
      <c r="AD109" s="95">
        <f t="shared" si="88"/>
        <v>0</v>
      </c>
      <c r="AE109" s="95">
        <f t="shared" si="88"/>
        <v>0</v>
      </c>
      <c r="AF109" s="95">
        <f t="shared" si="88"/>
        <v>0</v>
      </c>
      <c r="AG109" s="95">
        <f t="shared" si="88"/>
        <v>0</v>
      </c>
      <c r="AH109" s="95">
        <f t="shared" si="88"/>
        <v>0</v>
      </c>
      <c r="AI109" s="95">
        <f t="shared" si="88"/>
        <v>0</v>
      </c>
      <c r="AJ109" s="95">
        <f t="shared" si="88"/>
        <v>0</v>
      </c>
      <c r="AK109" s="95">
        <f t="shared" si="88"/>
        <v>0</v>
      </c>
      <c r="AL109" s="95">
        <f t="shared" si="88"/>
        <v>0</v>
      </c>
      <c r="AM109" s="95">
        <f t="shared" si="88"/>
        <v>0</v>
      </c>
      <c r="AN109" s="95">
        <f t="shared" si="88"/>
        <v>0</v>
      </c>
      <c r="AO109" s="95">
        <f t="shared" si="88"/>
        <v>0</v>
      </c>
      <c r="AP109" s="95">
        <f t="shared" si="88"/>
        <v>0</v>
      </c>
      <c r="AQ109" s="95">
        <f t="shared" si="88"/>
        <v>0</v>
      </c>
      <c r="AR109" s="95">
        <f t="shared" si="88"/>
        <v>0</v>
      </c>
      <c r="AS109" s="95">
        <f t="shared" si="88"/>
        <v>0</v>
      </c>
      <c r="AT109" s="95">
        <f t="shared" si="88"/>
        <v>0</v>
      </c>
      <c r="AU109" s="95">
        <f t="shared" si="88"/>
        <v>0</v>
      </c>
      <c r="AV109" s="95">
        <f t="shared" si="88"/>
        <v>0</v>
      </c>
      <c r="AW109" s="95">
        <f t="shared" si="88"/>
        <v>0</v>
      </c>
      <c r="AX109" s="95">
        <f t="shared" si="88"/>
        <v>0</v>
      </c>
      <c r="AY109" s="95">
        <f t="shared" si="88"/>
        <v>0</v>
      </c>
      <c r="AZ109" s="95">
        <f t="shared" si="88"/>
        <v>0</v>
      </c>
      <c r="BA109" s="95">
        <f t="shared" si="88"/>
        <v>0</v>
      </c>
    </row>
    <row r="111" spans="2:53" x14ac:dyDescent="0.2">
      <c r="B111" s="215">
        <f>B105+1</f>
        <v>16</v>
      </c>
    </row>
    <row r="112" spans="2:53" x14ac:dyDescent="0.2">
      <c r="B112" s="94" t="s">
        <v>100</v>
      </c>
      <c r="C112" s="73" t="s">
        <v>75</v>
      </c>
      <c r="D112" s="95">
        <f>0</f>
        <v>0</v>
      </c>
      <c r="E112" s="47">
        <f t="shared" ref="E112:BA112" si="89">D115</f>
        <v>0</v>
      </c>
      <c r="F112" s="47">
        <f t="shared" si="89"/>
        <v>0</v>
      </c>
      <c r="G112" s="47">
        <f t="shared" si="89"/>
        <v>0</v>
      </c>
      <c r="H112" s="47">
        <f t="shared" si="89"/>
        <v>0</v>
      </c>
      <c r="I112" s="47">
        <f t="shared" si="89"/>
        <v>0</v>
      </c>
      <c r="J112" s="47">
        <f t="shared" si="89"/>
        <v>0</v>
      </c>
      <c r="K112" s="47">
        <f t="shared" si="89"/>
        <v>0</v>
      </c>
      <c r="L112" s="47">
        <f t="shared" si="89"/>
        <v>0</v>
      </c>
      <c r="M112" s="47">
        <f t="shared" si="89"/>
        <v>0</v>
      </c>
      <c r="N112" s="47">
        <f t="shared" si="89"/>
        <v>0</v>
      </c>
      <c r="O112" s="47">
        <f t="shared" si="89"/>
        <v>0</v>
      </c>
      <c r="P112" s="47">
        <f t="shared" si="89"/>
        <v>0</v>
      </c>
      <c r="Q112" s="47">
        <f t="shared" si="89"/>
        <v>0</v>
      </c>
      <c r="R112" s="47">
        <f t="shared" si="89"/>
        <v>0</v>
      </c>
      <c r="S112" s="47">
        <f t="shared" si="89"/>
        <v>0</v>
      </c>
      <c r="T112" s="47">
        <f t="shared" si="89"/>
        <v>13.458683383241299</v>
      </c>
      <c r="U112" s="47">
        <f t="shared" si="89"/>
        <v>10.766946706593039</v>
      </c>
      <c r="V112" s="47">
        <f t="shared" si="89"/>
        <v>8.0752100299447793</v>
      </c>
      <c r="W112" s="47">
        <f t="shared" si="89"/>
        <v>5.3834733532965195</v>
      </c>
      <c r="X112" s="47">
        <f t="shared" si="89"/>
        <v>2.6917366766482598</v>
      </c>
      <c r="Y112" s="47">
        <f t="shared" si="89"/>
        <v>0</v>
      </c>
      <c r="Z112" s="47">
        <f t="shared" si="89"/>
        <v>0</v>
      </c>
      <c r="AA112" s="47">
        <f t="shared" si="89"/>
        <v>0</v>
      </c>
      <c r="AB112" s="47">
        <f t="shared" si="89"/>
        <v>0</v>
      </c>
      <c r="AC112" s="47">
        <f t="shared" si="89"/>
        <v>0</v>
      </c>
      <c r="AD112" s="47">
        <f t="shared" si="89"/>
        <v>0</v>
      </c>
      <c r="AE112" s="47">
        <f t="shared" si="89"/>
        <v>0</v>
      </c>
      <c r="AF112" s="47">
        <f t="shared" si="89"/>
        <v>0</v>
      </c>
      <c r="AG112" s="47">
        <f t="shared" si="89"/>
        <v>0</v>
      </c>
      <c r="AH112" s="47">
        <f t="shared" si="89"/>
        <v>0</v>
      </c>
      <c r="AI112" s="47">
        <f t="shared" si="89"/>
        <v>0</v>
      </c>
      <c r="AJ112" s="47">
        <f t="shared" si="89"/>
        <v>0</v>
      </c>
      <c r="AK112" s="47">
        <f t="shared" si="89"/>
        <v>0</v>
      </c>
      <c r="AL112" s="47">
        <f t="shared" si="89"/>
        <v>0</v>
      </c>
      <c r="AM112" s="47">
        <f t="shared" si="89"/>
        <v>0</v>
      </c>
      <c r="AN112" s="47">
        <f t="shared" si="89"/>
        <v>0</v>
      </c>
      <c r="AO112" s="47">
        <f t="shared" si="89"/>
        <v>0</v>
      </c>
      <c r="AP112" s="47">
        <f t="shared" si="89"/>
        <v>0</v>
      </c>
      <c r="AQ112" s="47">
        <f t="shared" si="89"/>
        <v>0</v>
      </c>
      <c r="AR112" s="47">
        <f t="shared" si="89"/>
        <v>0</v>
      </c>
      <c r="AS112" s="47">
        <f t="shared" si="89"/>
        <v>0</v>
      </c>
      <c r="AT112" s="47">
        <f t="shared" si="89"/>
        <v>0</v>
      </c>
      <c r="AU112" s="47">
        <f t="shared" si="89"/>
        <v>0</v>
      </c>
      <c r="AV112" s="47">
        <f t="shared" si="89"/>
        <v>0</v>
      </c>
      <c r="AW112" s="47">
        <f t="shared" si="89"/>
        <v>0</v>
      </c>
      <c r="AX112" s="47">
        <f t="shared" si="89"/>
        <v>0</v>
      </c>
      <c r="AY112" s="47">
        <f t="shared" si="89"/>
        <v>0</v>
      </c>
      <c r="AZ112" s="47">
        <f t="shared" si="89"/>
        <v>0</v>
      </c>
      <c r="BA112" s="47">
        <f t="shared" si="89"/>
        <v>0</v>
      </c>
    </row>
    <row r="113" spans="2:53" x14ac:dyDescent="0.2">
      <c r="B113" s="94" t="s">
        <v>101</v>
      </c>
      <c r="C113" s="73" t="s">
        <v>75</v>
      </c>
      <c r="D113" s="95">
        <f>IF($B111=D$2,D$4,0)</f>
        <v>0</v>
      </c>
      <c r="E113" s="95">
        <f t="shared" ref="E113:BA113" si="90">IF($B111=E$2,E$4,0)</f>
        <v>0</v>
      </c>
      <c r="F113" s="95">
        <f t="shared" si="90"/>
        <v>0</v>
      </c>
      <c r="G113" s="95">
        <f t="shared" si="90"/>
        <v>0</v>
      </c>
      <c r="H113" s="95">
        <f t="shared" si="90"/>
        <v>0</v>
      </c>
      <c r="I113" s="95">
        <f t="shared" si="90"/>
        <v>0</v>
      </c>
      <c r="J113" s="95">
        <f t="shared" si="90"/>
        <v>0</v>
      </c>
      <c r="K113" s="95">
        <f t="shared" si="90"/>
        <v>0</v>
      </c>
      <c r="L113" s="95">
        <f t="shared" si="90"/>
        <v>0</v>
      </c>
      <c r="M113" s="95">
        <f t="shared" si="90"/>
        <v>0</v>
      </c>
      <c r="N113" s="95">
        <f t="shared" si="90"/>
        <v>0</v>
      </c>
      <c r="O113" s="95">
        <f t="shared" si="90"/>
        <v>0</v>
      </c>
      <c r="P113" s="95">
        <f t="shared" si="90"/>
        <v>0</v>
      </c>
      <c r="Q113" s="95">
        <f t="shared" si="90"/>
        <v>0</v>
      </c>
      <c r="R113" s="95">
        <f t="shared" si="90"/>
        <v>0</v>
      </c>
      <c r="S113" s="95">
        <f t="shared" si="90"/>
        <v>13.458683383241299</v>
      </c>
      <c r="T113" s="95">
        <f t="shared" si="90"/>
        <v>0</v>
      </c>
      <c r="U113" s="95">
        <f t="shared" si="90"/>
        <v>0</v>
      </c>
      <c r="V113" s="95">
        <f t="shared" si="90"/>
        <v>0</v>
      </c>
      <c r="W113" s="95">
        <f t="shared" si="90"/>
        <v>0</v>
      </c>
      <c r="X113" s="95">
        <f t="shared" si="90"/>
        <v>0</v>
      </c>
      <c r="Y113" s="95">
        <f t="shared" si="90"/>
        <v>0</v>
      </c>
      <c r="Z113" s="95">
        <f t="shared" si="90"/>
        <v>0</v>
      </c>
      <c r="AA113" s="95">
        <f t="shared" si="90"/>
        <v>0</v>
      </c>
      <c r="AB113" s="95">
        <f t="shared" si="90"/>
        <v>0</v>
      </c>
      <c r="AC113" s="95">
        <f t="shared" si="90"/>
        <v>0</v>
      </c>
      <c r="AD113" s="95">
        <f t="shared" si="90"/>
        <v>0</v>
      </c>
      <c r="AE113" s="95">
        <f t="shared" si="90"/>
        <v>0</v>
      </c>
      <c r="AF113" s="95">
        <f t="shared" si="90"/>
        <v>0</v>
      </c>
      <c r="AG113" s="95">
        <f t="shared" si="90"/>
        <v>0</v>
      </c>
      <c r="AH113" s="95">
        <f t="shared" si="90"/>
        <v>0</v>
      </c>
      <c r="AI113" s="95">
        <f t="shared" si="90"/>
        <v>0</v>
      </c>
      <c r="AJ113" s="95">
        <f t="shared" si="90"/>
        <v>0</v>
      </c>
      <c r="AK113" s="95">
        <f t="shared" si="90"/>
        <v>0</v>
      </c>
      <c r="AL113" s="95">
        <f t="shared" si="90"/>
        <v>0</v>
      </c>
      <c r="AM113" s="95">
        <f t="shared" si="90"/>
        <v>0</v>
      </c>
      <c r="AN113" s="95">
        <f t="shared" si="90"/>
        <v>0</v>
      </c>
      <c r="AO113" s="95">
        <f t="shared" si="90"/>
        <v>0</v>
      </c>
      <c r="AP113" s="95">
        <f t="shared" si="90"/>
        <v>0</v>
      </c>
      <c r="AQ113" s="95">
        <f t="shared" si="90"/>
        <v>0</v>
      </c>
      <c r="AR113" s="95">
        <f t="shared" si="90"/>
        <v>0</v>
      </c>
      <c r="AS113" s="95">
        <f t="shared" si="90"/>
        <v>0</v>
      </c>
      <c r="AT113" s="95">
        <f t="shared" si="90"/>
        <v>0</v>
      </c>
      <c r="AU113" s="95">
        <f t="shared" si="90"/>
        <v>0</v>
      </c>
      <c r="AV113" s="95">
        <f t="shared" si="90"/>
        <v>0</v>
      </c>
      <c r="AW113" s="95">
        <f t="shared" si="90"/>
        <v>0</v>
      </c>
      <c r="AX113" s="95">
        <f t="shared" si="90"/>
        <v>0</v>
      </c>
      <c r="AY113" s="95">
        <f t="shared" si="90"/>
        <v>0</v>
      </c>
      <c r="AZ113" s="95">
        <f t="shared" si="90"/>
        <v>0</v>
      </c>
      <c r="BA113" s="95">
        <f t="shared" si="90"/>
        <v>0</v>
      </c>
    </row>
    <row r="114" spans="2:53" x14ac:dyDescent="0.2">
      <c r="B114" s="76" t="s">
        <v>102</v>
      </c>
      <c r="C114" s="73" t="s">
        <v>75</v>
      </c>
      <c r="D114" s="47"/>
      <c r="E114" s="47">
        <f>IF(OR(D115&lt;=$B$15*$S$113,F$1-$T$1&gt;$B$13),0,-IF($B$12="straight line",SLN($S$113,+$B$15*$S$113,$B$13),VDB($S$113,$B$15*$S$113,$B$13,E$1-$T$1,F$1-$T$1,$B$14)))</f>
        <v>0</v>
      </c>
      <c r="F114" s="47">
        <f t="shared" ref="F114:BA114" si="91">IF(OR(E115&lt;=$B$15*$S$113,G$1-$T$1&gt;$B$13),0,-IF($B$12="straight line",SLN($S$113,+$B$15*$S$113,$B$13),VDB($S$113,$B$15*$S$113,$B$13,F$1-$T$1,G$1-$T$1,$B$14)))</f>
        <v>0</v>
      </c>
      <c r="G114" s="47">
        <f t="shared" si="91"/>
        <v>0</v>
      </c>
      <c r="H114" s="47">
        <f t="shared" si="91"/>
        <v>0</v>
      </c>
      <c r="I114" s="47">
        <f t="shared" si="91"/>
        <v>0</v>
      </c>
      <c r="J114" s="47">
        <f t="shared" si="91"/>
        <v>0</v>
      </c>
      <c r="K114" s="47">
        <f t="shared" si="91"/>
        <v>0</v>
      </c>
      <c r="L114" s="47">
        <f t="shared" si="91"/>
        <v>0</v>
      </c>
      <c r="M114" s="47">
        <f t="shared" si="91"/>
        <v>0</v>
      </c>
      <c r="N114" s="47">
        <f t="shared" si="91"/>
        <v>0</v>
      </c>
      <c r="O114" s="47">
        <f t="shared" si="91"/>
        <v>0</v>
      </c>
      <c r="P114" s="47">
        <f t="shared" si="91"/>
        <v>0</v>
      </c>
      <c r="Q114" s="47">
        <f t="shared" si="91"/>
        <v>0</v>
      </c>
      <c r="R114" s="47">
        <f t="shared" si="91"/>
        <v>0</v>
      </c>
      <c r="S114" s="47">
        <f t="shared" si="91"/>
        <v>0</v>
      </c>
      <c r="T114" s="47">
        <f t="shared" si="91"/>
        <v>-2.6917366766482598</v>
      </c>
      <c r="U114" s="47">
        <f t="shared" si="91"/>
        <v>-2.6917366766482598</v>
      </c>
      <c r="V114" s="47">
        <f t="shared" si="91"/>
        <v>-2.6917366766482598</v>
      </c>
      <c r="W114" s="47">
        <f t="shared" si="91"/>
        <v>-2.6917366766482598</v>
      </c>
      <c r="X114" s="47">
        <f t="shared" si="91"/>
        <v>-2.6917366766482598</v>
      </c>
      <c r="Y114" s="47">
        <f t="shared" si="91"/>
        <v>0</v>
      </c>
      <c r="Z114" s="47">
        <f t="shared" si="91"/>
        <v>0</v>
      </c>
      <c r="AA114" s="47">
        <f t="shared" si="91"/>
        <v>0</v>
      </c>
      <c r="AB114" s="47">
        <f t="shared" si="91"/>
        <v>0</v>
      </c>
      <c r="AC114" s="47">
        <f t="shared" si="91"/>
        <v>0</v>
      </c>
      <c r="AD114" s="47">
        <f t="shared" si="91"/>
        <v>0</v>
      </c>
      <c r="AE114" s="47">
        <f t="shared" si="91"/>
        <v>0</v>
      </c>
      <c r="AF114" s="47">
        <f t="shared" si="91"/>
        <v>0</v>
      </c>
      <c r="AG114" s="47">
        <f t="shared" si="91"/>
        <v>0</v>
      </c>
      <c r="AH114" s="47">
        <f t="shared" si="91"/>
        <v>0</v>
      </c>
      <c r="AI114" s="47">
        <f t="shared" si="91"/>
        <v>0</v>
      </c>
      <c r="AJ114" s="47">
        <f t="shared" si="91"/>
        <v>0</v>
      </c>
      <c r="AK114" s="47">
        <f t="shared" si="91"/>
        <v>0</v>
      </c>
      <c r="AL114" s="47">
        <f t="shared" si="91"/>
        <v>0</v>
      </c>
      <c r="AM114" s="47">
        <f t="shared" si="91"/>
        <v>0</v>
      </c>
      <c r="AN114" s="47">
        <f t="shared" si="91"/>
        <v>0</v>
      </c>
      <c r="AO114" s="47">
        <f t="shared" si="91"/>
        <v>0</v>
      </c>
      <c r="AP114" s="47">
        <f t="shared" si="91"/>
        <v>0</v>
      </c>
      <c r="AQ114" s="47">
        <f t="shared" si="91"/>
        <v>0</v>
      </c>
      <c r="AR114" s="47">
        <f t="shared" si="91"/>
        <v>0</v>
      </c>
      <c r="AS114" s="47">
        <f t="shared" si="91"/>
        <v>0</v>
      </c>
      <c r="AT114" s="47">
        <f t="shared" si="91"/>
        <v>0</v>
      </c>
      <c r="AU114" s="47">
        <f t="shared" si="91"/>
        <v>0</v>
      </c>
      <c r="AV114" s="47">
        <f t="shared" si="91"/>
        <v>0</v>
      </c>
      <c r="AW114" s="47">
        <f t="shared" si="91"/>
        <v>0</v>
      </c>
      <c r="AX114" s="47">
        <f t="shared" si="91"/>
        <v>0</v>
      </c>
      <c r="AY114" s="47">
        <f t="shared" si="91"/>
        <v>0</v>
      </c>
      <c r="AZ114" s="47">
        <f t="shared" si="91"/>
        <v>0</v>
      </c>
      <c r="BA114" s="47">
        <f t="shared" si="91"/>
        <v>0</v>
      </c>
    </row>
    <row r="115" spans="2:53" x14ac:dyDescent="0.2">
      <c r="B115" s="76" t="s">
        <v>103</v>
      </c>
      <c r="C115" s="73" t="s">
        <v>75</v>
      </c>
      <c r="D115" s="95">
        <f>SUM(D112:D114)</f>
        <v>0</v>
      </c>
      <c r="E115" s="95">
        <f t="shared" ref="E115:BA115" si="92">SUM(E112:E114)</f>
        <v>0</v>
      </c>
      <c r="F115" s="95">
        <f t="shared" si="92"/>
        <v>0</v>
      </c>
      <c r="G115" s="95">
        <f t="shared" si="92"/>
        <v>0</v>
      </c>
      <c r="H115" s="95">
        <f t="shared" si="92"/>
        <v>0</v>
      </c>
      <c r="I115" s="95">
        <f t="shared" si="92"/>
        <v>0</v>
      </c>
      <c r="J115" s="95">
        <f t="shared" si="92"/>
        <v>0</v>
      </c>
      <c r="K115" s="95">
        <f t="shared" si="92"/>
        <v>0</v>
      </c>
      <c r="L115" s="95">
        <f t="shared" si="92"/>
        <v>0</v>
      </c>
      <c r="M115" s="95">
        <f t="shared" si="92"/>
        <v>0</v>
      </c>
      <c r="N115" s="95">
        <f t="shared" si="92"/>
        <v>0</v>
      </c>
      <c r="O115" s="95">
        <f t="shared" si="92"/>
        <v>0</v>
      </c>
      <c r="P115" s="95">
        <f t="shared" si="92"/>
        <v>0</v>
      </c>
      <c r="Q115" s="95">
        <f t="shared" si="92"/>
        <v>0</v>
      </c>
      <c r="R115" s="95">
        <f t="shared" si="92"/>
        <v>0</v>
      </c>
      <c r="S115" s="95">
        <f t="shared" si="92"/>
        <v>13.458683383241299</v>
      </c>
      <c r="T115" s="95">
        <f t="shared" si="92"/>
        <v>10.766946706593039</v>
      </c>
      <c r="U115" s="95">
        <f t="shared" si="92"/>
        <v>8.0752100299447793</v>
      </c>
      <c r="V115" s="95">
        <f t="shared" si="92"/>
        <v>5.3834733532965195</v>
      </c>
      <c r="W115" s="95">
        <f t="shared" si="92"/>
        <v>2.6917366766482598</v>
      </c>
      <c r="X115" s="95">
        <f t="shared" si="92"/>
        <v>0</v>
      </c>
      <c r="Y115" s="95">
        <f t="shared" si="92"/>
        <v>0</v>
      </c>
      <c r="Z115" s="95">
        <f t="shared" si="92"/>
        <v>0</v>
      </c>
      <c r="AA115" s="95">
        <f t="shared" si="92"/>
        <v>0</v>
      </c>
      <c r="AB115" s="95">
        <f t="shared" si="92"/>
        <v>0</v>
      </c>
      <c r="AC115" s="95">
        <f t="shared" si="92"/>
        <v>0</v>
      </c>
      <c r="AD115" s="95">
        <f t="shared" si="92"/>
        <v>0</v>
      </c>
      <c r="AE115" s="95">
        <f t="shared" si="92"/>
        <v>0</v>
      </c>
      <c r="AF115" s="95">
        <f t="shared" si="92"/>
        <v>0</v>
      </c>
      <c r="AG115" s="95">
        <f t="shared" si="92"/>
        <v>0</v>
      </c>
      <c r="AH115" s="95">
        <f t="shared" si="92"/>
        <v>0</v>
      </c>
      <c r="AI115" s="95">
        <f t="shared" si="92"/>
        <v>0</v>
      </c>
      <c r="AJ115" s="95">
        <f t="shared" si="92"/>
        <v>0</v>
      </c>
      <c r="AK115" s="95">
        <f t="shared" si="92"/>
        <v>0</v>
      </c>
      <c r="AL115" s="95">
        <f t="shared" si="92"/>
        <v>0</v>
      </c>
      <c r="AM115" s="95">
        <f t="shared" si="92"/>
        <v>0</v>
      </c>
      <c r="AN115" s="95">
        <f t="shared" si="92"/>
        <v>0</v>
      </c>
      <c r="AO115" s="95">
        <f t="shared" si="92"/>
        <v>0</v>
      </c>
      <c r="AP115" s="95">
        <f t="shared" si="92"/>
        <v>0</v>
      </c>
      <c r="AQ115" s="95">
        <f t="shared" si="92"/>
        <v>0</v>
      </c>
      <c r="AR115" s="95">
        <f t="shared" si="92"/>
        <v>0</v>
      </c>
      <c r="AS115" s="95">
        <f t="shared" si="92"/>
        <v>0</v>
      </c>
      <c r="AT115" s="95">
        <f t="shared" si="92"/>
        <v>0</v>
      </c>
      <c r="AU115" s="95">
        <f t="shared" si="92"/>
        <v>0</v>
      </c>
      <c r="AV115" s="95">
        <f t="shared" si="92"/>
        <v>0</v>
      </c>
      <c r="AW115" s="95">
        <f t="shared" si="92"/>
        <v>0</v>
      </c>
      <c r="AX115" s="95">
        <f t="shared" si="92"/>
        <v>0</v>
      </c>
      <c r="AY115" s="95">
        <f t="shared" si="92"/>
        <v>0</v>
      </c>
      <c r="AZ115" s="95">
        <f t="shared" si="92"/>
        <v>0</v>
      </c>
      <c r="BA115" s="95">
        <f t="shared" si="92"/>
        <v>0</v>
      </c>
    </row>
    <row r="117" spans="2:53" x14ac:dyDescent="0.2">
      <c r="B117" s="215">
        <f>B111+1</f>
        <v>17</v>
      </c>
    </row>
    <row r="118" spans="2:53" x14ac:dyDescent="0.2">
      <c r="B118" s="94" t="s">
        <v>100</v>
      </c>
      <c r="C118" s="73" t="s">
        <v>75</v>
      </c>
      <c r="D118" s="95">
        <f>0</f>
        <v>0</v>
      </c>
      <c r="E118" s="47">
        <f t="shared" ref="E118:BA118" si="93">D121</f>
        <v>0</v>
      </c>
      <c r="F118" s="47">
        <f t="shared" si="93"/>
        <v>0</v>
      </c>
      <c r="G118" s="47">
        <f t="shared" si="93"/>
        <v>0</v>
      </c>
      <c r="H118" s="47">
        <f t="shared" si="93"/>
        <v>0</v>
      </c>
      <c r="I118" s="47">
        <f t="shared" si="93"/>
        <v>0</v>
      </c>
      <c r="J118" s="47">
        <f t="shared" si="93"/>
        <v>0</v>
      </c>
      <c r="K118" s="47">
        <f t="shared" si="93"/>
        <v>0</v>
      </c>
      <c r="L118" s="47">
        <f t="shared" si="93"/>
        <v>0</v>
      </c>
      <c r="M118" s="47">
        <f t="shared" si="93"/>
        <v>0</v>
      </c>
      <c r="N118" s="47">
        <f t="shared" si="93"/>
        <v>0</v>
      </c>
      <c r="O118" s="47">
        <f t="shared" si="93"/>
        <v>0</v>
      </c>
      <c r="P118" s="47">
        <f t="shared" si="93"/>
        <v>0</v>
      </c>
      <c r="Q118" s="47">
        <f t="shared" si="93"/>
        <v>0</v>
      </c>
      <c r="R118" s="47">
        <f t="shared" si="93"/>
        <v>0</v>
      </c>
      <c r="S118" s="47">
        <f t="shared" si="93"/>
        <v>0</v>
      </c>
      <c r="T118" s="47">
        <f t="shared" si="93"/>
        <v>0</v>
      </c>
      <c r="U118" s="47">
        <f t="shared" si="93"/>
        <v>13.727857050906124</v>
      </c>
      <c r="V118" s="47">
        <f t="shared" si="93"/>
        <v>10.9822856407249</v>
      </c>
      <c r="W118" s="47">
        <f t="shared" si="93"/>
        <v>8.2367142305436758</v>
      </c>
      <c r="X118" s="47">
        <f t="shared" si="93"/>
        <v>5.4911428203624508</v>
      </c>
      <c r="Y118" s="47">
        <f t="shared" si="93"/>
        <v>2.7455714101812259</v>
      </c>
      <c r="Z118" s="47">
        <f t="shared" si="93"/>
        <v>0</v>
      </c>
      <c r="AA118" s="47">
        <f t="shared" si="93"/>
        <v>0</v>
      </c>
      <c r="AB118" s="47">
        <f t="shared" si="93"/>
        <v>0</v>
      </c>
      <c r="AC118" s="47">
        <f t="shared" si="93"/>
        <v>0</v>
      </c>
      <c r="AD118" s="47">
        <f t="shared" si="93"/>
        <v>0</v>
      </c>
      <c r="AE118" s="47">
        <f t="shared" si="93"/>
        <v>0</v>
      </c>
      <c r="AF118" s="47">
        <f t="shared" si="93"/>
        <v>0</v>
      </c>
      <c r="AG118" s="47">
        <f t="shared" si="93"/>
        <v>0</v>
      </c>
      <c r="AH118" s="47">
        <f t="shared" si="93"/>
        <v>0</v>
      </c>
      <c r="AI118" s="47">
        <f t="shared" si="93"/>
        <v>0</v>
      </c>
      <c r="AJ118" s="47">
        <f t="shared" si="93"/>
        <v>0</v>
      </c>
      <c r="AK118" s="47">
        <f t="shared" si="93"/>
        <v>0</v>
      </c>
      <c r="AL118" s="47">
        <f t="shared" si="93"/>
        <v>0</v>
      </c>
      <c r="AM118" s="47">
        <f t="shared" si="93"/>
        <v>0</v>
      </c>
      <c r="AN118" s="47">
        <f t="shared" si="93"/>
        <v>0</v>
      </c>
      <c r="AO118" s="47">
        <f t="shared" si="93"/>
        <v>0</v>
      </c>
      <c r="AP118" s="47">
        <f t="shared" si="93"/>
        <v>0</v>
      </c>
      <c r="AQ118" s="47">
        <f t="shared" si="93"/>
        <v>0</v>
      </c>
      <c r="AR118" s="47">
        <f t="shared" si="93"/>
        <v>0</v>
      </c>
      <c r="AS118" s="47">
        <f t="shared" si="93"/>
        <v>0</v>
      </c>
      <c r="AT118" s="47">
        <f t="shared" si="93"/>
        <v>0</v>
      </c>
      <c r="AU118" s="47">
        <f t="shared" si="93"/>
        <v>0</v>
      </c>
      <c r="AV118" s="47">
        <f t="shared" si="93"/>
        <v>0</v>
      </c>
      <c r="AW118" s="47">
        <f t="shared" si="93"/>
        <v>0</v>
      </c>
      <c r="AX118" s="47">
        <f t="shared" si="93"/>
        <v>0</v>
      </c>
      <c r="AY118" s="47">
        <f t="shared" si="93"/>
        <v>0</v>
      </c>
      <c r="AZ118" s="47">
        <f t="shared" si="93"/>
        <v>0</v>
      </c>
      <c r="BA118" s="47">
        <f t="shared" si="93"/>
        <v>0</v>
      </c>
    </row>
    <row r="119" spans="2:53" x14ac:dyDescent="0.2">
      <c r="B119" s="94" t="s">
        <v>101</v>
      </c>
      <c r="C119" s="73" t="s">
        <v>75</v>
      </c>
      <c r="D119" s="95">
        <f>IF($B117=D$2,D$4,0)</f>
        <v>0</v>
      </c>
      <c r="E119" s="95">
        <f t="shared" ref="E119:BA119" si="94">IF($B117=E$2,E$4,0)</f>
        <v>0</v>
      </c>
      <c r="F119" s="95">
        <f t="shared" si="94"/>
        <v>0</v>
      </c>
      <c r="G119" s="95">
        <f t="shared" si="94"/>
        <v>0</v>
      </c>
      <c r="H119" s="95">
        <f t="shared" si="94"/>
        <v>0</v>
      </c>
      <c r="I119" s="95">
        <f t="shared" si="94"/>
        <v>0</v>
      </c>
      <c r="J119" s="95">
        <f t="shared" si="94"/>
        <v>0</v>
      </c>
      <c r="K119" s="95">
        <f t="shared" si="94"/>
        <v>0</v>
      </c>
      <c r="L119" s="95">
        <f t="shared" si="94"/>
        <v>0</v>
      </c>
      <c r="M119" s="95">
        <f t="shared" si="94"/>
        <v>0</v>
      </c>
      <c r="N119" s="95">
        <f t="shared" si="94"/>
        <v>0</v>
      </c>
      <c r="O119" s="95">
        <f t="shared" si="94"/>
        <v>0</v>
      </c>
      <c r="P119" s="95">
        <f t="shared" si="94"/>
        <v>0</v>
      </c>
      <c r="Q119" s="95">
        <f t="shared" si="94"/>
        <v>0</v>
      </c>
      <c r="R119" s="95">
        <f t="shared" si="94"/>
        <v>0</v>
      </c>
      <c r="S119" s="95">
        <f t="shared" si="94"/>
        <v>0</v>
      </c>
      <c r="T119" s="95">
        <f t="shared" si="94"/>
        <v>13.727857050906124</v>
      </c>
      <c r="U119" s="95">
        <f t="shared" si="94"/>
        <v>0</v>
      </c>
      <c r="V119" s="95">
        <f t="shared" si="94"/>
        <v>0</v>
      </c>
      <c r="W119" s="95">
        <f t="shared" si="94"/>
        <v>0</v>
      </c>
      <c r="X119" s="95">
        <f t="shared" si="94"/>
        <v>0</v>
      </c>
      <c r="Y119" s="95">
        <f t="shared" si="94"/>
        <v>0</v>
      </c>
      <c r="Z119" s="95">
        <f t="shared" si="94"/>
        <v>0</v>
      </c>
      <c r="AA119" s="95">
        <f t="shared" si="94"/>
        <v>0</v>
      </c>
      <c r="AB119" s="95">
        <f t="shared" si="94"/>
        <v>0</v>
      </c>
      <c r="AC119" s="95">
        <f t="shared" si="94"/>
        <v>0</v>
      </c>
      <c r="AD119" s="95">
        <f t="shared" si="94"/>
        <v>0</v>
      </c>
      <c r="AE119" s="95">
        <f t="shared" si="94"/>
        <v>0</v>
      </c>
      <c r="AF119" s="95">
        <f t="shared" si="94"/>
        <v>0</v>
      </c>
      <c r="AG119" s="95">
        <f t="shared" si="94"/>
        <v>0</v>
      </c>
      <c r="AH119" s="95">
        <f t="shared" si="94"/>
        <v>0</v>
      </c>
      <c r="AI119" s="95">
        <f t="shared" si="94"/>
        <v>0</v>
      </c>
      <c r="AJ119" s="95">
        <f t="shared" si="94"/>
        <v>0</v>
      </c>
      <c r="AK119" s="95">
        <f t="shared" si="94"/>
        <v>0</v>
      </c>
      <c r="AL119" s="95">
        <f t="shared" si="94"/>
        <v>0</v>
      </c>
      <c r="AM119" s="95">
        <f t="shared" si="94"/>
        <v>0</v>
      </c>
      <c r="AN119" s="95">
        <f t="shared" si="94"/>
        <v>0</v>
      </c>
      <c r="AO119" s="95">
        <f t="shared" si="94"/>
        <v>0</v>
      </c>
      <c r="AP119" s="95">
        <f t="shared" si="94"/>
        <v>0</v>
      </c>
      <c r="AQ119" s="95">
        <f t="shared" si="94"/>
        <v>0</v>
      </c>
      <c r="AR119" s="95">
        <f t="shared" si="94"/>
        <v>0</v>
      </c>
      <c r="AS119" s="95">
        <f t="shared" si="94"/>
        <v>0</v>
      </c>
      <c r="AT119" s="95">
        <f t="shared" si="94"/>
        <v>0</v>
      </c>
      <c r="AU119" s="95">
        <f t="shared" si="94"/>
        <v>0</v>
      </c>
      <c r="AV119" s="95">
        <f t="shared" si="94"/>
        <v>0</v>
      </c>
      <c r="AW119" s="95">
        <f t="shared" si="94"/>
        <v>0</v>
      </c>
      <c r="AX119" s="95">
        <f t="shared" si="94"/>
        <v>0</v>
      </c>
      <c r="AY119" s="95">
        <f t="shared" si="94"/>
        <v>0</v>
      </c>
      <c r="AZ119" s="95">
        <f t="shared" si="94"/>
        <v>0</v>
      </c>
      <c r="BA119" s="95">
        <f t="shared" si="94"/>
        <v>0</v>
      </c>
    </row>
    <row r="120" spans="2:53" x14ac:dyDescent="0.2">
      <c r="B120" s="76" t="s">
        <v>102</v>
      </c>
      <c r="C120" s="73" t="s">
        <v>75</v>
      </c>
      <c r="D120" s="47"/>
      <c r="E120" s="47">
        <f>IF(OR(D121&lt;=$B$15*$T$119,F$1-$U$1&gt;$B$13),0,-IF($B$12="straight line",SLN($T$119,+$B$15*$T$119,$B$13),VDB($T$119,$B$15*$T$119,$B$13,E$1-$U$1,F$1-$U$1,$B$14)))</f>
        <v>0</v>
      </c>
      <c r="F120" s="47">
        <f t="shared" ref="F120:BA120" si="95">IF(OR(E121&lt;=$B$15*$T$119,G$1-$U$1&gt;$B$13),0,-IF($B$12="straight line",SLN($T$119,+$B$15*$T$119,$B$13),VDB($T$119,$B$15*$T$119,$B$13,F$1-$U$1,G$1-$U$1,$B$14)))</f>
        <v>0</v>
      </c>
      <c r="G120" s="47">
        <f t="shared" si="95"/>
        <v>0</v>
      </c>
      <c r="H120" s="47">
        <f t="shared" si="95"/>
        <v>0</v>
      </c>
      <c r="I120" s="47">
        <f t="shared" si="95"/>
        <v>0</v>
      </c>
      <c r="J120" s="47">
        <f t="shared" si="95"/>
        <v>0</v>
      </c>
      <c r="K120" s="47">
        <f t="shared" si="95"/>
        <v>0</v>
      </c>
      <c r="L120" s="47">
        <f t="shared" si="95"/>
        <v>0</v>
      </c>
      <c r="M120" s="47">
        <f t="shared" si="95"/>
        <v>0</v>
      </c>
      <c r="N120" s="47">
        <f t="shared" si="95"/>
        <v>0</v>
      </c>
      <c r="O120" s="47">
        <f t="shared" si="95"/>
        <v>0</v>
      </c>
      <c r="P120" s="47">
        <f t="shared" si="95"/>
        <v>0</v>
      </c>
      <c r="Q120" s="47">
        <f t="shared" si="95"/>
        <v>0</v>
      </c>
      <c r="R120" s="47">
        <f t="shared" si="95"/>
        <v>0</v>
      </c>
      <c r="S120" s="47">
        <f t="shared" si="95"/>
        <v>0</v>
      </c>
      <c r="T120" s="47">
        <f t="shared" si="95"/>
        <v>0</v>
      </c>
      <c r="U120" s="47">
        <f t="shared" si="95"/>
        <v>-2.745571410181225</v>
      </c>
      <c r="V120" s="47">
        <f t="shared" si="95"/>
        <v>-2.745571410181225</v>
      </c>
      <c r="W120" s="47">
        <f t="shared" si="95"/>
        <v>-2.745571410181225</v>
      </c>
      <c r="X120" s="47">
        <f t="shared" si="95"/>
        <v>-2.745571410181225</v>
      </c>
      <c r="Y120" s="47">
        <f t="shared" si="95"/>
        <v>-2.745571410181225</v>
      </c>
      <c r="Z120" s="47">
        <f t="shared" si="95"/>
        <v>0</v>
      </c>
      <c r="AA120" s="47">
        <f t="shared" si="95"/>
        <v>0</v>
      </c>
      <c r="AB120" s="47">
        <f t="shared" si="95"/>
        <v>0</v>
      </c>
      <c r="AC120" s="47">
        <f t="shared" si="95"/>
        <v>0</v>
      </c>
      <c r="AD120" s="47">
        <f t="shared" si="95"/>
        <v>0</v>
      </c>
      <c r="AE120" s="47">
        <f t="shared" si="95"/>
        <v>0</v>
      </c>
      <c r="AF120" s="47">
        <f t="shared" si="95"/>
        <v>0</v>
      </c>
      <c r="AG120" s="47">
        <f t="shared" si="95"/>
        <v>0</v>
      </c>
      <c r="AH120" s="47">
        <f t="shared" si="95"/>
        <v>0</v>
      </c>
      <c r="AI120" s="47">
        <f t="shared" si="95"/>
        <v>0</v>
      </c>
      <c r="AJ120" s="47">
        <f t="shared" si="95"/>
        <v>0</v>
      </c>
      <c r="AK120" s="47">
        <f t="shared" si="95"/>
        <v>0</v>
      </c>
      <c r="AL120" s="47">
        <f t="shared" si="95"/>
        <v>0</v>
      </c>
      <c r="AM120" s="47">
        <f t="shared" si="95"/>
        <v>0</v>
      </c>
      <c r="AN120" s="47">
        <f t="shared" si="95"/>
        <v>0</v>
      </c>
      <c r="AO120" s="47">
        <f t="shared" si="95"/>
        <v>0</v>
      </c>
      <c r="AP120" s="47">
        <f t="shared" si="95"/>
        <v>0</v>
      </c>
      <c r="AQ120" s="47">
        <f t="shared" si="95"/>
        <v>0</v>
      </c>
      <c r="AR120" s="47">
        <f t="shared" si="95"/>
        <v>0</v>
      </c>
      <c r="AS120" s="47">
        <f t="shared" si="95"/>
        <v>0</v>
      </c>
      <c r="AT120" s="47">
        <f t="shared" si="95"/>
        <v>0</v>
      </c>
      <c r="AU120" s="47">
        <f t="shared" si="95"/>
        <v>0</v>
      </c>
      <c r="AV120" s="47">
        <f t="shared" si="95"/>
        <v>0</v>
      </c>
      <c r="AW120" s="47">
        <f t="shared" si="95"/>
        <v>0</v>
      </c>
      <c r="AX120" s="47">
        <f t="shared" si="95"/>
        <v>0</v>
      </c>
      <c r="AY120" s="47">
        <f t="shared" si="95"/>
        <v>0</v>
      </c>
      <c r="AZ120" s="47">
        <f t="shared" si="95"/>
        <v>0</v>
      </c>
      <c r="BA120" s="47">
        <f t="shared" si="95"/>
        <v>0</v>
      </c>
    </row>
    <row r="121" spans="2:53" x14ac:dyDescent="0.2">
      <c r="B121" s="76" t="s">
        <v>103</v>
      </c>
      <c r="C121" s="73" t="s">
        <v>75</v>
      </c>
      <c r="D121" s="95">
        <f>SUM(D118:D120)</f>
        <v>0</v>
      </c>
      <c r="E121" s="95">
        <f t="shared" ref="E121:BA121" si="96">SUM(E118:E120)</f>
        <v>0</v>
      </c>
      <c r="F121" s="95">
        <f t="shared" si="96"/>
        <v>0</v>
      </c>
      <c r="G121" s="95">
        <f t="shared" si="96"/>
        <v>0</v>
      </c>
      <c r="H121" s="95">
        <f t="shared" si="96"/>
        <v>0</v>
      </c>
      <c r="I121" s="95">
        <f t="shared" si="96"/>
        <v>0</v>
      </c>
      <c r="J121" s="95">
        <f t="shared" si="96"/>
        <v>0</v>
      </c>
      <c r="K121" s="95">
        <f t="shared" si="96"/>
        <v>0</v>
      </c>
      <c r="L121" s="95">
        <f t="shared" si="96"/>
        <v>0</v>
      </c>
      <c r="M121" s="95">
        <f t="shared" si="96"/>
        <v>0</v>
      </c>
      <c r="N121" s="95">
        <f t="shared" si="96"/>
        <v>0</v>
      </c>
      <c r="O121" s="95">
        <f t="shared" si="96"/>
        <v>0</v>
      </c>
      <c r="P121" s="95">
        <f t="shared" si="96"/>
        <v>0</v>
      </c>
      <c r="Q121" s="95">
        <f t="shared" si="96"/>
        <v>0</v>
      </c>
      <c r="R121" s="95">
        <f t="shared" si="96"/>
        <v>0</v>
      </c>
      <c r="S121" s="95">
        <f t="shared" si="96"/>
        <v>0</v>
      </c>
      <c r="T121" s="95">
        <f t="shared" si="96"/>
        <v>13.727857050906124</v>
      </c>
      <c r="U121" s="95">
        <f t="shared" si="96"/>
        <v>10.9822856407249</v>
      </c>
      <c r="V121" s="95">
        <f t="shared" si="96"/>
        <v>8.2367142305436758</v>
      </c>
      <c r="W121" s="95">
        <f t="shared" si="96"/>
        <v>5.4911428203624508</v>
      </c>
      <c r="X121" s="95">
        <f t="shared" si="96"/>
        <v>2.7455714101812259</v>
      </c>
      <c r="Y121" s="95">
        <f t="shared" si="96"/>
        <v>0</v>
      </c>
      <c r="Z121" s="95">
        <f t="shared" si="96"/>
        <v>0</v>
      </c>
      <c r="AA121" s="95">
        <f t="shared" si="96"/>
        <v>0</v>
      </c>
      <c r="AB121" s="95">
        <f t="shared" si="96"/>
        <v>0</v>
      </c>
      <c r="AC121" s="95">
        <f t="shared" si="96"/>
        <v>0</v>
      </c>
      <c r="AD121" s="95">
        <f t="shared" si="96"/>
        <v>0</v>
      </c>
      <c r="AE121" s="95">
        <f t="shared" si="96"/>
        <v>0</v>
      </c>
      <c r="AF121" s="95">
        <f t="shared" si="96"/>
        <v>0</v>
      </c>
      <c r="AG121" s="95">
        <f t="shared" si="96"/>
        <v>0</v>
      </c>
      <c r="AH121" s="95">
        <f t="shared" si="96"/>
        <v>0</v>
      </c>
      <c r="AI121" s="95">
        <f t="shared" si="96"/>
        <v>0</v>
      </c>
      <c r="AJ121" s="95">
        <f t="shared" si="96"/>
        <v>0</v>
      </c>
      <c r="AK121" s="95">
        <f t="shared" si="96"/>
        <v>0</v>
      </c>
      <c r="AL121" s="95">
        <f t="shared" si="96"/>
        <v>0</v>
      </c>
      <c r="AM121" s="95">
        <f t="shared" si="96"/>
        <v>0</v>
      </c>
      <c r="AN121" s="95">
        <f t="shared" si="96"/>
        <v>0</v>
      </c>
      <c r="AO121" s="95">
        <f t="shared" si="96"/>
        <v>0</v>
      </c>
      <c r="AP121" s="95">
        <f t="shared" si="96"/>
        <v>0</v>
      </c>
      <c r="AQ121" s="95">
        <f t="shared" si="96"/>
        <v>0</v>
      </c>
      <c r="AR121" s="95">
        <f t="shared" si="96"/>
        <v>0</v>
      </c>
      <c r="AS121" s="95">
        <f t="shared" si="96"/>
        <v>0</v>
      </c>
      <c r="AT121" s="95">
        <f t="shared" si="96"/>
        <v>0</v>
      </c>
      <c r="AU121" s="95">
        <f t="shared" si="96"/>
        <v>0</v>
      </c>
      <c r="AV121" s="95">
        <f t="shared" si="96"/>
        <v>0</v>
      </c>
      <c r="AW121" s="95">
        <f t="shared" si="96"/>
        <v>0</v>
      </c>
      <c r="AX121" s="95">
        <f t="shared" si="96"/>
        <v>0</v>
      </c>
      <c r="AY121" s="95">
        <f t="shared" si="96"/>
        <v>0</v>
      </c>
      <c r="AZ121" s="95">
        <f t="shared" si="96"/>
        <v>0</v>
      </c>
      <c r="BA121" s="95">
        <f t="shared" si="96"/>
        <v>0</v>
      </c>
    </row>
    <row r="123" spans="2:53" x14ac:dyDescent="0.2">
      <c r="B123" s="215">
        <f>B117+1</f>
        <v>18</v>
      </c>
    </row>
    <row r="124" spans="2:53" x14ac:dyDescent="0.2">
      <c r="B124" s="94" t="s">
        <v>100</v>
      </c>
      <c r="C124" s="73" t="s">
        <v>75</v>
      </c>
      <c r="D124" s="95">
        <f>0</f>
        <v>0</v>
      </c>
      <c r="E124" s="47">
        <f t="shared" ref="E124:BA124" si="97">D127</f>
        <v>0</v>
      </c>
      <c r="F124" s="47">
        <f t="shared" si="97"/>
        <v>0</v>
      </c>
      <c r="G124" s="47">
        <f t="shared" si="97"/>
        <v>0</v>
      </c>
      <c r="H124" s="47">
        <f t="shared" si="97"/>
        <v>0</v>
      </c>
      <c r="I124" s="47">
        <f t="shared" si="97"/>
        <v>0</v>
      </c>
      <c r="J124" s="47">
        <f t="shared" si="97"/>
        <v>0</v>
      </c>
      <c r="K124" s="47">
        <f t="shared" si="97"/>
        <v>0</v>
      </c>
      <c r="L124" s="47">
        <f t="shared" si="97"/>
        <v>0</v>
      </c>
      <c r="M124" s="47">
        <f t="shared" si="97"/>
        <v>0</v>
      </c>
      <c r="N124" s="47">
        <f t="shared" si="97"/>
        <v>0</v>
      </c>
      <c r="O124" s="47">
        <f t="shared" si="97"/>
        <v>0</v>
      </c>
      <c r="P124" s="47">
        <f t="shared" si="97"/>
        <v>0</v>
      </c>
      <c r="Q124" s="47">
        <f t="shared" si="97"/>
        <v>0</v>
      </c>
      <c r="R124" s="47">
        <f t="shared" si="97"/>
        <v>0</v>
      </c>
      <c r="S124" s="47">
        <f t="shared" si="97"/>
        <v>0</v>
      </c>
      <c r="T124" s="47">
        <f t="shared" si="97"/>
        <v>0</v>
      </c>
      <c r="U124" s="47">
        <f t="shared" si="97"/>
        <v>0</v>
      </c>
      <c r="V124" s="47">
        <f t="shared" si="97"/>
        <v>14.002414191924249</v>
      </c>
      <c r="W124" s="47">
        <f t="shared" si="97"/>
        <v>11.201931353539399</v>
      </c>
      <c r="X124" s="47">
        <f t="shared" si="97"/>
        <v>8.4014485151545486</v>
      </c>
      <c r="Y124" s="47">
        <f t="shared" si="97"/>
        <v>5.6009656767696985</v>
      </c>
      <c r="Z124" s="47">
        <f t="shared" si="97"/>
        <v>2.8004828383848488</v>
      </c>
      <c r="AA124" s="47">
        <f t="shared" si="97"/>
        <v>0</v>
      </c>
      <c r="AB124" s="47">
        <f t="shared" si="97"/>
        <v>0</v>
      </c>
      <c r="AC124" s="47">
        <f t="shared" si="97"/>
        <v>0</v>
      </c>
      <c r="AD124" s="47">
        <f t="shared" si="97"/>
        <v>0</v>
      </c>
      <c r="AE124" s="47">
        <f t="shared" si="97"/>
        <v>0</v>
      </c>
      <c r="AF124" s="47">
        <f t="shared" si="97"/>
        <v>0</v>
      </c>
      <c r="AG124" s="47">
        <f t="shared" si="97"/>
        <v>0</v>
      </c>
      <c r="AH124" s="47">
        <f t="shared" si="97"/>
        <v>0</v>
      </c>
      <c r="AI124" s="47">
        <f t="shared" si="97"/>
        <v>0</v>
      </c>
      <c r="AJ124" s="47">
        <f t="shared" si="97"/>
        <v>0</v>
      </c>
      <c r="AK124" s="47">
        <f t="shared" si="97"/>
        <v>0</v>
      </c>
      <c r="AL124" s="47">
        <f t="shared" si="97"/>
        <v>0</v>
      </c>
      <c r="AM124" s="47">
        <f t="shared" si="97"/>
        <v>0</v>
      </c>
      <c r="AN124" s="47">
        <f t="shared" si="97"/>
        <v>0</v>
      </c>
      <c r="AO124" s="47">
        <f t="shared" si="97"/>
        <v>0</v>
      </c>
      <c r="AP124" s="47">
        <f t="shared" si="97"/>
        <v>0</v>
      </c>
      <c r="AQ124" s="47">
        <f t="shared" si="97"/>
        <v>0</v>
      </c>
      <c r="AR124" s="47">
        <f t="shared" si="97"/>
        <v>0</v>
      </c>
      <c r="AS124" s="47">
        <f t="shared" si="97"/>
        <v>0</v>
      </c>
      <c r="AT124" s="47">
        <f t="shared" si="97"/>
        <v>0</v>
      </c>
      <c r="AU124" s="47">
        <f t="shared" si="97"/>
        <v>0</v>
      </c>
      <c r="AV124" s="47">
        <f t="shared" si="97"/>
        <v>0</v>
      </c>
      <c r="AW124" s="47">
        <f t="shared" si="97"/>
        <v>0</v>
      </c>
      <c r="AX124" s="47">
        <f t="shared" si="97"/>
        <v>0</v>
      </c>
      <c r="AY124" s="47">
        <f t="shared" si="97"/>
        <v>0</v>
      </c>
      <c r="AZ124" s="47">
        <f t="shared" si="97"/>
        <v>0</v>
      </c>
      <c r="BA124" s="47">
        <f t="shared" si="97"/>
        <v>0</v>
      </c>
    </row>
    <row r="125" spans="2:53" x14ac:dyDescent="0.2">
      <c r="B125" s="94" t="s">
        <v>101</v>
      </c>
      <c r="C125" s="73" t="s">
        <v>75</v>
      </c>
      <c r="D125" s="95">
        <f>IF($B123=D$2,D$4,0)</f>
        <v>0</v>
      </c>
      <c r="E125" s="95">
        <f t="shared" ref="E125:BA125" si="98">IF($B123=E$2,E$4,0)</f>
        <v>0</v>
      </c>
      <c r="F125" s="95">
        <f t="shared" si="98"/>
        <v>0</v>
      </c>
      <c r="G125" s="95">
        <f t="shared" si="98"/>
        <v>0</v>
      </c>
      <c r="H125" s="95">
        <f t="shared" si="98"/>
        <v>0</v>
      </c>
      <c r="I125" s="95">
        <f t="shared" si="98"/>
        <v>0</v>
      </c>
      <c r="J125" s="95">
        <f t="shared" si="98"/>
        <v>0</v>
      </c>
      <c r="K125" s="95">
        <f t="shared" si="98"/>
        <v>0</v>
      </c>
      <c r="L125" s="95">
        <f t="shared" si="98"/>
        <v>0</v>
      </c>
      <c r="M125" s="95">
        <f t="shared" si="98"/>
        <v>0</v>
      </c>
      <c r="N125" s="95">
        <f t="shared" si="98"/>
        <v>0</v>
      </c>
      <c r="O125" s="95">
        <f t="shared" si="98"/>
        <v>0</v>
      </c>
      <c r="P125" s="95">
        <f t="shared" si="98"/>
        <v>0</v>
      </c>
      <c r="Q125" s="95">
        <f t="shared" si="98"/>
        <v>0</v>
      </c>
      <c r="R125" s="95">
        <f t="shared" si="98"/>
        <v>0</v>
      </c>
      <c r="S125" s="95">
        <f t="shared" si="98"/>
        <v>0</v>
      </c>
      <c r="T125" s="95">
        <f t="shared" si="98"/>
        <v>0</v>
      </c>
      <c r="U125" s="95">
        <f t="shared" si="98"/>
        <v>14.002414191924249</v>
      </c>
      <c r="V125" s="95">
        <f t="shared" si="98"/>
        <v>0</v>
      </c>
      <c r="W125" s="95">
        <f t="shared" si="98"/>
        <v>0</v>
      </c>
      <c r="X125" s="95">
        <f t="shared" si="98"/>
        <v>0</v>
      </c>
      <c r="Y125" s="95">
        <f t="shared" si="98"/>
        <v>0</v>
      </c>
      <c r="Z125" s="95">
        <f t="shared" si="98"/>
        <v>0</v>
      </c>
      <c r="AA125" s="95">
        <f t="shared" si="98"/>
        <v>0</v>
      </c>
      <c r="AB125" s="95">
        <f t="shared" si="98"/>
        <v>0</v>
      </c>
      <c r="AC125" s="95">
        <f t="shared" si="98"/>
        <v>0</v>
      </c>
      <c r="AD125" s="95">
        <f t="shared" si="98"/>
        <v>0</v>
      </c>
      <c r="AE125" s="95">
        <f t="shared" si="98"/>
        <v>0</v>
      </c>
      <c r="AF125" s="95">
        <f t="shared" si="98"/>
        <v>0</v>
      </c>
      <c r="AG125" s="95">
        <f t="shared" si="98"/>
        <v>0</v>
      </c>
      <c r="AH125" s="95">
        <f t="shared" si="98"/>
        <v>0</v>
      </c>
      <c r="AI125" s="95">
        <f t="shared" si="98"/>
        <v>0</v>
      </c>
      <c r="AJ125" s="95">
        <f t="shared" si="98"/>
        <v>0</v>
      </c>
      <c r="AK125" s="95">
        <f t="shared" si="98"/>
        <v>0</v>
      </c>
      <c r="AL125" s="95">
        <f t="shared" si="98"/>
        <v>0</v>
      </c>
      <c r="AM125" s="95">
        <f t="shared" si="98"/>
        <v>0</v>
      </c>
      <c r="AN125" s="95">
        <f t="shared" si="98"/>
        <v>0</v>
      </c>
      <c r="AO125" s="95">
        <f t="shared" si="98"/>
        <v>0</v>
      </c>
      <c r="AP125" s="95">
        <f t="shared" si="98"/>
        <v>0</v>
      </c>
      <c r="AQ125" s="95">
        <f t="shared" si="98"/>
        <v>0</v>
      </c>
      <c r="AR125" s="95">
        <f t="shared" si="98"/>
        <v>0</v>
      </c>
      <c r="AS125" s="95">
        <f t="shared" si="98"/>
        <v>0</v>
      </c>
      <c r="AT125" s="95">
        <f t="shared" si="98"/>
        <v>0</v>
      </c>
      <c r="AU125" s="95">
        <f t="shared" si="98"/>
        <v>0</v>
      </c>
      <c r="AV125" s="95">
        <f t="shared" si="98"/>
        <v>0</v>
      </c>
      <c r="AW125" s="95">
        <f t="shared" si="98"/>
        <v>0</v>
      </c>
      <c r="AX125" s="95">
        <f t="shared" si="98"/>
        <v>0</v>
      </c>
      <c r="AY125" s="95">
        <f t="shared" si="98"/>
        <v>0</v>
      </c>
      <c r="AZ125" s="95">
        <f t="shared" si="98"/>
        <v>0</v>
      </c>
      <c r="BA125" s="95">
        <f t="shared" si="98"/>
        <v>0</v>
      </c>
    </row>
    <row r="126" spans="2:53" x14ac:dyDescent="0.2">
      <c r="B126" s="76" t="s">
        <v>102</v>
      </c>
      <c r="C126" s="73" t="s">
        <v>75</v>
      </c>
      <c r="D126" s="47"/>
      <c r="E126" s="47">
        <f>IF(OR(D127&lt;=$B$15*$U$125,F$1-$V$1&gt;$B$13),0,-IF($B$12="straight line",SLN($U$125,+$B$15*$U$125,$B$13),VDB($U$125,$B$15*$U$125,$B$13,E$1-$V$1,F$1-$V$1,$B$14)))</f>
        <v>0</v>
      </c>
      <c r="F126" s="47">
        <f t="shared" ref="F126:BA126" si="99">IF(OR(E127&lt;=$B$15*$U$125,G$1-$V$1&gt;$B$13),0,-IF($B$12="straight line",SLN($U$125,+$B$15*$U$125,$B$13),VDB($U$125,$B$15*$U$125,$B$13,F$1-$V$1,G$1-$V$1,$B$14)))</f>
        <v>0</v>
      </c>
      <c r="G126" s="47">
        <f t="shared" si="99"/>
        <v>0</v>
      </c>
      <c r="H126" s="47">
        <f t="shared" si="99"/>
        <v>0</v>
      </c>
      <c r="I126" s="47">
        <f t="shared" si="99"/>
        <v>0</v>
      </c>
      <c r="J126" s="47">
        <f t="shared" si="99"/>
        <v>0</v>
      </c>
      <c r="K126" s="47">
        <f t="shared" si="99"/>
        <v>0</v>
      </c>
      <c r="L126" s="47">
        <f t="shared" si="99"/>
        <v>0</v>
      </c>
      <c r="M126" s="47">
        <f t="shared" si="99"/>
        <v>0</v>
      </c>
      <c r="N126" s="47">
        <f t="shared" si="99"/>
        <v>0</v>
      </c>
      <c r="O126" s="47">
        <f t="shared" si="99"/>
        <v>0</v>
      </c>
      <c r="P126" s="47">
        <f t="shared" si="99"/>
        <v>0</v>
      </c>
      <c r="Q126" s="47">
        <f t="shared" si="99"/>
        <v>0</v>
      </c>
      <c r="R126" s="47">
        <f t="shared" si="99"/>
        <v>0</v>
      </c>
      <c r="S126" s="47">
        <f t="shared" si="99"/>
        <v>0</v>
      </c>
      <c r="T126" s="47">
        <f t="shared" si="99"/>
        <v>0</v>
      </c>
      <c r="U126" s="47">
        <f t="shared" si="99"/>
        <v>0</v>
      </c>
      <c r="V126" s="47">
        <f t="shared" si="99"/>
        <v>-2.8004828383848497</v>
      </c>
      <c r="W126" s="47">
        <f t="shared" si="99"/>
        <v>-2.8004828383848497</v>
      </c>
      <c r="X126" s="47">
        <f t="shared" si="99"/>
        <v>-2.8004828383848497</v>
      </c>
      <c r="Y126" s="47">
        <f t="shared" si="99"/>
        <v>-2.8004828383848497</v>
      </c>
      <c r="Z126" s="47">
        <f t="shared" si="99"/>
        <v>-2.8004828383848497</v>
      </c>
      <c r="AA126" s="47">
        <f t="shared" si="99"/>
        <v>0</v>
      </c>
      <c r="AB126" s="47">
        <f t="shared" si="99"/>
        <v>0</v>
      </c>
      <c r="AC126" s="47">
        <f t="shared" si="99"/>
        <v>0</v>
      </c>
      <c r="AD126" s="47">
        <f t="shared" si="99"/>
        <v>0</v>
      </c>
      <c r="AE126" s="47">
        <f t="shared" si="99"/>
        <v>0</v>
      </c>
      <c r="AF126" s="47">
        <f t="shared" si="99"/>
        <v>0</v>
      </c>
      <c r="AG126" s="47">
        <f t="shared" si="99"/>
        <v>0</v>
      </c>
      <c r="AH126" s="47">
        <f t="shared" si="99"/>
        <v>0</v>
      </c>
      <c r="AI126" s="47">
        <f t="shared" si="99"/>
        <v>0</v>
      </c>
      <c r="AJ126" s="47">
        <f t="shared" si="99"/>
        <v>0</v>
      </c>
      <c r="AK126" s="47">
        <f t="shared" si="99"/>
        <v>0</v>
      </c>
      <c r="AL126" s="47">
        <f t="shared" si="99"/>
        <v>0</v>
      </c>
      <c r="AM126" s="47">
        <f t="shared" si="99"/>
        <v>0</v>
      </c>
      <c r="AN126" s="47">
        <f t="shared" si="99"/>
        <v>0</v>
      </c>
      <c r="AO126" s="47">
        <f t="shared" si="99"/>
        <v>0</v>
      </c>
      <c r="AP126" s="47">
        <f t="shared" si="99"/>
        <v>0</v>
      </c>
      <c r="AQ126" s="47">
        <f t="shared" si="99"/>
        <v>0</v>
      </c>
      <c r="AR126" s="47">
        <f t="shared" si="99"/>
        <v>0</v>
      </c>
      <c r="AS126" s="47">
        <f t="shared" si="99"/>
        <v>0</v>
      </c>
      <c r="AT126" s="47">
        <f t="shared" si="99"/>
        <v>0</v>
      </c>
      <c r="AU126" s="47">
        <f t="shared" si="99"/>
        <v>0</v>
      </c>
      <c r="AV126" s="47">
        <f t="shared" si="99"/>
        <v>0</v>
      </c>
      <c r="AW126" s="47">
        <f t="shared" si="99"/>
        <v>0</v>
      </c>
      <c r="AX126" s="47">
        <f t="shared" si="99"/>
        <v>0</v>
      </c>
      <c r="AY126" s="47">
        <f t="shared" si="99"/>
        <v>0</v>
      </c>
      <c r="AZ126" s="47">
        <f t="shared" si="99"/>
        <v>0</v>
      </c>
      <c r="BA126" s="47">
        <f t="shared" si="99"/>
        <v>0</v>
      </c>
    </row>
    <row r="127" spans="2:53" x14ac:dyDescent="0.2">
      <c r="B127" s="76" t="s">
        <v>103</v>
      </c>
      <c r="C127" s="73" t="s">
        <v>75</v>
      </c>
      <c r="D127" s="95">
        <f>SUM(D124:D126)</f>
        <v>0</v>
      </c>
      <c r="E127" s="95">
        <f t="shared" ref="E127:BA127" si="100">SUM(E124:E126)</f>
        <v>0</v>
      </c>
      <c r="F127" s="95">
        <f t="shared" si="100"/>
        <v>0</v>
      </c>
      <c r="G127" s="95">
        <f t="shared" si="100"/>
        <v>0</v>
      </c>
      <c r="H127" s="95">
        <f t="shared" si="100"/>
        <v>0</v>
      </c>
      <c r="I127" s="95">
        <f t="shared" si="100"/>
        <v>0</v>
      </c>
      <c r="J127" s="95">
        <f t="shared" si="100"/>
        <v>0</v>
      </c>
      <c r="K127" s="95">
        <f t="shared" si="100"/>
        <v>0</v>
      </c>
      <c r="L127" s="95">
        <f t="shared" si="100"/>
        <v>0</v>
      </c>
      <c r="M127" s="95">
        <f t="shared" si="100"/>
        <v>0</v>
      </c>
      <c r="N127" s="95">
        <f t="shared" si="100"/>
        <v>0</v>
      </c>
      <c r="O127" s="95">
        <f t="shared" si="100"/>
        <v>0</v>
      </c>
      <c r="P127" s="95">
        <f t="shared" si="100"/>
        <v>0</v>
      </c>
      <c r="Q127" s="95">
        <f t="shared" si="100"/>
        <v>0</v>
      </c>
      <c r="R127" s="95">
        <f t="shared" si="100"/>
        <v>0</v>
      </c>
      <c r="S127" s="95">
        <f t="shared" si="100"/>
        <v>0</v>
      </c>
      <c r="T127" s="95">
        <f t="shared" si="100"/>
        <v>0</v>
      </c>
      <c r="U127" s="95">
        <f t="shared" si="100"/>
        <v>14.002414191924249</v>
      </c>
      <c r="V127" s="95">
        <f t="shared" si="100"/>
        <v>11.201931353539399</v>
      </c>
      <c r="W127" s="95">
        <f t="shared" si="100"/>
        <v>8.4014485151545486</v>
      </c>
      <c r="X127" s="95">
        <f t="shared" si="100"/>
        <v>5.6009656767696985</v>
      </c>
      <c r="Y127" s="95">
        <f t="shared" si="100"/>
        <v>2.8004828383848488</v>
      </c>
      <c r="Z127" s="95">
        <f t="shared" si="100"/>
        <v>0</v>
      </c>
      <c r="AA127" s="95">
        <f t="shared" si="100"/>
        <v>0</v>
      </c>
      <c r="AB127" s="95">
        <f t="shared" si="100"/>
        <v>0</v>
      </c>
      <c r="AC127" s="95">
        <f t="shared" si="100"/>
        <v>0</v>
      </c>
      <c r="AD127" s="95">
        <f t="shared" si="100"/>
        <v>0</v>
      </c>
      <c r="AE127" s="95">
        <f t="shared" si="100"/>
        <v>0</v>
      </c>
      <c r="AF127" s="95">
        <f t="shared" si="100"/>
        <v>0</v>
      </c>
      <c r="AG127" s="95">
        <f t="shared" si="100"/>
        <v>0</v>
      </c>
      <c r="AH127" s="95">
        <f t="shared" si="100"/>
        <v>0</v>
      </c>
      <c r="AI127" s="95">
        <f t="shared" si="100"/>
        <v>0</v>
      </c>
      <c r="AJ127" s="95">
        <f t="shared" si="100"/>
        <v>0</v>
      </c>
      <c r="AK127" s="95">
        <f t="shared" si="100"/>
        <v>0</v>
      </c>
      <c r="AL127" s="95">
        <f t="shared" si="100"/>
        <v>0</v>
      </c>
      <c r="AM127" s="95">
        <f t="shared" si="100"/>
        <v>0</v>
      </c>
      <c r="AN127" s="95">
        <f t="shared" si="100"/>
        <v>0</v>
      </c>
      <c r="AO127" s="95">
        <f t="shared" si="100"/>
        <v>0</v>
      </c>
      <c r="AP127" s="95">
        <f t="shared" si="100"/>
        <v>0</v>
      </c>
      <c r="AQ127" s="95">
        <f t="shared" si="100"/>
        <v>0</v>
      </c>
      <c r="AR127" s="95">
        <f t="shared" si="100"/>
        <v>0</v>
      </c>
      <c r="AS127" s="95">
        <f t="shared" si="100"/>
        <v>0</v>
      </c>
      <c r="AT127" s="95">
        <f t="shared" si="100"/>
        <v>0</v>
      </c>
      <c r="AU127" s="95">
        <f t="shared" si="100"/>
        <v>0</v>
      </c>
      <c r="AV127" s="95">
        <f t="shared" si="100"/>
        <v>0</v>
      </c>
      <c r="AW127" s="95">
        <f t="shared" si="100"/>
        <v>0</v>
      </c>
      <c r="AX127" s="95">
        <f t="shared" si="100"/>
        <v>0</v>
      </c>
      <c r="AY127" s="95">
        <f t="shared" si="100"/>
        <v>0</v>
      </c>
      <c r="AZ127" s="95">
        <f t="shared" si="100"/>
        <v>0</v>
      </c>
      <c r="BA127" s="95">
        <f t="shared" si="100"/>
        <v>0</v>
      </c>
    </row>
    <row r="129" spans="2:53" x14ac:dyDescent="0.2">
      <c r="B129" s="215">
        <f>B123+1</f>
        <v>19</v>
      </c>
    </row>
    <row r="130" spans="2:53" x14ac:dyDescent="0.2">
      <c r="B130" s="94" t="s">
        <v>100</v>
      </c>
      <c r="C130" s="73" t="s">
        <v>75</v>
      </c>
      <c r="D130" s="95">
        <f>0</f>
        <v>0</v>
      </c>
      <c r="E130" s="47">
        <f t="shared" ref="E130:BA130" si="101">D133</f>
        <v>0</v>
      </c>
      <c r="F130" s="47">
        <f t="shared" si="101"/>
        <v>0</v>
      </c>
      <c r="G130" s="47">
        <f t="shared" si="101"/>
        <v>0</v>
      </c>
      <c r="H130" s="47">
        <f t="shared" si="101"/>
        <v>0</v>
      </c>
      <c r="I130" s="47">
        <f t="shared" si="101"/>
        <v>0</v>
      </c>
      <c r="J130" s="47">
        <f t="shared" si="101"/>
        <v>0</v>
      </c>
      <c r="K130" s="47">
        <f t="shared" si="101"/>
        <v>0</v>
      </c>
      <c r="L130" s="47">
        <f t="shared" si="101"/>
        <v>0</v>
      </c>
      <c r="M130" s="47">
        <f t="shared" si="101"/>
        <v>0</v>
      </c>
      <c r="N130" s="47">
        <f t="shared" si="101"/>
        <v>0</v>
      </c>
      <c r="O130" s="47">
        <f t="shared" si="101"/>
        <v>0</v>
      </c>
      <c r="P130" s="47">
        <f t="shared" si="101"/>
        <v>0</v>
      </c>
      <c r="Q130" s="47">
        <f t="shared" si="101"/>
        <v>0</v>
      </c>
      <c r="R130" s="47">
        <f t="shared" si="101"/>
        <v>0</v>
      </c>
      <c r="S130" s="47">
        <f t="shared" si="101"/>
        <v>0</v>
      </c>
      <c r="T130" s="47">
        <f t="shared" si="101"/>
        <v>0</v>
      </c>
      <c r="U130" s="47">
        <f t="shared" si="101"/>
        <v>0</v>
      </c>
      <c r="V130" s="47">
        <f t="shared" si="101"/>
        <v>0</v>
      </c>
      <c r="W130" s="47">
        <f t="shared" si="101"/>
        <v>14.282462475762735</v>
      </c>
      <c r="X130" s="47">
        <f t="shared" si="101"/>
        <v>11.425969980610187</v>
      </c>
      <c r="Y130" s="47">
        <f t="shared" si="101"/>
        <v>8.5694774854576394</v>
      </c>
      <c r="Z130" s="47">
        <f t="shared" si="101"/>
        <v>5.7129849903050927</v>
      </c>
      <c r="AA130" s="47">
        <f t="shared" si="101"/>
        <v>2.8564924951525459</v>
      </c>
      <c r="AB130" s="47">
        <f t="shared" si="101"/>
        <v>0</v>
      </c>
      <c r="AC130" s="47">
        <f t="shared" si="101"/>
        <v>0</v>
      </c>
      <c r="AD130" s="47">
        <f t="shared" si="101"/>
        <v>0</v>
      </c>
      <c r="AE130" s="47">
        <f t="shared" si="101"/>
        <v>0</v>
      </c>
      <c r="AF130" s="47">
        <f t="shared" si="101"/>
        <v>0</v>
      </c>
      <c r="AG130" s="47">
        <f t="shared" si="101"/>
        <v>0</v>
      </c>
      <c r="AH130" s="47">
        <f t="shared" si="101"/>
        <v>0</v>
      </c>
      <c r="AI130" s="47">
        <f t="shared" si="101"/>
        <v>0</v>
      </c>
      <c r="AJ130" s="47">
        <f t="shared" si="101"/>
        <v>0</v>
      </c>
      <c r="AK130" s="47">
        <f t="shared" si="101"/>
        <v>0</v>
      </c>
      <c r="AL130" s="47">
        <f t="shared" si="101"/>
        <v>0</v>
      </c>
      <c r="AM130" s="47">
        <f t="shared" si="101"/>
        <v>0</v>
      </c>
      <c r="AN130" s="47">
        <f t="shared" si="101"/>
        <v>0</v>
      </c>
      <c r="AO130" s="47">
        <f t="shared" si="101"/>
        <v>0</v>
      </c>
      <c r="AP130" s="47">
        <f t="shared" si="101"/>
        <v>0</v>
      </c>
      <c r="AQ130" s="47">
        <f t="shared" si="101"/>
        <v>0</v>
      </c>
      <c r="AR130" s="47">
        <f t="shared" si="101"/>
        <v>0</v>
      </c>
      <c r="AS130" s="47">
        <f t="shared" si="101"/>
        <v>0</v>
      </c>
      <c r="AT130" s="47">
        <f t="shared" si="101"/>
        <v>0</v>
      </c>
      <c r="AU130" s="47">
        <f t="shared" si="101"/>
        <v>0</v>
      </c>
      <c r="AV130" s="47">
        <f t="shared" si="101"/>
        <v>0</v>
      </c>
      <c r="AW130" s="47">
        <f t="shared" si="101"/>
        <v>0</v>
      </c>
      <c r="AX130" s="47">
        <f t="shared" si="101"/>
        <v>0</v>
      </c>
      <c r="AY130" s="47">
        <f t="shared" si="101"/>
        <v>0</v>
      </c>
      <c r="AZ130" s="47">
        <f t="shared" si="101"/>
        <v>0</v>
      </c>
      <c r="BA130" s="47">
        <f t="shared" si="101"/>
        <v>0</v>
      </c>
    </row>
    <row r="131" spans="2:53" x14ac:dyDescent="0.2">
      <c r="B131" s="94" t="s">
        <v>101</v>
      </c>
      <c r="C131" s="73" t="s">
        <v>75</v>
      </c>
      <c r="D131" s="95">
        <f>IF($B129=D$2,D$4,0)</f>
        <v>0</v>
      </c>
      <c r="E131" s="95">
        <f t="shared" ref="E131:BA131" si="102">IF($B129=E$2,E$4,0)</f>
        <v>0</v>
      </c>
      <c r="F131" s="95">
        <f t="shared" si="102"/>
        <v>0</v>
      </c>
      <c r="G131" s="95">
        <f t="shared" si="102"/>
        <v>0</v>
      </c>
      <c r="H131" s="95">
        <f t="shared" si="102"/>
        <v>0</v>
      </c>
      <c r="I131" s="95">
        <f t="shared" si="102"/>
        <v>0</v>
      </c>
      <c r="J131" s="95">
        <f t="shared" si="102"/>
        <v>0</v>
      </c>
      <c r="K131" s="95">
        <f t="shared" si="102"/>
        <v>0</v>
      </c>
      <c r="L131" s="95">
        <f t="shared" si="102"/>
        <v>0</v>
      </c>
      <c r="M131" s="95">
        <f t="shared" si="102"/>
        <v>0</v>
      </c>
      <c r="N131" s="95">
        <f t="shared" si="102"/>
        <v>0</v>
      </c>
      <c r="O131" s="95">
        <f t="shared" si="102"/>
        <v>0</v>
      </c>
      <c r="P131" s="95">
        <f t="shared" si="102"/>
        <v>0</v>
      </c>
      <c r="Q131" s="95">
        <f t="shared" si="102"/>
        <v>0</v>
      </c>
      <c r="R131" s="95">
        <f t="shared" si="102"/>
        <v>0</v>
      </c>
      <c r="S131" s="95">
        <f t="shared" si="102"/>
        <v>0</v>
      </c>
      <c r="T131" s="95">
        <f t="shared" si="102"/>
        <v>0</v>
      </c>
      <c r="U131" s="95">
        <f t="shared" si="102"/>
        <v>0</v>
      </c>
      <c r="V131" s="95">
        <f t="shared" si="102"/>
        <v>14.282462475762735</v>
      </c>
      <c r="W131" s="95">
        <f t="shared" si="102"/>
        <v>0</v>
      </c>
      <c r="X131" s="95">
        <f t="shared" si="102"/>
        <v>0</v>
      </c>
      <c r="Y131" s="95">
        <f t="shared" si="102"/>
        <v>0</v>
      </c>
      <c r="Z131" s="95">
        <f t="shared" si="102"/>
        <v>0</v>
      </c>
      <c r="AA131" s="95">
        <f t="shared" si="102"/>
        <v>0</v>
      </c>
      <c r="AB131" s="95">
        <f t="shared" si="102"/>
        <v>0</v>
      </c>
      <c r="AC131" s="95">
        <f t="shared" si="102"/>
        <v>0</v>
      </c>
      <c r="AD131" s="95">
        <f t="shared" si="102"/>
        <v>0</v>
      </c>
      <c r="AE131" s="95">
        <f t="shared" si="102"/>
        <v>0</v>
      </c>
      <c r="AF131" s="95">
        <f t="shared" si="102"/>
        <v>0</v>
      </c>
      <c r="AG131" s="95">
        <f t="shared" si="102"/>
        <v>0</v>
      </c>
      <c r="AH131" s="95">
        <f t="shared" si="102"/>
        <v>0</v>
      </c>
      <c r="AI131" s="95">
        <f t="shared" si="102"/>
        <v>0</v>
      </c>
      <c r="AJ131" s="95">
        <f t="shared" si="102"/>
        <v>0</v>
      </c>
      <c r="AK131" s="95">
        <f t="shared" si="102"/>
        <v>0</v>
      </c>
      <c r="AL131" s="95">
        <f t="shared" si="102"/>
        <v>0</v>
      </c>
      <c r="AM131" s="95">
        <f t="shared" si="102"/>
        <v>0</v>
      </c>
      <c r="AN131" s="95">
        <f t="shared" si="102"/>
        <v>0</v>
      </c>
      <c r="AO131" s="95">
        <f t="shared" si="102"/>
        <v>0</v>
      </c>
      <c r="AP131" s="95">
        <f t="shared" si="102"/>
        <v>0</v>
      </c>
      <c r="AQ131" s="95">
        <f t="shared" si="102"/>
        <v>0</v>
      </c>
      <c r="AR131" s="95">
        <f t="shared" si="102"/>
        <v>0</v>
      </c>
      <c r="AS131" s="95">
        <f t="shared" si="102"/>
        <v>0</v>
      </c>
      <c r="AT131" s="95">
        <f t="shared" si="102"/>
        <v>0</v>
      </c>
      <c r="AU131" s="95">
        <f t="shared" si="102"/>
        <v>0</v>
      </c>
      <c r="AV131" s="95">
        <f t="shared" si="102"/>
        <v>0</v>
      </c>
      <c r="AW131" s="95">
        <f t="shared" si="102"/>
        <v>0</v>
      </c>
      <c r="AX131" s="95">
        <f t="shared" si="102"/>
        <v>0</v>
      </c>
      <c r="AY131" s="95">
        <f t="shared" si="102"/>
        <v>0</v>
      </c>
      <c r="AZ131" s="95">
        <f t="shared" si="102"/>
        <v>0</v>
      </c>
      <c r="BA131" s="95">
        <f t="shared" si="102"/>
        <v>0</v>
      </c>
    </row>
    <row r="132" spans="2:53" x14ac:dyDescent="0.2">
      <c r="B132" s="76" t="s">
        <v>102</v>
      </c>
      <c r="C132" s="73" t="s">
        <v>75</v>
      </c>
      <c r="D132" s="47"/>
      <c r="E132" s="47">
        <f>IF(OR(D133&lt;=$B$15*$V$131,F$1-$W$1&gt;$B$13),0,-IF($B$12="straight line",SLN($V$131,+$B$15*$V$131,$B$13),VDB($V$131,$B$15*$V$131,$B$13,E$1-$W$1,F$1-$W$1,$B$14)))</f>
        <v>0</v>
      </c>
      <c r="F132" s="47">
        <f t="shared" ref="F132:BA132" si="103">IF(OR(E133&lt;=$B$15*$V$131,G$1-$W$1&gt;$B$13),0,-IF($B$12="straight line",SLN($V$131,+$B$15*$V$131,$B$13),VDB($V$131,$B$15*$V$131,$B$13,F$1-$W$1,G$1-$W$1,$B$14)))</f>
        <v>0</v>
      </c>
      <c r="G132" s="47">
        <f t="shared" si="103"/>
        <v>0</v>
      </c>
      <c r="H132" s="47">
        <f t="shared" si="103"/>
        <v>0</v>
      </c>
      <c r="I132" s="47">
        <f t="shared" si="103"/>
        <v>0</v>
      </c>
      <c r="J132" s="47">
        <f t="shared" si="103"/>
        <v>0</v>
      </c>
      <c r="K132" s="47">
        <f t="shared" si="103"/>
        <v>0</v>
      </c>
      <c r="L132" s="47">
        <f t="shared" si="103"/>
        <v>0</v>
      </c>
      <c r="M132" s="47">
        <f t="shared" si="103"/>
        <v>0</v>
      </c>
      <c r="N132" s="47">
        <f t="shared" si="103"/>
        <v>0</v>
      </c>
      <c r="O132" s="47">
        <f t="shared" si="103"/>
        <v>0</v>
      </c>
      <c r="P132" s="47">
        <f t="shared" si="103"/>
        <v>0</v>
      </c>
      <c r="Q132" s="47">
        <f t="shared" si="103"/>
        <v>0</v>
      </c>
      <c r="R132" s="47">
        <f t="shared" si="103"/>
        <v>0</v>
      </c>
      <c r="S132" s="47">
        <f t="shared" si="103"/>
        <v>0</v>
      </c>
      <c r="T132" s="47">
        <f t="shared" si="103"/>
        <v>0</v>
      </c>
      <c r="U132" s="47">
        <f t="shared" si="103"/>
        <v>0</v>
      </c>
      <c r="V132" s="47">
        <f t="shared" si="103"/>
        <v>0</v>
      </c>
      <c r="W132" s="47">
        <f t="shared" si="103"/>
        <v>-2.8564924951525468</v>
      </c>
      <c r="X132" s="47">
        <f t="shared" si="103"/>
        <v>-2.8564924951525468</v>
      </c>
      <c r="Y132" s="47">
        <f t="shared" si="103"/>
        <v>-2.8564924951525468</v>
      </c>
      <c r="Z132" s="47">
        <f t="shared" si="103"/>
        <v>-2.8564924951525468</v>
      </c>
      <c r="AA132" s="47">
        <f t="shared" si="103"/>
        <v>-2.8564924951525468</v>
      </c>
      <c r="AB132" s="47">
        <f t="shared" si="103"/>
        <v>0</v>
      </c>
      <c r="AC132" s="47">
        <f t="shared" si="103"/>
        <v>0</v>
      </c>
      <c r="AD132" s="47">
        <f t="shared" si="103"/>
        <v>0</v>
      </c>
      <c r="AE132" s="47">
        <f t="shared" si="103"/>
        <v>0</v>
      </c>
      <c r="AF132" s="47">
        <f t="shared" si="103"/>
        <v>0</v>
      </c>
      <c r="AG132" s="47">
        <f t="shared" si="103"/>
        <v>0</v>
      </c>
      <c r="AH132" s="47">
        <f t="shared" si="103"/>
        <v>0</v>
      </c>
      <c r="AI132" s="47">
        <f t="shared" si="103"/>
        <v>0</v>
      </c>
      <c r="AJ132" s="47">
        <f t="shared" si="103"/>
        <v>0</v>
      </c>
      <c r="AK132" s="47">
        <f t="shared" si="103"/>
        <v>0</v>
      </c>
      <c r="AL132" s="47">
        <f t="shared" si="103"/>
        <v>0</v>
      </c>
      <c r="AM132" s="47">
        <f t="shared" si="103"/>
        <v>0</v>
      </c>
      <c r="AN132" s="47">
        <f t="shared" si="103"/>
        <v>0</v>
      </c>
      <c r="AO132" s="47">
        <f t="shared" si="103"/>
        <v>0</v>
      </c>
      <c r="AP132" s="47">
        <f t="shared" si="103"/>
        <v>0</v>
      </c>
      <c r="AQ132" s="47">
        <f t="shared" si="103"/>
        <v>0</v>
      </c>
      <c r="AR132" s="47">
        <f t="shared" si="103"/>
        <v>0</v>
      </c>
      <c r="AS132" s="47">
        <f t="shared" si="103"/>
        <v>0</v>
      </c>
      <c r="AT132" s="47">
        <f t="shared" si="103"/>
        <v>0</v>
      </c>
      <c r="AU132" s="47">
        <f t="shared" si="103"/>
        <v>0</v>
      </c>
      <c r="AV132" s="47">
        <f t="shared" si="103"/>
        <v>0</v>
      </c>
      <c r="AW132" s="47">
        <f t="shared" si="103"/>
        <v>0</v>
      </c>
      <c r="AX132" s="47">
        <f t="shared" si="103"/>
        <v>0</v>
      </c>
      <c r="AY132" s="47">
        <f t="shared" si="103"/>
        <v>0</v>
      </c>
      <c r="AZ132" s="47">
        <f t="shared" si="103"/>
        <v>0</v>
      </c>
      <c r="BA132" s="47">
        <f t="shared" si="103"/>
        <v>0</v>
      </c>
    </row>
    <row r="133" spans="2:53" x14ac:dyDescent="0.2">
      <c r="B133" s="76" t="s">
        <v>103</v>
      </c>
      <c r="C133" s="73" t="s">
        <v>75</v>
      </c>
      <c r="D133" s="95">
        <f>SUM(D130:D132)</f>
        <v>0</v>
      </c>
      <c r="E133" s="95">
        <f t="shared" ref="E133:BA133" si="104">SUM(E130:E132)</f>
        <v>0</v>
      </c>
      <c r="F133" s="95">
        <f t="shared" si="104"/>
        <v>0</v>
      </c>
      <c r="G133" s="95">
        <f t="shared" si="104"/>
        <v>0</v>
      </c>
      <c r="H133" s="95">
        <f t="shared" si="104"/>
        <v>0</v>
      </c>
      <c r="I133" s="95">
        <f t="shared" si="104"/>
        <v>0</v>
      </c>
      <c r="J133" s="95">
        <f t="shared" si="104"/>
        <v>0</v>
      </c>
      <c r="K133" s="95">
        <f t="shared" si="104"/>
        <v>0</v>
      </c>
      <c r="L133" s="95">
        <f t="shared" si="104"/>
        <v>0</v>
      </c>
      <c r="M133" s="95">
        <f t="shared" si="104"/>
        <v>0</v>
      </c>
      <c r="N133" s="95">
        <f t="shared" si="104"/>
        <v>0</v>
      </c>
      <c r="O133" s="95">
        <f t="shared" si="104"/>
        <v>0</v>
      </c>
      <c r="P133" s="95">
        <f t="shared" si="104"/>
        <v>0</v>
      </c>
      <c r="Q133" s="95">
        <f t="shared" si="104"/>
        <v>0</v>
      </c>
      <c r="R133" s="95">
        <f t="shared" si="104"/>
        <v>0</v>
      </c>
      <c r="S133" s="95">
        <f t="shared" si="104"/>
        <v>0</v>
      </c>
      <c r="T133" s="95">
        <f t="shared" si="104"/>
        <v>0</v>
      </c>
      <c r="U133" s="95">
        <f t="shared" si="104"/>
        <v>0</v>
      </c>
      <c r="V133" s="95">
        <f t="shared" si="104"/>
        <v>14.282462475762735</v>
      </c>
      <c r="W133" s="95">
        <f t="shared" si="104"/>
        <v>11.425969980610187</v>
      </c>
      <c r="X133" s="95">
        <f t="shared" si="104"/>
        <v>8.5694774854576394</v>
      </c>
      <c r="Y133" s="95">
        <f t="shared" si="104"/>
        <v>5.7129849903050927</v>
      </c>
      <c r="Z133" s="95">
        <f t="shared" si="104"/>
        <v>2.8564924951525459</v>
      </c>
      <c r="AA133" s="95">
        <f t="shared" si="104"/>
        <v>0</v>
      </c>
      <c r="AB133" s="95">
        <f t="shared" si="104"/>
        <v>0</v>
      </c>
      <c r="AC133" s="95">
        <f t="shared" si="104"/>
        <v>0</v>
      </c>
      <c r="AD133" s="95">
        <f t="shared" si="104"/>
        <v>0</v>
      </c>
      <c r="AE133" s="95">
        <f t="shared" si="104"/>
        <v>0</v>
      </c>
      <c r="AF133" s="95">
        <f t="shared" si="104"/>
        <v>0</v>
      </c>
      <c r="AG133" s="95">
        <f t="shared" si="104"/>
        <v>0</v>
      </c>
      <c r="AH133" s="95">
        <f t="shared" si="104"/>
        <v>0</v>
      </c>
      <c r="AI133" s="95">
        <f t="shared" si="104"/>
        <v>0</v>
      </c>
      <c r="AJ133" s="95">
        <f t="shared" si="104"/>
        <v>0</v>
      </c>
      <c r="AK133" s="95">
        <f t="shared" si="104"/>
        <v>0</v>
      </c>
      <c r="AL133" s="95">
        <f t="shared" si="104"/>
        <v>0</v>
      </c>
      <c r="AM133" s="95">
        <f t="shared" si="104"/>
        <v>0</v>
      </c>
      <c r="AN133" s="95">
        <f t="shared" si="104"/>
        <v>0</v>
      </c>
      <c r="AO133" s="95">
        <f t="shared" si="104"/>
        <v>0</v>
      </c>
      <c r="AP133" s="95">
        <f t="shared" si="104"/>
        <v>0</v>
      </c>
      <c r="AQ133" s="95">
        <f t="shared" si="104"/>
        <v>0</v>
      </c>
      <c r="AR133" s="95">
        <f t="shared" si="104"/>
        <v>0</v>
      </c>
      <c r="AS133" s="95">
        <f t="shared" si="104"/>
        <v>0</v>
      </c>
      <c r="AT133" s="95">
        <f t="shared" si="104"/>
        <v>0</v>
      </c>
      <c r="AU133" s="95">
        <f t="shared" si="104"/>
        <v>0</v>
      </c>
      <c r="AV133" s="95">
        <f t="shared" si="104"/>
        <v>0</v>
      </c>
      <c r="AW133" s="95">
        <f t="shared" si="104"/>
        <v>0</v>
      </c>
      <c r="AX133" s="95">
        <f t="shared" si="104"/>
        <v>0</v>
      </c>
      <c r="AY133" s="95">
        <f t="shared" si="104"/>
        <v>0</v>
      </c>
      <c r="AZ133" s="95">
        <f t="shared" si="104"/>
        <v>0</v>
      </c>
      <c r="BA133" s="95">
        <f t="shared" si="104"/>
        <v>0</v>
      </c>
    </row>
    <row r="135" spans="2:53" x14ac:dyDescent="0.2">
      <c r="B135" s="215">
        <f>B129+1</f>
        <v>20</v>
      </c>
    </row>
    <row r="136" spans="2:53" x14ac:dyDescent="0.2">
      <c r="B136" s="94" t="s">
        <v>100</v>
      </c>
      <c r="C136" s="73" t="s">
        <v>75</v>
      </c>
      <c r="D136" s="95">
        <f>0</f>
        <v>0</v>
      </c>
      <c r="E136" s="47">
        <f t="shared" ref="E136:BA136" si="105">D139</f>
        <v>0</v>
      </c>
      <c r="F136" s="47">
        <f t="shared" si="105"/>
        <v>0</v>
      </c>
      <c r="G136" s="47">
        <f t="shared" si="105"/>
        <v>0</v>
      </c>
      <c r="H136" s="47">
        <f t="shared" si="105"/>
        <v>0</v>
      </c>
      <c r="I136" s="47">
        <f t="shared" si="105"/>
        <v>0</v>
      </c>
      <c r="J136" s="47">
        <f t="shared" si="105"/>
        <v>0</v>
      </c>
      <c r="K136" s="47">
        <f t="shared" si="105"/>
        <v>0</v>
      </c>
      <c r="L136" s="47">
        <f t="shared" si="105"/>
        <v>0</v>
      </c>
      <c r="M136" s="47">
        <f t="shared" si="105"/>
        <v>0</v>
      </c>
      <c r="N136" s="47">
        <f t="shared" si="105"/>
        <v>0</v>
      </c>
      <c r="O136" s="47">
        <f t="shared" si="105"/>
        <v>0</v>
      </c>
      <c r="P136" s="47">
        <f t="shared" si="105"/>
        <v>0</v>
      </c>
      <c r="Q136" s="47">
        <f t="shared" si="105"/>
        <v>0</v>
      </c>
      <c r="R136" s="47">
        <f t="shared" si="105"/>
        <v>0</v>
      </c>
      <c r="S136" s="47">
        <f t="shared" si="105"/>
        <v>0</v>
      </c>
      <c r="T136" s="47">
        <f t="shared" si="105"/>
        <v>0</v>
      </c>
      <c r="U136" s="47">
        <f t="shared" si="105"/>
        <v>0</v>
      </c>
      <c r="V136" s="47">
        <f t="shared" si="105"/>
        <v>0</v>
      </c>
      <c r="W136" s="47">
        <f t="shared" si="105"/>
        <v>0</v>
      </c>
      <c r="X136" s="47">
        <f t="shared" si="105"/>
        <v>14.568111725277987</v>
      </c>
      <c r="Y136" s="47">
        <f t="shared" si="105"/>
        <v>11.65448938022239</v>
      </c>
      <c r="Z136" s="47">
        <f t="shared" si="105"/>
        <v>8.7408670351667936</v>
      </c>
      <c r="AA136" s="47">
        <f t="shared" si="105"/>
        <v>5.8272446901111961</v>
      </c>
      <c r="AB136" s="47">
        <f t="shared" si="105"/>
        <v>2.9136223450555985</v>
      </c>
      <c r="AC136" s="47">
        <f t="shared" si="105"/>
        <v>0</v>
      </c>
      <c r="AD136" s="47">
        <f t="shared" si="105"/>
        <v>0</v>
      </c>
      <c r="AE136" s="47">
        <f t="shared" si="105"/>
        <v>0</v>
      </c>
      <c r="AF136" s="47">
        <f t="shared" si="105"/>
        <v>0</v>
      </c>
      <c r="AG136" s="47">
        <f t="shared" si="105"/>
        <v>0</v>
      </c>
      <c r="AH136" s="47">
        <f t="shared" si="105"/>
        <v>0</v>
      </c>
      <c r="AI136" s="47">
        <f t="shared" si="105"/>
        <v>0</v>
      </c>
      <c r="AJ136" s="47">
        <f t="shared" si="105"/>
        <v>0</v>
      </c>
      <c r="AK136" s="47">
        <f t="shared" si="105"/>
        <v>0</v>
      </c>
      <c r="AL136" s="47">
        <f t="shared" si="105"/>
        <v>0</v>
      </c>
      <c r="AM136" s="47">
        <f t="shared" si="105"/>
        <v>0</v>
      </c>
      <c r="AN136" s="47">
        <f t="shared" si="105"/>
        <v>0</v>
      </c>
      <c r="AO136" s="47">
        <f t="shared" si="105"/>
        <v>0</v>
      </c>
      <c r="AP136" s="47">
        <f t="shared" si="105"/>
        <v>0</v>
      </c>
      <c r="AQ136" s="47">
        <f t="shared" si="105"/>
        <v>0</v>
      </c>
      <c r="AR136" s="47">
        <f t="shared" si="105"/>
        <v>0</v>
      </c>
      <c r="AS136" s="47">
        <f t="shared" si="105"/>
        <v>0</v>
      </c>
      <c r="AT136" s="47">
        <f t="shared" si="105"/>
        <v>0</v>
      </c>
      <c r="AU136" s="47">
        <f t="shared" si="105"/>
        <v>0</v>
      </c>
      <c r="AV136" s="47">
        <f t="shared" si="105"/>
        <v>0</v>
      </c>
      <c r="AW136" s="47">
        <f t="shared" si="105"/>
        <v>0</v>
      </c>
      <c r="AX136" s="47">
        <f t="shared" si="105"/>
        <v>0</v>
      </c>
      <c r="AY136" s="47">
        <f t="shared" si="105"/>
        <v>0</v>
      </c>
      <c r="AZ136" s="47">
        <f t="shared" si="105"/>
        <v>0</v>
      </c>
      <c r="BA136" s="47">
        <f t="shared" si="105"/>
        <v>0</v>
      </c>
    </row>
    <row r="137" spans="2:53" x14ac:dyDescent="0.2">
      <c r="B137" s="94" t="s">
        <v>101</v>
      </c>
      <c r="C137" s="73" t="s">
        <v>75</v>
      </c>
      <c r="D137" s="95">
        <f>IF($B135=D$2,D$4,0)</f>
        <v>0</v>
      </c>
      <c r="E137" s="95">
        <f t="shared" ref="E137:BA137" si="106">IF($B135=E$2,E$4,0)</f>
        <v>0</v>
      </c>
      <c r="F137" s="95">
        <f t="shared" si="106"/>
        <v>0</v>
      </c>
      <c r="G137" s="95">
        <f t="shared" si="106"/>
        <v>0</v>
      </c>
      <c r="H137" s="95">
        <f t="shared" si="106"/>
        <v>0</v>
      </c>
      <c r="I137" s="95">
        <f t="shared" si="106"/>
        <v>0</v>
      </c>
      <c r="J137" s="95">
        <f t="shared" si="106"/>
        <v>0</v>
      </c>
      <c r="K137" s="95">
        <f t="shared" si="106"/>
        <v>0</v>
      </c>
      <c r="L137" s="95">
        <f t="shared" si="106"/>
        <v>0</v>
      </c>
      <c r="M137" s="95">
        <f t="shared" si="106"/>
        <v>0</v>
      </c>
      <c r="N137" s="95">
        <f t="shared" si="106"/>
        <v>0</v>
      </c>
      <c r="O137" s="95">
        <f t="shared" si="106"/>
        <v>0</v>
      </c>
      <c r="P137" s="95">
        <f t="shared" si="106"/>
        <v>0</v>
      </c>
      <c r="Q137" s="95">
        <f t="shared" si="106"/>
        <v>0</v>
      </c>
      <c r="R137" s="95">
        <f t="shared" si="106"/>
        <v>0</v>
      </c>
      <c r="S137" s="95">
        <f t="shared" si="106"/>
        <v>0</v>
      </c>
      <c r="T137" s="95">
        <f t="shared" si="106"/>
        <v>0</v>
      </c>
      <c r="U137" s="95">
        <f t="shared" si="106"/>
        <v>0</v>
      </c>
      <c r="V137" s="95">
        <f t="shared" si="106"/>
        <v>0</v>
      </c>
      <c r="W137" s="95">
        <f t="shared" si="106"/>
        <v>14.568111725277987</v>
      </c>
      <c r="X137" s="95">
        <f t="shared" si="106"/>
        <v>0</v>
      </c>
      <c r="Y137" s="95">
        <f t="shared" si="106"/>
        <v>0</v>
      </c>
      <c r="Z137" s="95">
        <f t="shared" si="106"/>
        <v>0</v>
      </c>
      <c r="AA137" s="95">
        <f t="shared" si="106"/>
        <v>0</v>
      </c>
      <c r="AB137" s="95">
        <f t="shared" si="106"/>
        <v>0</v>
      </c>
      <c r="AC137" s="95">
        <f t="shared" si="106"/>
        <v>0</v>
      </c>
      <c r="AD137" s="95">
        <f t="shared" si="106"/>
        <v>0</v>
      </c>
      <c r="AE137" s="95">
        <f t="shared" si="106"/>
        <v>0</v>
      </c>
      <c r="AF137" s="95">
        <f t="shared" si="106"/>
        <v>0</v>
      </c>
      <c r="AG137" s="95">
        <f t="shared" si="106"/>
        <v>0</v>
      </c>
      <c r="AH137" s="95">
        <f t="shared" si="106"/>
        <v>0</v>
      </c>
      <c r="AI137" s="95">
        <f t="shared" si="106"/>
        <v>0</v>
      </c>
      <c r="AJ137" s="95">
        <f t="shared" si="106"/>
        <v>0</v>
      </c>
      <c r="AK137" s="95">
        <f t="shared" si="106"/>
        <v>0</v>
      </c>
      <c r="AL137" s="95">
        <f t="shared" si="106"/>
        <v>0</v>
      </c>
      <c r="AM137" s="95">
        <f t="shared" si="106"/>
        <v>0</v>
      </c>
      <c r="AN137" s="95">
        <f t="shared" si="106"/>
        <v>0</v>
      </c>
      <c r="AO137" s="95">
        <f t="shared" si="106"/>
        <v>0</v>
      </c>
      <c r="AP137" s="95">
        <f t="shared" si="106"/>
        <v>0</v>
      </c>
      <c r="AQ137" s="95">
        <f t="shared" si="106"/>
        <v>0</v>
      </c>
      <c r="AR137" s="95">
        <f t="shared" si="106"/>
        <v>0</v>
      </c>
      <c r="AS137" s="95">
        <f t="shared" si="106"/>
        <v>0</v>
      </c>
      <c r="AT137" s="95">
        <f t="shared" si="106"/>
        <v>0</v>
      </c>
      <c r="AU137" s="95">
        <f t="shared" si="106"/>
        <v>0</v>
      </c>
      <c r="AV137" s="95">
        <f t="shared" si="106"/>
        <v>0</v>
      </c>
      <c r="AW137" s="95">
        <f t="shared" si="106"/>
        <v>0</v>
      </c>
      <c r="AX137" s="95">
        <f t="shared" si="106"/>
        <v>0</v>
      </c>
      <c r="AY137" s="95">
        <f t="shared" si="106"/>
        <v>0</v>
      </c>
      <c r="AZ137" s="95">
        <f t="shared" si="106"/>
        <v>0</v>
      </c>
      <c r="BA137" s="95">
        <f t="shared" si="106"/>
        <v>0</v>
      </c>
    </row>
    <row r="138" spans="2:53" x14ac:dyDescent="0.2">
      <c r="B138" s="76" t="s">
        <v>102</v>
      </c>
      <c r="C138" s="73" t="s">
        <v>75</v>
      </c>
      <c r="D138" s="47"/>
      <c r="E138" s="47">
        <f>IF(OR(D139&lt;=$B$15*$W$137,F$1-$X$1&gt;$B$13),0,-IF($B$12="straight line",SLN($W$137,+$B$15*$W$137,$B$13),VDB($W$137,$B$15*$W$137,$B$13,E$1-$X$1,F$1-$X$1,$B$14)))</f>
        <v>0</v>
      </c>
      <c r="F138" s="47">
        <f t="shared" ref="F138:BA138" si="107">IF(OR(E139&lt;=$B$15*$W$137,G$1-$X$1&gt;$B$13),0,-IF($B$12="straight line",SLN($W$137,+$B$15*$W$137,$B$13),VDB($W$137,$B$15*$W$137,$B$13,F$1-$X$1,G$1-$X$1,$B$14)))</f>
        <v>0</v>
      </c>
      <c r="G138" s="47">
        <f t="shared" si="107"/>
        <v>0</v>
      </c>
      <c r="H138" s="47">
        <f t="shared" si="107"/>
        <v>0</v>
      </c>
      <c r="I138" s="47">
        <f t="shared" si="107"/>
        <v>0</v>
      </c>
      <c r="J138" s="47">
        <f t="shared" si="107"/>
        <v>0</v>
      </c>
      <c r="K138" s="47">
        <f t="shared" si="107"/>
        <v>0</v>
      </c>
      <c r="L138" s="47">
        <f t="shared" si="107"/>
        <v>0</v>
      </c>
      <c r="M138" s="47">
        <f t="shared" si="107"/>
        <v>0</v>
      </c>
      <c r="N138" s="47">
        <f t="shared" si="107"/>
        <v>0</v>
      </c>
      <c r="O138" s="47">
        <f t="shared" si="107"/>
        <v>0</v>
      </c>
      <c r="P138" s="47">
        <f t="shared" si="107"/>
        <v>0</v>
      </c>
      <c r="Q138" s="47">
        <f t="shared" si="107"/>
        <v>0</v>
      </c>
      <c r="R138" s="47">
        <f t="shared" si="107"/>
        <v>0</v>
      </c>
      <c r="S138" s="47">
        <f t="shared" si="107"/>
        <v>0</v>
      </c>
      <c r="T138" s="47">
        <f t="shared" si="107"/>
        <v>0</v>
      </c>
      <c r="U138" s="47">
        <f t="shared" si="107"/>
        <v>0</v>
      </c>
      <c r="V138" s="47">
        <f t="shared" si="107"/>
        <v>0</v>
      </c>
      <c r="W138" s="47">
        <f t="shared" si="107"/>
        <v>0</v>
      </c>
      <c r="X138" s="47">
        <f t="shared" si="107"/>
        <v>-2.9136223450555976</v>
      </c>
      <c r="Y138" s="47">
        <f t="shared" si="107"/>
        <v>-2.9136223450555976</v>
      </c>
      <c r="Z138" s="47">
        <f t="shared" si="107"/>
        <v>-2.9136223450555976</v>
      </c>
      <c r="AA138" s="47">
        <f t="shared" si="107"/>
        <v>-2.9136223450555976</v>
      </c>
      <c r="AB138" s="47">
        <f t="shared" si="107"/>
        <v>-2.9136223450555976</v>
      </c>
      <c r="AC138" s="47">
        <f t="shared" si="107"/>
        <v>0</v>
      </c>
      <c r="AD138" s="47">
        <f t="shared" si="107"/>
        <v>0</v>
      </c>
      <c r="AE138" s="47">
        <f t="shared" si="107"/>
        <v>0</v>
      </c>
      <c r="AF138" s="47">
        <f t="shared" si="107"/>
        <v>0</v>
      </c>
      <c r="AG138" s="47">
        <f t="shared" si="107"/>
        <v>0</v>
      </c>
      <c r="AH138" s="47">
        <f t="shared" si="107"/>
        <v>0</v>
      </c>
      <c r="AI138" s="47">
        <f t="shared" si="107"/>
        <v>0</v>
      </c>
      <c r="AJ138" s="47">
        <f t="shared" si="107"/>
        <v>0</v>
      </c>
      <c r="AK138" s="47">
        <f t="shared" si="107"/>
        <v>0</v>
      </c>
      <c r="AL138" s="47">
        <f t="shared" si="107"/>
        <v>0</v>
      </c>
      <c r="AM138" s="47">
        <f t="shared" si="107"/>
        <v>0</v>
      </c>
      <c r="AN138" s="47">
        <f t="shared" si="107"/>
        <v>0</v>
      </c>
      <c r="AO138" s="47">
        <f t="shared" si="107"/>
        <v>0</v>
      </c>
      <c r="AP138" s="47">
        <f t="shared" si="107"/>
        <v>0</v>
      </c>
      <c r="AQ138" s="47">
        <f t="shared" si="107"/>
        <v>0</v>
      </c>
      <c r="AR138" s="47">
        <f t="shared" si="107"/>
        <v>0</v>
      </c>
      <c r="AS138" s="47">
        <f t="shared" si="107"/>
        <v>0</v>
      </c>
      <c r="AT138" s="47">
        <f t="shared" si="107"/>
        <v>0</v>
      </c>
      <c r="AU138" s="47">
        <f t="shared" si="107"/>
        <v>0</v>
      </c>
      <c r="AV138" s="47">
        <f t="shared" si="107"/>
        <v>0</v>
      </c>
      <c r="AW138" s="47">
        <f t="shared" si="107"/>
        <v>0</v>
      </c>
      <c r="AX138" s="47">
        <f t="shared" si="107"/>
        <v>0</v>
      </c>
      <c r="AY138" s="47">
        <f t="shared" si="107"/>
        <v>0</v>
      </c>
      <c r="AZ138" s="47">
        <f t="shared" si="107"/>
        <v>0</v>
      </c>
      <c r="BA138" s="47">
        <f t="shared" si="107"/>
        <v>0</v>
      </c>
    </row>
    <row r="139" spans="2:53" x14ac:dyDescent="0.2">
      <c r="B139" s="76" t="s">
        <v>103</v>
      </c>
      <c r="C139" s="73" t="s">
        <v>75</v>
      </c>
      <c r="D139" s="95">
        <f>SUM(D136:D138)</f>
        <v>0</v>
      </c>
      <c r="E139" s="95">
        <f t="shared" ref="E139:BA139" si="108">SUM(E136:E138)</f>
        <v>0</v>
      </c>
      <c r="F139" s="95">
        <f t="shared" si="108"/>
        <v>0</v>
      </c>
      <c r="G139" s="95">
        <f t="shared" si="108"/>
        <v>0</v>
      </c>
      <c r="H139" s="95">
        <f t="shared" si="108"/>
        <v>0</v>
      </c>
      <c r="I139" s="95">
        <f t="shared" si="108"/>
        <v>0</v>
      </c>
      <c r="J139" s="95">
        <f t="shared" si="108"/>
        <v>0</v>
      </c>
      <c r="K139" s="95">
        <f t="shared" si="108"/>
        <v>0</v>
      </c>
      <c r="L139" s="95">
        <f t="shared" si="108"/>
        <v>0</v>
      </c>
      <c r="M139" s="95">
        <f t="shared" si="108"/>
        <v>0</v>
      </c>
      <c r="N139" s="95">
        <f t="shared" si="108"/>
        <v>0</v>
      </c>
      <c r="O139" s="95">
        <f t="shared" si="108"/>
        <v>0</v>
      </c>
      <c r="P139" s="95">
        <f t="shared" si="108"/>
        <v>0</v>
      </c>
      <c r="Q139" s="95">
        <f t="shared" si="108"/>
        <v>0</v>
      </c>
      <c r="R139" s="95">
        <f t="shared" si="108"/>
        <v>0</v>
      </c>
      <c r="S139" s="95">
        <f t="shared" si="108"/>
        <v>0</v>
      </c>
      <c r="T139" s="95">
        <f t="shared" si="108"/>
        <v>0</v>
      </c>
      <c r="U139" s="95">
        <f t="shared" si="108"/>
        <v>0</v>
      </c>
      <c r="V139" s="95">
        <f t="shared" si="108"/>
        <v>0</v>
      </c>
      <c r="W139" s="95">
        <f t="shared" si="108"/>
        <v>14.568111725277987</v>
      </c>
      <c r="X139" s="95">
        <f t="shared" si="108"/>
        <v>11.65448938022239</v>
      </c>
      <c r="Y139" s="95">
        <f t="shared" si="108"/>
        <v>8.7408670351667936</v>
      </c>
      <c r="Z139" s="95">
        <f t="shared" si="108"/>
        <v>5.8272446901111961</v>
      </c>
      <c r="AA139" s="95">
        <f t="shared" si="108"/>
        <v>2.9136223450555985</v>
      </c>
      <c r="AB139" s="95">
        <f t="shared" si="108"/>
        <v>0</v>
      </c>
      <c r="AC139" s="95">
        <f t="shared" si="108"/>
        <v>0</v>
      </c>
      <c r="AD139" s="95">
        <f t="shared" si="108"/>
        <v>0</v>
      </c>
      <c r="AE139" s="95">
        <f t="shared" si="108"/>
        <v>0</v>
      </c>
      <c r="AF139" s="95">
        <f t="shared" si="108"/>
        <v>0</v>
      </c>
      <c r="AG139" s="95">
        <f t="shared" si="108"/>
        <v>0</v>
      </c>
      <c r="AH139" s="95">
        <f t="shared" si="108"/>
        <v>0</v>
      </c>
      <c r="AI139" s="95">
        <f t="shared" si="108"/>
        <v>0</v>
      </c>
      <c r="AJ139" s="95">
        <f t="shared" si="108"/>
        <v>0</v>
      </c>
      <c r="AK139" s="95">
        <f t="shared" si="108"/>
        <v>0</v>
      </c>
      <c r="AL139" s="95">
        <f t="shared" si="108"/>
        <v>0</v>
      </c>
      <c r="AM139" s="95">
        <f t="shared" si="108"/>
        <v>0</v>
      </c>
      <c r="AN139" s="95">
        <f t="shared" si="108"/>
        <v>0</v>
      </c>
      <c r="AO139" s="95">
        <f t="shared" si="108"/>
        <v>0</v>
      </c>
      <c r="AP139" s="95">
        <f t="shared" si="108"/>
        <v>0</v>
      </c>
      <c r="AQ139" s="95">
        <f t="shared" si="108"/>
        <v>0</v>
      </c>
      <c r="AR139" s="95">
        <f t="shared" si="108"/>
        <v>0</v>
      </c>
      <c r="AS139" s="95">
        <f t="shared" si="108"/>
        <v>0</v>
      </c>
      <c r="AT139" s="95">
        <f t="shared" si="108"/>
        <v>0</v>
      </c>
      <c r="AU139" s="95">
        <f t="shared" si="108"/>
        <v>0</v>
      </c>
      <c r="AV139" s="95">
        <f t="shared" si="108"/>
        <v>0</v>
      </c>
      <c r="AW139" s="95">
        <f t="shared" si="108"/>
        <v>0</v>
      </c>
      <c r="AX139" s="95">
        <f t="shared" si="108"/>
        <v>0</v>
      </c>
      <c r="AY139" s="95">
        <f t="shared" si="108"/>
        <v>0</v>
      </c>
      <c r="AZ139" s="95">
        <f t="shared" si="108"/>
        <v>0</v>
      </c>
      <c r="BA139" s="95">
        <f t="shared" si="108"/>
        <v>0</v>
      </c>
    </row>
    <row r="141" spans="2:53" x14ac:dyDescent="0.2">
      <c r="B141" s="215">
        <f>B135+1</f>
        <v>21</v>
      </c>
    </row>
    <row r="142" spans="2:53" x14ac:dyDescent="0.2">
      <c r="B142" s="94" t="s">
        <v>100</v>
      </c>
      <c r="C142" s="73" t="s">
        <v>75</v>
      </c>
      <c r="D142" s="95">
        <f>0</f>
        <v>0</v>
      </c>
      <c r="E142" s="47">
        <f t="shared" ref="E142:BA142" si="109">D145</f>
        <v>0</v>
      </c>
      <c r="F142" s="47">
        <f t="shared" si="109"/>
        <v>0</v>
      </c>
      <c r="G142" s="47">
        <f t="shared" si="109"/>
        <v>0</v>
      </c>
      <c r="H142" s="47">
        <f t="shared" si="109"/>
        <v>0</v>
      </c>
      <c r="I142" s="47">
        <f t="shared" si="109"/>
        <v>0</v>
      </c>
      <c r="J142" s="47">
        <f t="shared" si="109"/>
        <v>0</v>
      </c>
      <c r="K142" s="47">
        <f t="shared" si="109"/>
        <v>0</v>
      </c>
      <c r="L142" s="47">
        <f t="shared" si="109"/>
        <v>0</v>
      </c>
      <c r="M142" s="47">
        <f t="shared" si="109"/>
        <v>0</v>
      </c>
      <c r="N142" s="47">
        <f t="shared" si="109"/>
        <v>0</v>
      </c>
      <c r="O142" s="47">
        <f t="shared" si="109"/>
        <v>0</v>
      </c>
      <c r="P142" s="47">
        <f t="shared" si="109"/>
        <v>0</v>
      </c>
      <c r="Q142" s="47">
        <f t="shared" si="109"/>
        <v>0</v>
      </c>
      <c r="R142" s="47">
        <f t="shared" si="109"/>
        <v>0</v>
      </c>
      <c r="S142" s="47">
        <f t="shared" si="109"/>
        <v>0</v>
      </c>
      <c r="T142" s="47">
        <f t="shared" si="109"/>
        <v>0</v>
      </c>
      <c r="U142" s="47">
        <f t="shared" si="109"/>
        <v>0</v>
      </c>
      <c r="V142" s="47">
        <f t="shared" si="109"/>
        <v>0</v>
      </c>
      <c r="W142" s="47">
        <f t="shared" si="109"/>
        <v>0</v>
      </c>
      <c r="X142" s="47">
        <f t="shared" si="109"/>
        <v>0</v>
      </c>
      <c r="Y142" s="47">
        <f t="shared" si="109"/>
        <v>14.85947395978355</v>
      </c>
      <c r="Z142" s="47">
        <f t="shared" si="109"/>
        <v>11.887579167826839</v>
      </c>
      <c r="AA142" s="47">
        <f t="shared" si="109"/>
        <v>8.9156843758701285</v>
      </c>
      <c r="AB142" s="47">
        <f t="shared" si="109"/>
        <v>5.9437895839134187</v>
      </c>
      <c r="AC142" s="47">
        <f t="shared" si="109"/>
        <v>2.9718947919567089</v>
      </c>
      <c r="AD142" s="47">
        <f t="shared" si="109"/>
        <v>0</v>
      </c>
      <c r="AE142" s="47">
        <f t="shared" si="109"/>
        <v>0</v>
      </c>
      <c r="AF142" s="47">
        <f t="shared" si="109"/>
        <v>0</v>
      </c>
      <c r="AG142" s="47">
        <f t="shared" si="109"/>
        <v>0</v>
      </c>
      <c r="AH142" s="47">
        <f t="shared" si="109"/>
        <v>0</v>
      </c>
      <c r="AI142" s="47">
        <f t="shared" si="109"/>
        <v>0</v>
      </c>
      <c r="AJ142" s="47">
        <f t="shared" si="109"/>
        <v>0</v>
      </c>
      <c r="AK142" s="47">
        <f t="shared" si="109"/>
        <v>0</v>
      </c>
      <c r="AL142" s="47">
        <f t="shared" si="109"/>
        <v>0</v>
      </c>
      <c r="AM142" s="47">
        <f t="shared" si="109"/>
        <v>0</v>
      </c>
      <c r="AN142" s="47">
        <f t="shared" si="109"/>
        <v>0</v>
      </c>
      <c r="AO142" s="47">
        <f t="shared" si="109"/>
        <v>0</v>
      </c>
      <c r="AP142" s="47">
        <f t="shared" si="109"/>
        <v>0</v>
      </c>
      <c r="AQ142" s="47">
        <f t="shared" si="109"/>
        <v>0</v>
      </c>
      <c r="AR142" s="47">
        <f t="shared" si="109"/>
        <v>0</v>
      </c>
      <c r="AS142" s="47">
        <f t="shared" si="109"/>
        <v>0</v>
      </c>
      <c r="AT142" s="47">
        <f t="shared" si="109"/>
        <v>0</v>
      </c>
      <c r="AU142" s="47">
        <f t="shared" si="109"/>
        <v>0</v>
      </c>
      <c r="AV142" s="47">
        <f t="shared" si="109"/>
        <v>0</v>
      </c>
      <c r="AW142" s="47">
        <f t="shared" si="109"/>
        <v>0</v>
      </c>
      <c r="AX142" s="47">
        <f t="shared" si="109"/>
        <v>0</v>
      </c>
      <c r="AY142" s="47">
        <f t="shared" si="109"/>
        <v>0</v>
      </c>
      <c r="AZ142" s="47">
        <f t="shared" si="109"/>
        <v>0</v>
      </c>
      <c r="BA142" s="47">
        <f t="shared" si="109"/>
        <v>0</v>
      </c>
    </row>
    <row r="143" spans="2:53" x14ac:dyDescent="0.2">
      <c r="B143" s="94" t="s">
        <v>101</v>
      </c>
      <c r="C143" s="73" t="s">
        <v>75</v>
      </c>
      <c r="D143" s="95">
        <f>IF($B141=D$2,D$4,0)</f>
        <v>0</v>
      </c>
      <c r="E143" s="95">
        <f t="shared" ref="E143:BA143" si="110">IF($B141=E$2,E$4,0)</f>
        <v>0</v>
      </c>
      <c r="F143" s="95">
        <f t="shared" si="110"/>
        <v>0</v>
      </c>
      <c r="G143" s="95">
        <f t="shared" si="110"/>
        <v>0</v>
      </c>
      <c r="H143" s="95">
        <f t="shared" si="110"/>
        <v>0</v>
      </c>
      <c r="I143" s="95">
        <f t="shared" si="110"/>
        <v>0</v>
      </c>
      <c r="J143" s="95">
        <f t="shared" si="110"/>
        <v>0</v>
      </c>
      <c r="K143" s="95">
        <f t="shared" si="110"/>
        <v>0</v>
      </c>
      <c r="L143" s="95">
        <f t="shared" si="110"/>
        <v>0</v>
      </c>
      <c r="M143" s="95">
        <f t="shared" si="110"/>
        <v>0</v>
      </c>
      <c r="N143" s="95">
        <f t="shared" si="110"/>
        <v>0</v>
      </c>
      <c r="O143" s="95">
        <f t="shared" si="110"/>
        <v>0</v>
      </c>
      <c r="P143" s="95">
        <f t="shared" si="110"/>
        <v>0</v>
      </c>
      <c r="Q143" s="95">
        <f t="shared" si="110"/>
        <v>0</v>
      </c>
      <c r="R143" s="95">
        <f t="shared" si="110"/>
        <v>0</v>
      </c>
      <c r="S143" s="95">
        <f t="shared" si="110"/>
        <v>0</v>
      </c>
      <c r="T143" s="95">
        <f t="shared" si="110"/>
        <v>0</v>
      </c>
      <c r="U143" s="95">
        <f t="shared" si="110"/>
        <v>0</v>
      </c>
      <c r="V143" s="95">
        <f t="shared" si="110"/>
        <v>0</v>
      </c>
      <c r="W143" s="95">
        <f t="shared" si="110"/>
        <v>0</v>
      </c>
      <c r="X143" s="95">
        <f t="shared" si="110"/>
        <v>14.85947395978355</v>
      </c>
      <c r="Y143" s="95">
        <f t="shared" si="110"/>
        <v>0</v>
      </c>
      <c r="Z143" s="95">
        <f t="shared" si="110"/>
        <v>0</v>
      </c>
      <c r="AA143" s="95">
        <f t="shared" si="110"/>
        <v>0</v>
      </c>
      <c r="AB143" s="95">
        <f t="shared" si="110"/>
        <v>0</v>
      </c>
      <c r="AC143" s="95">
        <f t="shared" si="110"/>
        <v>0</v>
      </c>
      <c r="AD143" s="95">
        <f t="shared" si="110"/>
        <v>0</v>
      </c>
      <c r="AE143" s="95">
        <f t="shared" si="110"/>
        <v>0</v>
      </c>
      <c r="AF143" s="95">
        <f t="shared" si="110"/>
        <v>0</v>
      </c>
      <c r="AG143" s="95">
        <f t="shared" si="110"/>
        <v>0</v>
      </c>
      <c r="AH143" s="95">
        <f t="shared" si="110"/>
        <v>0</v>
      </c>
      <c r="AI143" s="95">
        <f t="shared" si="110"/>
        <v>0</v>
      </c>
      <c r="AJ143" s="95">
        <f t="shared" si="110"/>
        <v>0</v>
      </c>
      <c r="AK143" s="95">
        <f t="shared" si="110"/>
        <v>0</v>
      </c>
      <c r="AL143" s="95">
        <f t="shared" si="110"/>
        <v>0</v>
      </c>
      <c r="AM143" s="95">
        <f t="shared" si="110"/>
        <v>0</v>
      </c>
      <c r="AN143" s="95">
        <f t="shared" si="110"/>
        <v>0</v>
      </c>
      <c r="AO143" s="95">
        <f t="shared" si="110"/>
        <v>0</v>
      </c>
      <c r="AP143" s="95">
        <f t="shared" si="110"/>
        <v>0</v>
      </c>
      <c r="AQ143" s="95">
        <f t="shared" si="110"/>
        <v>0</v>
      </c>
      <c r="AR143" s="95">
        <f t="shared" si="110"/>
        <v>0</v>
      </c>
      <c r="AS143" s="95">
        <f t="shared" si="110"/>
        <v>0</v>
      </c>
      <c r="AT143" s="95">
        <f t="shared" si="110"/>
        <v>0</v>
      </c>
      <c r="AU143" s="95">
        <f t="shared" si="110"/>
        <v>0</v>
      </c>
      <c r="AV143" s="95">
        <f t="shared" si="110"/>
        <v>0</v>
      </c>
      <c r="AW143" s="95">
        <f t="shared" si="110"/>
        <v>0</v>
      </c>
      <c r="AX143" s="95">
        <f t="shared" si="110"/>
        <v>0</v>
      </c>
      <c r="AY143" s="95">
        <f t="shared" si="110"/>
        <v>0</v>
      </c>
      <c r="AZ143" s="95">
        <f t="shared" si="110"/>
        <v>0</v>
      </c>
      <c r="BA143" s="95">
        <f t="shared" si="110"/>
        <v>0</v>
      </c>
    </row>
    <row r="144" spans="2:53" x14ac:dyDescent="0.2">
      <c r="B144" s="76" t="s">
        <v>102</v>
      </c>
      <c r="C144" s="73" t="s">
        <v>75</v>
      </c>
      <c r="D144" s="47"/>
      <c r="E144" s="47">
        <f>IF(OR(D145&lt;=$B$15*$X$143,F$1-$Y$1&gt;$B$13),0,-IF($B$12="straight line",SLN($X$143,+$B$15*$X$143,$B$13),VDB($X$143,$B$15*$X$143,$B$13,E$1-$Y$1,F$1-$Y$1,$B$14)))</f>
        <v>0</v>
      </c>
      <c r="F144" s="47">
        <f t="shared" ref="F144:BA144" si="111">IF(OR(E145&lt;=$B$15*$X$143,G$1-$Y$1&gt;$B$13),0,-IF($B$12="straight line",SLN($X$143,+$B$15*$X$143,$B$13),VDB($X$143,$B$15*$X$143,$B$13,F$1-$Y$1,G$1-$Y$1,$B$14)))</f>
        <v>0</v>
      </c>
      <c r="G144" s="47">
        <f t="shared" si="111"/>
        <v>0</v>
      </c>
      <c r="H144" s="47">
        <f t="shared" si="111"/>
        <v>0</v>
      </c>
      <c r="I144" s="47">
        <f t="shared" si="111"/>
        <v>0</v>
      </c>
      <c r="J144" s="47">
        <f t="shared" si="111"/>
        <v>0</v>
      </c>
      <c r="K144" s="47">
        <f t="shared" si="111"/>
        <v>0</v>
      </c>
      <c r="L144" s="47">
        <f t="shared" si="111"/>
        <v>0</v>
      </c>
      <c r="M144" s="47">
        <f t="shared" si="111"/>
        <v>0</v>
      </c>
      <c r="N144" s="47">
        <f t="shared" si="111"/>
        <v>0</v>
      </c>
      <c r="O144" s="47">
        <f t="shared" si="111"/>
        <v>0</v>
      </c>
      <c r="P144" s="47">
        <f t="shared" si="111"/>
        <v>0</v>
      </c>
      <c r="Q144" s="47">
        <f t="shared" si="111"/>
        <v>0</v>
      </c>
      <c r="R144" s="47">
        <f t="shared" si="111"/>
        <v>0</v>
      </c>
      <c r="S144" s="47">
        <f t="shared" si="111"/>
        <v>0</v>
      </c>
      <c r="T144" s="47">
        <f t="shared" si="111"/>
        <v>0</v>
      </c>
      <c r="U144" s="47">
        <f t="shared" si="111"/>
        <v>0</v>
      </c>
      <c r="V144" s="47">
        <f t="shared" si="111"/>
        <v>0</v>
      </c>
      <c r="W144" s="47">
        <f t="shared" si="111"/>
        <v>0</v>
      </c>
      <c r="X144" s="47">
        <f t="shared" si="111"/>
        <v>0</v>
      </c>
      <c r="Y144" s="47">
        <f t="shared" si="111"/>
        <v>-2.9718947919567098</v>
      </c>
      <c r="Z144" s="47">
        <f t="shared" si="111"/>
        <v>-2.9718947919567098</v>
      </c>
      <c r="AA144" s="47">
        <f t="shared" si="111"/>
        <v>-2.9718947919567098</v>
      </c>
      <c r="AB144" s="47">
        <f t="shared" si="111"/>
        <v>-2.9718947919567098</v>
      </c>
      <c r="AC144" s="47">
        <f t="shared" si="111"/>
        <v>-2.9718947919567098</v>
      </c>
      <c r="AD144" s="47">
        <f t="shared" si="111"/>
        <v>0</v>
      </c>
      <c r="AE144" s="47">
        <f t="shared" si="111"/>
        <v>0</v>
      </c>
      <c r="AF144" s="47">
        <f t="shared" si="111"/>
        <v>0</v>
      </c>
      <c r="AG144" s="47">
        <f t="shared" si="111"/>
        <v>0</v>
      </c>
      <c r="AH144" s="47">
        <f t="shared" si="111"/>
        <v>0</v>
      </c>
      <c r="AI144" s="47">
        <f t="shared" si="111"/>
        <v>0</v>
      </c>
      <c r="AJ144" s="47">
        <f t="shared" si="111"/>
        <v>0</v>
      </c>
      <c r="AK144" s="47">
        <f t="shared" si="111"/>
        <v>0</v>
      </c>
      <c r="AL144" s="47">
        <f t="shared" si="111"/>
        <v>0</v>
      </c>
      <c r="AM144" s="47">
        <f t="shared" si="111"/>
        <v>0</v>
      </c>
      <c r="AN144" s="47">
        <f t="shared" si="111"/>
        <v>0</v>
      </c>
      <c r="AO144" s="47">
        <f t="shared" si="111"/>
        <v>0</v>
      </c>
      <c r="AP144" s="47">
        <f t="shared" si="111"/>
        <v>0</v>
      </c>
      <c r="AQ144" s="47">
        <f t="shared" si="111"/>
        <v>0</v>
      </c>
      <c r="AR144" s="47">
        <f t="shared" si="111"/>
        <v>0</v>
      </c>
      <c r="AS144" s="47">
        <f t="shared" si="111"/>
        <v>0</v>
      </c>
      <c r="AT144" s="47">
        <f t="shared" si="111"/>
        <v>0</v>
      </c>
      <c r="AU144" s="47">
        <f t="shared" si="111"/>
        <v>0</v>
      </c>
      <c r="AV144" s="47">
        <f t="shared" si="111"/>
        <v>0</v>
      </c>
      <c r="AW144" s="47">
        <f t="shared" si="111"/>
        <v>0</v>
      </c>
      <c r="AX144" s="47">
        <f t="shared" si="111"/>
        <v>0</v>
      </c>
      <c r="AY144" s="47">
        <f t="shared" si="111"/>
        <v>0</v>
      </c>
      <c r="AZ144" s="47">
        <f t="shared" si="111"/>
        <v>0</v>
      </c>
      <c r="BA144" s="47">
        <f t="shared" si="111"/>
        <v>0</v>
      </c>
    </row>
    <row r="145" spans="2:53" x14ac:dyDescent="0.2">
      <c r="B145" s="76" t="s">
        <v>103</v>
      </c>
      <c r="C145" s="73" t="s">
        <v>75</v>
      </c>
      <c r="D145" s="95">
        <f>SUM(D142:D144)</f>
        <v>0</v>
      </c>
      <c r="E145" s="95">
        <f t="shared" ref="E145:BA145" si="112">SUM(E142:E144)</f>
        <v>0</v>
      </c>
      <c r="F145" s="95">
        <f t="shared" si="112"/>
        <v>0</v>
      </c>
      <c r="G145" s="95">
        <f t="shared" si="112"/>
        <v>0</v>
      </c>
      <c r="H145" s="95">
        <f t="shared" si="112"/>
        <v>0</v>
      </c>
      <c r="I145" s="95">
        <f t="shared" si="112"/>
        <v>0</v>
      </c>
      <c r="J145" s="95">
        <f t="shared" si="112"/>
        <v>0</v>
      </c>
      <c r="K145" s="95">
        <f t="shared" si="112"/>
        <v>0</v>
      </c>
      <c r="L145" s="95">
        <f t="shared" si="112"/>
        <v>0</v>
      </c>
      <c r="M145" s="95">
        <f t="shared" si="112"/>
        <v>0</v>
      </c>
      <c r="N145" s="95">
        <f t="shared" si="112"/>
        <v>0</v>
      </c>
      <c r="O145" s="95">
        <f t="shared" si="112"/>
        <v>0</v>
      </c>
      <c r="P145" s="95">
        <f t="shared" si="112"/>
        <v>0</v>
      </c>
      <c r="Q145" s="95">
        <f t="shared" si="112"/>
        <v>0</v>
      </c>
      <c r="R145" s="95">
        <f t="shared" si="112"/>
        <v>0</v>
      </c>
      <c r="S145" s="95">
        <f t="shared" si="112"/>
        <v>0</v>
      </c>
      <c r="T145" s="95">
        <f t="shared" si="112"/>
        <v>0</v>
      </c>
      <c r="U145" s="95">
        <f t="shared" si="112"/>
        <v>0</v>
      </c>
      <c r="V145" s="95">
        <f t="shared" si="112"/>
        <v>0</v>
      </c>
      <c r="W145" s="95">
        <f t="shared" si="112"/>
        <v>0</v>
      </c>
      <c r="X145" s="95">
        <f t="shared" si="112"/>
        <v>14.85947395978355</v>
      </c>
      <c r="Y145" s="95">
        <f t="shared" si="112"/>
        <v>11.887579167826839</v>
      </c>
      <c r="Z145" s="95">
        <f t="shared" si="112"/>
        <v>8.9156843758701285</v>
      </c>
      <c r="AA145" s="95">
        <f t="shared" si="112"/>
        <v>5.9437895839134187</v>
      </c>
      <c r="AB145" s="95">
        <f t="shared" si="112"/>
        <v>2.9718947919567089</v>
      </c>
      <c r="AC145" s="95">
        <f t="shared" si="112"/>
        <v>0</v>
      </c>
      <c r="AD145" s="95">
        <f t="shared" si="112"/>
        <v>0</v>
      </c>
      <c r="AE145" s="95">
        <f t="shared" si="112"/>
        <v>0</v>
      </c>
      <c r="AF145" s="95">
        <f t="shared" si="112"/>
        <v>0</v>
      </c>
      <c r="AG145" s="95">
        <f t="shared" si="112"/>
        <v>0</v>
      </c>
      <c r="AH145" s="95">
        <f t="shared" si="112"/>
        <v>0</v>
      </c>
      <c r="AI145" s="95">
        <f t="shared" si="112"/>
        <v>0</v>
      </c>
      <c r="AJ145" s="95">
        <f t="shared" si="112"/>
        <v>0</v>
      </c>
      <c r="AK145" s="95">
        <f t="shared" si="112"/>
        <v>0</v>
      </c>
      <c r="AL145" s="95">
        <f t="shared" si="112"/>
        <v>0</v>
      </c>
      <c r="AM145" s="95">
        <f t="shared" si="112"/>
        <v>0</v>
      </c>
      <c r="AN145" s="95">
        <f t="shared" si="112"/>
        <v>0</v>
      </c>
      <c r="AO145" s="95">
        <f t="shared" si="112"/>
        <v>0</v>
      </c>
      <c r="AP145" s="95">
        <f t="shared" si="112"/>
        <v>0</v>
      </c>
      <c r="AQ145" s="95">
        <f t="shared" si="112"/>
        <v>0</v>
      </c>
      <c r="AR145" s="95">
        <f t="shared" si="112"/>
        <v>0</v>
      </c>
      <c r="AS145" s="95">
        <f t="shared" si="112"/>
        <v>0</v>
      </c>
      <c r="AT145" s="95">
        <f t="shared" si="112"/>
        <v>0</v>
      </c>
      <c r="AU145" s="95">
        <f t="shared" si="112"/>
        <v>0</v>
      </c>
      <c r="AV145" s="95">
        <f t="shared" si="112"/>
        <v>0</v>
      </c>
      <c r="AW145" s="95">
        <f t="shared" si="112"/>
        <v>0</v>
      </c>
      <c r="AX145" s="95">
        <f t="shared" si="112"/>
        <v>0</v>
      </c>
      <c r="AY145" s="95">
        <f t="shared" si="112"/>
        <v>0</v>
      </c>
      <c r="AZ145" s="95">
        <f t="shared" si="112"/>
        <v>0</v>
      </c>
      <c r="BA145" s="95">
        <f t="shared" si="112"/>
        <v>0</v>
      </c>
    </row>
    <row r="147" spans="2:53" x14ac:dyDescent="0.2">
      <c r="B147" s="215">
        <f>B141+1</f>
        <v>22</v>
      </c>
    </row>
    <row r="148" spans="2:53" x14ac:dyDescent="0.2">
      <c r="B148" s="94" t="s">
        <v>100</v>
      </c>
      <c r="C148" s="73" t="s">
        <v>75</v>
      </c>
      <c r="D148" s="95">
        <f>0</f>
        <v>0</v>
      </c>
      <c r="E148" s="47">
        <f t="shared" ref="E148:BA148" si="113">D151</f>
        <v>0</v>
      </c>
      <c r="F148" s="47">
        <f t="shared" si="113"/>
        <v>0</v>
      </c>
      <c r="G148" s="47">
        <f t="shared" si="113"/>
        <v>0</v>
      </c>
      <c r="H148" s="47">
        <f t="shared" si="113"/>
        <v>0</v>
      </c>
      <c r="I148" s="47">
        <f t="shared" si="113"/>
        <v>0</v>
      </c>
      <c r="J148" s="47">
        <f t="shared" si="113"/>
        <v>0</v>
      </c>
      <c r="K148" s="47">
        <f t="shared" si="113"/>
        <v>0</v>
      </c>
      <c r="L148" s="47">
        <f t="shared" si="113"/>
        <v>0</v>
      </c>
      <c r="M148" s="47">
        <f t="shared" si="113"/>
        <v>0</v>
      </c>
      <c r="N148" s="47">
        <f t="shared" si="113"/>
        <v>0</v>
      </c>
      <c r="O148" s="47">
        <f t="shared" si="113"/>
        <v>0</v>
      </c>
      <c r="P148" s="47">
        <f t="shared" si="113"/>
        <v>0</v>
      </c>
      <c r="Q148" s="47">
        <f t="shared" si="113"/>
        <v>0</v>
      </c>
      <c r="R148" s="47">
        <f t="shared" si="113"/>
        <v>0</v>
      </c>
      <c r="S148" s="47">
        <f t="shared" si="113"/>
        <v>0</v>
      </c>
      <c r="T148" s="47">
        <f t="shared" si="113"/>
        <v>0</v>
      </c>
      <c r="U148" s="47">
        <f t="shared" si="113"/>
        <v>0</v>
      </c>
      <c r="V148" s="47">
        <f t="shared" si="113"/>
        <v>0</v>
      </c>
      <c r="W148" s="47">
        <f t="shared" si="113"/>
        <v>0</v>
      </c>
      <c r="X148" s="47">
        <f t="shared" si="113"/>
        <v>0</v>
      </c>
      <c r="Y148" s="47">
        <f t="shared" si="113"/>
        <v>0</v>
      </c>
      <c r="Z148" s="47">
        <f t="shared" si="113"/>
        <v>15.156663438979221</v>
      </c>
      <c r="AA148" s="47">
        <f t="shared" si="113"/>
        <v>12.125330751183377</v>
      </c>
      <c r="AB148" s="47">
        <f t="shared" si="113"/>
        <v>9.0939980633875326</v>
      </c>
      <c r="AC148" s="47">
        <f t="shared" si="113"/>
        <v>6.0626653755916884</v>
      </c>
      <c r="AD148" s="47">
        <f t="shared" si="113"/>
        <v>3.0313326877958442</v>
      </c>
      <c r="AE148" s="47">
        <f t="shared" si="113"/>
        <v>0</v>
      </c>
      <c r="AF148" s="47">
        <f t="shared" si="113"/>
        <v>0</v>
      </c>
      <c r="AG148" s="47">
        <f t="shared" si="113"/>
        <v>0</v>
      </c>
      <c r="AH148" s="47">
        <f t="shared" si="113"/>
        <v>0</v>
      </c>
      <c r="AI148" s="47">
        <f t="shared" si="113"/>
        <v>0</v>
      </c>
      <c r="AJ148" s="47">
        <f t="shared" si="113"/>
        <v>0</v>
      </c>
      <c r="AK148" s="47">
        <f t="shared" si="113"/>
        <v>0</v>
      </c>
      <c r="AL148" s="47">
        <f t="shared" si="113"/>
        <v>0</v>
      </c>
      <c r="AM148" s="47">
        <f t="shared" si="113"/>
        <v>0</v>
      </c>
      <c r="AN148" s="47">
        <f t="shared" si="113"/>
        <v>0</v>
      </c>
      <c r="AO148" s="47">
        <f t="shared" si="113"/>
        <v>0</v>
      </c>
      <c r="AP148" s="47">
        <f t="shared" si="113"/>
        <v>0</v>
      </c>
      <c r="AQ148" s="47">
        <f t="shared" si="113"/>
        <v>0</v>
      </c>
      <c r="AR148" s="47">
        <f t="shared" si="113"/>
        <v>0</v>
      </c>
      <c r="AS148" s="47">
        <f t="shared" si="113"/>
        <v>0</v>
      </c>
      <c r="AT148" s="47">
        <f t="shared" si="113"/>
        <v>0</v>
      </c>
      <c r="AU148" s="47">
        <f t="shared" si="113"/>
        <v>0</v>
      </c>
      <c r="AV148" s="47">
        <f t="shared" si="113"/>
        <v>0</v>
      </c>
      <c r="AW148" s="47">
        <f t="shared" si="113"/>
        <v>0</v>
      </c>
      <c r="AX148" s="47">
        <f t="shared" si="113"/>
        <v>0</v>
      </c>
      <c r="AY148" s="47">
        <f t="shared" si="113"/>
        <v>0</v>
      </c>
      <c r="AZ148" s="47">
        <f t="shared" si="113"/>
        <v>0</v>
      </c>
      <c r="BA148" s="47">
        <f t="shared" si="113"/>
        <v>0</v>
      </c>
    </row>
    <row r="149" spans="2:53" x14ac:dyDescent="0.2">
      <c r="B149" s="94" t="s">
        <v>101</v>
      </c>
      <c r="C149" s="73" t="s">
        <v>75</v>
      </c>
      <c r="D149" s="95">
        <f>IF($B147=D$2,D$4,0)</f>
        <v>0</v>
      </c>
      <c r="E149" s="95">
        <f t="shared" ref="E149:BA149" si="114">IF($B147=E$2,E$4,0)</f>
        <v>0</v>
      </c>
      <c r="F149" s="95">
        <f t="shared" si="114"/>
        <v>0</v>
      </c>
      <c r="G149" s="95">
        <f t="shared" si="114"/>
        <v>0</v>
      </c>
      <c r="H149" s="95">
        <f t="shared" si="114"/>
        <v>0</v>
      </c>
      <c r="I149" s="95">
        <f t="shared" si="114"/>
        <v>0</v>
      </c>
      <c r="J149" s="95">
        <f t="shared" si="114"/>
        <v>0</v>
      </c>
      <c r="K149" s="95">
        <f t="shared" si="114"/>
        <v>0</v>
      </c>
      <c r="L149" s="95">
        <f t="shared" si="114"/>
        <v>0</v>
      </c>
      <c r="M149" s="95">
        <f t="shared" si="114"/>
        <v>0</v>
      </c>
      <c r="N149" s="95">
        <f t="shared" si="114"/>
        <v>0</v>
      </c>
      <c r="O149" s="95">
        <f t="shared" si="114"/>
        <v>0</v>
      </c>
      <c r="P149" s="95">
        <f t="shared" si="114"/>
        <v>0</v>
      </c>
      <c r="Q149" s="95">
        <f t="shared" si="114"/>
        <v>0</v>
      </c>
      <c r="R149" s="95">
        <f t="shared" si="114"/>
        <v>0</v>
      </c>
      <c r="S149" s="95">
        <f t="shared" si="114"/>
        <v>0</v>
      </c>
      <c r="T149" s="95">
        <f t="shared" si="114"/>
        <v>0</v>
      </c>
      <c r="U149" s="95">
        <f t="shared" si="114"/>
        <v>0</v>
      </c>
      <c r="V149" s="95">
        <f t="shared" si="114"/>
        <v>0</v>
      </c>
      <c r="W149" s="95">
        <f t="shared" si="114"/>
        <v>0</v>
      </c>
      <c r="X149" s="95">
        <f t="shared" si="114"/>
        <v>0</v>
      </c>
      <c r="Y149" s="95">
        <f t="shared" si="114"/>
        <v>15.156663438979221</v>
      </c>
      <c r="Z149" s="95">
        <f t="shared" si="114"/>
        <v>0</v>
      </c>
      <c r="AA149" s="95">
        <f t="shared" si="114"/>
        <v>0</v>
      </c>
      <c r="AB149" s="95">
        <f t="shared" si="114"/>
        <v>0</v>
      </c>
      <c r="AC149" s="95">
        <f t="shared" si="114"/>
        <v>0</v>
      </c>
      <c r="AD149" s="95">
        <f t="shared" si="114"/>
        <v>0</v>
      </c>
      <c r="AE149" s="95">
        <f t="shared" si="114"/>
        <v>0</v>
      </c>
      <c r="AF149" s="95">
        <f t="shared" si="114"/>
        <v>0</v>
      </c>
      <c r="AG149" s="95">
        <f t="shared" si="114"/>
        <v>0</v>
      </c>
      <c r="AH149" s="95">
        <f t="shared" si="114"/>
        <v>0</v>
      </c>
      <c r="AI149" s="95">
        <f t="shared" si="114"/>
        <v>0</v>
      </c>
      <c r="AJ149" s="95">
        <f t="shared" si="114"/>
        <v>0</v>
      </c>
      <c r="AK149" s="95">
        <f t="shared" si="114"/>
        <v>0</v>
      </c>
      <c r="AL149" s="95">
        <f t="shared" si="114"/>
        <v>0</v>
      </c>
      <c r="AM149" s="95">
        <f t="shared" si="114"/>
        <v>0</v>
      </c>
      <c r="AN149" s="95">
        <f t="shared" si="114"/>
        <v>0</v>
      </c>
      <c r="AO149" s="95">
        <f t="shared" si="114"/>
        <v>0</v>
      </c>
      <c r="AP149" s="95">
        <f t="shared" si="114"/>
        <v>0</v>
      </c>
      <c r="AQ149" s="95">
        <f t="shared" si="114"/>
        <v>0</v>
      </c>
      <c r="AR149" s="95">
        <f t="shared" si="114"/>
        <v>0</v>
      </c>
      <c r="AS149" s="95">
        <f t="shared" si="114"/>
        <v>0</v>
      </c>
      <c r="AT149" s="95">
        <f t="shared" si="114"/>
        <v>0</v>
      </c>
      <c r="AU149" s="95">
        <f t="shared" si="114"/>
        <v>0</v>
      </c>
      <c r="AV149" s="95">
        <f t="shared" si="114"/>
        <v>0</v>
      </c>
      <c r="AW149" s="95">
        <f t="shared" si="114"/>
        <v>0</v>
      </c>
      <c r="AX149" s="95">
        <f t="shared" si="114"/>
        <v>0</v>
      </c>
      <c r="AY149" s="95">
        <f t="shared" si="114"/>
        <v>0</v>
      </c>
      <c r="AZ149" s="95">
        <f t="shared" si="114"/>
        <v>0</v>
      </c>
      <c r="BA149" s="95">
        <f t="shared" si="114"/>
        <v>0</v>
      </c>
    </row>
    <row r="150" spans="2:53" x14ac:dyDescent="0.2">
      <c r="B150" s="76" t="s">
        <v>102</v>
      </c>
      <c r="C150" s="73" t="s">
        <v>75</v>
      </c>
      <c r="D150" s="47"/>
      <c r="E150" s="47">
        <f>IF(OR(D151&lt;=$B$15*$Y$149,F$1-$Z$1&gt;$B$13),0,-IF($B$12="straight line",SLN($Y$149,+$B$15*$Y$149,$B$13),VDB($Y$149,$B$15*$Y$149,$B$13,E$1-$Z$1,F$1-$Z$1,$B$14)))</f>
        <v>0</v>
      </c>
      <c r="F150" s="47">
        <f t="shared" ref="F150:BA150" si="115">IF(OR(E151&lt;=$B$15*$Y$149,G$1-$Z$1&gt;$B$13),0,-IF($B$12="straight line",SLN($Y$149,+$B$15*$Y$149,$B$13),VDB($Y$149,$B$15*$Y$149,$B$13,F$1-$Z$1,G$1-$Z$1,$B$14)))</f>
        <v>0</v>
      </c>
      <c r="G150" s="47">
        <f t="shared" si="115"/>
        <v>0</v>
      </c>
      <c r="H150" s="47">
        <f t="shared" si="115"/>
        <v>0</v>
      </c>
      <c r="I150" s="47">
        <f t="shared" si="115"/>
        <v>0</v>
      </c>
      <c r="J150" s="47">
        <f t="shared" si="115"/>
        <v>0</v>
      </c>
      <c r="K150" s="47">
        <f t="shared" si="115"/>
        <v>0</v>
      </c>
      <c r="L150" s="47">
        <f t="shared" si="115"/>
        <v>0</v>
      </c>
      <c r="M150" s="47">
        <f t="shared" si="115"/>
        <v>0</v>
      </c>
      <c r="N150" s="47">
        <f t="shared" si="115"/>
        <v>0</v>
      </c>
      <c r="O150" s="47">
        <f t="shared" si="115"/>
        <v>0</v>
      </c>
      <c r="P150" s="47">
        <f t="shared" si="115"/>
        <v>0</v>
      </c>
      <c r="Q150" s="47">
        <f t="shared" si="115"/>
        <v>0</v>
      </c>
      <c r="R150" s="47">
        <f t="shared" si="115"/>
        <v>0</v>
      </c>
      <c r="S150" s="47">
        <f t="shared" si="115"/>
        <v>0</v>
      </c>
      <c r="T150" s="47">
        <f t="shared" si="115"/>
        <v>0</v>
      </c>
      <c r="U150" s="47">
        <f t="shared" si="115"/>
        <v>0</v>
      </c>
      <c r="V150" s="47">
        <f t="shared" si="115"/>
        <v>0</v>
      </c>
      <c r="W150" s="47">
        <f t="shared" si="115"/>
        <v>0</v>
      </c>
      <c r="X150" s="47">
        <f t="shared" si="115"/>
        <v>0</v>
      </c>
      <c r="Y150" s="47">
        <f t="shared" si="115"/>
        <v>0</v>
      </c>
      <c r="Z150" s="47">
        <f t="shared" si="115"/>
        <v>-3.0313326877958442</v>
      </c>
      <c r="AA150" s="47">
        <f t="shared" si="115"/>
        <v>-3.0313326877958442</v>
      </c>
      <c r="AB150" s="47">
        <f t="shared" si="115"/>
        <v>-3.0313326877958442</v>
      </c>
      <c r="AC150" s="47">
        <f t="shared" si="115"/>
        <v>-3.0313326877958442</v>
      </c>
      <c r="AD150" s="47">
        <f t="shared" si="115"/>
        <v>-3.0313326877958442</v>
      </c>
      <c r="AE150" s="47">
        <f t="shared" si="115"/>
        <v>0</v>
      </c>
      <c r="AF150" s="47">
        <f t="shared" si="115"/>
        <v>0</v>
      </c>
      <c r="AG150" s="47">
        <f t="shared" si="115"/>
        <v>0</v>
      </c>
      <c r="AH150" s="47">
        <f t="shared" si="115"/>
        <v>0</v>
      </c>
      <c r="AI150" s="47">
        <f t="shared" si="115"/>
        <v>0</v>
      </c>
      <c r="AJ150" s="47">
        <f t="shared" si="115"/>
        <v>0</v>
      </c>
      <c r="AK150" s="47">
        <f t="shared" si="115"/>
        <v>0</v>
      </c>
      <c r="AL150" s="47">
        <f t="shared" si="115"/>
        <v>0</v>
      </c>
      <c r="AM150" s="47">
        <f t="shared" si="115"/>
        <v>0</v>
      </c>
      <c r="AN150" s="47">
        <f t="shared" si="115"/>
        <v>0</v>
      </c>
      <c r="AO150" s="47">
        <f t="shared" si="115"/>
        <v>0</v>
      </c>
      <c r="AP150" s="47">
        <f t="shared" si="115"/>
        <v>0</v>
      </c>
      <c r="AQ150" s="47">
        <f t="shared" si="115"/>
        <v>0</v>
      </c>
      <c r="AR150" s="47">
        <f t="shared" si="115"/>
        <v>0</v>
      </c>
      <c r="AS150" s="47">
        <f t="shared" si="115"/>
        <v>0</v>
      </c>
      <c r="AT150" s="47">
        <f t="shared" si="115"/>
        <v>0</v>
      </c>
      <c r="AU150" s="47">
        <f t="shared" si="115"/>
        <v>0</v>
      </c>
      <c r="AV150" s="47">
        <f t="shared" si="115"/>
        <v>0</v>
      </c>
      <c r="AW150" s="47">
        <f t="shared" si="115"/>
        <v>0</v>
      </c>
      <c r="AX150" s="47">
        <f t="shared" si="115"/>
        <v>0</v>
      </c>
      <c r="AY150" s="47">
        <f t="shared" si="115"/>
        <v>0</v>
      </c>
      <c r="AZ150" s="47">
        <f t="shared" si="115"/>
        <v>0</v>
      </c>
      <c r="BA150" s="47">
        <f t="shared" si="115"/>
        <v>0</v>
      </c>
    </row>
    <row r="151" spans="2:53" x14ac:dyDescent="0.2">
      <c r="B151" s="76" t="s">
        <v>103</v>
      </c>
      <c r="C151" s="73" t="s">
        <v>75</v>
      </c>
      <c r="D151" s="95">
        <f>SUM(D148:D150)</f>
        <v>0</v>
      </c>
      <c r="E151" s="95">
        <f t="shared" ref="E151:BA151" si="116">SUM(E148:E150)</f>
        <v>0</v>
      </c>
      <c r="F151" s="95">
        <f t="shared" si="116"/>
        <v>0</v>
      </c>
      <c r="G151" s="95">
        <f t="shared" si="116"/>
        <v>0</v>
      </c>
      <c r="H151" s="95">
        <f t="shared" si="116"/>
        <v>0</v>
      </c>
      <c r="I151" s="95">
        <f t="shared" si="116"/>
        <v>0</v>
      </c>
      <c r="J151" s="95">
        <f t="shared" si="116"/>
        <v>0</v>
      </c>
      <c r="K151" s="95">
        <f t="shared" si="116"/>
        <v>0</v>
      </c>
      <c r="L151" s="95">
        <f t="shared" si="116"/>
        <v>0</v>
      </c>
      <c r="M151" s="95">
        <f t="shared" si="116"/>
        <v>0</v>
      </c>
      <c r="N151" s="95">
        <f t="shared" si="116"/>
        <v>0</v>
      </c>
      <c r="O151" s="95">
        <f t="shared" si="116"/>
        <v>0</v>
      </c>
      <c r="P151" s="95">
        <f t="shared" si="116"/>
        <v>0</v>
      </c>
      <c r="Q151" s="95">
        <f t="shared" si="116"/>
        <v>0</v>
      </c>
      <c r="R151" s="95">
        <f t="shared" si="116"/>
        <v>0</v>
      </c>
      <c r="S151" s="95">
        <f t="shared" si="116"/>
        <v>0</v>
      </c>
      <c r="T151" s="95">
        <f t="shared" si="116"/>
        <v>0</v>
      </c>
      <c r="U151" s="95">
        <f t="shared" si="116"/>
        <v>0</v>
      </c>
      <c r="V151" s="95">
        <f t="shared" si="116"/>
        <v>0</v>
      </c>
      <c r="W151" s="95">
        <f t="shared" si="116"/>
        <v>0</v>
      </c>
      <c r="X151" s="95">
        <f t="shared" si="116"/>
        <v>0</v>
      </c>
      <c r="Y151" s="95">
        <f t="shared" si="116"/>
        <v>15.156663438979221</v>
      </c>
      <c r="Z151" s="95">
        <f t="shared" si="116"/>
        <v>12.125330751183377</v>
      </c>
      <c r="AA151" s="95">
        <f t="shared" si="116"/>
        <v>9.0939980633875326</v>
      </c>
      <c r="AB151" s="95">
        <f t="shared" si="116"/>
        <v>6.0626653755916884</v>
      </c>
      <c r="AC151" s="95">
        <f t="shared" si="116"/>
        <v>3.0313326877958442</v>
      </c>
      <c r="AD151" s="95">
        <f t="shared" si="116"/>
        <v>0</v>
      </c>
      <c r="AE151" s="95">
        <f t="shared" si="116"/>
        <v>0</v>
      </c>
      <c r="AF151" s="95">
        <f t="shared" si="116"/>
        <v>0</v>
      </c>
      <c r="AG151" s="95">
        <f t="shared" si="116"/>
        <v>0</v>
      </c>
      <c r="AH151" s="95">
        <f t="shared" si="116"/>
        <v>0</v>
      </c>
      <c r="AI151" s="95">
        <f t="shared" si="116"/>
        <v>0</v>
      </c>
      <c r="AJ151" s="95">
        <f t="shared" si="116"/>
        <v>0</v>
      </c>
      <c r="AK151" s="95">
        <f t="shared" si="116"/>
        <v>0</v>
      </c>
      <c r="AL151" s="95">
        <f t="shared" si="116"/>
        <v>0</v>
      </c>
      <c r="AM151" s="95">
        <f t="shared" si="116"/>
        <v>0</v>
      </c>
      <c r="AN151" s="95">
        <f t="shared" si="116"/>
        <v>0</v>
      </c>
      <c r="AO151" s="95">
        <f t="shared" si="116"/>
        <v>0</v>
      </c>
      <c r="AP151" s="95">
        <f t="shared" si="116"/>
        <v>0</v>
      </c>
      <c r="AQ151" s="95">
        <f t="shared" si="116"/>
        <v>0</v>
      </c>
      <c r="AR151" s="95">
        <f t="shared" si="116"/>
        <v>0</v>
      </c>
      <c r="AS151" s="95">
        <f t="shared" si="116"/>
        <v>0</v>
      </c>
      <c r="AT151" s="95">
        <f t="shared" si="116"/>
        <v>0</v>
      </c>
      <c r="AU151" s="95">
        <f t="shared" si="116"/>
        <v>0</v>
      </c>
      <c r="AV151" s="95">
        <f t="shared" si="116"/>
        <v>0</v>
      </c>
      <c r="AW151" s="95">
        <f t="shared" si="116"/>
        <v>0</v>
      </c>
      <c r="AX151" s="95">
        <f t="shared" si="116"/>
        <v>0</v>
      </c>
      <c r="AY151" s="95">
        <f t="shared" si="116"/>
        <v>0</v>
      </c>
      <c r="AZ151" s="95">
        <f t="shared" si="116"/>
        <v>0</v>
      </c>
      <c r="BA151" s="95">
        <f t="shared" si="116"/>
        <v>0</v>
      </c>
    </row>
    <row r="153" spans="2:53" x14ac:dyDescent="0.2">
      <c r="B153" s="215">
        <f>B147+1</f>
        <v>23</v>
      </c>
    </row>
    <row r="154" spans="2:53" x14ac:dyDescent="0.2">
      <c r="B154" s="94" t="s">
        <v>100</v>
      </c>
      <c r="C154" s="73" t="s">
        <v>75</v>
      </c>
      <c r="D154" s="95">
        <f>0</f>
        <v>0</v>
      </c>
      <c r="E154" s="47">
        <f t="shared" ref="E154:BA154" si="117">D157</f>
        <v>0</v>
      </c>
      <c r="F154" s="47">
        <f t="shared" si="117"/>
        <v>0</v>
      </c>
      <c r="G154" s="47">
        <f t="shared" si="117"/>
        <v>0</v>
      </c>
      <c r="H154" s="47">
        <f t="shared" si="117"/>
        <v>0</v>
      </c>
      <c r="I154" s="47">
        <f t="shared" si="117"/>
        <v>0</v>
      </c>
      <c r="J154" s="47">
        <f t="shared" si="117"/>
        <v>0</v>
      </c>
      <c r="K154" s="47">
        <f t="shared" si="117"/>
        <v>0</v>
      </c>
      <c r="L154" s="47">
        <f t="shared" si="117"/>
        <v>0</v>
      </c>
      <c r="M154" s="47">
        <f t="shared" si="117"/>
        <v>0</v>
      </c>
      <c r="N154" s="47">
        <f t="shared" si="117"/>
        <v>0</v>
      </c>
      <c r="O154" s="47">
        <f t="shared" si="117"/>
        <v>0</v>
      </c>
      <c r="P154" s="47">
        <f t="shared" si="117"/>
        <v>0</v>
      </c>
      <c r="Q154" s="47">
        <f t="shared" si="117"/>
        <v>0</v>
      </c>
      <c r="R154" s="47">
        <f t="shared" si="117"/>
        <v>0</v>
      </c>
      <c r="S154" s="47">
        <f t="shared" si="117"/>
        <v>0</v>
      </c>
      <c r="T154" s="47">
        <f t="shared" si="117"/>
        <v>0</v>
      </c>
      <c r="U154" s="47">
        <f t="shared" si="117"/>
        <v>0</v>
      </c>
      <c r="V154" s="47">
        <f t="shared" si="117"/>
        <v>0</v>
      </c>
      <c r="W154" s="47">
        <f t="shared" si="117"/>
        <v>0</v>
      </c>
      <c r="X154" s="47">
        <f t="shared" si="117"/>
        <v>0</v>
      </c>
      <c r="Y154" s="47">
        <f t="shared" si="117"/>
        <v>0</v>
      </c>
      <c r="Z154" s="47">
        <f t="shared" si="117"/>
        <v>0</v>
      </c>
      <c r="AA154" s="47">
        <f t="shared" si="117"/>
        <v>15.459796707758805</v>
      </c>
      <c r="AB154" s="47">
        <f t="shared" si="117"/>
        <v>12.367837366207045</v>
      </c>
      <c r="AC154" s="47">
        <f t="shared" si="117"/>
        <v>9.2758780246552845</v>
      </c>
      <c r="AD154" s="47">
        <f t="shared" si="117"/>
        <v>6.1839186831035233</v>
      </c>
      <c r="AE154" s="47">
        <f t="shared" si="117"/>
        <v>3.0919593415517621</v>
      </c>
      <c r="AF154" s="47">
        <f t="shared" si="117"/>
        <v>0</v>
      </c>
      <c r="AG154" s="47">
        <f t="shared" si="117"/>
        <v>0</v>
      </c>
      <c r="AH154" s="47">
        <f t="shared" si="117"/>
        <v>0</v>
      </c>
      <c r="AI154" s="47">
        <f t="shared" si="117"/>
        <v>0</v>
      </c>
      <c r="AJ154" s="47">
        <f t="shared" si="117"/>
        <v>0</v>
      </c>
      <c r="AK154" s="47">
        <f t="shared" si="117"/>
        <v>0</v>
      </c>
      <c r="AL154" s="47">
        <f t="shared" si="117"/>
        <v>0</v>
      </c>
      <c r="AM154" s="47">
        <f t="shared" si="117"/>
        <v>0</v>
      </c>
      <c r="AN154" s="47">
        <f t="shared" si="117"/>
        <v>0</v>
      </c>
      <c r="AO154" s="47">
        <f t="shared" si="117"/>
        <v>0</v>
      </c>
      <c r="AP154" s="47">
        <f t="shared" si="117"/>
        <v>0</v>
      </c>
      <c r="AQ154" s="47">
        <f t="shared" si="117"/>
        <v>0</v>
      </c>
      <c r="AR154" s="47">
        <f t="shared" si="117"/>
        <v>0</v>
      </c>
      <c r="AS154" s="47">
        <f t="shared" si="117"/>
        <v>0</v>
      </c>
      <c r="AT154" s="47">
        <f t="shared" si="117"/>
        <v>0</v>
      </c>
      <c r="AU154" s="47">
        <f t="shared" si="117"/>
        <v>0</v>
      </c>
      <c r="AV154" s="47">
        <f t="shared" si="117"/>
        <v>0</v>
      </c>
      <c r="AW154" s="47">
        <f t="shared" si="117"/>
        <v>0</v>
      </c>
      <c r="AX154" s="47">
        <f t="shared" si="117"/>
        <v>0</v>
      </c>
      <c r="AY154" s="47">
        <f t="shared" si="117"/>
        <v>0</v>
      </c>
      <c r="AZ154" s="47">
        <f t="shared" si="117"/>
        <v>0</v>
      </c>
      <c r="BA154" s="47">
        <f t="shared" si="117"/>
        <v>0</v>
      </c>
    </row>
    <row r="155" spans="2:53" x14ac:dyDescent="0.2">
      <c r="B155" s="94" t="s">
        <v>101</v>
      </c>
      <c r="C155" s="73" t="s">
        <v>75</v>
      </c>
      <c r="D155" s="95">
        <f>IF($B153=D$2,D$4,0)</f>
        <v>0</v>
      </c>
      <c r="E155" s="95">
        <f t="shared" ref="E155:BA155" si="118">IF($B153=E$2,E$4,0)</f>
        <v>0</v>
      </c>
      <c r="F155" s="95">
        <f t="shared" si="118"/>
        <v>0</v>
      </c>
      <c r="G155" s="95">
        <f t="shared" si="118"/>
        <v>0</v>
      </c>
      <c r="H155" s="95">
        <f t="shared" si="118"/>
        <v>0</v>
      </c>
      <c r="I155" s="95">
        <f t="shared" si="118"/>
        <v>0</v>
      </c>
      <c r="J155" s="95">
        <f t="shared" si="118"/>
        <v>0</v>
      </c>
      <c r="K155" s="95">
        <f t="shared" si="118"/>
        <v>0</v>
      </c>
      <c r="L155" s="95">
        <f t="shared" si="118"/>
        <v>0</v>
      </c>
      <c r="M155" s="95">
        <f t="shared" si="118"/>
        <v>0</v>
      </c>
      <c r="N155" s="95">
        <f t="shared" si="118"/>
        <v>0</v>
      </c>
      <c r="O155" s="95">
        <f t="shared" si="118"/>
        <v>0</v>
      </c>
      <c r="P155" s="95">
        <f t="shared" si="118"/>
        <v>0</v>
      </c>
      <c r="Q155" s="95">
        <f t="shared" si="118"/>
        <v>0</v>
      </c>
      <c r="R155" s="95">
        <f t="shared" si="118"/>
        <v>0</v>
      </c>
      <c r="S155" s="95">
        <f t="shared" si="118"/>
        <v>0</v>
      </c>
      <c r="T155" s="95">
        <f t="shared" si="118"/>
        <v>0</v>
      </c>
      <c r="U155" s="95">
        <f t="shared" si="118"/>
        <v>0</v>
      </c>
      <c r="V155" s="95">
        <f t="shared" si="118"/>
        <v>0</v>
      </c>
      <c r="W155" s="95">
        <f t="shared" si="118"/>
        <v>0</v>
      </c>
      <c r="X155" s="95">
        <f t="shared" si="118"/>
        <v>0</v>
      </c>
      <c r="Y155" s="95">
        <f t="shared" si="118"/>
        <v>0</v>
      </c>
      <c r="Z155" s="95">
        <f t="shared" si="118"/>
        <v>15.459796707758805</v>
      </c>
      <c r="AA155" s="95">
        <f t="shared" si="118"/>
        <v>0</v>
      </c>
      <c r="AB155" s="95">
        <f t="shared" si="118"/>
        <v>0</v>
      </c>
      <c r="AC155" s="95">
        <f t="shared" si="118"/>
        <v>0</v>
      </c>
      <c r="AD155" s="95">
        <f t="shared" si="118"/>
        <v>0</v>
      </c>
      <c r="AE155" s="95">
        <f t="shared" si="118"/>
        <v>0</v>
      </c>
      <c r="AF155" s="95">
        <f t="shared" si="118"/>
        <v>0</v>
      </c>
      <c r="AG155" s="95">
        <f t="shared" si="118"/>
        <v>0</v>
      </c>
      <c r="AH155" s="95">
        <f t="shared" si="118"/>
        <v>0</v>
      </c>
      <c r="AI155" s="95">
        <f t="shared" si="118"/>
        <v>0</v>
      </c>
      <c r="AJ155" s="95">
        <f t="shared" si="118"/>
        <v>0</v>
      </c>
      <c r="AK155" s="95">
        <f t="shared" si="118"/>
        <v>0</v>
      </c>
      <c r="AL155" s="95">
        <f t="shared" si="118"/>
        <v>0</v>
      </c>
      <c r="AM155" s="95">
        <f t="shared" si="118"/>
        <v>0</v>
      </c>
      <c r="AN155" s="95">
        <f t="shared" si="118"/>
        <v>0</v>
      </c>
      <c r="AO155" s="95">
        <f t="shared" si="118"/>
        <v>0</v>
      </c>
      <c r="AP155" s="95">
        <f t="shared" si="118"/>
        <v>0</v>
      </c>
      <c r="AQ155" s="95">
        <f t="shared" si="118"/>
        <v>0</v>
      </c>
      <c r="AR155" s="95">
        <f t="shared" si="118"/>
        <v>0</v>
      </c>
      <c r="AS155" s="95">
        <f t="shared" si="118"/>
        <v>0</v>
      </c>
      <c r="AT155" s="95">
        <f t="shared" si="118"/>
        <v>0</v>
      </c>
      <c r="AU155" s="95">
        <f t="shared" si="118"/>
        <v>0</v>
      </c>
      <c r="AV155" s="95">
        <f t="shared" si="118"/>
        <v>0</v>
      </c>
      <c r="AW155" s="95">
        <f t="shared" si="118"/>
        <v>0</v>
      </c>
      <c r="AX155" s="95">
        <f t="shared" si="118"/>
        <v>0</v>
      </c>
      <c r="AY155" s="95">
        <f t="shared" si="118"/>
        <v>0</v>
      </c>
      <c r="AZ155" s="95">
        <f t="shared" si="118"/>
        <v>0</v>
      </c>
      <c r="BA155" s="95">
        <f t="shared" si="118"/>
        <v>0</v>
      </c>
    </row>
    <row r="156" spans="2:53" x14ac:dyDescent="0.2">
      <c r="B156" s="76" t="s">
        <v>102</v>
      </c>
      <c r="C156" s="73" t="s">
        <v>75</v>
      </c>
      <c r="D156" s="47"/>
      <c r="E156" s="47">
        <f>IF(OR(D157&lt;=$B$15*$Z$155,F$1-$AA$1&gt;$B$13),0,-IF($B$12="straight line",SLN($Z$155,+$B$15*$Z$155,$B$13),VDB($Z$155,$B$15*$Z$155,$B$13,E$1-$AA$1,F$1-$AA$1,$B$14)))</f>
        <v>0</v>
      </c>
      <c r="F156" s="47">
        <f t="shared" ref="F156:BA156" si="119">IF(OR(E157&lt;=$B$15*$Z$155,G$1-$AA$1&gt;$B$13),0,-IF($B$12="straight line",SLN($Z$155,+$B$15*$Z$155,$B$13),VDB($Z$155,$B$15*$Z$155,$B$13,F$1-$AA$1,G$1-$AA$1,$B$14)))</f>
        <v>0</v>
      </c>
      <c r="G156" s="47">
        <f t="shared" si="119"/>
        <v>0</v>
      </c>
      <c r="H156" s="47">
        <f t="shared" si="119"/>
        <v>0</v>
      </c>
      <c r="I156" s="47">
        <f t="shared" si="119"/>
        <v>0</v>
      </c>
      <c r="J156" s="47">
        <f t="shared" si="119"/>
        <v>0</v>
      </c>
      <c r="K156" s="47">
        <f t="shared" si="119"/>
        <v>0</v>
      </c>
      <c r="L156" s="47">
        <f t="shared" si="119"/>
        <v>0</v>
      </c>
      <c r="M156" s="47">
        <f t="shared" si="119"/>
        <v>0</v>
      </c>
      <c r="N156" s="47">
        <f t="shared" si="119"/>
        <v>0</v>
      </c>
      <c r="O156" s="47">
        <f t="shared" si="119"/>
        <v>0</v>
      </c>
      <c r="P156" s="47">
        <f t="shared" si="119"/>
        <v>0</v>
      </c>
      <c r="Q156" s="47">
        <f t="shared" si="119"/>
        <v>0</v>
      </c>
      <c r="R156" s="47">
        <f t="shared" si="119"/>
        <v>0</v>
      </c>
      <c r="S156" s="47">
        <f t="shared" si="119"/>
        <v>0</v>
      </c>
      <c r="T156" s="47">
        <f t="shared" si="119"/>
        <v>0</v>
      </c>
      <c r="U156" s="47">
        <f t="shared" si="119"/>
        <v>0</v>
      </c>
      <c r="V156" s="47">
        <f t="shared" si="119"/>
        <v>0</v>
      </c>
      <c r="W156" s="47">
        <f t="shared" si="119"/>
        <v>0</v>
      </c>
      <c r="X156" s="47">
        <f t="shared" si="119"/>
        <v>0</v>
      </c>
      <c r="Y156" s="47">
        <f t="shared" si="119"/>
        <v>0</v>
      </c>
      <c r="Z156" s="47">
        <f t="shared" si="119"/>
        <v>0</v>
      </c>
      <c r="AA156" s="47">
        <f t="shared" si="119"/>
        <v>-3.0919593415517612</v>
      </c>
      <c r="AB156" s="47">
        <f t="shared" si="119"/>
        <v>-3.0919593415517612</v>
      </c>
      <c r="AC156" s="47">
        <f t="shared" si="119"/>
        <v>-3.0919593415517612</v>
      </c>
      <c r="AD156" s="47">
        <f t="shared" si="119"/>
        <v>-3.0919593415517612</v>
      </c>
      <c r="AE156" s="47">
        <f t="shared" si="119"/>
        <v>-3.0919593415517612</v>
      </c>
      <c r="AF156" s="47">
        <f t="shared" si="119"/>
        <v>0</v>
      </c>
      <c r="AG156" s="47">
        <f t="shared" si="119"/>
        <v>0</v>
      </c>
      <c r="AH156" s="47">
        <f t="shared" si="119"/>
        <v>0</v>
      </c>
      <c r="AI156" s="47">
        <f t="shared" si="119"/>
        <v>0</v>
      </c>
      <c r="AJ156" s="47">
        <f t="shared" si="119"/>
        <v>0</v>
      </c>
      <c r="AK156" s="47">
        <f t="shared" si="119"/>
        <v>0</v>
      </c>
      <c r="AL156" s="47">
        <f t="shared" si="119"/>
        <v>0</v>
      </c>
      <c r="AM156" s="47">
        <f t="shared" si="119"/>
        <v>0</v>
      </c>
      <c r="AN156" s="47">
        <f t="shared" si="119"/>
        <v>0</v>
      </c>
      <c r="AO156" s="47">
        <f t="shared" si="119"/>
        <v>0</v>
      </c>
      <c r="AP156" s="47">
        <f t="shared" si="119"/>
        <v>0</v>
      </c>
      <c r="AQ156" s="47">
        <f t="shared" si="119"/>
        <v>0</v>
      </c>
      <c r="AR156" s="47">
        <f t="shared" si="119"/>
        <v>0</v>
      </c>
      <c r="AS156" s="47">
        <f t="shared" si="119"/>
        <v>0</v>
      </c>
      <c r="AT156" s="47">
        <f t="shared" si="119"/>
        <v>0</v>
      </c>
      <c r="AU156" s="47">
        <f t="shared" si="119"/>
        <v>0</v>
      </c>
      <c r="AV156" s="47">
        <f t="shared" si="119"/>
        <v>0</v>
      </c>
      <c r="AW156" s="47">
        <f t="shared" si="119"/>
        <v>0</v>
      </c>
      <c r="AX156" s="47">
        <f t="shared" si="119"/>
        <v>0</v>
      </c>
      <c r="AY156" s="47">
        <f t="shared" si="119"/>
        <v>0</v>
      </c>
      <c r="AZ156" s="47">
        <f t="shared" si="119"/>
        <v>0</v>
      </c>
      <c r="BA156" s="47">
        <f t="shared" si="119"/>
        <v>0</v>
      </c>
    </row>
    <row r="157" spans="2:53" x14ac:dyDescent="0.2">
      <c r="B157" s="76" t="s">
        <v>103</v>
      </c>
      <c r="C157" s="73" t="s">
        <v>75</v>
      </c>
      <c r="D157" s="95">
        <f>SUM(D154:D156)</f>
        <v>0</v>
      </c>
      <c r="E157" s="95">
        <f t="shared" ref="E157:BA157" si="120">SUM(E154:E156)</f>
        <v>0</v>
      </c>
      <c r="F157" s="95">
        <f t="shared" si="120"/>
        <v>0</v>
      </c>
      <c r="G157" s="95">
        <f t="shared" si="120"/>
        <v>0</v>
      </c>
      <c r="H157" s="95">
        <f t="shared" si="120"/>
        <v>0</v>
      </c>
      <c r="I157" s="95">
        <f t="shared" si="120"/>
        <v>0</v>
      </c>
      <c r="J157" s="95">
        <f t="shared" si="120"/>
        <v>0</v>
      </c>
      <c r="K157" s="95">
        <f t="shared" si="120"/>
        <v>0</v>
      </c>
      <c r="L157" s="95">
        <f t="shared" si="120"/>
        <v>0</v>
      </c>
      <c r="M157" s="95">
        <f t="shared" si="120"/>
        <v>0</v>
      </c>
      <c r="N157" s="95">
        <f t="shared" si="120"/>
        <v>0</v>
      </c>
      <c r="O157" s="95">
        <f t="shared" si="120"/>
        <v>0</v>
      </c>
      <c r="P157" s="95">
        <f t="shared" si="120"/>
        <v>0</v>
      </c>
      <c r="Q157" s="95">
        <f t="shared" si="120"/>
        <v>0</v>
      </c>
      <c r="R157" s="95">
        <f t="shared" si="120"/>
        <v>0</v>
      </c>
      <c r="S157" s="95">
        <f t="shared" si="120"/>
        <v>0</v>
      </c>
      <c r="T157" s="95">
        <f t="shared" si="120"/>
        <v>0</v>
      </c>
      <c r="U157" s="95">
        <f t="shared" si="120"/>
        <v>0</v>
      </c>
      <c r="V157" s="95">
        <f t="shared" si="120"/>
        <v>0</v>
      </c>
      <c r="W157" s="95">
        <f t="shared" si="120"/>
        <v>0</v>
      </c>
      <c r="X157" s="95">
        <f t="shared" si="120"/>
        <v>0</v>
      </c>
      <c r="Y157" s="95">
        <f t="shared" si="120"/>
        <v>0</v>
      </c>
      <c r="Z157" s="95">
        <f t="shared" si="120"/>
        <v>15.459796707758805</v>
      </c>
      <c r="AA157" s="95">
        <f t="shared" si="120"/>
        <v>12.367837366207045</v>
      </c>
      <c r="AB157" s="95">
        <f t="shared" si="120"/>
        <v>9.2758780246552845</v>
      </c>
      <c r="AC157" s="95">
        <f t="shared" si="120"/>
        <v>6.1839186831035233</v>
      </c>
      <c r="AD157" s="95">
        <f t="shared" si="120"/>
        <v>3.0919593415517621</v>
      </c>
      <c r="AE157" s="95">
        <f t="shared" si="120"/>
        <v>0</v>
      </c>
      <c r="AF157" s="95">
        <f t="shared" si="120"/>
        <v>0</v>
      </c>
      <c r="AG157" s="95">
        <f t="shared" si="120"/>
        <v>0</v>
      </c>
      <c r="AH157" s="95">
        <f t="shared" si="120"/>
        <v>0</v>
      </c>
      <c r="AI157" s="95">
        <f t="shared" si="120"/>
        <v>0</v>
      </c>
      <c r="AJ157" s="95">
        <f t="shared" si="120"/>
        <v>0</v>
      </c>
      <c r="AK157" s="95">
        <f t="shared" si="120"/>
        <v>0</v>
      </c>
      <c r="AL157" s="95">
        <f t="shared" si="120"/>
        <v>0</v>
      </c>
      <c r="AM157" s="95">
        <f t="shared" si="120"/>
        <v>0</v>
      </c>
      <c r="AN157" s="95">
        <f t="shared" si="120"/>
        <v>0</v>
      </c>
      <c r="AO157" s="95">
        <f t="shared" si="120"/>
        <v>0</v>
      </c>
      <c r="AP157" s="95">
        <f t="shared" si="120"/>
        <v>0</v>
      </c>
      <c r="AQ157" s="95">
        <f t="shared" si="120"/>
        <v>0</v>
      </c>
      <c r="AR157" s="95">
        <f t="shared" si="120"/>
        <v>0</v>
      </c>
      <c r="AS157" s="95">
        <f t="shared" si="120"/>
        <v>0</v>
      </c>
      <c r="AT157" s="95">
        <f t="shared" si="120"/>
        <v>0</v>
      </c>
      <c r="AU157" s="95">
        <f t="shared" si="120"/>
        <v>0</v>
      </c>
      <c r="AV157" s="95">
        <f t="shared" si="120"/>
        <v>0</v>
      </c>
      <c r="AW157" s="95">
        <f t="shared" si="120"/>
        <v>0</v>
      </c>
      <c r="AX157" s="95">
        <f t="shared" si="120"/>
        <v>0</v>
      </c>
      <c r="AY157" s="95">
        <f t="shared" si="120"/>
        <v>0</v>
      </c>
      <c r="AZ157" s="95">
        <f t="shared" si="120"/>
        <v>0</v>
      </c>
      <c r="BA157" s="95">
        <f t="shared" si="120"/>
        <v>0</v>
      </c>
    </row>
    <row r="159" spans="2:53" x14ac:dyDescent="0.2">
      <c r="B159" s="215">
        <f>B153+1</f>
        <v>24</v>
      </c>
    </row>
    <row r="160" spans="2:53" x14ac:dyDescent="0.2">
      <c r="B160" s="94" t="s">
        <v>100</v>
      </c>
      <c r="C160" s="73" t="s">
        <v>75</v>
      </c>
      <c r="D160" s="95">
        <f>0</f>
        <v>0</v>
      </c>
      <c r="E160" s="47">
        <f t="shared" ref="E160:BA160" si="121">D163</f>
        <v>0</v>
      </c>
      <c r="F160" s="47">
        <f t="shared" si="121"/>
        <v>0</v>
      </c>
      <c r="G160" s="47">
        <f t="shared" si="121"/>
        <v>0</v>
      </c>
      <c r="H160" s="47">
        <f t="shared" si="121"/>
        <v>0</v>
      </c>
      <c r="I160" s="47">
        <f t="shared" si="121"/>
        <v>0</v>
      </c>
      <c r="J160" s="47">
        <f t="shared" si="121"/>
        <v>0</v>
      </c>
      <c r="K160" s="47">
        <f t="shared" si="121"/>
        <v>0</v>
      </c>
      <c r="L160" s="47">
        <f t="shared" si="121"/>
        <v>0</v>
      </c>
      <c r="M160" s="47">
        <f t="shared" si="121"/>
        <v>0</v>
      </c>
      <c r="N160" s="47">
        <f t="shared" si="121"/>
        <v>0</v>
      </c>
      <c r="O160" s="47">
        <f t="shared" si="121"/>
        <v>0</v>
      </c>
      <c r="P160" s="47">
        <f t="shared" si="121"/>
        <v>0</v>
      </c>
      <c r="Q160" s="47">
        <f t="shared" si="121"/>
        <v>0</v>
      </c>
      <c r="R160" s="47">
        <f t="shared" si="121"/>
        <v>0</v>
      </c>
      <c r="S160" s="47">
        <f t="shared" si="121"/>
        <v>0</v>
      </c>
      <c r="T160" s="47">
        <f t="shared" si="121"/>
        <v>0</v>
      </c>
      <c r="U160" s="47">
        <f t="shared" si="121"/>
        <v>0</v>
      </c>
      <c r="V160" s="47">
        <f t="shared" si="121"/>
        <v>0</v>
      </c>
      <c r="W160" s="47">
        <f t="shared" si="121"/>
        <v>0</v>
      </c>
      <c r="X160" s="47">
        <f t="shared" si="121"/>
        <v>0</v>
      </c>
      <c r="Y160" s="47">
        <f t="shared" si="121"/>
        <v>0</v>
      </c>
      <c r="Z160" s="47">
        <f t="shared" si="121"/>
        <v>0</v>
      </c>
      <c r="AA160" s="47">
        <f t="shared" si="121"/>
        <v>0</v>
      </c>
      <c r="AB160" s="47">
        <f t="shared" si="121"/>
        <v>15.768992641913982</v>
      </c>
      <c r="AC160" s="47">
        <f t="shared" si="121"/>
        <v>12.615194113531185</v>
      </c>
      <c r="AD160" s="47">
        <f t="shared" si="121"/>
        <v>9.461395585148388</v>
      </c>
      <c r="AE160" s="47">
        <f t="shared" si="121"/>
        <v>6.3075970567655917</v>
      </c>
      <c r="AF160" s="47">
        <f t="shared" si="121"/>
        <v>3.1537985283827954</v>
      </c>
      <c r="AG160" s="47">
        <f t="shared" si="121"/>
        <v>0</v>
      </c>
      <c r="AH160" s="47">
        <f t="shared" si="121"/>
        <v>0</v>
      </c>
      <c r="AI160" s="47">
        <f t="shared" si="121"/>
        <v>0</v>
      </c>
      <c r="AJ160" s="47">
        <f t="shared" si="121"/>
        <v>0</v>
      </c>
      <c r="AK160" s="47">
        <f t="shared" si="121"/>
        <v>0</v>
      </c>
      <c r="AL160" s="47">
        <f t="shared" si="121"/>
        <v>0</v>
      </c>
      <c r="AM160" s="47">
        <f t="shared" si="121"/>
        <v>0</v>
      </c>
      <c r="AN160" s="47">
        <f t="shared" si="121"/>
        <v>0</v>
      </c>
      <c r="AO160" s="47">
        <f t="shared" si="121"/>
        <v>0</v>
      </c>
      <c r="AP160" s="47">
        <f t="shared" si="121"/>
        <v>0</v>
      </c>
      <c r="AQ160" s="47">
        <f t="shared" si="121"/>
        <v>0</v>
      </c>
      <c r="AR160" s="47">
        <f t="shared" si="121"/>
        <v>0</v>
      </c>
      <c r="AS160" s="47">
        <f t="shared" si="121"/>
        <v>0</v>
      </c>
      <c r="AT160" s="47">
        <f t="shared" si="121"/>
        <v>0</v>
      </c>
      <c r="AU160" s="47">
        <f t="shared" si="121"/>
        <v>0</v>
      </c>
      <c r="AV160" s="47">
        <f t="shared" si="121"/>
        <v>0</v>
      </c>
      <c r="AW160" s="47">
        <f t="shared" si="121"/>
        <v>0</v>
      </c>
      <c r="AX160" s="47">
        <f t="shared" si="121"/>
        <v>0</v>
      </c>
      <c r="AY160" s="47">
        <f t="shared" si="121"/>
        <v>0</v>
      </c>
      <c r="AZ160" s="47">
        <f t="shared" si="121"/>
        <v>0</v>
      </c>
      <c r="BA160" s="47">
        <f t="shared" si="121"/>
        <v>0</v>
      </c>
    </row>
    <row r="161" spans="2:53" x14ac:dyDescent="0.2">
      <c r="B161" s="94" t="s">
        <v>101</v>
      </c>
      <c r="C161" s="73" t="s">
        <v>75</v>
      </c>
      <c r="D161" s="95">
        <f>IF($B159=D$2,D$4,0)</f>
        <v>0</v>
      </c>
      <c r="E161" s="95">
        <f t="shared" ref="E161:BA161" si="122">IF($B159=E$2,E$4,0)</f>
        <v>0</v>
      </c>
      <c r="F161" s="95">
        <f t="shared" si="122"/>
        <v>0</v>
      </c>
      <c r="G161" s="95">
        <f t="shared" si="122"/>
        <v>0</v>
      </c>
      <c r="H161" s="95">
        <f t="shared" si="122"/>
        <v>0</v>
      </c>
      <c r="I161" s="95">
        <f t="shared" si="122"/>
        <v>0</v>
      </c>
      <c r="J161" s="95">
        <f t="shared" si="122"/>
        <v>0</v>
      </c>
      <c r="K161" s="95">
        <f t="shared" si="122"/>
        <v>0</v>
      </c>
      <c r="L161" s="95">
        <f t="shared" si="122"/>
        <v>0</v>
      </c>
      <c r="M161" s="95">
        <f t="shared" si="122"/>
        <v>0</v>
      </c>
      <c r="N161" s="95">
        <f t="shared" si="122"/>
        <v>0</v>
      </c>
      <c r="O161" s="95">
        <f t="shared" si="122"/>
        <v>0</v>
      </c>
      <c r="P161" s="95">
        <f t="shared" si="122"/>
        <v>0</v>
      </c>
      <c r="Q161" s="95">
        <f t="shared" si="122"/>
        <v>0</v>
      </c>
      <c r="R161" s="95">
        <f t="shared" si="122"/>
        <v>0</v>
      </c>
      <c r="S161" s="95">
        <f t="shared" si="122"/>
        <v>0</v>
      </c>
      <c r="T161" s="95">
        <f t="shared" si="122"/>
        <v>0</v>
      </c>
      <c r="U161" s="95">
        <f t="shared" si="122"/>
        <v>0</v>
      </c>
      <c r="V161" s="95">
        <f t="shared" si="122"/>
        <v>0</v>
      </c>
      <c r="W161" s="95">
        <f t="shared" si="122"/>
        <v>0</v>
      </c>
      <c r="X161" s="95">
        <f t="shared" si="122"/>
        <v>0</v>
      </c>
      <c r="Y161" s="95">
        <f t="shared" si="122"/>
        <v>0</v>
      </c>
      <c r="Z161" s="95">
        <f t="shared" si="122"/>
        <v>0</v>
      </c>
      <c r="AA161" s="95">
        <f t="shared" si="122"/>
        <v>15.768992641913982</v>
      </c>
      <c r="AB161" s="95">
        <f t="shared" si="122"/>
        <v>0</v>
      </c>
      <c r="AC161" s="95">
        <f t="shared" si="122"/>
        <v>0</v>
      </c>
      <c r="AD161" s="95">
        <f t="shared" si="122"/>
        <v>0</v>
      </c>
      <c r="AE161" s="95">
        <f t="shared" si="122"/>
        <v>0</v>
      </c>
      <c r="AF161" s="95">
        <f t="shared" si="122"/>
        <v>0</v>
      </c>
      <c r="AG161" s="95">
        <f t="shared" si="122"/>
        <v>0</v>
      </c>
      <c r="AH161" s="95">
        <f t="shared" si="122"/>
        <v>0</v>
      </c>
      <c r="AI161" s="95">
        <f t="shared" si="122"/>
        <v>0</v>
      </c>
      <c r="AJ161" s="95">
        <f t="shared" si="122"/>
        <v>0</v>
      </c>
      <c r="AK161" s="95">
        <f t="shared" si="122"/>
        <v>0</v>
      </c>
      <c r="AL161" s="95">
        <f t="shared" si="122"/>
        <v>0</v>
      </c>
      <c r="AM161" s="95">
        <f t="shared" si="122"/>
        <v>0</v>
      </c>
      <c r="AN161" s="95">
        <f t="shared" si="122"/>
        <v>0</v>
      </c>
      <c r="AO161" s="95">
        <f t="shared" si="122"/>
        <v>0</v>
      </c>
      <c r="AP161" s="95">
        <f t="shared" si="122"/>
        <v>0</v>
      </c>
      <c r="AQ161" s="95">
        <f t="shared" si="122"/>
        <v>0</v>
      </c>
      <c r="AR161" s="95">
        <f t="shared" si="122"/>
        <v>0</v>
      </c>
      <c r="AS161" s="95">
        <f t="shared" si="122"/>
        <v>0</v>
      </c>
      <c r="AT161" s="95">
        <f t="shared" si="122"/>
        <v>0</v>
      </c>
      <c r="AU161" s="95">
        <f t="shared" si="122"/>
        <v>0</v>
      </c>
      <c r="AV161" s="95">
        <f t="shared" si="122"/>
        <v>0</v>
      </c>
      <c r="AW161" s="95">
        <f t="shared" si="122"/>
        <v>0</v>
      </c>
      <c r="AX161" s="95">
        <f t="shared" si="122"/>
        <v>0</v>
      </c>
      <c r="AY161" s="95">
        <f t="shared" si="122"/>
        <v>0</v>
      </c>
      <c r="AZ161" s="95">
        <f t="shared" si="122"/>
        <v>0</v>
      </c>
      <c r="BA161" s="95">
        <f t="shared" si="122"/>
        <v>0</v>
      </c>
    </row>
    <row r="162" spans="2:53" x14ac:dyDescent="0.2">
      <c r="B162" s="76" t="s">
        <v>102</v>
      </c>
      <c r="C162" s="73" t="s">
        <v>75</v>
      </c>
      <c r="D162" s="47"/>
      <c r="E162" s="47">
        <f>IF(OR(D163&lt;=$B$15*$AA$161,F$1-$AB$1&gt;$B$13),0,-IF($B$12="straight line",SLN($AA$161,+$B$15*$AA$161,$B$13),VDB($AA$161,$B$15*$AA$161,$B$13,E$1-$AB$1,F$1-$AB$1,$B$14)))</f>
        <v>0</v>
      </c>
      <c r="F162" s="47">
        <f t="shared" ref="F162:BA162" si="123">IF(OR(E163&lt;=$B$15*$AA$161,G$1-$AB$1&gt;$B$13),0,-IF($B$12="straight line",SLN($AA$161,+$B$15*$AA$161,$B$13),VDB($AA$161,$B$15*$AA$161,$B$13,F$1-$AB$1,G$1-$AB$1,$B$14)))</f>
        <v>0</v>
      </c>
      <c r="G162" s="47">
        <f t="shared" si="123"/>
        <v>0</v>
      </c>
      <c r="H162" s="47">
        <f t="shared" si="123"/>
        <v>0</v>
      </c>
      <c r="I162" s="47">
        <f t="shared" si="123"/>
        <v>0</v>
      </c>
      <c r="J162" s="47">
        <f t="shared" si="123"/>
        <v>0</v>
      </c>
      <c r="K162" s="47">
        <f t="shared" si="123"/>
        <v>0</v>
      </c>
      <c r="L162" s="47">
        <f t="shared" si="123"/>
        <v>0</v>
      </c>
      <c r="M162" s="47">
        <f t="shared" si="123"/>
        <v>0</v>
      </c>
      <c r="N162" s="47">
        <f t="shared" si="123"/>
        <v>0</v>
      </c>
      <c r="O162" s="47">
        <f t="shared" si="123"/>
        <v>0</v>
      </c>
      <c r="P162" s="47">
        <f t="shared" si="123"/>
        <v>0</v>
      </c>
      <c r="Q162" s="47">
        <f t="shared" si="123"/>
        <v>0</v>
      </c>
      <c r="R162" s="47">
        <f t="shared" si="123"/>
        <v>0</v>
      </c>
      <c r="S162" s="47">
        <f t="shared" si="123"/>
        <v>0</v>
      </c>
      <c r="T162" s="47">
        <f t="shared" si="123"/>
        <v>0</v>
      </c>
      <c r="U162" s="47">
        <f t="shared" si="123"/>
        <v>0</v>
      </c>
      <c r="V162" s="47">
        <f t="shared" si="123"/>
        <v>0</v>
      </c>
      <c r="W162" s="47">
        <f t="shared" si="123"/>
        <v>0</v>
      </c>
      <c r="X162" s="47">
        <f t="shared" si="123"/>
        <v>0</v>
      </c>
      <c r="Y162" s="47">
        <f t="shared" si="123"/>
        <v>0</v>
      </c>
      <c r="Z162" s="47">
        <f t="shared" si="123"/>
        <v>0</v>
      </c>
      <c r="AA162" s="47">
        <f t="shared" si="123"/>
        <v>0</v>
      </c>
      <c r="AB162" s="47">
        <f t="shared" si="123"/>
        <v>-3.1537985283827963</v>
      </c>
      <c r="AC162" s="47">
        <f t="shared" si="123"/>
        <v>-3.1537985283827963</v>
      </c>
      <c r="AD162" s="47">
        <f t="shared" si="123"/>
        <v>-3.1537985283827963</v>
      </c>
      <c r="AE162" s="47">
        <f t="shared" si="123"/>
        <v>-3.1537985283827963</v>
      </c>
      <c r="AF162" s="47">
        <f t="shared" si="123"/>
        <v>-3.1537985283827963</v>
      </c>
      <c r="AG162" s="47">
        <f t="shared" si="123"/>
        <v>0</v>
      </c>
      <c r="AH162" s="47">
        <f t="shared" si="123"/>
        <v>0</v>
      </c>
      <c r="AI162" s="47">
        <f t="shared" si="123"/>
        <v>0</v>
      </c>
      <c r="AJ162" s="47">
        <f t="shared" si="123"/>
        <v>0</v>
      </c>
      <c r="AK162" s="47">
        <f t="shared" si="123"/>
        <v>0</v>
      </c>
      <c r="AL162" s="47">
        <f t="shared" si="123"/>
        <v>0</v>
      </c>
      <c r="AM162" s="47">
        <f t="shared" si="123"/>
        <v>0</v>
      </c>
      <c r="AN162" s="47">
        <f t="shared" si="123"/>
        <v>0</v>
      </c>
      <c r="AO162" s="47">
        <f t="shared" si="123"/>
        <v>0</v>
      </c>
      <c r="AP162" s="47">
        <f t="shared" si="123"/>
        <v>0</v>
      </c>
      <c r="AQ162" s="47">
        <f t="shared" si="123"/>
        <v>0</v>
      </c>
      <c r="AR162" s="47">
        <f t="shared" si="123"/>
        <v>0</v>
      </c>
      <c r="AS162" s="47">
        <f t="shared" si="123"/>
        <v>0</v>
      </c>
      <c r="AT162" s="47">
        <f t="shared" si="123"/>
        <v>0</v>
      </c>
      <c r="AU162" s="47">
        <f t="shared" si="123"/>
        <v>0</v>
      </c>
      <c r="AV162" s="47">
        <f t="shared" si="123"/>
        <v>0</v>
      </c>
      <c r="AW162" s="47">
        <f t="shared" si="123"/>
        <v>0</v>
      </c>
      <c r="AX162" s="47">
        <f t="shared" si="123"/>
        <v>0</v>
      </c>
      <c r="AY162" s="47">
        <f t="shared" si="123"/>
        <v>0</v>
      </c>
      <c r="AZ162" s="47">
        <f t="shared" si="123"/>
        <v>0</v>
      </c>
      <c r="BA162" s="47">
        <f t="shared" si="123"/>
        <v>0</v>
      </c>
    </row>
    <row r="163" spans="2:53" x14ac:dyDescent="0.2">
      <c r="B163" s="76" t="s">
        <v>103</v>
      </c>
      <c r="C163" s="73" t="s">
        <v>75</v>
      </c>
      <c r="D163" s="95">
        <f>SUM(D160:D162)</f>
        <v>0</v>
      </c>
      <c r="E163" s="95">
        <f t="shared" ref="E163:BA163" si="124">SUM(E160:E162)</f>
        <v>0</v>
      </c>
      <c r="F163" s="95">
        <f t="shared" si="124"/>
        <v>0</v>
      </c>
      <c r="G163" s="95">
        <f t="shared" si="124"/>
        <v>0</v>
      </c>
      <c r="H163" s="95">
        <f t="shared" si="124"/>
        <v>0</v>
      </c>
      <c r="I163" s="95">
        <f t="shared" si="124"/>
        <v>0</v>
      </c>
      <c r="J163" s="95">
        <f t="shared" si="124"/>
        <v>0</v>
      </c>
      <c r="K163" s="95">
        <f t="shared" si="124"/>
        <v>0</v>
      </c>
      <c r="L163" s="95">
        <f t="shared" si="124"/>
        <v>0</v>
      </c>
      <c r="M163" s="95">
        <f t="shared" si="124"/>
        <v>0</v>
      </c>
      <c r="N163" s="95">
        <f t="shared" si="124"/>
        <v>0</v>
      </c>
      <c r="O163" s="95">
        <f t="shared" si="124"/>
        <v>0</v>
      </c>
      <c r="P163" s="95">
        <f t="shared" si="124"/>
        <v>0</v>
      </c>
      <c r="Q163" s="95">
        <f t="shared" si="124"/>
        <v>0</v>
      </c>
      <c r="R163" s="95">
        <f t="shared" si="124"/>
        <v>0</v>
      </c>
      <c r="S163" s="95">
        <f t="shared" si="124"/>
        <v>0</v>
      </c>
      <c r="T163" s="95">
        <f t="shared" si="124"/>
        <v>0</v>
      </c>
      <c r="U163" s="95">
        <f t="shared" si="124"/>
        <v>0</v>
      </c>
      <c r="V163" s="95">
        <f t="shared" si="124"/>
        <v>0</v>
      </c>
      <c r="W163" s="95">
        <f t="shared" si="124"/>
        <v>0</v>
      </c>
      <c r="X163" s="95">
        <f t="shared" si="124"/>
        <v>0</v>
      </c>
      <c r="Y163" s="95">
        <f t="shared" si="124"/>
        <v>0</v>
      </c>
      <c r="Z163" s="95">
        <f t="shared" si="124"/>
        <v>0</v>
      </c>
      <c r="AA163" s="95">
        <f t="shared" si="124"/>
        <v>15.768992641913982</v>
      </c>
      <c r="AB163" s="95">
        <f t="shared" si="124"/>
        <v>12.615194113531185</v>
      </c>
      <c r="AC163" s="95">
        <f t="shared" si="124"/>
        <v>9.461395585148388</v>
      </c>
      <c r="AD163" s="95">
        <f t="shared" si="124"/>
        <v>6.3075970567655917</v>
      </c>
      <c r="AE163" s="95">
        <f t="shared" si="124"/>
        <v>3.1537985283827954</v>
      </c>
      <c r="AF163" s="95">
        <f t="shared" si="124"/>
        <v>0</v>
      </c>
      <c r="AG163" s="95">
        <f t="shared" si="124"/>
        <v>0</v>
      </c>
      <c r="AH163" s="95">
        <f t="shared" si="124"/>
        <v>0</v>
      </c>
      <c r="AI163" s="95">
        <f t="shared" si="124"/>
        <v>0</v>
      </c>
      <c r="AJ163" s="95">
        <f t="shared" si="124"/>
        <v>0</v>
      </c>
      <c r="AK163" s="95">
        <f t="shared" si="124"/>
        <v>0</v>
      </c>
      <c r="AL163" s="95">
        <f t="shared" si="124"/>
        <v>0</v>
      </c>
      <c r="AM163" s="95">
        <f t="shared" si="124"/>
        <v>0</v>
      </c>
      <c r="AN163" s="95">
        <f t="shared" si="124"/>
        <v>0</v>
      </c>
      <c r="AO163" s="95">
        <f t="shared" si="124"/>
        <v>0</v>
      </c>
      <c r="AP163" s="95">
        <f t="shared" si="124"/>
        <v>0</v>
      </c>
      <c r="AQ163" s="95">
        <f t="shared" si="124"/>
        <v>0</v>
      </c>
      <c r="AR163" s="95">
        <f t="shared" si="124"/>
        <v>0</v>
      </c>
      <c r="AS163" s="95">
        <f t="shared" si="124"/>
        <v>0</v>
      </c>
      <c r="AT163" s="95">
        <f t="shared" si="124"/>
        <v>0</v>
      </c>
      <c r="AU163" s="95">
        <f t="shared" si="124"/>
        <v>0</v>
      </c>
      <c r="AV163" s="95">
        <f t="shared" si="124"/>
        <v>0</v>
      </c>
      <c r="AW163" s="95">
        <f t="shared" si="124"/>
        <v>0</v>
      </c>
      <c r="AX163" s="95">
        <f t="shared" si="124"/>
        <v>0</v>
      </c>
      <c r="AY163" s="95">
        <f t="shared" si="124"/>
        <v>0</v>
      </c>
      <c r="AZ163" s="95">
        <f t="shared" si="124"/>
        <v>0</v>
      </c>
      <c r="BA163" s="95">
        <f t="shared" si="124"/>
        <v>0</v>
      </c>
    </row>
    <row r="165" spans="2:53" x14ac:dyDescent="0.2">
      <c r="B165" s="215">
        <f>B159+1</f>
        <v>25</v>
      </c>
    </row>
    <row r="166" spans="2:53" x14ac:dyDescent="0.2">
      <c r="B166" s="94" t="s">
        <v>100</v>
      </c>
      <c r="C166" s="73" t="s">
        <v>75</v>
      </c>
      <c r="D166" s="95">
        <f>0</f>
        <v>0</v>
      </c>
      <c r="E166" s="47">
        <f t="shared" ref="E166:BA166" si="125">D169</f>
        <v>0</v>
      </c>
      <c r="F166" s="47">
        <f t="shared" si="125"/>
        <v>0</v>
      </c>
      <c r="G166" s="47">
        <f t="shared" si="125"/>
        <v>0</v>
      </c>
      <c r="H166" s="47">
        <f t="shared" si="125"/>
        <v>0</v>
      </c>
      <c r="I166" s="47">
        <f t="shared" si="125"/>
        <v>0</v>
      </c>
      <c r="J166" s="47">
        <f t="shared" si="125"/>
        <v>0</v>
      </c>
      <c r="K166" s="47">
        <f t="shared" si="125"/>
        <v>0</v>
      </c>
      <c r="L166" s="47">
        <f t="shared" si="125"/>
        <v>0</v>
      </c>
      <c r="M166" s="47">
        <f t="shared" si="125"/>
        <v>0</v>
      </c>
      <c r="N166" s="47">
        <f t="shared" si="125"/>
        <v>0</v>
      </c>
      <c r="O166" s="47">
        <f t="shared" si="125"/>
        <v>0</v>
      </c>
      <c r="P166" s="47">
        <f t="shared" si="125"/>
        <v>0</v>
      </c>
      <c r="Q166" s="47">
        <f t="shared" si="125"/>
        <v>0</v>
      </c>
      <c r="R166" s="47">
        <f t="shared" si="125"/>
        <v>0</v>
      </c>
      <c r="S166" s="47">
        <f t="shared" si="125"/>
        <v>0</v>
      </c>
      <c r="T166" s="47">
        <f t="shared" si="125"/>
        <v>0</v>
      </c>
      <c r="U166" s="47">
        <f t="shared" si="125"/>
        <v>0</v>
      </c>
      <c r="V166" s="47">
        <f t="shared" si="125"/>
        <v>0</v>
      </c>
      <c r="W166" s="47">
        <f t="shared" si="125"/>
        <v>0</v>
      </c>
      <c r="X166" s="47">
        <f t="shared" si="125"/>
        <v>0</v>
      </c>
      <c r="Y166" s="47">
        <f t="shared" si="125"/>
        <v>0</v>
      </c>
      <c r="Z166" s="47">
        <f t="shared" si="125"/>
        <v>0</v>
      </c>
      <c r="AA166" s="47">
        <f t="shared" si="125"/>
        <v>0</v>
      </c>
      <c r="AB166" s="47">
        <f t="shared" si="125"/>
        <v>0</v>
      </c>
      <c r="AC166" s="47">
        <f t="shared" si="125"/>
        <v>16.084372494752262</v>
      </c>
      <c r="AD166" s="47">
        <f t="shared" si="125"/>
        <v>12.867497995801809</v>
      </c>
      <c r="AE166" s="47">
        <f t="shared" si="125"/>
        <v>9.650623496851356</v>
      </c>
      <c r="AF166" s="47">
        <f t="shared" si="125"/>
        <v>6.4337489979009037</v>
      </c>
      <c r="AG166" s="47">
        <f t="shared" si="125"/>
        <v>3.2168744989504514</v>
      </c>
      <c r="AH166" s="47">
        <f t="shared" si="125"/>
        <v>0</v>
      </c>
      <c r="AI166" s="47">
        <f t="shared" si="125"/>
        <v>0</v>
      </c>
      <c r="AJ166" s="47">
        <f t="shared" si="125"/>
        <v>0</v>
      </c>
      <c r="AK166" s="47">
        <f t="shared" si="125"/>
        <v>0</v>
      </c>
      <c r="AL166" s="47">
        <f t="shared" si="125"/>
        <v>0</v>
      </c>
      <c r="AM166" s="47">
        <f t="shared" si="125"/>
        <v>0</v>
      </c>
      <c r="AN166" s="47">
        <f t="shared" si="125"/>
        <v>0</v>
      </c>
      <c r="AO166" s="47">
        <f t="shared" si="125"/>
        <v>0</v>
      </c>
      <c r="AP166" s="47">
        <f t="shared" si="125"/>
        <v>0</v>
      </c>
      <c r="AQ166" s="47">
        <f t="shared" si="125"/>
        <v>0</v>
      </c>
      <c r="AR166" s="47">
        <f t="shared" si="125"/>
        <v>0</v>
      </c>
      <c r="AS166" s="47">
        <f t="shared" si="125"/>
        <v>0</v>
      </c>
      <c r="AT166" s="47">
        <f t="shared" si="125"/>
        <v>0</v>
      </c>
      <c r="AU166" s="47">
        <f t="shared" si="125"/>
        <v>0</v>
      </c>
      <c r="AV166" s="47">
        <f t="shared" si="125"/>
        <v>0</v>
      </c>
      <c r="AW166" s="47">
        <f t="shared" si="125"/>
        <v>0</v>
      </c>
      <c r="AX166" s="47">
        <f t="shared" si="125"/>
        <v>0</v>
      </c>
      <c r="AY166" s="47">
        <f t="shared" si="125"/>
        <v>0</v>
      </c>
      <c r="AZ166" s="47">
        <f t="shared" si="125"/>
        <v>0</v>
      </c>
      <c r="BA166" s="47">
        <f t="shared" si="125"/>
        <v>0</v>
      </c>
    </row>
    <row r="167" spans="2:53" x14ac:dyDescent="0.2">
      <c r="B167" s="94" t="s">
        <v>101</v>
      </c>
      <c r="C167" s="73" t="s">
        <v>75</v>
      </c>
      <c r="D167" s="95">
        <f>IF($B165=D$2,D$4,0)</f>
        <v>0</v>
      </c>
      <c r="E167" s="95">
        <f t="shared" ref="E167:BA167" si="126">IF($B165=E$2,E$4,0)</f>
        <v>0</v>
      </c>
      <c r="F167" s="95">
        <f t="shared" si="126"/>
        <v>0</v>
      </c>
      <c r="G167" s="95">
        <f t="shared" si="126"/>
        <v>0</v>
      </c>
      <c r="H167" s="95">
        <f t="shared" si="126"/>
        <v>0</v>
      </c>
      <c r="I167" s="95">
        <f t="shared" si="126"/>
        <v>0</v>
      </c>
      <c r="J167" s="95">
        <f t="shared" si="126"/>
        <v>0</v>
      </c>
      <c r="K167" s="95">
        <f t="shared" si="126"/>
        <v>0</v>
      </c>
      <c r="L167" s="95">
        <f t="shared" si="126"/>
        <v>0</v>
      </c>
      <c r="M167" s="95">
        <f t="shared" si="126"/>
        <v>0</v>
      </c>
      <c r="N167" s="95">
        <f t="shared" si="126"/>
        <v>0</v>
      </c>
      <c r="O167" s="95">
        <f t="shared" si="126"/>
        <v>0</v>
      </c>
      <c r="P167" s="95">
        <f t="shared" si="126"/>
        <v>0</v>
      </c>
      <c r="Q167" s="95">
        <f t="shared" si="126"/>
        <v>0</v>
      </c>
      <c r="R167" s="95">
        <f t="shared" si="126"/>
        <v>0</v>
      </c>
      <c r="S167" s="95">
        <f t="shared" si="126"/>
        <v>0</v>
      </c>
      <c r="T167" s="95">
        <f t="shared" si="126"/>
        <v>0</v>
      </c>
      <c r="U167" s="95">
        <f t="shared" si="126"/>
        <v>0</v>
      </c>
      <c r="V167" s="95">
        <f t="shared" si="126"/>
        <v>0</v>
      </c>
      <c r="W167" s="95">
        <f t="shared" si="126"/>
        <v>0</v>
      </c>
      <c r="X167" s="95">
        <f t="shared" si="126"/>
        <v>0</v>
      </c>
      <c r="Y167" s="95">
        <f t="shared" si="126"/>
        <v>0</v>
      </c>
      <c r="Z167" s="95">
        <f t="shared" si="126"/>
        <v>0</v>
      </c>
      <c r="AA167" s="95">
        <f t="shared" si="126"/>
        <v>0</v>
      </c>
      <c r="AB167" s="95">
        <f t="shared" si="126"/>
        <v>16.084372494752262</v>
      </c>
      <c r="AC167" s="95">
        <f t="shared" si="126"/>
        <v>0</v>
      </c>
      <c r="AD167" s="95">
        <f t="shared" si="126"/>
        <v>0</v>
      </c>
      <c r="AE167" s="95">
        <f t="shared" si="126"/>
        <v>0</v>
      </c>
      <c r="AF167" s="95">
        <f t="shared" si="126"/>
        <v>0</v>
      </c>
      <c r="AG167" s="95">
        <f t="shared" si="126"/>
        <v>0</v>
      </c>
      <c r="AH167" s="95">
        <f t="shared" si="126"/>
        <v>0</v>
      </c>
      <c r="AI167" s="95">
        <f t="shared" si="126"/>
        <v>0</v>
      </c>
      <c r="AJ167" s="95">
        <f t="shared" si="126"/>
        <v>0</v>
      </c>
      <c r="AK167" s="95">
        <f t="shared" si="126"/>
        <v>0</v>
      </c>
      <c r="AL167" s="95">
        <f t="shared" si="126"/>
        <v>0</v>
      </c>
      <c r="AM167" s="95">
        <f t="shared" si="126"/>
        <v>0</v>
      </c>
      <c r="AN167" s="95">
        <f t="shared" si="126"/>
        <v>0</v>
      </c>
      <c r="AO167" s="95">
        <f t="shared" si="126"/>
        <v>0</v>
      </c>
      <c r="AP167" s="95">
        <f t="shared" si="126"/>
        <v>0</v>
      </c>
      <c r="AQ167" s="95">
        <f t="shared" si="126"/>
        <v>0</v>
      </c>
      <c r="AR167" s="95">
        <f t="shared" si="126"/>
        <v>0</v>
      </c>
      <c r="AS167" s="95">
        <f t="shared" si="126"/>
        <v>0</v>
      </c>
      <c r="AT167" s="95">
        <f t="shared" si="126"/>
        <v>0</v>
      </c>
      <c r="AU167" s="95">
        <f t="shared" si="126"/>
        <v>0</v>
      </c>
      <c r="AV167" s="95">
        <f t="shared" si="126"/>
        <v>0</v>
      </c>
      <c r="AW167" s="95">
        <f t="shared" si="126"/>
        <v>0</v>
      </c>
      <c r="AX167" s="95">
        <f t="shared" si="126"/>
        <v>0</v>
      </c>
      <c r="AY167" s="95">
        <f t="shared" si="126"/>
        <v>0</v>
      </c>
      <c r="AZ167" s="95">
        <f t="shared" si="126"/>
        <v>0</v>
      </c>
      <c r="BA167" s="95">
        <f t="shared" si="126"/>
        <v>0</v>
      </c>
    </row>
    <row r="168" spans="2:53" x14ac:dyDescent="0.2">
      <c r="B168" s="76" t="s">
        <v>102</v>
      </c>
      <c r="C168" s="73" t="s">
        <v>75</v>
      </c>
      <c r="D168" s="47"/>
      <c r="E168" s="47">
        <f>IF(OR(D169&lt;=$B$15*$AB$167,F$1-$AC$1&gt;$B$13),0,-IF($B$12="straight line",SLN($AB$167,+$B$15*$AB$167,$B$13),VDB($AB$167,$B$15*$AB$167,$B$13,E$1-$AC$1,F$1-$AC$1,$B$14)))</f>
        <v>0</v>
      </c>
      <c r="F168" s="47">
        <f t="shared" ref="F168:BA168" si="127">IF(OR(E169&lt;=$B$15*$AB$167,G$1-$AC$1&gt;$B$13),0,-IF($B$12="straight line",SLN($AB$167,+$B$15*$AB$167,$B$13),VDB($AB$167,$B$15*$AB$167,$B$13,F$1-$AC$1,G$1-$AC$1,$B$14)))</f>
        <v>0</v>
      </c>
      <c r="G168" s="47">
        <f t="shared" si="127"/>
        <v>0</v>
      </c>
      <c r="H168" s="47">
        <f t="shared" si="127"/>
        <v>0</v>
      </c>
      <c r="I168" s="47">
        <f t="shared" si="127"/>
        <v>0</v>
      </c>
      <c r="J168" s="47">
        <f t="shared" si="127"/>
        <v>0</v>
      </c>
      <c r="K168" s="47">
        <f t="shared" si="127"/>
        <v>0</v>
      </c>
      <c r="L168" s="47">
        <f t="shared" si="127"/>
        <v>0</v>
      </c>
      <c r="M168" s="47">
        <f t="shared" si="127"/>
        <v>0</v>
      </c>
      <c r="N168" s="47">
        <f t="shared" si="127"/>
        <v>0</v>
      </c>
      <c r="O168" s="47">
        <f t="shared" si="127"/>
        <v>0</v>
      </c>
      <c r="P168" s="47">
        <f t="shared" si="127"/>
        <v>0</v>
      </c>
      <c r="Q168" s="47">
        <f t="shared" si="127"/>
        <v>0</v>
      </c>
      <c r="R168" s="47">
        <f t="shared" si="127"/>
        <v>0</v>
      </c>
      <c r="S168" s="47">
        <f t="shared" si="127"/>
        <v>0</v>
      </c>
      <c r="T168" s="47">
        <f t="shared" si="127"/>
        <v>0</v>
      </c>
      <c r="U168" s="47">
        <f t="shared" si="127"/>
        <v>0</v>
      </c>
      <c r="V168" s="47">
        <f t="shared" si="127"/>
        <v>0</v>
      </c>
      <c r="W168" s="47">
        <f t="shared" si="127"/>
        <v>0</v>
      </c>
      <c r="X168" s="47">
        <f t="shared" si="127"/>
        <v>0</v>
      </c>
      <c r="Y168" s="47">
        <f t="shared" si="127"/>
        <v>0</v>
      </c>
      <c r="Z168" s="47">
        <f t="shared" si="127"/>
        <v>0</v>
      </c>
      <c r="AA168" s="47">
        <f t="shared" si="127"/>
        <v>0</v>
      </c>
      <c r="AB168" s="47">
        <f t="shared" si="127"/>
        <v>0</v>
      </c>
      <c r="AC168" s="47">
        <f t="shared" si="127"/>
        <v>-3.2168744989504523</v>
      </c>
      <c r="AD168" s="47">
        <f t="shared" si="127"/>
        <v>-3.2168744989504523</v>
      </c>
      <c r="AE168" s="47">
        <f t="shared" si="127"/>
        <v>-3.2168744989504523</v>
      </c>
      <c r="AF168" s="47">
        <f t="shared" si="127"/>
        <v>-3.2168744989504523</v>
      </c>
      <c r="AG168" s="47">
        <f t="shared" si="127"/>
        <v>-3.2168744989504523</v>
      </c>
      <c r="AH168" s="47">
        <f t="shared" si="127"/>
        <v>0</v>
      </c>
      <c r="AI168" s="47">
        <f t="shared" si="127"/>
        <v>0</v>
      </c>
      <c r="AJ168" s="47">
        <f t="shared" si="127"/>
        <v>0</v>
      </c>
      <c r="AK168" s="47">
        <f t="shared" si="127"/>
        <v>0</v>
      </c>
      <c r="AL168" s="47">
        <f t="shared" si="127"/>
        <v>0</v>
      </c>
      <c r="AM168" s="47">
        <f t="shared" si="127"/>
        <v>0</v>
      </c>
      <c r="AN168" s="47">
        <f t="shared" si="127"/>
        <v>0</v>
      </c>
      <c r="AO168" s="47">
        <f t="shared" si="127"/>
        <v>0</v>
      </c>
      <c r="AP168" s="47">
        <f t="shared" si="127"/>
        <v>0</v>
      </c>
      <c r="AQ168" s="47">
        <f t="shared" si="127"/>
        <v>0</v>
      </c>
      <c r="AR168" s="47">
        <f t="shared" si="127"/>
        <v>0</v>
      </c>
      <c r="AS168" s="47">
        <f t="shared" si="127"/>
        <v>0</v>
      </c>
      <c r="AT168" s="47">
        <f t="shared" si="127"/>
        <v>0</v>
      </c>
      <c r="AU168" s="47">
        <f t="shared" si="127"/>
        <v>0</v>
      </c>
      <c r="AV168" s="47">
        <f t="shared" si="127"/>
        <v>0</v>
      </c>
      <c r="AW168" s="47">
        <f t="shared" si="127"/>
        <v>0</v>
      </c>
      <c r="AX168" s="47">
        <f t="shared" si="127"/>
        <v>0</v>
      </c>
      <c r="AY168" s="47">
        <f t="shared" si="127"/>
        <v>0</v>
      </c>
      <c r="AZ168" s="47">
        <f t="shared" si="127"/>
        <v>0</v>
      </c>
      <c r="BA168" s="47">
        <f t="shared" si="127"/>
        <v>0</v>
      </c>
    </row>
    <row r="169" spans="2:53" x14ac:dyDescent="0.2">
      <c r="B169" s="76" t="s">
        <v>103</v>
      </c>
      <c r="C169" s="73" t="s">
        <v>75</v>
      </c>
      <c r="D169" s="95">
        <f>SUM(D166:D168)</f>
        <v>0</v>
      </c>
      <c r="E169" s="95">
        <f t="shared" ref="E169:BA169" si="128">SUM(E166:E168)</f>
        <v>0</v>
      </c>
      <c r="F169" s="95">
        <f t="shared" si="128"/>
        <v>0</v>
      </c>
      <c r="G169" s="95">
        <f t="shared" si="128"/>
        <v>0</v>
      </c>
      <c r="H169" s="95">
        <f t="shared" si="128"/>
        <v>0</v>
      </c>
      <c r="I169" s="95">
        <f t="shared" si="128"/>
        <v>0</v>
      </c>
      <c r="J169" s="95">
        <f t="shared" si="128"/>
        <v>0</v>
      </c>
      <c r="K169" s="95">
        <f t="shared" si="128"/>
        <v>0</v>
      </c>
      <c r="L169" s="95">
        <f t="shared" si="128"/>
        <v>0</v>
      </c>
      <c r="M169" s="95">
        <f t="shared" si="128"/>
        <v>0</v>
      </c>
      <c r="N169" s="95">
        <f t="shared" si="128"/>
        <v>0</v>
      </c>
      <c r="O169" s="95">
        <f t="shared" si="128"/>
        <v>0</v>
      </c>
      <c r="P169" s="95">
        <f t="shared" si="128"/>
        <v>0</v>
      </c>
      <c r="Q169" s="95">
        <f t="shared" si="128"/>
        <v>0</v>
      </c>
      <c r="R169" s="95">
        <f t="shared" si="128"/>
        <v>0</v>
      </c>
      <c r="S169" s="95">
        <f t="shared" si="128"/>
        <v>0</v>
      </c>
      <c r="T169" s="95">
        <f t="shared" si="128"/>
        <v>0</v>
      </c>
      <c r="U169" s="95">
        <f t="shared" si="128"/>
        <v>0</v>
      </c>
      <c r="V169" s="95">
        <f t="shared" si="128"/>
        <v>0</v>
      </c>
      <c r="W169" s="95">
        <f t="shared" si="128"/>
        <v>0</v>
      </c>
      <c r="X169" s="95">
        <f t="shared" si="128"/>
        <v>0</v>
      </c>
      <c r="Y169" s="95">
        <f t="shared" si="128"/>
        <v>0</v>
      </c>
      <c r="Z169" s="95">
        <f t="shared" si="128"/>
        <v>0</v>
      </c>
      <c r="AA169" s="95">
        <f t="shared" si="128"/>
        <v>0</v>
      </c>
      <c r="AB169" s="95">
        <f t="shared" si="128"/>
        <v>16.084372494752262</v>
      </c>
      <c r="AC169" s="95">
        <f t="shared" si="128"/>
        <v>12.867497995801809</v>
      </c>
      <c r="AD169" s="95">
        <f t="shared" si="128"/>
        <v>9.650623496851356</v>
      </c>
      <c r="AE169" s="95">
        <f t="shared" si="128"/>
        <v>6.4337489979009037</v>
      </c>
      <c r="AF169" s="95">
        <f t="shared" si="128"/>
        <v>3.2168744989504514</v>
      </c>
      <c r="AG169" s="95">
        <f t="shared" si="128"/>
        <v>0</v>
      </c>
      <c r="AH169" s="95">
        <f t="shared" si="128"/>
        <v>0</v>
      </c>
      <c r="AI169" s="95">
        <f t="shared" si="128"/>
        <v>0</v>
      </c>
      <c r="AJ169" s="95">
        <f t="shared" si="128"/>
        <v>0</v>
      </c>
      <c r="AK169" s="95">
        <f t="shared" si="128"/>
        <v>0</v>
      </c>
      <c r="AL169" s="95">
        <f t="shared" si="128"/>
        <v>0</v>
      </c>
      <c r="AM169" s="95">
        <f t="shared" si="128"/>
        <v>0</v>
      </c>
      <c r="AN169" s="95">
        <f t="shared" si="128"/>
        <v>0</v>
      </c>
      <c r="AO169" s="95">
        <f t="shared" si="128"/>
        <v>0</v>
      </c>
      <c r="AP169" s="95">
        <f t="shared" si="128"/>
        <v>0</v>
      </c>
      <c r="AQ169" s="95">
        <f t="shared" si="128"/>
        <v>0</v>
      </c>
      <c r="AR169" s="95">
        <f t="shared" si="128"/>
        <v>0</v>
      </c>
      <c r="AS169" s="95">
        <f t="shared" si="128"/>
        <v>0</v>
      </c>
      <c r="AT169" s="95">
        <f t="shared" si="128"/>
        <v>0</v>
      </c>
      <c r="AU169" s="95">
        <f t="shared" si="128"/>
        <v>0</v>
      </c>
      <c r="AV169" s="95">
        <f t="shared" si="128"/>
        <v>0</v>
      </c>
      <c r="AW169" s="95">
        <f t="shared" si="128"/>
        <v>0</v>
      </c>
      <c r="AX169" s="95">
        <f t="shared" si="128"/>
        <v>0</v>
      </c>
      <c r="AY169" s="95">
        <f t="shared" si="128"/>
        <v>0</v>
      </c>
      <c r="AZ169" s="95">
        <f t="shared" si="128"/>
        <v>0</v>
      </c>
      <c r="BA169" s="95">
        <f t="shared" si="128"/>
        <v>0</v>
      </c>
    </row>
    <row r="171" spans="2:53" x14ac:dyDescent="0.2">
      <c r="B171" s="215">
        <f>B165+1</f>
        <v>26</v>
      </c>
    </row>
    <row r="172" spans="2:53" x14ac:dyDescent="0.2">
      <c r="B172" s="94" t="s">
        <v>100</v>
      </c>
      <c r="C172" s="73" t="s">
        <v>75</v>
      </c>
      <c r="D172" s="95">
        <f>0</f>
        <v>0</v>
      </c>
      <c r="E172" s="47">
        <f t="shared" ref="E172:BA172" si="129">D175</f>
        <v>0</v>
      </c>
      <c r="F172" s="47">
        <f t="shared" si="129"/>
        <v>0</v>
      </c>
      <c r="G172" s="47">
        <f t="shared" si="129"/>
        <v>0</v>
      </c>
      <c r="H172" s="47">
        <f t="shared" si="129"/>
        <v>0</v>
      </c>
      <c r="I172" s="47">
        <f t="shared" si="129"/>
        <v>0</v>
      </c>
      <c r="J172" s="47">
        <f t="shared" si="129"/>
        <v>0</v>
      </c>
      <c r="K172" s="47">
        <f t="shared" si="129"/>
        <v>0</v>
      </c>
      <c r="L172" s="47">
        <f t="shared" si="129"/>
        <v>0</v>
      </c>
      <c r="M172" s="47">
        <f t="shared" si="129"/>
        <v>0</v>
      </c>
      <c r="N172" s="47">
        <f t="shared" si="129"/>
        <v>0</v>
      </c>
      <c r="O172" s="47">
        <f t="shared" si="129"/>
        <v>0</v>
      </c>
      <c r="P172" s="47">
        <f t="shared" si="129"/>
        <v>0</v>
      </c>
      <c r="Q172" s="47">
        <f t="shared" si="129"/>
        <v>0</v>
      </c>
      <c r="R172" s="47">
        <f t="shared" si="129"/>
        <v>0</v>
      </c>
      <c r="S172" s="47">
        <f t="shared" si="129"/>
        <v>0</v>
      </c>
      <c r="T172" s="47">
        <f t="shared" si="129"/>
        <v>0</v>
      </c>
      <c r="U172" s="47">
        <f t="shared" si="129"/>
        <v>0</v>
      </c>
      <c r="V172" s="47">
        <f t="shared" si="129"/>
        <v>0</v>
      </c>
      <c r="W172" s="47">
        <f t="shared" si="129"/>
        <v>0</v>
      </c>
      <c r="X172" s="47">
        <f t="shared" si="129"/>
        <v>0</v>
      </c>
      <c r="Y172" s="47">
        <f t="shared" si="129"/>
        <v>0</v>
      </c>
      <c r="Z172" s="47">
        <f t="shared" si="129"/>
        <v>0</v>
      </c>
      <c r="AA172" s="47">
        <f t="shared" si="129"/>
        <v>0</v>
      </c>
      <c r="AB172" s="47">
        <f t="shared" si="129"/>
        <v>0</v>
      </c>
      <c r="AC172" s="47">
        <f t="shared" si="129"/>
        <v>0</v>
      </c>
      <c r="AD172" s="47">
        <f t="shared" si="129"/>
        <v>16.406059944647307</v>
      </c>
      <c r="AE172" s="47">
        <f t="shared" si="129"/>
        <v>13.124847955717845</v>
      </c>
      <c r="AF172" s="47">
        <f t="shared" si="129"/>
        <v>9.8436359667883835</v>
      </c>
      <c r="AG172" s="47">
        <f t="shared" si="129"/>
        <v>6.5624239778589217</v>
      </c>
      <c r="AH172" s="47">
        <f t="shared" si="129"/>
        <v>3.2812119889294604</v>
      </c>
      <c r="AI172" s="47">
        <f t="shared" si="129"/>
        <v>0</v>
      </c>
      <c r="AJ172" s="47">
        <f t="shared" si="129"/>
        <v>0</v>
      </c>
      <c r="AK172" s="47">
        <f t="shared" si="129"/>
        <v>0</v>
      </c>
      <c r="AL172" s="47">
        <f t="shared" si="129"/>
        <v>0</v>
      </c>
      <c r="AM172" s="47">
        <f t="shared" si="129"/>
        <v>0</v>
      </c>
      <c r="AN172" s="47">
        <f t="shared" si="129"/>
        <v>0</v>
      </c>
      <c r="AO172" s="47">
        <f t="shared" si="129"/>
        <v>0</v>
      </c>
      <c r="AP172" s="47">
        <f t="shared" si="129"/>
        <v>0</v>
      </c>
      <c r="AQ172" s="47">
        <f t="shared" si="129"/>
        <v>0</v>
      </c>
      <c r="AR172" s="47">
        <f t="shared" si="129"/>
        <v>0</v>
      </c>
      <c r="AS172" s="47">
        <f t="shared" si="129"/>
        <v>0</v>
      </c>
      <c r="AT172" s="47">
        <f t="shared" si="129"/>
        <v>0</v>
      </c>
      <c r="AU172" s="47">
        <f t="shared" si="129"/>
        <v>0</v>
      </c>
      <c r="AV172" s="47">
        <f t="shared" si="129"/>
        <v>0</v>
      </c>
      <c r="AW172" s="47">
        <f t="shared" si="129"/>
        <v>0</v>
      </c>
      <c r="AX172" s="47">
        <f t="shared" si="129"/>
        <v>0</v>
      </c>
      <c r="AY172" s="47">
        <f t="shared" si="129"/>
        <v>0</v>
      </c>
      <c r="AZ172" s="47">
        <f t="shared" si="129"/>
        <v>0</v>
      </c>
      <c r="BA172" s="47">
        <f t="shared" si="129"/>
        <v>0</v>
      </c>
    </row>
    <row r="173" spans="2:53" x14ac:dyDescent="0.2">
      <c r="B173" s="94" t="s">
        <v>101</v>
      </c>
      <c r="C173" s="73" t="s">
        <v>75</v>
      </c>
      <c r="D173" s="95">
        <f>IF($B171=D$2,D$4,0)</f>
        <v>0</v>
      </c>
      <c r="E173" s="95">
        <f t="shared" ref="E173:BA173" si="130">IF($B171=E$2,E$4,0)</f>
        <v>0</v>
      </c>
      <c r="F173" s="95">
        <f t="shared" si="130"/>
        <v>0</v>
      </c>
      <c r="G173" s="95">
        <f t="shared" si="130"/>
        <v>0</v>
      </c>
      <c r="H173" s="95">
        <f t="shared" si="130"/>
        <v>0</v>
      </c>
      <c r="I173" s="95">
        <f t="shared" si="130"/>
        <v>0</v>
      </c>
      <c r="J173" s="95">
        <f t="shared" si="130"/>
        <v>0</v>
      </c>
      <c r="K173" s="95">
        <f t="shared" si="130"/>
        <v>0</v>
      </c>
      <c r="L173" s="95">
        <f t="shared" si="130"/>
        <v>0</v>
      </c>
      <c r="M173" s="95">
        <f t="shared" si="130"/>
        <v>0</v>
      </c>
      <c r="N173" s="95">
        <f t="shared" si="130"/>
        <v>0</v>
      </c>
      <c r="O173" s="95">
        <f t="shared" si="130"/>
        <v>0</v>
      </c>
      <c r="P173" s="95">
        <f t="shared" si="130"/>
        <v>0</v>
      </c>
      <c r="Q173" s="95">
        <f t="shared" si="130"/>
        <v>0</v>
      </c>
      <c r="R173" s="95">
        <f t="shared" si="130"/>
        <v>0</v>
      </c>
      <c r="S173" s="95">
        <f t="shared" si="130"/>
        <v>0</v>
      </c>
      <c r="T173" s="95">
        <f t="shared" si="130"/>
        <v>0</v>
      </c>
      <c r="U173" s="95">
        <f t="shared" si="130"/>
        <v>0</v>
      </c>
      <c r="V173" s="95">
        <f t="shared" si="130"/>
        <v>0</v>
      </c>
      <c r="W173" s="95">
        <f t="shared" si="130"/>
        <v>0</v>
      </c>
      <c r="X173" s="95">
        <f t="shared" si="130"/>
        <v>0</v>
      </c>
      <c r="Y173" s="95">
        <f t="shared" si="130"/>
        <v>0</v>
      </c>
      <c r="Z173" s="95">
        <f t="shared" si="130"/>
        <v>0</v>
      </c>
      <c r="AA173" s="95">
        <f t="shared" si="130"/>
        <v>0</v>
      </c>
      <c r="AB173" s="95">
        <f t="shared" si="130"/>
        <v>0</v>
      </c>
      <c r="AC173" s="95">
        <f t="shared" si="130"/>
        <v>16.406059944647307</v>
      </c>
      <c r="AD173" s="95">
        <f t="shared" si="130"/>
        <v>0</v>
      </c>
      <c r="AE173" s="95">
        <f t="shared" si="130"/>
        <v>0</v>
      </c>
      <c r="AF173" s="95">
        <f t="shared" si="130"/>
        <v>0</v>
      </c>
      <c r="AG173" s="95">
        <f t="shared" si="130"/>
        <v>0</v>
      </c>
      <c r="AH173" s="95">
        <f t="shared" si="130"/>
        <v>0</v>
      </c>
      <c r="AI173" s="95">
        <f t="shared" si="130"/>
        <v>0</v>
      </c>
      <c r="AJ173" s="95">
        <f t="shared" si="130"/>
        <v>0</v>
      </c>
      <c r="AK173" s="95">
        <f t="shared" si="130"/>
        <v>0</v>
      </c>
      <c r="AL173" s="95">
        <f t="shared" si="130"/>
        <v>0</v>
      </c>
      <c r="AM173" s="95">
        <f t="shared" si="130"/>
        <v>0</v>
      </c>
      <c r="AN173" s="95">
        <f t="shared" si="130"/>
        <v>0</v>
      </c>
      <c r="AO173" s="95">
        <f t="shared" si="130"/>
        <v>0</v>
      </c>
      <c r="AP173" s="95">
        <f t="shared" si="130"/>
        <v>0</v>
      </c>
      <c r="AQ173" s="95">
        <f t="shared" si="130"/>
        <v>0</v>
      </c>
      <c r="AR173" s="95">
        <f t="shared" si="130"/>
        <v>0</v>
      </c>
      <c r="AS173" s="95">
        <f t="shared" si="130"/>
        <v>0</v>
      </c>
      <c r="AT173" s="95">
        <f t="shared" si="130"/>
        <v>0</v>
      </c>
      <c r="AU173" s="95">
        <f t="shared" si="130"/>
        <v>0</v>
      </c>
      <c r="AV173" s="95">
        <f t="shared" si="130"/>
        <v>0</v>
      </c>
      <c r="AW173" s="95">
        <f t="shared" si="130"/>
        <v>0</v>
      </c>
      <c r="AX173" s="95">
        <f t="shared" si="130"/>
        <v>0</v>
      </c>
      <c r="AY173" s="95">
        <f t="shared" si="130"/>
        <v>0</v>
      </c>
      <c r="AZ173" s="95">
        <f t="shared" si="130"/>
        <v>0</v>
      </c>
      <c r="BA173" s="95">
        <f t="shared" si="130"/>
        <v>0</v>
      </c>
    </row>
    <row r="174" spans="2:53" x14ac:dyDescent="0.2">
      <c r="B174" s="76" t="s">
        <v>102</v>
      </c>
      <c r="C174" s="73" t="s">
        <v>75</v>
      </c>
      <c r="D174" s="47"/>
      <c r="E174" s="47">
        <f>IF(OR(D175&lt;=$B$15*$AC$173,F$1-$AD$1&gt;$B$13),0,-IF($B$12="straight line",SLN($AC$173,+$B$15*$AC$173,$B$13),VDB($AC$173,$B$15*$AC$173,$B$13,E$1-$AD$1,F$1-$AD$1,$B$14)))</f>
        <v>0</v>
      </c>
      <c r="F174" s="47">
        <f t="shared" ref="F174:BA174" si="131">IF(OR(E175&lt;=$B$15*$AC$173,G$1-$AD$1&gt;$B$13),0,-IF($B$12="straight line",SLN($AC$173,+$B$15*$AC$173,$B$13),VDB($AC$173,$B$15*$AC$173,$B$13,F$1-$AD$1,G$1-$AD$1,$B$14)))</f>
        <v>0</v>
      </c>
      <c r="G174" s="47">
        <f t="shared" si="131"/>
        <v>0</v>
      </c>
      <c r="H174" s="47">
        <f t="shared" si="131"/>
        <v>0</v>
      </c>
      <c r="I174" s="47">
        <f t="shared" si="131"/>
        <v>0</v>
      </c>
      <c r="J174" s="47">
        <f t="shared" si="131"/>
        <v>0</v>
      </c>
      <c r="K174" s="47">
        <f t="shared" si="131"/>
        <v>0</v>
      </c>
      <c r="L174" s="47">
        <f t="shared" si="131"/>
        <v>0</v>
      </c>
      <c r="M174" s="47">
        <f t="shared" si="131"/>
        <v>0</v>
      </c>
      <c r="N174" s="47">
        <f t="shared" si="131"/>
        <v>0</v>
      </c>
      <c r="O174" s="47">
        <f t="shared" si="131"/>
        <v>0</v>
      </c>
      <c r="P174" s="47">
        <f t="shared" si="131"/>
        <v>0</v>
      </c>
      <c r="Q174" s="47">
        <f t="shared" si="131"/>
        <v>0</v>
      </c>
      <c r="R174" s="47">
        <f t="shared" si="131"/>
        <v>0</v>
      </c>
      <c r="S174" s="47">
        <f t="shared" si="131"/>
        <v>0</v>
      </c>
      <c r="T174" s="47">
        <f t="shared" si="131"/>
        <v>0</v>
      </c>
      <c r="U174" s="47">
        <f t="shared" si="131"/>
        <v>0</v>
      </c>
      <c r="V174" s="47">
        <f t="shared" si="131"/>
        <v>0</v>
      </c>
      <c r="W174" s="47">
        <f t="shared" si="131"/>
        <v>0</v>
      </c>
      <c r="X174" s="47">
        <f t="shared" si="131"/>
        <v>0</v>
      </c>
      <c r="Y174" s="47">
        <f t="shared" si="131"/>
        <v>0</v>
      </c>
      <c r="Z174" s="47">
        <f t="shared" si="131"/>
        <v>0</v>
      </c>
      <c r="AA174" s="47">
        <f t="shared" si="131"/>
        <v>0</v>
      </c>
      <c r="AB174" s="47">
        <f t="shared" si="131"/>
        <v>0</v>
      </c>
      <c r="AC174" s="47">
        <f t="shared" si="131"/>
        <v>0</v>
      </c>
      <c r="AD174" s="47">
        <f t="shared" si="131"/>
        <v>-3.2812119889294613</v>
      </c>
      <c r="AE174" s="47">
        <f t="shared" si="131"/>
        <v>-3.2812119889294613</v>
      </c>
      <c r="AF174" s="47">
        <f t="shared" si="131"/>
        <v>-3.2812119889294613</v>
      </c>
      <c r="AG174" s="47">
        <f t="shared" si="131"/>
        <v>-3.2812119889294613</v>
      </c>
      <c r="AH174" s="47">
        <f t="shared" si="131"/>
        <v>-3.2812119889294613</v>
      </c>
      <c r="AI174" s="47">
        <f t="shared" si="131"/>
        <v>0</v>
      </c>
      <c r="AJ174" s="47">
        <f t="shared" si="131"/>
        <v>0</v>
      </c>
      <c r="AK174" s="47">
        <f t="shared" si="131"/>
        <v>0</v>
      </c>
      <c r="AL174" s="47">
        <f t="shared" si="131"/>
        <v>0</v>
      </c>
      <c r="AM174" s="47">
        <f t="shared" si="131"/>
        <v>0</v>
      </c>
      <c r="AN174" s="47">
        <f t="shared" si="131"/>
        <v>0</v>
      </c>
      <c r="AO174" s="47">
        <f t="shared" si="131"/>
        <v>0</v>
      </c>
      <c r="AP174" s="47">
        <f t="shared" si="131"/>
        <v>0</v>
      </c>
      <c r="AQ174" s="47">
        <f t="shared" si="131"/>
        <v>0</v>
      </c>
      <c r="AR174" s="47">
        <f t="shared" si="131"/>
        <v>0</v>
      </c>
      <c r="AS174" s="47">
        <f t="shared" si="131"/>
        <v>0</v>
      </c>
      <c r="AT174" s="47">
        <f t="shared" si="131"/>
        <v>0</v>
      </c>
      <c r="AU174" s="47">
        <f t="shared" si="131"/>
        <v>0</v>
      </c>
      <c r="AV174" s="47">
        <f t="shared" si="131"/>
        <v>0</v>
      </c>
      <c r="AW174" s="47">
        <f t="shared" si="131"/>
        <v>0</v>
      </c>
      <c r="AX174" s="47">
        <f t="shared" si="131"/>
        <v>0</v>
      </c>
      <c r="AY174" s="47">
        <f t="shared" si="131"/>
        <v>0</v>
      </c>
      <c r="AZ174" s="47">
        <f t="shared" si="131"/>
        <v>0</v>
      </c>
      <c r="BA174" s="47">
        <f t="shared" si="131"/>
        <v>0</v>
      </c>
    </row>
    <row r="175" spans="2:53" x14ac:dyDescent="0.2">
      <c r="B175" s="76" t="s">
        <v>103</v>
      </c>
      <c r="C175" s="73" t="s">
        <v>75</v>
      </c>
      <c r="D175" s="95">
        <f>SUM(D172:D174)</f>
        <v>0</v>
      </c>
      <c r="E175" s="95">
        <f t="shared" ref="E175:BA175" si="132">SUM(E172:E174)</f>
        <v>0</v>
      </c>
      <c r="F175" s="95">
        <f t="shared" si="132"/>
        <v>0</v>
      </c>
      <c r="G175" s="95">
        <f t="shared" si="132"/>
        <v>0</v>
      </c>
      <c r="H175" s="95">
        <f t="shared" si="132"/>
        <v>0</v>
      </c>
      <c r="I175" s="95">
        <f t="shared" si="132"/>
        <v>0</v>
      </c>
      <c r="J175" s="95">
        <f t="shared" si="132"/>
        <v>0</v>
      </c>
      <c r="K175" s="95">
        <f t="shared" si="132"/>
        <v>0</v>
      </c>
      <c r="L175" s="95">
        <f t="shared" si="132"/>
        <v>0</v>
      </c>
      <c r="M175" s="95">
        <f t="shared" si="132"/>
        <v>0</v>
      </c>
      <c r="N175" s="95">
        <f t="shared" si="132"/>
        <v>0</v>
      </c>
      <c r="O175" s="95">
        <f t="shared" si="132"/>
        <v>0</v>
      </c>
      <c r="P175" s="95">
        <f t="shared" si="132"/>
        <v>0</v>
      </c>
      <c r="Q175" s="95">
        <f t="shared" si="132"/>
        <v>0</v>
      </c>
      <c r="R175" s="95">
        <f t="shared" si="132"/>
        <v>0</v>
      </c>
      <c r="S175" s="95">
        <f t="shared" si="132"/>
        <v>0</v>
      </c>
      <c r="T175" s="95">
        <f t="shared" si="132"/>
        <v>0</v>
      </c>
      <c r="U175" s="95">
        <f t="shared" si="132"/>
        <v>0</v>
      </c>
      <c r="V175" s="95">
        <f t="shared" si="132"/>
        <v>0</v>
      </c>
      <c r="W175" s="95">
        <f t="shared" si="132"/>
        <v>0</v>
      </c>
      <c r="X175" s="95">
        <f t="shared" si="132"/>
        <v>0</v>
      </c>
      <c r="Y175" s="95">
        <f t="shared" si="132"/>
        <v>0</v>
      </c>
      <c r="Z175" s="95">
        <f t="shared" si="132"/>
        <v>0</v>
      </c>
      <c r="AA175" s="95">
        <f t="shared" si="132"/>
        <v>0</v>
      </c>
      <c r="AB175" s="95">
        <f t="shared" si="132"/>
        <v>0</v>
      </c>
      <c r="AC175" s="95">
        <f t="shared" si="132"/>
        <v>16.406059944647307</v>
      </c>
      <c r="AD175" s="95">
        <f t="shared" si="132"/>
        <v>13.124847955717845</v>
      </c>
      <c r="AE175" s="95">
        <f t="shared" si="132"/>
        <v>9.8436359667883835</v>
      </c>
      <c r="AF175" s="95">
        <f t="shared" si="132"/>
        <v>6.5624239778589217</v>
      </c>
      <c r="AG175" s="95">
        <f t="shared" si="132"/>
        <v>3.2812119889294604</v>
      </c>
      <c r="AH175" s="95">
        <f t="shared" si="132"/>
        <v>0</v>
      </c>
      <c r="AI175" s="95">
        <f t="shared" si="132"/>
        <v>0</v>
      </c>
      <c r="AJ175" s="95">
        <f t="shared" si="132"/>
        <v>0</v>
      </c>
      <c r="AK175" s="95">
        <f t="shared" si="132"/>
        <v>0</v>
      </c>
      <c r="AL175" s="95">
        <f t="shared" si="132"/>
        <v>0</v>
      </c>
      <c r="AM175" s="95">
        <f t="shared" si="132"/>
        <v>0</v>
      </c>
      <c r="AN175" s="95">
        <f t="shared" si="132"/>
        <v>0</v>
      </c>
      <c r="AO175" s="95">
        <f t="shared" si="132"/>
        <v>0</v>
      </c>
      <c r="AP175" s="95">
        <f t="shared" si="132"/>
        <v>0</v>
      </c>
      <c r="AQ175" s="95">
        <f t="shared" si="132"/>
        <v>0</v>
      </c>
      <c r="AR175" s="95">
        <f t="shared" si="132"/>
        <v>0</v>
      </c>
      <c r="AS175" s="95">
        <f t="shared" si="132"/>
        <v>0</v>
      </c>
      <c r="AT175" s="95">
        <f t="shared" si="132"/>
        <v>0</v>
      </c>
      <c r="AU175" s="95">
        <f t="shared" si="132"/>
        <v>0</v>
      </c>
      <c r="AV175" s="95">
        <f t="shared" si="132"/>
        <v>0</v>
      </c>
      <c r="AW175" s="95">
        <f t="shared" si="132"/>
        <v>0</v>
      </c>
      <c r="AX175" s="95">
        <f t="shared" si="132"/>
        <v>0</v>
      </c>
      <c r="AY175" s="95">
        <f t="shared" si="132"/>
        <v>0</v>
      </c>
      <c r="AZ175" s="95">
        <f t="shared" si="132"/>
        <v>0</v>
      </c>
      <c r="BA175" s="95">
        <f t="shared" si="132"/>
        <v>0</v>
      </c>
    </row>
    <row r="177" spans="2:53" x14ac:dyDescent="0.2">
      <c r="B177" s="215">
        <f>B171+1</f>
        <v>27</v>
      </c>
    </row>
    <row r="178" spans="2:53" x14ac:dyDescent="0.2">
      <c r="B178" s="94" t="s">
        <v>100</v>
      </c>
      <c r="C178" s="73" t="s">
        <v>75</v>
      </c>
      <c r="D178" s="95">
        <f>0</f>
        <v>0</v>
      </c>
      <c r="E178" s="47">
        <f t="shared" ref="E178:BA178" si="133">D181</f>
        <v>0</v>
      </c>
      <c r="F178" s="47">
        <f t="shared" si="133"/>
        <v>0</v>
      </c>
      <c r="G178" s="47">
        <f t="shared" si="133"/>
        <v>0</v>
      </c>
      <c r="H178" s="47">
        <f t="shared" si="133"/>
        <v>0</v>
      </c>
      <c r="I178" s="47">
        <f t="shared" si="133"/>
        <v>0</v>
      </c>
      <c r="J178" s="47">
        <f t="shared" si="133"/>
        <v>0</v>
      </c>
      <c r="K178" s="47">
        <f t="shared" si="133"/>
        <v>0</v>
      </c>
      <c r="L178" s="47">
        <f t="shared" si="133"/>
        <v>0</v>
      </c>
      <c r="M178" s="47">
        <f t="shared" si="133"/>
        <v>0</v>
      </c>
      <c r="N178" s="47">
        <f t="shared" si="133"/>
        <v>0</v>
      </c>
      <c r="O178" s="47">
        <f t="shared" si="133"/>
        <v>0</v>
      </c>
      <c r="P178" s="47">
        <f t="shared" si="133"/>
        <v>0</v>
      </c>
      <c r="Q178" s="47">
        <f t="shared" si="133"/>
        <v>0</v>
      </c>
      <c r="R178" s="47">
        <f t="shared" si="133"/>
        <v>0</v>
      </c>
      <c r="S178" s="47">
        <f t="shared" si="133"/>
        <v>0</v>
      </c>
      <c r="T178" s="47">
        <f t="shared" si="133"/>
        <v>0</v>
      </c>
      <c r="U178" s="47">
        <f t="shared" si="133"/>
        <v>0</v>
      </c>
      <c r="V178" s="47">
        <f t="shared" si="133"/>
        <v>0</v>
      </c>
      <c r="W178" s="47">
        <f t="shared" si="133"/>
        <v>0</v>
      </c>
      <c r="X178" s="47">
        <f t="shared" si="133"/>
        <v>0</v>
      </c>
      <c r="Y178" s="47">
        <f t="shared" si="133"/>
        <v>0</v>
      </c>
      <c r="Z178" s="47">
        <f t="shared" si="133"/>
        <v>0</v>
      </c>
      <c r="AA178" s="47">
        <f t="shared" si="133"/>
        <v>0</v>
      </c>
      <c r="AB178" s="47">
        <f t="shared" si="133"/>
        <v>0</v>
      </c>
      <c r="AC178" s="47">
        <f t="shared" si="133"/>
        <v>0</v>
      </c>
      <c r="AD178" s="47">
        <f t="shared" si="133"/>
        <v>0</v>
      </c>
      <c r="AE178" s="47">
        <f t="shared" si="133"/>
        <v>16.734181143540251</v>
      </c>
      <c r="AF178" s="47">
        <f t="shared" si="133"/>
        <v>13.387344914832202</v>
      </c>
      <c r="AG178" s="47">
        <f t="shared" si="133"/>
        <v>10.040508686124152</v>
      </c>
      <c r="AH178" s="47">
        <f t="shared" si="133"/>
        <v>6.6936724574161017</v>
      </c>
      <c r="AI178" s="47">
        <f t="shared" si="133"/>
        <v>3.3468362287080513</v>
      </c>
      <c r="AJ178" s="47">
        <f t="shared" si="133"/>
        <v>0</v>
      </c>
      <c r="AK178" s="47">
        <f t="shared" si="133"/>
        <v>0</v>
      </c>
      <c r="AL178" s="47">
        <f t="shared" si="133"/>
        <v>0</v>
      </c>
      <c r="AM178" s="47">
        <f t="shared" si="133"/>
        <v>0</v>
      </c>
      <c r="AN178" s="47">
        <f t="shared" si="133"/>
        <v>0</v>
      </c>
      <c r="AO178" s="47">
        <f t="shared" si="133"/>
        <v>0</v>
      </c>
      <c r="AP178" s="47">
        <f t="shared" si="133"/>
        <v>0</v>
      </c>
      <c r="AQ178" s="47">
        <f t="shared" si="133"/>
        <v>0</v>
      </c>
      <c r="AR178" s="47">
        <f t="shared" si="133"/>
        <v>0</v>
      </c>
      <c r="AS178" s="47">
        <f t="shared" si="133"/>
        <v>0</v>
      </c>
      <c r="AT178" s="47">
        <f t="shared" si="133"/>
        <v>0</v>
      </c>
      <c r="AU178" s="47">
        <f t="shared" si="133"/>
        <v>0</v>
      </c>
      <c r="AV178" s="47">
        <f t="shared" si="133"/>
        <v>0</v>
      </c>
      <c r="AW178" s="47">
        <f t="shared" si="133"/>
        <v>0</v>
      </c>
      <c r="AX178" s="47">
        <f t="shared" si="133"/>
        <v>0</v>
      </c>
      <c r="AY178" s="47">
        <f t="shared" si="133"/>
        <v>0</v>
      </c>
      <c r="AZ178" s="47">
        <f t="shared" si="133"/>
        <v>0</v>
      </c>
      <c r="BA178" s="47">
        <f t="shared" si="133"/>
        <v>0</v>
      </c>
    </row>
    <row r="179" spans="2:53" x14ac:dyDescent="0.2">
      <c r="B179" s="94" t="s">
        <v>101</v>
      </c>
      <c r="C179" s="73" t="s">
        <v>75</v>
      </c>
      <c r="D179" s="95">
        <f>IF($B177=D$2,D$4,0)</f>
        <v>0</v>
      </c>
      <c r="E179" s="95">
        <f t="shared" ref="E179:BA179" si="134">IF($B177=E$2,E$4,0)</f>
        <v>0</v>
      </c>
      <c r="F179" s="95">
        <f t="shared" si="134"/>
        <v>0</v>
      </c>
      <c r="G179" s="95">
        <f t="shared" si="134"/>
        <v>0</v>
      </c>
      <c r="H179" s="95">
        <f t="shared" si="134"/>
        <v>0</v>
      </c>
      <c r="I179" s="95">
        <f t="shared" si="134"/>
        <v>0</v>
      </c>
      <c r="J179" s="95">
        <f t="shared" si="134"/>
        <v>0</v>
      </c>
      <c r="K179" s="95">
        <f t="shared" si="134"/>
        <v>0</v>
      </c>
      <c r="L179" s="95">
        <f t="shared" si="134"/>
        <v>0</v>
      </c>
      <c r="M179" s="95">
        <f t="shared" si="134"/>
        <v>0</v>
      </c>
      <c r="N179" s="95">
        <f t="shared" si="134"/>
        <v>0</v>
      </c>
      <c r="O179" s="95">
        <f t="shared" si="134"/>
        <v>0</v>
      </c>
      <c r="P179" s="95">
        <f t="shared" si="134"/>
        <v>0</v>
      </c>
      <c r="Q179" s="95">
        <f t="shared" si="134"/>
        <v>0</v>
      </c>
      <c r="R179" s="95">
        <f t="shared" si="134"/>
        <v>0</v>
      </c>
      <c r="S179" s="95">
        <f t="shared" si="134"/>
        <v>0</v>
      </c>
      <c r="T179" s="95">
        <f t="shared" si="134"/>
        <v>0</v>
      </c>
      <c r="U179" s="95">
        <f t="shared" si="134"/>
        <v>0</v>
      </c>
      <c r="V179" s="95">
        <f t="shared" si="134"/>
        <v>0</v>
      </c>
      <c r="W179" s="95">
        <f t="shared" si="134"/>
        <v>0</v>
      </c>
      <c r="X179" s="95">
        <f t="shared" si="134"/>
        <v>0</v>
      </c>
      <c r="Y179" s="95">
        <f t="shared" si="134"/>
        <v>0</v>
      </c>
      <c r="Z179" s="95">
        <f t="shared" si="134"/>
        <v>0</v>
      </c>
      <c r="AA179" s="95">
        <f t="shared" si="134"/>
        <v>0</v>
      </c>
      <c r="AB179" s="95">
        <f t="shared" si="134"/>
        <v>0</v>
      </c>
      <c r="AC179" s="95">
        <f t="shared" si="134"/>
        <v>0</v>
      </c>
      <c r="AD179" s="95">
        <f t="shared" si="134"/>
        <v>16.734181143540251</v>
      </c>
      <c r="AE179" s="95">
        <f t="shared" si="134"/>
        <v>0</v>
      </c>
      <c r="AF179" s="95">
        <f t="shared" si="134"/>
        <v>0</v>
      </c>
      <c r="AG179" s="95">
        <f t="shared" si="134"/>
        <v>0</v>
      </c>
      <c r="AH179" s="95">
        <f t="shared" si="134"/>
        <v>0</v>
      </c>
      <c r="AI179" s="95">
        <f t="shared" si="134"/>
        <v>0</v>
      </c>
      <c r="AJ179" s="95">
        <f t="shared" si="134"/>
        <v>0</v>
      </c>
      <c r="AK179" s="95">
        <f t="shared" si="134"/>
        <v>0</v>
      </c>
      <c r="AL179" s="95">
        <f t="shared" si="134"/>
        <v>0</v>
      </c>
      <c r="AM179" s="95">
        <f t="shared" si="134"/>
        <v>0</v>
      </c>
      <c r="AN179" s="95">
        <f t="shared" si="134"/>
        <v>0</v>
      </c>
      <c r="AO179" s="95">
        <f t="shared" si="134"/>
        <v>0</v>
      </c>
      <c r="AP179" s="95">
        <f t="shared" si="134"/>
        <v>0</v>
      </c>
      <c r="AQ179" s="95">
        <f t="shared" si="134"/>
        <v>0</v>
      </c>
      <c r="AR179" s="95">
        <f t="shared" si="134"/>
        <v>0</v>
      </c>
      <c r="AS179" s="95">
        <f t="shared" si="134"/>
        <v>0</v>
      </c>
      <c r="AT179" s="95">
        <f t="shared" si="134"/>
        <v>0</v>
      </c>
      <c r="AU179" s="95">
        <f t="shared" si="134"/>
        <v>0</v>
      </c>
      <c r="AV179" s="95">
        <f t="shared" si="134"/>
        <v>0</v>
      </c>
      <c r="AW179" s="95">
        <f t="shared" si="134"/>
        <v>0</v>
      </c>
      <c r="AX179" s="95">
        <f t="shared" si="134"/>
        <v>0</v>
      </c>
      <c r="AY179" s="95">
        <f t="shared" si="134"/>
        <v>0</v>
      </c>
      <c r="AZ179" s="95">
        <f t="shared" si="134"/>
        <v>0</v>
      </c>
      <c r="BA179" s="95">
        <f t="shared" si="134"/>
        <v>0</v>
      </c>
    </row>
    <row r="180" spans="2:53" x14ac:dyDescent="0.2">
      <c r="B180" s="76" t="s">
        <v>102</v>
      </c>
      <c r="C180" s="73" t="s">
        <v>75</v>
      </c>
      <c r="D180" s="47"/>
      <c r="E180" s="47">
        <f>IF(OR(D181&lt;=$B$15*$AD$179,F$1-$AE$1&gt;$B$13),0,-IF($B$12="straight line",SLN($AD$179,+$B$15*$AD$179,$B$13),VDB($AD$179,$B$15*$AD$179,$B$13,E$1-$AE$1,F$1-$AE$1,$B$14)))</f>
        <v>0</v>
      </c>
      <c r="F180" s="47">
        <f t="shared" ref="F180:BA180" si="135">IF(OR(E181&lt;=$B$15*$AD$179,G$1-$AE$1&gt;$B$13),0,-IF($B$12="straight line",SLN($AD$179,+$B$15*$AD$179,$B$13),VDB($AD$179,$B$15*$AD$179,$B$13,F$1-$AE$1,G$1-$AE$1,$B$14)))</f>
        <v>0</v>
      </c>
      <c r="G180" s="47">
        <f t="shared" si="135"/>
        <v>0</v>
      </c>
      <c r="H180" s="47">
        <f t="shared" si="135"/>
        <v>0</v>
      </c>
      <c r="I180" s="47">
        <f t="shared" si="135"/>
        <v>0</v>
      </c>
      <c r="J180" s="47">
        <f t="shared" si="135"/>
        <v>0</v>
      </c>
      <c r="K180" s="47">
        <f t="shared" si="135"/>
        <v>0</v>
      </c>
      <c r="L180" s="47">
        <f t="shared" si="135"/>
        <v>0</v>
      </c>
      <c r="M180" s="47">
        <f t="shared" si="135"/>
        <v>0</v>
      </c>
      <c r="N180" s="47">
        <f t="shared" si="135"/>
        <v>0</v>
      </c>
      <c r="O180" s="47">
        <f t="shared" si="135"/>
        <v>0</v>
      </c>
      <c r="P180" s="47">
        <f t="shared" si="135"/>
        <v>0</v>
      </c>
      <c r="Q180" s="47">
        <f t="shared" si="135"/>
        <v>0</v>
      </c>
      <c r="R180" s="47">
        <f t="shared" si="135"/>
        <v>0</v>
      </c>
      <c r="S180" s="47">
        <f t="shared" si="135"/>
        <v>0</v>
      </c>
      <c r="T180" s="47">
        <f t="shared" si="135"/>
        <v>0</v>
      </c>
      <c r="U180" s="47">
        <f t="shared" si="135"/>
        <v>0</v>
      </c>
      <c r="V180" s="47">
        <f t="shared" si="135"/>
        <v>0</v>
      </c>
      <c r="W180" s="47">
        <f t="shared" si="135"/>
        <v>0</v>
      </c>
      <c r="X180" s="47">
        <f t="shared" si="135"/>
        <v>0</v>
      </c>
      <c r="Y180" s="47">
        <f t="shared" si="135"/>
        <v>0</v>
      </c>
      <c r="Z180" s="47">
        <f t="shared" si="135"/>
        <v>0</v>
      </c>
      <c r="AA180" s="47">
        <f t="shared" si="135"/>
        <v>0</v>
      </c>
      <c r="AB180" s="47">
        <f t="shared" si="135"/>
        <v>0</v>
      </c>
      <c r="AC180" s="47">
        <f t="shared" si="135"/>
        <v>0</v>
      </c>
      <c r="AD180" s="47">
        <f t="shared" si="135"/>
        <v>0</v>
      </c>
      <c r="AE180" s="47">
        <f t="shared" si="135"/>
        <v>-3.3468362287080504</v>
      </c>
      <c r="AF180" s="47">
        <f t="shared" si="135"/>
        <v>-3.3468362287080504</v>
      </c>
      <c r="AG180" s="47">
        <f t="shared" si="135"/>
        <v>-3.3468362287080504</v>
      </c>
      <c r="AH180" s="47">
        <f t="shared" si="135"/>
        <v>-3.3468362287080504</v>
      </c>
      <c r="AI180" s="47">
        <f t="shared" si="135"/>
        <v>-3.3468362287080504</v>
      </c>
      <c r="AJ180" s="47">
        <f t="shared" si="135"/>
        <v>0</v>
      </c>
      <c r="AK180" s="47">
        <f t="shared" si="135"/>
        <v>0</v>
      </c>
      <c r="AL180" s="47">
        <f t="shared" si="135"/>
        <v>0</v>
      </c>
      <c r="AM180" s="47">
        <f t="shared" si="135"/>
        <v>0</v>
      </c>
      <c r="AN180" s="47">
        <f t="shared" si="135"/>
        <v>0</v>
      </c>
      <c r="AO180" s="47">
        <f t="shared" si="135"/>
        <v>0</v>
      </c>
      <c r="AP180" s="47">
        <f t="shared" si="135"/>
        <v>0</v>
      </c>
      <c r="AQ180" s="47">
        <f t="shared" si="135"/>
        <v>0</v>
      </c>
      <c r="AR180" s="47">
        <f t="shared" si="135"/>
        <v>0</v>
      </c>
      <c r="AS180" s="47">
        <f t="shared" si="135"/>
        <v>0</v>
      </c>
      <c r="AT180" s="47">
        <f t="shared" si="135"/>
        <v>0</v>
      </c>
      <c r="AU180" s="47">
        <f t="shared" si="135"/>
        <v>0</v>
      </c>
      <c r="AV180" s="47">
        <f t="shared" si="135"/>
        <v>0</v>
      </c>
      <c r="AW180" s="47">
        <f t="shared" si="135"/>
        <v>0</v>
      </c>
      <c r="AX180" s="47">
        <f t="shared" si="135"/>
        <v>0</v>
      </c>
      <c r="AY180" s="47">
        <f t="shared" si="135"/>
        <v>0</v>
      </c>
      <c r="AZ180" s="47">
        <f t="shared" si="135"/>
        <v>0</v>
      </c>
      <c r="BA180" s="47">
        <f t="shared" si="135"/>
        <v>0</v>
      </c>
    </row>
    <row r="181" spans="2:53" x14ac:dyDescent="0.2">
      <c r="B181" s="76" t="s">
        <v>103</v>
      </c>
      <c r="C181" s="73" t="s">
        <v>75</v>
      </c>
      <c r="D181" s="95">
        <f>SUM(D178:D180)</f>
        <v>0</v>
      </c>
      <c r="E181" s="95">
        <f t="shared" ref="E181:BA181" si="136">SUM(E178:E180)</f>
        <v>0</v>
      </c>
      <c r="F181" s="95">
        <f t="shared" si="136"/>
        <v>0</v>
      </c>
      <c r="G181" s="95">
        <f t="shared" si="136"/>
        <v>0</v>
      </c>
      <c r="H181" s="95">
        <f t="shared" si="136"/>
        <v>0</v>
      </c>
      <c r="I181" s="95">
        <f t="shared" si="136"/>
        <v>0</v>
      </c>
      <c r="J181" s="95">
        <f t="shared" si="136"/>
        <v>0</v>
      </c>
      <c r="K181" s="95">
        <f t="shared" si="136"/>
        <v>0</v>
      </c>
      <c r="L181" s="95">
        <f t="shared" si="136"/>
        <v>0</v>
      </c>
      <c r="M181" s="95">
        <f t="shared" si="136"/>
        <v>0</v>
      </c>
      <c r="N181" s="95">
        <f t="shared" si="136"/>
        <v>0</v>
      </c>
      <c r="O181" s="95">
        <f t="shared" si="136"/>
        <v>0</v>
      </c>
      <c r="P181" s="95">
        <f t="shared" si="136"/>
        <v>0</v>
      </c>
      <c r="Q181" s="95">
        <f t="shared" si="136"/>
        <v>0</v>
      </c>
      <c r="R181" s="95">
        <f t="shared" si="136"/>
        <v>0</v>
      </c>
      <c r="S181" s="95">
        <f t="shared" si="136"/>
        <v>0</v>
      </c>
      <c r="T181" s="95">
        <f t="shared" si="136"/>
        <v>0</v>
      </c>
      <c r="U181" s="95">
        <f t="shared" si="136"/>
        <v>0</v>
      </c>
      <c r="V181" s="95">
        <f t="shared" si="136"/>
        <v>0</v>
      </c>
      <c r="W181" s="95">
        <f t="shared" si="136"/>
        <v>0</v>
      </c>
      <c r="X181" s="95">
        <f t="shared" si="136"/>
        <v>0</v>
      </c>
      <c r="Y181" s="95">
        <f t="shared" si="136"/>
        <v>0</v>
      </c>
      <c r="Z181" s="95">
        <f t="shared" si="136"/>
        <v>0</v>
      </c>
      <c r="AA181" s="95">
        <f t="shared" si="136"/>
        <v>0</v>
      </c>
      <c r="AB181" s="95">
        <f t="shared" si="136"/>
        <v>0</v>
      </c>
      <c r="AC181" s="95">
        <f t="shared" si="136"/>
        <v>0</v>
      </c>
      <c r="AD181" s="95">
        <f t="shared" si="136"/>
        <v>16.734181143540251</v>
      </c>
      <c r="AE181" s="95">
        <f t="shared" si="136"/>
        <v>13.387344914832202</v>
      </c>
      <c r="AF181" s="95">
        <f t="shared" si="136"/>
        <v>10.040508686124152</v>
      </c>
      <c r="AG181" s="95">
        <f t="shared" si="136"/>
        <v>6.6936724574161017</v>
      </c>
      <c r="AH181" s="95">
        <f t="shared" si="136"/>
        <v>3.3468362287080513</v>
      </c>
      <c r="AI181" s="95">
        <f t="shared" si="136"/>
        <v>0</v>
      </c>
      <c r="AJ181" s="95">
        <f t="shared" si="136"/>
        <v>0</v>
      </c>
      <c r="AK181" s="95">
        <f t="shared" si="136"/>
        <v>0</v>
      </c>
      <c r="AL181" s="95">
        <f t="shared" si="136"/>
        <v>0</v>
      </c>
      <c r="AM181" s="95">
        <f t="shared" si="136"/>
        <v>0</v>
      </c>
      <c r="AN181" s="95">
        <f t="shared" si="136"/>
        <v>0</v>
      </c>
      <c r="AO181" s="95">
        <f t="shared" si="136"/>
        <v>0</v>
      </c>
      <c r="AP181" s="95">
        <f t="shared" si="136"/>
        <v>0</v>
      </c>
      <c r="AQ181" s="95">
        <f t="shared" si="136"/>
        <v>0</v>
      </c>
      <c r="AR181" s="95">
        <f t="shared" si="136"/>
        <v>0</v>
      </c>
      <c r="AS181" s="95">
        <f t="shared" si="136"/>
        <v>0</v>
      </c>
      <c r="AT181" s="95">
        <f t="shared" si="136"/>
        <v>0</v>
      </c>
      <c r="AU181" s="95">
        <f t="shared" si="136"/>
        <v>0</v>
      </c>
      <c r="AV181" s="95">
        <f t="shared" si="136"/>
        <v>0</v>
      </c>
      <c r="AW181" s="95">
        <f t="shared" si="136"/>
        <v>0</v>
      </c>
      <c r="AX181" s="95">
        <f t="shared" si="136"/>
        <v>0</v>
      </c>
      <c r="AY181" s="95">
        <f t="shared" si="136"/>
        <v>0</v>
      </c>
      <c r="AZ181" s="95">
        <f t="shared" si="136"/>
        <v>0</v>
      </c>
      <c r="BA181" s="95">
        <f t="shared" si="136"/>
        <v>0</v>
      </c>
    </row>
    <row r="183" spans="2:53" x14ac:dyDescent="0.2">
      <c r="B183" s="215">
        <f>B177+1</f>
        <v>28</v>
      </c>
    </row>
    <row r="184" spans="2:53" x14ac:dyDescent="0.2">
      <c r="B184" s="94" t="s">
        <v>100</v>
      </c>
      <c r="C184" s="73" t="s">
        <v>75</v>
      </c>
      <c r="D184" s="95">
        <f>0</f>
        <v>0</v>
      </c>
      <c r="E184" s="47">
        <f t="shared" ref="E184:BA184" si="137">D187</f>
        <v>0</v>
      </c>
      <c r="F184" s="47">
        <f t="shared" si="137"/>
        <v>0</v>
      </c>
      <c r="G184" s="47">
        <f t="shared" si="137"/>
        <v>0</v>
      </c>
      <c r="H184" s="47">
        <f t="shared" si="137"/>
        <v>0</v>
      </c>
      <c r="I184" s="47">
        <f t="shared" si="137"/>
        <v>0</v>
      </c>
      <c r="J184" s="47">
        <f t="shared" si="137"/>
        <v>0</v>
      </c>
      <c r="K184" s="47">
        <f t="shared" si="137"/>
        <v>0</v>
      </c>
      <c r="L184" s="47">
        <f t="shared" si="137"/>
        <v>0</v>
      </c>
      <c r="M184" s="47">
        <f t="shared" si="137"/>
        <v>0</v>
      </c>
      <c r="N184" s="47">
        <f t="shared" si="137"/>
        <v>0</v>
      </c>
      <c r="O184" s="47">
        <f t="shared" si="137"/>
        <v>0</v>
      </c>
      <c r="P184" s="47">
        <f t="shared" si="137"/>
        <v>0</v>
      </c>
      <c r="Q184" s="47">
        <f t="shared" si="137"/>
        <v>0</v>
      </c>
      <c r="R184" s="47">
        <f t="shared" si="137"/>
        <v>0</v>
      </c>
      <c r="S184" s="47">
        <f t="shared" si="137"/>
        <v>0</v>
      </c>
      <c r="T184" s="47">
        <f t="shared" si="137"/>
        <v>0</v>
      </c>
      <c r="U184" s="47">
        <f t="shared" si="137"/>
        <v>0</v>
      </c>
      <c r="V184" s="47">
        <f t="shared" si="137"/>
        <v>0</v>
      </c>
      <c r="W184" s="47">
        <f t="shared" si="137"/>
        <v>0</v>
      </c>
      <c r="X184" s="47">
        <f t="shared" si="137"/>
        <v>0</v>
      </c>
      <c r="Y184" s="47">
        <f t="shared" si="137"/>
        <v>0</v>
      </c>
      <c r="Z184" s="47">
        <f t="shared" si="137"/>
        <v>0</v>
      </c>
      <c r="AA184" s="47">
        <f t="shared" si="137"/>
        <v>0</v>
      </c>
      <c r="AB184" s="47">
        <f t="shared" si="137"/>
        <v>0</v>
      </c>
      <c r="AC184" s="47">
        <f t="shared" si="137"/>
        <v>0</v>
      </c>
      <c r="AD184" s="47">
        <f t="shared" si="137"/>
        <v>0</v>
      </c>
      <c r="AE184" s="47">
        <f t="shared" si="137"/>
        <v>0</v>
      </c>
      <c r="AF184" s="47">
        <f t="shared" si="137"/>
        <v>17.068864766411057</v>
      </c>
      <c r="AG184" s="47">
        <f t="shared" si="137"/>
        <v>13.655091813128845</v>
      </c>
      <c r="AH184" s="47">
        <f t="shared" si="137"/>
        <v>10.241318859846633</v>
      </c>
      <c r="AI184" s="47">
        <f t="shared" si="137"/>
        <v>6.8275459065644215</v>
      </c>
      <c r="AJ184" s="47">
        <f t="shared" si="137"/>
        <v>3.4137729532822103</v>
      </c>
      <c r="AK184" s="47">
        <f t="shared" si="137"/>
        <v>0</v>
      </c>
      <c r="AL184" s="47">
        <f t="shared" si="137"/>
        <v>0</v>
      </c>
      <c r="AM184" s="47">
        <f t="shared" si="137"/>
        <v>0</v>
      </c>
      <c r="AN184" s="47">
        <f t="shared" si="137"/>
        <v>0</v>
      </c>
      <c r="AO184" s="47">
        <f t="shared" si="137"/>
        <v>0</v>
      </c>
      <c r="AP184" s="47">
        <f t="shared" si="137"/>
        <v>0</v>
      </c>
      <c r="AQ184" s="47">
        <f t="shared" si="137"/>
        <v>0</v>
      </c>
      <c r="AR184" s="47">
        <f t="shared" si="137"/>
        <v>0</v>
      </c>
      <c r="AS184" s="47">
        <f t="shared" si="137"/>
        <v>0</v>
      </c>
      <c r="AT184" s="47">
        <f t="shared" si="137"/>
        <v>0</v>
      </c>
      <c r="AU184" s="47">
        <f t="shared" si="137"/>
        <v>0</v>
      </c>
      <c r="AV184" s="47">
        <f t="shared" si="137"/>
        <v>0</v>
      </c>
      <c r="AW184" s="47">
        <f t="shared" si="137"/>
        <v>0</v>
      </c>
      <c r="AX184" s="47">
        <f t="shared" si="137"/>
        <v>0</v>
      </c>
      <c r="AY184" s="47">
        <f t="shared" si="137"/>
        <v>0</v>
      </c>
      <c r="AZ184" s="47">
        <f t="shared" si="137"/>
        <v>0</v>
      </c>
      <c r="BA184" s="47">
        <f t="shared" si="137"/>
        <v>0</v>
      </c>
    </row>
    <row r="185" spans="2:53" x14ac:dyDescent="0.2">
      <c r="B185" s="94" t="s">
        <v>101</v>
      </c>
      <c r="C185" s="73" t="s">
        <v>75</v>
      </c>
      <c r="D185" s="95">
        <f>IF($B183=D$2,D$4,0)</f>
        <v>0</v>
      </c>
      <c r="E185" s="95">
        <f t="shared" ref="E185:BA185" si="138">IF($B183=E$2,E$4,0)</f>
        <v>0</v>
      </c>
      <c r="F185" s="95">
        <f t="shared" si="138"/>
        <v>0</v>
      </c>
      <c r="G185" s="95">
        <f t="shared" si="138"/>
        <v>0</v>
      </c>
      <c r="H185" s="95">
        <f t="shared" si="138"/>
        <v>0</v>
      </c>
      <c r="I185" s="95">
        <f t="shared" si="138"/>
        <v>0</v>
      </c>
      <c r="J185" s="95">
        <f t="shared" si="138"/>
        <v>0</v>
      </c>
      <c r="K185" s="95">
        <f t="shared" si="138"/>
        <v>0</v>
      </c>
      <c r="L185" s="95">
        <f t="shared" si="138"/>
        <v>0</v>
      </c>
      <c r="M185" s="95">
        <f t="shared" si="138"/>
        <v>0</v>
      </c>
      <c r="N185" s="95">
        <f t="shared" si="138"/>
        <v>0</v>
      </c>
      <c r="O185" s="95">
        <f t="shared" si="138"/>
        <v>0</v>
      </c>
      <c r="P185" s="95">
        <f t="shared" si="138"/>
        <v>0</v>
      </c>
      <c r="Q185" s="95">
        <f t="shared" si="138"/>
        <v>0</v>
      </c>
      <c r="R185" s="95">
        <f t="shared" si="138"/>
        <v>0</v>
      </c>
      <c r="S185" s="95">
        <f t="shared" si="138"/>
        <v>0</v>
      </c>
      <c r="T185" s="95">
        <f t="shared" si="138"/>
        <v>0</v>
      </c>
      <c r="U185" s="95">
        <f t="shared" si="138"/>
        <v>0</v>
      </c>
      <c r="V185" s="95">
        <f t="shared" si="138"/>
        <v>0</v>
      </c>
      <c r="W185" s="95">
        <f t="shared" si="138"/>
        <v>0</v>
      </c>
      <c r="X185" s="95">
        <f t="shared" si="138"/>
        <v>0</v>
      </c>
      <c r="Y185" s="95">
        <f t="shared" si="138"/>
        <v>0</v>
      </c>
      <c r="Z185" s="95">
        <f t="shared" si="138"/>
        <v>0</v>
      </c>
      <c r="AA185" s="95">
        <f t="shared" si="138"/>
        <v>0</v>
      </c>
      <c r="AB185" s="95">
        <f t="shared" si="138"/>
        <v>0</v>
      </c>
      <c r="AC185" s="95">
        <f t="shared" si="138"/>
        <v>0</v>
      </c>
      <c r="AD185" s="95">
        <f t="shared" si="138"/>
        <v>0</v>
      </c>
      <c r="AE185" s="95">
        <f t="shared" si="138"/>
        <v>17.068864766411057</v>
      </c>
      <c r="AF185" s="95">
        <f t="shared" si="138"/>
        <v>0</v>
      </c>
      <c r="AG185" s="95">
        <f t="shared" si="138"/>
        <v>0</v>
      </c>
      <c r="AH185" s="95">
        <f t="shared" si="138"/>
        <v>0</v>
      </c>
      <c r="AI185" s="95">
        <f t="shared" si="138"/>
        <v>0</v>
      </c>
      <c r="AJ185" s="95">
        <f t="shared" si="138"/>
        <v>0</v>
      </c>
      <c r="AK185" s="95">
        <f t="shared" si="138"/>
        <v>0</v>
      </c>
      <c r="AL185" s="95">
        <f t="shared" si="138"/>
        <v>0</v>
      </c>
      <c r="AM185" s="95">
        <f t="shared" si="138"/>
        <v>0</v>
      </c>
      <c r="AN185" s="95">
        <f t="shared" si="138"/>
        <v>0</v>
      </c>
      <c r="AO185" s="95">
        <f t="shared" si="138"/>
        <v>0</v>
      </c>
      <c r="AP185" s="95">
        <f t="shared" si="138"/>
        <v>0</v>
      </c>
      <c r="AQ185" s="95">
        <f t="shared" si="138"/>
        <v>0</v>
      </c>
      <c r="AR185" s="95">
        <f t="shared" si="138"/>
        <v>0</v>
      </c>
      <c r="AS185" s="95">
        <f t="shared" si="138"/>
        <v>0</v>
      </c>
      <c r="AT185" s="95">
        <f t="shared" si="138"/>
        <v>0</v>
      </c>
      <c r="AU185" s="95">
        <f t="shared" si="138"/>
        <v>0</v>
      </c>
      <c r="AV185" s="95">
        <f t="shared" si="138"/>
        <v>0</v>
      </c>
      <c r="AW185" s="95">
        <f t="shared" si="138"/>
        <v>0</v>
      </c>
      <c r="AX185" s="95">
        <f t="shared" si="138"/>
        <v>0</v>
      </c>
      <c r="AY185" s="95">
        <f t="shared" si="138"/>
        <v>0</v>
      </c>
      <c r="AZ185" s="95">
        <f t="shared" si="138"/>
        <v>0</v>
      </c>
      <c r="BA185" s="95">
        <f t="shared" si="138"/>
        <v>0</v>
      </c>
    </row>
    <row r="186" spans="2:53" x14ac:dyDescent="0.2">
      <c r="B186" s="76" t="s">
        <v>102</v>
      </c>
      <c r="C186" s="73" t="s">
        <v>75</v>
      </c>
      <c r="D186" s="47"/>
      <c r="E186" s="47">
        <f>IF(OR(D187&lt;=$B$15*$AE$185,F$1-$AF$1&gt;$B$13),0,-IF($B$12="straight line",SLN($AE$185,+$B$15*$AE$185,$B$13),VDB($AE$185,$B$15*$AE$185,$B$13,E$1-$AF$1,F$1-$AF$1,$B$14)))</f>
        <v>0</v>
      </c>
      <c r="F186" s="47">
        <f t="shared" ref="F186:BA186" si="139">IF(OR(E187&lt;=$B$15*$AE$185,G$1-$AF$1&gt;$B$13),0,-IF($B$12="straight line",SLN($AE$185,+$B$15*$AE$185,$B$13),VDB($AE$185,$B$15*$AE$185,$B$13,F$1-$AF$1,G$1-$AF$1,$B$14)))</f>
        <v>0</v>
      </c>
      <c r="G186" s="47">
        <f t="shared" si="139"/>
        <v>0</v>
      </c>
      <c r="H186" s="47">
        <f t="shared" si="139"/>
        <v>0</v>
      </c>
      <c r="I186" s="47">
        <f t="shared" si="139"/>
        <v>0</v>
      </c>
      <c r="J186" s="47">
        <f t="shared" si="139"/>
        <v>0</v>
      </c>
      <c r="K186" s="47">
        <f t="shared" si="139"/>
        <v>0</v>
      </c>
      <c r="L186" s="47">
        <f t="shared" si="139"/>
        <v>0</v>
      </c>
      <c r="M186" s="47">
        <f t="shared" si="139"/>
        <v>0</v>
      </c>
      <c r="N186" s="47">
        <f t="shared" si="139"/>
        <v>0</v>
      </c>
      <c r="O186" s="47">
        <f t="shared" si="139"/>
        <v>0</v>
      </c>
      <c r="P186" s="47">
        <f t="shared" si="139"/>
        <v>0</v>
      </c>
      <c r="Q186" s="47">
        <f t="shared" si="139"/>
        <v>0</v>
      </c>
      <c r="R186" s="47">
        <f t="shared" si="139"/>
        <v>0</v>
      </c>
      <c r="S186" s="47">
        <f t="shared" si="139"/>
        <v>0</v>
      </c>
      <c r="T186" s="47">
        <f t="shared" si="139"/>
        <v>0</v>
      </c>
      <c r="U186" s="47">
        <f t="shared" si="139"/>
        <v>0</v>
      </c>
      <c r="V186" s="47">
        <f t="shared" si="139"/>
        <v>0</v>
      </c>
      <c r="W186" s="47">
        <f t="shared" si="139"/>
        <v>0</v>
      </c>
      <c r="X186" s="47">
        <f t="shared" si="139"/>
        <v>0</v>
      </c>
      <c r="Y186" s="47">
        <f t="shared" si="139"/>
        <v>0</v>
      </c>
      <c r="Z186" s="47">
        <f t="shared" si="139"/>
        <v>0</v>
      </c>
      <c r="AA186" s="47">
        <f t="shared" si="139"/>
        <v>0</v>
      </c>
      <c r="AB186" s="47">
        <f t="shared" si="139"/>
        <v>0</v>
      </c>
      <c r="AC186" s="47">
        <f t="shared" si="139"/>
        <v>0</v>
      </c>
      <c r="AD186" s="47">
        <f t="shared" si="139"/>
        <v>0</v>
      </c>
      <c r="AE186" s="47">
        <f t="shared" si="139"/>
        <v>0</v>
      </c>
      <c r="AF186" s="47">
        <f t="shared" si="139"/>
        <v>-3.4137729532822112</v>
      </c>
      <c r="AG186" s="47">
        <f t="shared" si="139"/>
        <v>-3.4137729532822112</v>
      </c>
      <c r="AH186" s="47">
        <f t="shared" si="139"/>
        <v>-3.4137729532822112</v>
      </c>
      <c r="AI186" s="47">
        <f t="shared" si="139"/>
        <v>-3.4137729532822112</v>
      </c>
      <c r="AJ186" s="47">
        <f t="shared" si="139"/>
        <v>-3.4137729532822112</v>
      </c>
      <c r="AK186" s="47">
        <f t="shared" si="139"/>
        <v>0</v>
      </c>
      <c r="AL186" s="47">
        <f t="shared" si="139"/>
        <v>0</v>
      </c>
      <c r="AM186" s="47">
        <f t="shared" si="139"/>
        <v>0</v>
      </c>
      <c r="AN186" s="47">
        <f t="shared" si="139"/>
        <v>0</v>
      </c>
      <c r="AO186" s="47">
        <f t="shared" si="139"/>
        <v>0</v>
      </c>
      <c r="AP186" s="47">
        <f t="shared" si="139"/>
        <v>0</v>
      </c>
      <c r="AQ186" s="47">
        <f t="shared" si="139"/>
        <v>0</v>
      </c>
      <c r="AR186" s="47">
        <f t="shared" si="139"/>
        <v>0</v>
      </c>
      <c r="AS186" s="47">
        <f t="shared" si="139"/>
        <v>0</v>
      </c>
      <c r="AT186" s="47">
        <f t="shared" si="139"/>
        <v>0</v>
      </c>
      <c r="AU186" s="47">
        <f t="shared" si="139"/>
        <v>0</v>
      </c>
      <c r="AV186" s="47">
        <f t="shared" si="139"/>
        <v>0</v>
      </c>
      <c r="AW186" s="47">
        <f t="shared" si="139"/>
        <v>0</v>
      </c>
      <c r="AX186" s="47">
        <f t="shared" si="139"/>
        <v>0</v>
      </c>
      <c r="AY186" s="47">
        <f t="shared" si="139"/>
        <v>0</v>
      </c>
      <c r="AZ186" s="47">
        <f t="shared" si="139"/>
        <v>0</v>
      </c>
      <c r="BA186" s="47">
        <f t="shared" si="139"/>
        <v>0</v>
      </c>
    </row>
    <row r="187" spans="2:53" x14ac:dyDescent="0.2">
      <c r="B187" s="76" t="s">
        <v>103</v>
      </c>
      <c r="C187" s="73" t="s">
        <v>75</v>
      </c>
      <c r="D187" s="95">
        <f>SUM(D184:D186)</f>
        <v>0</v>
      </c>
      <c r="E187" s="95">
        <f t="shared" ref="E187:BA187" si="140">SUM(E184:E186)</f>
        <v>0</v>
      </c>
      <c r="F187" s="95">
        <f t="shared" si="140"/>
        <v>0</v>
      </c>
      <c r="G187" s="95">
        <f t="shared" si="140"/>
        <v>0</v>
      </c>
      <c r="H187" s="95">
        <f t="shared" si="140"/>
        <v>0</v>
      </c>
      <c r="I187" s="95">
        <f t="shared" si="140"/>
        <v>0</v>
      </c>
      <c r="J187" s="95">
        <f t="shared" si="140"/>
        <v>0</v>
      </c>
      <c r="K187" s="95">
        <f t="shared" si="140"/>
        <v>0</v>
      </c>
      <c r="L187" s="95">
        <f t="shared" si="140"/>
        <v>0</v>
      </c>
      <c r="M187" s="95">
        <f t="shared" si="140"/>
        <v>0</v>
      </c>
      <c r="N187" s="95">
        <f t="shared" si="140"/>
        <v>0</v>
      </c>
      <c r="O187" s="95">
        <f t="shared" si="140"/>
        <v>0</v>
      </c>
      <c r="P187" s="95">
        <f t="shared" si="140"/>
        <v>0</v>
      </c>
      <c r="Q187" s="95">
        <f t="shared" si="140"/>
        <v>0</v>
      </c>
      <c r="R187" s="95">
        <f t="shared" si="140"/>
        <v>0</v>
      </c>
      <c r="S187" s="95">
        <f t="shared" si="140"/>
        <v>0</v>
      </c>
      <c r="T187" s="95">
        <f t="shared" si="140"/>
        <v>0</v>
      </c>
      <c r="U187" s="95">
        <f t="shared" si="140"/>
        <v>0</v>
      </c>
      <c r="V187" s="95">
        <f t="shared" si="140"/>
        <v>0</v>
      </c>
      <c r="W187" s="95">
        <f t="shared" si="140"/>
        <v>0</v>
      </c>
      <c r="X187" s="95">
        <f t="shared" si="140"/>
        <v>0</v>
      </c>
      <c r="Y187" s="95">
        <f t="shared" si="140"/>
        <v>0</v>
      </c>
      <c r="Z187" s="95">
        <f t="shared" si="140"/>
        <v>0</v>
      </c>
      <c r="AA187" s="95">
        <f t="shared" si="140"/>
        <v>0</v>
      </c>
      <c r="AB187" s="95">
        <f t="shared" si="140"/>
        <v>0</v>
      </c>
      <c r="AC187" s="95">
        <f t="shared" si="140"/>
        <v>0</v>
      </c>
      <c r="AD187" s="95">
        <f t="shared" si="140"/>
        <v>0</v>
      </c>
      <c r="AE187" s="95">
        <f t="shared" si="140"/>
        <v>17.068864766411057</v>
      </c>
      <c r="AF187" s="95">
        <f t="shared" si="140"/>
        <v>13.655091813128845</v>
      </c>
      <c r="AG187" s="95">
        <f t="shared" si="140"/>
        <v>10.241318859846633</v>
      </c>
      <c r="AH187" s="95">
        <f t="shared" si="140"/>
        <v>6.8275459065644215</v>
      </c>
      <c r="AI187" s="95">
        <f t="shared" si="140"/>
        <v>3.4137729532822103</v>
      </c>
      <c r="AJ187" s="95">
        <f t="shared" si="140"/>
        <v>0</v>
      </c>
      <c r="AK187" s="95">
        <f t="shared" si="140"/>
        <v>0</v>
      </c>
      <c r="AL187" s="95">
        <f t="shared" si="140"/>
        <v>0</v>
      </c>
      <c r="AM187" s="95">
        <f t="shared" si="140"/>
        <v>0</v>
      </c>
      <c r="AN187" s="95">
        <f t="shared" si="140"/>
        <v>0</v>
      </c>
      <c r="AO187" s="95">
        <f t="shared" si="140"/>
        <v>0</v>
      </c>
      <c r="AP187" s="95">
        <f t="shared" si="140"/>
        <v>0</v>
      </c>
      <c r="AQ187" s="95">
        <f t="shared" si="140"/>
        <v>0</v>
      </c>
      <c r="AR187" s="95">
        <f t="shared" si="140"/>
        <v>0</v>
      </c>
      <c r="AS187" s="95">
        <f t="shared" si="140"/>
        <v>0</v>
      </c>
      <c r="AT187" s="95">
        <f t="shared" si="140"/>
        <v>0</v>
      </c>
      <c r="AU187" s="95">
        <f t="shared" si="140"/>
        <v>0</v>
      </c>
      <c r="AV187" s="95">
        <f t="shared" si="140"/>
        <v>0</v>
      </c>
      <c r="AW187" s="95">
        <f t="shared" si="140"/>
        <v>0</v>
      </c>
      <c r="AX187" s="95">
        <f t="shared" si="140"/>
        <v>0</v>
      </c>
      <c r="AY187" s="95">
        <f t="shared" si="140"/>
        <v>0</v>
      </c>
      <c r="AZ187" s="95">
        <f t="shared" si="140"/>
        <v>0</v>
      </c>
      <c r="BA187" s="95">
        <f t="shared" si="140"/>
        <v>0</v>
      </c>
    </row>
    <row r="189" spans="2:53" x14ac:dyDescent="0.2">
      <c r="B189" s="215">
        <f>B183+1</f>
        <v>29</v>
      </c>
    </row>
    <row r="190" spans="2:53" x14ac:dyDescent="0.2">
      <c r="B190" s="94" t="s">
        <v>100</v>
      </c>
      <c r="C190" s="73" t="s">
        <v>75</v>
      </c>
      <c r="D190" s="95">
        <f>0</f>
        <v>0</v>
      </c>
      <c r="E190" s="47">
        <f t="shared" ref="E190:BA190" si="141">D193</f>
        <v>0</v>
      </c>
      <c r="F190" s="47">
        <f t="shared" si="141"/>
        <v>0</v>
      </c>
      <c r="G190" s="47">
        <f t="shared" si="141"/>
        <v>0</v>
      </c>
      <c r="H190" s="47">
        <f t="shared" si="141"/>
        <v>0</v>
      </c>
      <c r="I190" s="47">
        <f t="shared" si="141"/>
        <v>0</v>
      </c>
      <c r="J190" s="47">
        <f t="shared" si="141"/>
        <v>0</v>
      </c>
      <c r="K190" s="47">
        <f t="shared" si="141"/>
        <v>0</v>
      </c>
      <c r="L190" s="47">
        <f t="shared" si="141"/>
        <v>0</v>
      </c>
      <c r="M190" s="47">
        <f t="shared" si="141"/>
        <v>0</v>
      </c>
      <c r="N190" s="47">
        <f t="shared" si="141"/>
        <v>0</v>
      </c>
      <c r="O190" s="47">
        <f t="shared" si="141"/>
        <v>0</v>
      </c>
      <c r="P190" s="47">
        <f t="shared" si="141"/>
        <v>0</v>
      </c>
      <c r="Q190" s="47">
        <f t="shared" si="141"/>
        <v>0</v>
      </c>
      <c r="R190" s="47">
        <f t="shared" si="141"/>
        <v>0</v>
      </c>
      <c r="S190" s="47">
        <f t="shared" si="141"/>
        <v>0</v>
      </c>
      <c r="T190" s="47">
        <f t="shared" si="141"/>
        <v>0</v>
      </c>
      <c r="U190" s="47">
        <f t="shared" si="141"/>
        <v>0</v>
      </c>
      <c r="V190" s="47">
        <f t="shared" si="141"/>
        <v>0</v>
      </c>
      <c r="W190" s="47">
        <f t="shared" si="141"/>
        <v>0</v>
      </c>
      <c r="X190" s="47">
        <f t="shared" si="141"/>
        <v>0</v>
      </c>
      <c r="Y190" s="47">
        <f t="shared" si="141"/>
        <v>0</v>
      </c>
      <c r="Z190" s="47">
        <f t="shared" si="141"/>
        <v>0</v>
      </c>
      <c r="AA190" s="47">
        <f t="shared" si="141"/>
        <v>0</v>
      </c>
      <c r="AB190" s="47">
        <f t="shared" si="141"/>
        <v>0</v>
      </c>
      <c r="AC190" s="47">
        <f t="shared" si="141"/>
        <v>0</v>
      </c>
      <c r="AD190" s="47">
        <f t="shared" si="141"/>
        <v>0</v>
      </c>
      <c r="AE190" s="47">
        <f t="shared" si="141"/>
        <v>0</v>
      </c>
      <c r="AF190" s="47">
        <f t="shared" si="141"/>
        <v>0</v>
      </c>
      <c r="AG190" s="47">
        <f t="shared" si="141"/>
        <v>17.410242061739282</v>
      </c>
      <c r="AH190" s="47">
        <f t="shared" si="141"/>
        <v>13.928193649391426</v>
      </c>
      <c r="AI190" s="47">
        <f t="shared" si="141"/>
        <v>10.44614523704357</v>
      </c>
      <c r="AJ190" s="47">
        <f t="shared" si="141"/>
        <v>6.964096824695714</v>
      </c>
      <c r="AK190" s="47">
        <f t="shared" si="141"/>
        <v>3.4820484123478574</v>
      </c>
      <c r="AL190" s="47">
        <f t="shared" si="141"/>
        <v>0</v>
      </c>
      <c r="AM190" s="47">
        <f t="shared" si="141"/>
        <v>0</v>
      </c>
      <c r="AN190" s="47">
        <f t="shared" si="141"/>
        <v>0</v>
      </c>
      <c r="AO190" s="47">
        <f t="shared" si="141"/>
        <v>0</v>
      </c>
      <c r="AP190" s="47">
        <f t="shared" si="141"/>
        <v>0</v>
      </c>
      <c r="AQ190" s="47">
        <f t="shared" si="141"/>
        <v>0</v>
      </c>
      <c r="AR190" s="47">
        <f t="shared" si="141"/>
        <v>0</v>
      </c>
      <c r="AS190" s="47">
        <f t="shared" si="141"/>
        <v>0</v>
      </c>
      <c r="AT190" s="47">
        <f t="shared" si="141"/>
        <v>0</v>
      </c>
      <c r="AU190" s="47">
        <f t="shared" si="141"/>
        <v>0</v>
      </c>
      <c r="AV190" s="47">
        <f t="shared" si="141"/>
        <v>0</v>
      </c>
      <c r="AW190" s="47">
        <f t="shared" si="141"/>
        <v>0</v>
      </c>
      <c r="AX190" s="47">
        <f t="shared" si="141"/>
        <v>0</v>
      </c>
      <c r="AY190" s="47">
        <f t="shared" si="141"/>
        <v>0</v>
      </c>
      <c r="AZ190" s="47">
        <f t="shared" si="141"/>
        <v>0</v>
      </c>
      <c r="BA190" s="47">
        <f t="shared" si="141"/>
        <v>0</v>
      </c>
    </row>
    <row r="191" spans="2:53" x14ac:dyDescent="0.2">
      <c r="B191" s="94" t="s">
        <v>101</v>
      </c>
      <c r="C191" s="73" t="s">
        <v>75</v>
      </c>
      <c r="D191" s="95">
        <f>IF($B189=D$2,D$4,0)</f>
        <v>0</v>
      </c>
      <c r="E191" s="95">
        <f t="shared" ref="E191:BA191" si="142">IF($B189=E$2,E$4,0)</f>
        <v>0</v>
      </c>
      <c r="F191" s="95">
        <f t="shared" si="142"/>
        <v>0</v>
      </c>
      <c r="G191" s="95">
        <f t="shared" si="142"/>
        <v>0</v>
      </c>
      <c r="H191" s="95">
        <f t="shared" si="142"/>
        <v>0</v>
      </c>
      <c r="I191" s="95">
        <f t="shared" si="142"/>
        <v>0</v>
      </c>
      <c r="J191" s="95">
        <f t="shared" si="142"/>
        <v>0</v>
      </c>
      <c r="K191" s="95">
        <f t="shared" si="142"/>
        <v>0</v>
      </c>
      <c r="L191" s="95">
        <f t="shared" si="142"/>
        <v>0</v>
      </c>
      <c r="M191" s="95">
        <f t="shared" si="142"/>
        <v>0</v>
      </c>
      <c r="N191" s="95">
        <f t="shared" si="142"/>
        <v>0</v>
      </c>
      <c r="O191" s="95">
        <f t="shared" si="142"/>
        <v>0</v>
      </c>
      <c r="P191" s="95">
        <f t="shared" si="142"/>
        <v>0</v>
      </c>
      <c r="Q191" s="95">
        <f t="shared" si="142"/>
        <v>0</v>
      </c>
      <c r="R191" s="95">
        <f t="shared" si="142"/>
        <v>0</v>
      </c>
      <c r="S191" s="95">
        <f t="shared" si="142"/>
        <v>0</v>
      </c>
      <c r="T191" s="95">
        <f t="shared" si="142"/>
        <v>0</v>
      </c>
      <c r="U191" s="95">
        <f t="shared" si="142"/>
        <v>0</v>
      </c>
      <c r="V191" s="95">
        <f t="shared" si="142"/>
        <v>0</v>
      </c>
      <c r="W191" s="95">
        <f t="shared" si="142"/>
        <v>0</v>
      </c>
      <c r="X191" s="95">
        <f t="shared" si="142"/>
        <v>0</v>
      </c>
      <c r="Y191" s="95">
        <f t="shared" si="142"/>
        <v>0</v>
      </c>
      <c r="Z191" s="95">
        <f t="shared" si="142"/>
        <v>0</v>
      </c>
      <c r="AA191" s="95">
        <f t="shared" si="142"/>
        <v>0</v>
      </c>
      <c r="AB191" s="95">
        <f t="shared" si="142"/>
        <v>0</v>
      </c>
      <c r="AC191" s="95">
        <f t="shared" si="142"/>
        <v>0</v>
      </c>
      <c r="AD191" s="95">
        <f t="shared" si="142"/>
        <v>0</v>
      </c>
      <c r="AE191" s="95">
        <f t="shared" si="142"/>
        <v>0</v>
      </c>
      <c r="AF191" s="95">
        <f t="shared" si="142"/>
        <v>17.410242061739282</v>
      </c>
      <c r="AG191" s="95">
        <f t="shared" si="142"/>
        <v>0</v>
      </c>
      <c r="AH191" s="95">
        <f t="shared" si="142"/>
        <v>0</v>
      </c>
      <c r="AI191" s="95">
        <f t="shared" si="142"/>
        <v>0</v>
      </c>
      <c r="AJ191" s="95">
        <f t="shared" si="142"/>
        <v>0</v>
      </c>
      <c r="AK191" s="95">
        <f t="shared" si="142"/>
        <v>0</v>
      </c>
      <c r="AL191" s="95">
        <f t="shared" si="142"/>
        <v>0</v>
      </c>
      <c r="AM191" s="95">
        <f t="shared" si="142"/>
        <v>0</v>
      </c>
      <c r="AN191" s="95">
        <f t="shared" si="142"/>
        <v>0</v>
      </c>
      <c r="AO191" s="95">
        <f t="shared" si="142"/>
        <v>0</v>
      </c>
      <c r="AP191" s="95">
        <f t="shared" si="142"/>
        <v>0</v>
      </c>
      <c r="AQ191" s="95">
        <f t="shared" si="142"/>
        <v>0</v>
      </c>
      <c r="AR191" s="95">
        <f t="shared" si="142"/>
        <v>0</v>
      </c>
      <c r="AS191" s="95">
        <f t="shared" si="142"/>
        <v>0</v>
      </c>
      <c r="AT191" s="95">
        <f t="shared" si="142"/>
        <v>0</v>
      </c>
      <c r="AU191" s="95">
        <f t="shared" si="142"/>
        <v>0</v>
      </c>
      <c r="AV191" s="95">
        <f t="shared" si="142"/>
        <v>0</v>
      </c>
      <c r="AW191" s="95">
        <f t="shared" si="142"/>
        <v>0</v>
      </c>
      <c r="AX191" s="95">
        <f t="shared" si="142"/>
        <v>0</v>
      </c>
      <c r="AY191" s="95">
        <f t="shared" si="142"/>
        <v>0</v>
      </c>
      <c r="AZ191" s="95">
        <f t="shared" si="142"/>
        <v>0</v>
      </c>
      <c r="BA191" s="95">
        <f t="shared" si="142"/>
        <v>0</v>
      </c>
    </row>
    <row r="192" spans="2:53" x14ac:dyDescent="0.2">
      <c r="B192" s="76" t="s">
        <v>102</v>
      </c>
      <c r="C192" s="73" t="s">
        <v>75</v>
      </c>
      <c r="D192" s="47"/>
      <c r="E192" s="47">
        <f>IF(OR(D193&lt;=$B$15*$AF$191,F$1-$AG$1&gt;$B$13),0,-IF($B$12="straight line",SLN($AF$191,+$B$15*$AF$191,$B$13),VDB($AF$191,$B$15*$AF$191,$B$13,E$1-$AG$1,F$1-$AG$1,$B$14)))</f>
        <v>0</v>
      </c>
      <c r="F192" s="47">
        <f t="shared" ref="F192:BA192" si="143">IF(OR(E193&lt;=$B$15*$AF$191,G$1-$AG$1&gt;$B$13),0,-IF($B$12="straight line",SLN($AF$191,+$B$15*$AF$191,$B$13),VDB($AF$191,$B$15*$AF$191,$B$13,F$1-$AG$1,G$1-$AG$1,$B$14)))</f>
        <v>0</v>
      </c>
      <c r="G192" s="47">
        <f t="shared" si="143"/>
        <v>0</v>
      </c>
      <c r="H192" s="47">
        <f t="shared" si="143"/>
        <v>0</v>
      </c>
      <c r="I192" s="47">
        <f t="shared" si="143"/>
        <v>0</v>
      </c>
      <c r="J192" s="47">
        <f t="shared" si="143"/>
        <v>0</v>
      </c>
      <c r="K192" s="47">
        <f t="shared" si="143"/>
        <v>0</v>
      </c>
      <c r="L192" s="47">
        <f t="shared" si="143"/>
        <v>0</v>
      </c>
      <c r="M192" s="47">
        <f t="shared" si="143"/>
        <v>0</v>
      </c>
      <c r="N192" s="47">
        <f t="shared" si="143"/>
        <v>0</v>
      </c>
      <c r="O192" s="47">
        <f t="shared" si="143"/>
        <v>0</v>
      </c>
      <c r="P192" s="47">
        <f t="shared" si="143"/>
        <v>0</v>
      </c>
      <c r="Q192" s="47">
        <f t="shared" si="143"/>
        <v>0</v>
      </c>
      <c r="R192" s="47">
        <f t="shared" si="143"/>
        <v>0</v>
      </c>
      <c r="S192" s="47">
        <f t="shared" si="143"/>
        <v>0</v>
      </c>
      <c r="T192" s="47">
        <f t="shared" si="143"/>
        <v>0</v>
      </c>
      <c r="U192" s="47">
        <f t="shared" si="143"/>
        <v>0</v>
      </c>
      <c r="V192" s="47">
        <f t="shared" si="143"/>
        <v>0</v>
      </c>
      <c r="W192" s="47">
        <f t="shared" si="143"/>
        <v>0</v>
      </c>
      <c r="X192" s="47">
        <f t="shared" si="143"/>
        <v>0</v>
      </c>
      <c r="Y192" s="47">
        <f t="shared" si="143"/>
        <v>0</v>
      </c>
      <c r="Z192" s="47">
        <f t="shared" si="143"/>
        <v>0</v>
      </c>
      <c r="AA192" s="47">
        <f t="shared" si="143"/>
        <v>0</v>
      </c>
      <c r="AB192" s="47">
        <f t="shared" si="143"/>
        <v>0</v>
      </c>
      <c r="AC192" s="47">
        <f t="shared" si="143"/>
        <v>0</v>
      </c>
      <c r="AD192" s="47">
        <f t="shared" si="143"/>
        <v>0</v>
      </c>
      <c r="AE192" s="47">
        <f t="shared" si="143"/>
        <v>0</v>
      </c>
      <c r="AF192" s="47">
        <f t="shared" si="143"/>
        <v>0</v>
      </c>
      <c r="AG192" s="47">
        <f t="shared" si="143"/>
        <v>-3.4820484123478566</v>
      </c>
      <c r="AH192" s="47">
        <f t="shared" si="143"/>
        <v>-3.4820484123478566</v>
      </c>
      <c r="AI192" s="47">
        <f t="shared" si="143"/>
        <v>-3.4820484123478566</v>
      </c>
      <c r="AJ192" s="47">
        <f t="shared" si="143"/>
        <v>-3.4820484123478566</v>
      </c>
      <c r="AK192" s="47">
        <f t="shared" si="143"/>
        <v>-3.4820484123478566</v>
      </c>
      <c r="AL192" s="47">
        <f t="shared" si="143"/>
        <v>0</v>
      </c>
      <c r="AM192" s="47">
        <f t="shared" si="143"/>
        <v>0</v>
      </c>
      <c r="AN192" s="47">
        <f t="shared" si="143"/>
        <v>0</v>
      </c>
      <c r="AO192" s="47">
        <f t="shared" si="143"/>
        <v>0</v>
      </c>
      <c r="AP192" s="47">
        <f t="shared" si="143"/>
        <v>0</v>
      </c>
      <c r="AQ192" s="47">
        <f t="shared" si="143"/>
        <v>0</v>
      </c>
      <c r="AR192" s="47">
        <f t="shared" si="143"/>
        <v>0</v>
      </c>
      <c r="AS192" s="47">
        <f t="shared" si="143"/>
        <v>0</v>
      </c>
      <c r="AT192" s="47">
        <f t="shared" si="143"/>
        <v>0</v>
      </c>
      <c r="AU192" s="47">
        <f t="shared" si="143"/>
        <v>0</v>
      </c>
      <c r="AV192" s="47">
        <f t="shared" si="143"/>
        <v>0</v>
      </c>
      <c r="AW192" s="47">
        <f t="shared" si="143"/>
        <v>0</v>
      </c>
      <c r="AX192" s="47">
        <f t="shared" si="143"/>
        <v>0</v>
      </c>
      <c r="AY192" s="47">
        <f t="shared" si="143"/>
        <v>0</v>
      </c>
      <c r="AZ192" s="47">
        <f t="shared" si="143"/>
        <v>0</v>
      </c>
      <c r="BA192" s="47">
        <f t="shared" si="143"/>
        <v>0</v>
      </c>
    </row>
    <row r="193" spans="2:53" x14ac:dyDescent="0.2">
      <c r="B193" s="76" t="s">
        <v>103</v>
      </c>
      <c r="C193" s="73" t="s">
        <v>75</v>
      </c>
      <c r="D193" s="95">
        <f>SUM(D190:D192)</f>
        <v>0</v>
      </c>
      <c r="E193" s="95">
        <f t="shared" ref="E193:BA193" si="144">SUM(E190:E192)</f>
        <v>0</v>
      </c>
      <c r="F193" s="95">
        <f t="shared" si="144"/>
        <v>0</v>
      </c>
      <c r="G193" s="95">
        <f t="shared" si="144"/>
        <v>0</v>
      </c>
      <c r="H193" s="95">
        <f t="shared" si="144"/>
        <v>0</v>
      </c>
      <c r="I193" s="95">
        <f t="shared" si="144"/>
        <v>0</v>
      </c>
      <c r="J193" s="95">
        <f t="shared" si="144"/>
        <v>0</v>
      </c>
      <c r="K193" s="95">
        <f t="shared" si="144"/>
        <v>0</v>
      </c>
      <c r="L193" s="95">
        <f t="shared" si="144"/>
        <v>0</v>
      </c>
      <c r="M193" s="95">
        <f t="shared" si="144"/>
        <v>0</v>
      </c>
      <c r="N193" s="95">
        <f t="shared" si="144"/>
        <v>0</v>
      </c>
      <c r="O193" s="95">
        <f t="shared" si="144"/>
        <v>0</v>
      </c>
      <c r="P193" s="95">
        <f t="shared" si="144"/>
        <v>0</v>
      </c>
      <c r="Q193" s="95">
        <f t="shared" si="144"/>
        <v>0</v>
      </c>
      <c r="R193" s="95">
        <f t="shared" si="144"/>
        <v>0</v>
      </c>
      <c r="S193" s="95">
        <f t="shared" si="144"/>
        <v>0</v>
      </c>
      <c r="T193" s="95">
        <f t="shared" si="144"/>
        <v>0</v>
      </c>
      <c r="U193" s="95">
        <f t="shared" si="144"/>
        <v>0</v>
      </c>
      <c r="V193" s="95">
        <f t="shared" si="144"/>
        <v>0</v>
      </c>
      <c r="W193" s="95">
        <f t="shared" si="144"/>
        <v>0</v>
      </c>
      <c r="X193" s="95">
        <f t="shared" si="144"/>
        <v>0</v>
      </c>
      <c r="Y193" s="95">
        <f t="shared" si="144"/>
        <v>0</v>
      </c>
      <c r="Z193" s="95">
        <f t="shared" si="144"/>
        <v>0</v>
      </c>
      <c r="AA193" s="95">
        <f t="shared" si="144"/>
        <v>0</v>
      </c>
      <c r="AB193" s="95">
        <f t="shared" si="144"/>
        <v>0</v>
      </c>
      <c r="AC193" s="95">
        <f t="shared" si="144"/>
        <v>0</v>
      </c>
      <c r="AD193" s="95">
        <f t="shared" si="144"/>
        <v>0</v>
      </c>
      <c r="AE193" s="95">
        <f t="shared" si="144"/>
        <v>0</v>
      </c>
      <c r="AF193" s="95">
        <f t="shared" si="144"/>
        <v>17.410242061739282</v>
      </c>
      <c r="AG193" s="95">
        <f t="shared" si="144"/>
        <v>13.928193649391426</v>
      </c>
      <c r="AH193" s="95">
        <f t="shared" si="144"/>
        <v>10.44614523704357</v>
      </c>
      <c r="AI193" s="95">
        <f t="shared" si="144"/>
        <v>6.964096824695714</v>
      </c>
      <c r="AJ193" s="95">
        <f t="shared" si="144"/>
        <v>3.4820484123478574</v>
      </c>
      <c r="AK193" s="95">
        <f t="shared" si="144"/>
        <v>0</v>
      </c>
      <c r="AL193" s="95">
        <f t="shared" si="144"/>
        <v>0</v>
      </c>
      <c r="AM193" s="95">
        <f t="shared" si="144"/>
        <v>0</v>
      </c>
      <c r="AN193" s="95">
        <f t="shared" si="144"/>
        <v>0</v>
      </c>
      <c r="AO193" s="95">
        <f t="shared" si="144"/>
        <v>0</v>
      </c>
      <c r="AP193" s="95">
        <f t="shared" si="144"/>
        <v>0</v>
      </c>
      <c r="AQ193" s="95">
        <f t="shared" si="144"/>
        <v>0</v>
      </c>
      <c r="AR193" s="95">
        <f t="shared" si="144"/>
        <v>0</v>
      </c>
      <c r="AS193" s="95">
        <f t="shared" si="144"/>
        <v>0</v>
      </c>
      <c r="AT193" s="95">
        <f t="shared" si="144"/>
        <v>0</v>
      </c>
      <c r="AU193" s="95">
        <f t="shared" si="144"/>
        <v>0</v>
      </c>
      <c r="AV193" s="95">
        <f t="shared" si="144"/>
        <v>0</v>
      </c>
      <c r="AW193" s="95">
        <f t="shared" si="144"/>
        <v>0</v>
      </c>
      <c r="AX193" s="95">
        <f t="shared" si="144"/>
        <v>0</v>
      </c>
      <c r="AY193" s="95">
        <f t="shared" si="144"/>
        <v>0</v>
      </c>
      <c r="AZ193" s="95">
        <f t="shared" si="144"/>
        <v>0</v>
      </c>
      <c r="BA193" s="95">
        <f t="shared" si="144"/>
        <v>0</v>
      </c>
    </row>
    <row r="195" spans="2:53" x14ac:dyDescent="0.2">
      <c r="B195" s="215">
        <f>B189+1</f>
        <v>30</v>
      </c>
    </row>
    <row r="196" spans="2:53" x14ac:dyDescent="0.2">
      <c r="B196" s="94" t="s">
        <v>100</v>
      </c>
      <c r="C196" s="73" t="s">
        <v>75</v>
      </c>
      <c r="D196" s="95">
        <f>0</f>
        <v>0</v>
      </c>
      <c r="E196" s="47">
        <f t="shared" ref="E196:BA196" si="145">D199</f>
        <v>0</v>
      </c>
      <c r="F196" s="47">
        <f t="shared" si="145"/>
        <v>0</v>
      </c>
      <c r="G196" s="47">
        <f t="shared" si="145"/>
        <v>0</v>
      </c>
      <c r="H196" s="47">
        <f t="shared" si="145"/>
        <v>0</v>
      </c>
      <c r="I196" s="47">
        <f t="shared" si="145"/>
        <v>0</v>
      </c>
      <c r="J196" s="47">
        <f t="shared" si="145"/>
        <v>0</v>
      </c>
      <c r="K196" s="47">
        <f t="shared" si="145"/>
        <v>0</v>
      </c>
      <c r="L196" s="47">
        <f t="shared" si="145"/>
        <v>0</v>
      </c>
      <c r="M196" s="47">
        <f t="shared" si="145"/>
        <v>0</v>
      </c>
      <c r="N196" s="47">
        <f t="shared" si="145"/>
        <v>0</v>
      </c>
      <c r="O196" s="47">
        <f t="shared" si="145"/>
        <v>0</v>
      </c>
      <c r="P196" s="47">
        <f t="shared" si="145"/>
        <v>0</v>
      </c>
      <c r="Q196" s="47">
        <f t="shared" si="145"/>
        <v>0</v>
      </c>
      <c r="R196" s="47">
        <f t="shared" si="145"/>
        <v>0</v>
      </c>
      <c r="S196" s="47">
        <f t="shared" si="145"/>
        <v>0</v>
      </c>
      <c r="T196" s="47">
        <f t="shared" si="145"/>
        <v>0</v>
      </c>
      <c r="U196" s="47">
        <f t="shared" si="145"/>
        <v>0</v>
      </c>
      <c r="V196" s="47">
        <f t="shared" si="145"/>
        <v>0</v>
      </c>
      <c r="W196" s="47">
        <f t="shared" si="145"/>
        <v>0</v>
      </c>
      <c r="X196" s="47">
        <f t="shared" si="145"/>
        <v>0</v>
      </c>
      <c r="Y196" s="47">
        <f t="shared" si="145"/>
        <v>0</v>
      </c>
      <c r="Z196" s="47">
        <f t="shared" si="145"/>
        <v>0</v>
      </c>
      <c r="AA196" s="47">
        <f t="shared" si="145"/>
        <v>0</v>
      </c>
      <c r="AB196" s="47">
        <f t="shared" si="145"/>
        <v>0</v>
      </c>
      <c r="AC196" s="47">
        <f t="shared" si="145"/>
        <v>0</v>
      </c>
      <c r="AD196" s="47">
        <f t="shared" si="145"/>
        <v>0</v>
      </c>
      <c r="AE196" s="47">
        <f t="shared" si="145"/>
        <v>0</v>
      </c>
      <c r="AF196" s="47">
        <f t="shared" si="145"/>
        <v>0</v>
      </c>
      <c r="AG196" s="47">
        <f t="shared" si="145"/>
        <v>0</v>
      </c>
      <c r="AH196" s="47">
        <f t="shared" si="145"/>
        <v>17.758446902974065</v>
      </c>
      <c r="AI196" s="47">
        <f t="shared" si="145"/>
        <v>14.206757522379252</v>
      </c>
      <c r="AJ196" s="47">
        <f t="shared" si="145"/>
        <v>10.65506814178444</v>
      </c>
      <c r="AK196" s="47">
        <f t="shared" si="145"/>
        <v>7.1033787611896271</v>
      </c>
      <c r="AL196" s="47">
        <f t="shared" si="145"/>
        <v>3.551689380594814</v>
      </c>
      <c r="AM196" s="47">
        <f t="shared" si="145"/>
        <v>0</v>
      </c>
      <c r="AN196" s="47">
        <f t="shared" si="145"/>
        <v>0</v>
      </c>
      <c r="AO196" s="47">
        <f t="shared" si="145"/>
        <v>0</v>
      </c>
      <c r="AP196" s="47">
        <f t="shared" si="145"/>
        <v>0</v>
      </c>
      <c r="AQ196" s="47">
        <f t="shared" si="145"/>
        <v>0</v>
      </c>
      <c r="AR196" s="47">
        <f t="shared" si="145"/>
        <v>0</v>
      </c>
      <c r="AS196" s="47">
        <f t="shared" si="145"/>
        <v>0</v>
      </c>
      <c r="AT196" s="47">
        <f t="shared" si="145"/>
        <v>0</v>
      </c>
      <c r="AU196" s="47">
        <f t="shared" si="145"/>
        <v>0</v>
      </c>
      <c r="AV196" s="47">
        <f t="shared" si="145"/>
        <v>0</v>
      </c>
      <c r="AW196" s="47">
        <f t="shared" si="145"/>
        <v>0</v>
      </c>
      <c r="AX196" s="47">
        <f t="shared" si="145"/>
        <v>0</v>
      </c>
      <c r="AY196" s="47">
        <f t="shared" si="145"/>
        <v>0</v>
      </c>
      <c r="AZ196" s="47">
        <f t="shared" si="145"/>
        <v>0</v>
      </c>
      <c r="BA196" s="47">
        <f t="shared" si="145"/>
        <v>0</v>
      </c>
    </row>
    <row r="197" spans="2:53" x14ac:dyDescent="0.2">
      <c r="B197" s="94" t="s">
        <v>101</v>
      </c>
      <c r="C197" s="73" t="s">
        <v>75</v>
      </c>
      <c r="D197" s="95">
        <f>IF($B195=D$2,D$4,0)</f>
        <v>0</v>
      </c>
      <c r="E197" s="95">
        <f t="shared" ref="E197:BA197" si="146">IF($B195=E$2,E$4,0)</f>
        <v>0</v>
      </c>
      <c r="F197" s="95">
        <f t="shared" si="146"/>
        <v>0</v>
      </c>
      <c r="G197" s="95">
        <f t="shared" si="146"/>
        <v>0</v>
      </c>
      <c r="H197" s="95">
        <f t="shared" si="146"/>
        <v>0</v>
      </c>
      <c r="I197" s="95">
        <f t="shared" si="146"/>
        <v>0</v>
      </c>
      <c r="J197" s="95">
        <f t="shared" si="146"/>
        <v>0</v>
      </c>
      <c r="K197" s="95">
        <f t="shared" si="146"/>
        <v>0</v>
      </c>
      <c r="L197" s="95">
        <f t="shared" si="146"/>
        <v>0</v>
      </c>
      <c r="M197" s="95">
        <f t="shared" si="146"/>
        <v>0</v>
      </c>
      <c r="N197" s="95">
        <f t="shared" si="146"/>
        <v>0</v>
      </c>
      <c r="O197" s="95">
        <f t="shared" si="146"/>
        <v>0</v>
      </c>
      <c r="P197" s="95">
        <f t="shared" si="146"/>
        <v>0</v>
      </c>
      <c r="Q197" s="95">
        <f t="shared" si="146"/>
        <v>0</v>
      </c>
      <c r="R197" s="95">
        <f t="shared" si="146"/>
        <v>0</v>
      </c>
      <c r="S197" s="95">
        <f t="shared" si="146"/>
        <v>0</v>
      </c>
      <c r="T197" s="95">
        <f t="shared" si="146"/>
        <v>0</v>
      </c>
      <c r="U197" s="95">
        <f t="shared" si="146"/>
        <v>0</v>
      </c>
      <c r="V197" s="95">
        <f t="shared" si="146"/>
        <v>0</v>
      </c>
      <c r="W197" s="95">
        <f t="shared" si="146"/>
        <v>0</v>
      </c>
      <c r="X197" s="95">
        <f t="shared" si="146"/>
        <v>0</v>
      </c>
      <c r="Y197" s="95">
        <f t="shared" si="146"/>
        <v>0</v>
      </c>
      <c r="Z197" s="95">
        <f t="shared" si="146"/>
        <v>0</v>
      </c>
      <c r="AA197" s="95">
        <f t="shared" si="146"/>
        <v>0</v>
      </c>
      <c r="AB197" s="95">
        <f t="shared" si="146"/>
        <v>0</v>
      </c>
      <c r="AC197" s="95">
        <f t="shared" si="146"/>
        <v>0</v>
      </c>
      <c r="AD197" s="95">
        <f t="shared" si="146"/>
        <v>0</v>
      </c>
      <c r="AE197" s="95">
        <f t="shared" si="146"/>
        <v>0</v>
      </c>
      <c r="AF197" s="95">
        <f t="shared" si="146"/>
        <v>0</v>
      </c>
      <c r="AG197" s="95">
        <f t="shared" si="146"/>
        <v>17.758446902974065</v>
      </c>
      <c r="AH197" s="95">
        <f t="shared" si="146"/>
        <v>0</v>
      </c>
      <c r="AI197" s="95">
        <f t="shared" si="146"/>
        <v>0</v>
      </c>
      <c r="AJ197" s="95">
        <f t="shared" si="146"/>
        <v>0</v>
      </c>
      <c r="AK197" s="95">
        <f t="shared" si="146"/>
        <v>0</v>
      </c>
      <c r="AL197" s="95">
        <f t="shared" si="146"/>
        <v>0</v>
      </c>
      <c r="AM197" s="95">
        <f t="shared" si="146"/>
        <v>0</v>
      </c>
      <c r="AN197" s="95">
        <f t="shared" si="146"/>
        <v>0</v>
      </c>
      <c r="AO197" s="95">
        <f t="shared" si="146"/>
        <v>0</v>
      </c>
      <c r="AP197" s="95">
        <f t="shared" si="146"/>
        <v>0</v>
      </c>
      <c r="AQ197" s="95">
        <f t="shared" si="146"/>
        <v>0</v>
      </c>
      <c r="AR197" s="95">
        <f t="shared" si="146"/>
        <v>0</v>
      </c>
      <c r="AS197" s="95">
        <f t="shared" si="146"/>
        <v>0</v>
      </c>
      <c r="AT197" s="95">
        <f t="shared" si="146"/>
        <v>0</v>
      </c>
      <c r="AU197" s="95">
        <f t="shared" si="146"/>
        <v>0</v>
      </c>
      <c r="AV197" s="95">
        <f t="shared" si="146"/>
        <v>0</v>
      </c>
      <c r="AW197" s="95">
        <f t="shared" si="146"/>
        <v>0</v>
      </c>
      <c r="AX197" s="95">
        <f t="shared" si="146"/>
        <v>0</v>
      </c>
      <c r="AY197" s="95">
        <f t="shared" si="146"/>
        <v>0</v>
      </c>
      <c r="AZ197" s="95">
        <f t="shared" si="146"/>
        <v>0</v>
      </c>
      <c r="BA197" s="95">
        <f t="shared" si="146"/>
        <v>0</v>
      </c>
    </row>
    <row r="198" spans="2:53" x14ac:dyDescent="0.2">
      <c r="B198" s="76" t="s">
        <v>102</v>
      </c>
      <c r="C198" s="73" t="s">
        <v>75</v>
      </c>
      <c r="D198" s="47"/>
      <c r="E198" s="47">
        <f>IF(OR(D199&lt;=$B$15*$AG$197,F$1-$AH$1&gt;$B$13),0,-IF($B$12="straight line",SLN($AG$197,+$B$15*$AG$197,$B$13),VDB($AG$197,$B$15*$AG$197,$B$13,E$1-$AH$1,F$1-$AH$1,$B$14)))</f>
        <v>0</v>
      </c>
      <c r="F198" s="47">
        <f t="shared" ref="F198:BA198" si="147">IF(OR(E199&lt;=$B$15*$AG$197,G$1-$AH$1&gt;$B$13),0,-IF($B$12="straight line",SLN($AG$197,+$B$15*$AG$197,$B$13),VDB($AG$197,$B$15*$AG$197,$B$13,F$1-$AH$1,G$1-$AH$1,$B$14)))</f>
        <v>0</v>
      </c>
      <c r="G198" s="47">
        <f t="shared" si="147"/>
        <v>0</v>
      </c>
      <c r="H198" s="47">
        <f t="shared" si="147"/>
        <v>0</v>
      </c>
      <c r="I198" s="47">
        <f t="shared" si="147"/>
        <v>0</v>
      </c>
      <c r="J198" s="47">
        <f t="shared" si="147"/>
        <v>0</v>
      </c>
      <c r="K198" s="47">
        <f t="shared" si="147"/>
        <v>0</v>
      </c>
      <c r="L198" s="47">
        <f t="shared" si="147"/>
        <v>0</v>
      </c>
      <c r="M198" s="47">
        <f t="shared" si="147"/>
        <v>0</v>
      </c>
      <c r="N198" s="47">
        <f t="shared" si="147"/>
        <v>0</v>
      </c>
      <c r="O198" s="47">
        <f t="shared" si="147"/>
        <v>0</v>
      </c>
      <c r="P198" s="47">
        <f t="shared" si="147"/>
        <v>0</v>
      </c>
      <c r="Q198" s="47">
        <f t="shared" si="147"/>
        <v>0</v>
      </c>
      <c r="R198" s="47">
        <f t="shared" si="147"/>
        <v>0</v>
      </c>
      <c r="S198" s="47">
        <f t="shared" si="147"/>
        <v>0</v>
      </c>
      <c r="T198" s="47">
        <f t="shared" si="147"/>
        <v>0</v>
      </c>
      <c r="U198" s="47">
        <f t="shared" si="147"/>
        <v>0</v>
      </c>
      <c r="V198" s="47">
        <f t="shared" si="147"/>
        <v>0</v>
      </c>
      <c r="W198" s="47">
        <f t="shared" si="147"/>
        <v>0</v>
      </c>
      <c r="X198" s="47">
        <f t="shared" si="147"/>
        <v>0</v>
      </c>
      <c r="Y198" s="47">
        <f t="shared" si="147"/>
        <v>0</v>
      </c>
      <c r="Z198" s="47">
        <f t="shared" si="147"/>
        <v>0</v>
      </c>
      <c r="AA198" s="47">
        <f t="shared" si="147"/>
        <v>0</v>
      </c>
      <c r="AB198" s="47">
        <f t="shared" si="147"/>
        <v>0</v>
      </c>
      <c r="AC198" s="47">
        <f t="shared" si="147"/>
        <v>0</v>
      </c>
      <c r="AD198" s="47">
        <f t="shared" si="147"/>
        <v>0</v>
      </c>
      <c r="AE198" s="47">
        <f t="shared" si="147"/>
        <v>0</v>
      </c>
      <c r="AF198" s="47">
        <f t="shared" si="147"/>
        <v>0</v>
      </c>
      <c r="AG198" s="47">
        <f t="shared" si="147"/>
        <v>0</v>
      </c>
      <c r="AH198" s="47">
        <f t="shared" si="147"/>
        <v>-3.5516893805948131</v>
      </c>
      <c r="AI198" s="47">
        <f t="shared" si="147"/>
        <v>-3.5516893805948131</v>
      </c>
      <c r="AJ198" s="47">
        <f t="shared" si="147"/>
        <v>-3.5516893805948131</v>
      </c>
      <c r="AK198" s="47">
        <f t="shared" si="147"/>
        <v>-3.5516893805948131</v>
      </c>
      <c r="AL198" s="47">
        <f t="shared" si="147"/>
        <v>-3.5516893805948131</v>
      </c>
      <c r="AM198" s="47">
        <f t="shared" si="147"/>
        <v>0</v>
      </c>
      <c r="AN198" s="47">
        <f t="shared" si="147"/>
        <v>0</v>
      </c>
      <c r="AO198" s="47">
        <f t="shared" si="147"/>
        <v>0</v>
      </c>
      <c r="AP198" s="47">
        <f t="shared" si="147"/>
        <v>0</v>
      </c>
      <c r="AQ198" s="47">
        <f t="shared" si="147"/>
        <v>0</v>
      </c>
      <c r="AR198" s="47">
        <f t="shared" si="147"/>
        <v>0</v>
      </c>
      <c r="AS198" s="47">
        <f t="shared" si="147"/>
        <v>0</v>
      </c>
      <c r="AT198" s="47">
        <f t="shared" si="147"/>
        <v>0</v>
      </c>
      <c r="AU198" s="47">
        <f t="shared" si="147"/>
        <v>0</v>
      </c>
      <c r="AV198" s="47">
        <f t="shared" si="147"/>
        <v>0</v>
      </c>
      <c r="AW198" s="47">
        <f t="shared" si="147"/>
        <v>0</v>
      </c>
      <c r="AX198" s="47">
        <f t="shared" si="147"/>
        <v>0</v>
      </c>
      <c r="AY198" s="47">
        <f t="shared" si="147"/>
        <v>0</v>
      </c>
      <c r="AZ198" s="47">
        <f t="shared" si="147"/>
        <v>0</v>
      </c>
      <c r="BA198" s="47">
        <f t="shared" si="147"/>
        <v>0</v>
      </c>
    </row>
    <row r="199" spans="2:53" x14ac:dyDescent="0.2">
      <c r="B199" s="76" t="s">
        <v>103</v>
      </c>
      <c r="C199" s="73" t="s">
        <v>75</v>
      </c>
      <c r="D199" s="95">
        <f>SUM(D196:D198)</f>
        <v>0</v>
      </c>
      <c r="E199" s="95">
        <f t="shared" ref="E199:BA199" si="148">SUM(E196:E198)</f>
        <v>0</v>
      </c>
      <c r="F199" s="95">
        <f t="shared" si="148"/>
        <v>0</v>
      </c>
      <c r="G199" s="95">
        <f t="shared" si="148"/>
        <v>0</v>
      </c>
      <c r="H199" s="95">
        <f t="shared" si="148"/>
        <v>0</v>
      </c>
      <c r="I199" s="95">
        <f t="shared" si="148"/>
        <v>0</v>
      </c>
      <c r="J199" s="95">
        <f t="shared" si="148"/>
        <v>0</v>
      </c>
      <c r="K199" s="95">
        <f t="shared" si="148"/>
        <v>0</v>
      </c>
      <c r="L199" s="95">
        <f t="shared" si="148"/>
        <v>0</v>
      </c>
      <c r="M199" s="95">
        <f t="shared" si="148"/>
        <v>0</v>
      </c>
      <c r="N199" s="95">
        <f t="shared" si="148"/>
        <v>0</v>
      </c>
      <c r="O199" s="95">
        <f t="shared" si="148"/>
        <v>0</v>
      </c>
      <c r="P199" s="95">
        <f t="shared" si="148"/>
        <v>0</v>
      </c>
      <c r="Q199" s="95">
        <f t="shared" si="148"/>
        <v>0</v>
      </c>
      <c r="R199" s="95">
        <f t="shared" si="148"/>
        <v>0</v>
      </c>
      <c r="S199" s="95">
        <f t="shared" si="148"/>
        <v>0</v>
      </c>
      <c r="T199" s="95">
        <f t="shared" si="148"/>
        <v>0</v>
      </c>
      <c r="U199" s="95">
        <f t="shared" si="148"/>
        <v>0</v>
      </c>
      <c r="V199" s="95">
        <f t="shared" si="148"/>
        <v>0</v>
      </c>
      <c r="W199" s="95">
        <f t="shared" si="148"/>
        <v>0</v>
      </c>
      <c r="X199" s="95">
        <f t="shared" si="148"/>
        <v>0</v>
      </c>
      <c r="Y199" s="95">
        <f t="shared" si="148"/>
        <v>0</v>
      </c>
      <c r="Z199" s="95">
        <f t="shared" si="148"/>
        <v>0</v>
      </c>
      <c r="AA199" s="95">
        <f t="shared" si="148"/>
        <v>0</v>
      </c>
      <c r="AB199" s="95">
        <f t="shared" si="148"/>
        <v>0</v>
      </c>
      <c r="AC199" s="95">
        <f t="shared" si="148"/>
        <v>0</v>
      </c>
      <c r="AD199" s="95">
        <f t="shared" si="148"/>
        <v>0</v>
      </c>
      <c r="AE199" s="95">
        <f t="shared" si="148"/>
        <v>0</v>
      </c>
      <c r="AF199" s="95">
        <f t="shared" si="148"/>
        <v>0</v>
      </c>
      <c r="AG199" s="95">
        <f t="shared" si="148"/>
        <v>17.758446902974065</v>
      </c>
      <c r="AH199" s="95">
        <f t="shared" si="148"/>
        <v>14.206757522379252</v>
      </c>
      <c r="AI199" s="95">
        <f t="shared" si="148"/>
        <v>10.65506814178444</v>
      </c>
      <c r="AJ199" s="95">
        <f t="shared" si="148"/>
        <v>7.1033787611896271</v>
      </c>
      <c r="AK199" s="95">
        <f t="shared" si="148"/>
        <v>3.551689380594814</v>
      </c>
      <c r="AL199" s="95">
        <f t="shared" si="148"/>
        <v>0</v>
      </c>
      <c r="AM199" s="95">
        <f t="shared" si="148"/>
        <v>0</v>
      </c>
      <c r="AN199" s="95">
        <f t="shared" si="148"/>
        <v>0</v>
      </c>
      <c r="AO199" s="95">
        <f t="shared" si="148"/>
        <v>0</v>
      </c>
      <c r="AP199" s="95">
        <f t="shared" si="148"/>
        <v>0</v>
      </c>
      <c r="AQ199" s="95">
        <f t="shared" si="148"/>
        <v>0</v>
      </c>
      <c r="AR199" s="95">
        <f t="shared" si="148"/>
        <v>0</v>
      </c>
      <c r="AS199" s="95">
        <f t="shared" si="148"/>
        <v>0</v>
      </c>
      <c r="AT199" s="95">
        <f t="shared" si="148"/>
        <v>0</v>
      </c>
      <c r="AU199" s="95">
        <f t="shared" si="148"/>
        <v>0</v>
      </c>
      <c r="AV199" s="95">
        <f t="shared" si="148"/>
        <v>0</v>
      </c>
      <c r="AW199" s="95">
        <f t="shared" si="148"/>
        <v>0</v>
      </c>
      <c r="AX199" s="95">
        <f t="shared" si="148"/>
        <v>0</v>
      </c>
      <c r="AY199" s="95">
        <f t="shared" si="148"/>
        <v>0</v>
      </c>
      <c r="AZ199" s="95">
        <f t="shared" si="148"/>
        <v>0</v>
      </c>
      <c r="BA199" s="95">
        <f t="shared" si="148"/>
        <v>0</v>
      </c>
    </row>
    <row r="201" spans="2:53" x14ac:dyDescent="0.2">
      <c r="B201" s="215">
        <f>B195+1</f>
        <v>31</v>
      </c>
    </row>
    <row r="202" spans="2:53" x14ac:dyDescent="0.2">
      <c r="B202" s="94" t="s">
        <v>100</v>
      </c>
      <c r="C202" s="73" t="s">
        <v>75</v>
      </c>
      <c r="D202" s="95">
        <f>0</f>
        <v>0</v>
      </c>
      <c r="E202" s="47">
        <f t="shared" ref="E202:BA202" si="149">D205</f>
        <v>0</v>
      </c>
      <c r="F202" s="47">
        <f t="shared" si="149"/>
        <v>0</v>
      </c>
      <c r="G202" s="47">
        <f t="shared" si="149"/>
        <v>0</v>
      </c>
      <c r="H202" s="47">
        <f t="shared" si="149"/>
        <v>0</v>
      </c>
      <c r="I202" s="47">
        <f t="shared" si="149"/>
        <v>0</v>
      </c>
      <c r="J202" s="47">
        <f t="shared" si="149"/>
        <v>0</v>
      </c>
      <c r="K202" s="47">
        <f t="shared" si="149"/>
        <v>0</v>
      </c>
      <c r="L202" s="47">
        <f t="shared" si="149"/>
        <v>0</v>
      </c>
      <c r="M202" s="47">
        <f t="shared" si="149"/>
        <v>0</v>
      </c>
      <c r="N202" s="47">
        <f t="shared" si="149"/>
        <v>0</v>
      </c>
      <c r="O202" s="47">
        <f t="shared" si="149"/>
        <v>0</v>
      </c>
      <c r="P202" s="47">
        <f t="shared" si="149"/>
        <v>0</v>
      </c>
      <c r="Q202" s="47">
        <f t="shared" si="149"/>
        <v>0</v>
      </c>
      <c r="R202" s="47">
        <f t="shared" si="149"/>
        <v>0</v>
      </c>
      <c r="S202" s="47">
        <f t="shared" si="149"/>
        <v>0</v>
      </c>
      <c r="T202" s="47">
        <f t="shared" si="149"/>
        <v>0</v>
      </c>
      <c r="U202" s="47">
        <f t="shared" si="149"/>
        <v>0</v>
      </c>
      <c r="V202" s="47">
        <f t="shared" si="149"/>
        <v>0</v>
      </c>
      <c r="W202" s="47">
        <f t="shared" si="149"/>
        <v>0</v>
      </c>
      <c r="X202" s="47">
        <f t="shared" si="149"/>
        <v>0</v>
      </c>
      <c r="Y202" s="47">
        <f t="shared" si="149"/>
        <v>0</v>
      </c>
      <c r="Z202" s="47">
        <f t="shared" si="149"/>
        <v>0</v>
      </c>
      <c r="AA202" s="47">
        <f t="shared" si="149"/>
        <v>0</v>
      </c>
      <c r="AB202" s="47">
        <f t="shared" si="149"/>
        <v>0</v>
      </c>
      <c r="AC202" s="47">
        <f t="shared" si="149"/>
        <v>0</v>
      </c>
      <c r="AD202" s="47">
        <f t="shared" si="149"/>
        <v>0</v>
      </c>
      <c r="AE202" s="47">
        <f t="shared" si="149"/>
        <v>0</v>
      </c>
      <c r="AF202" s="47">
        <f t="shared" si="149"/>
        <v>0</v>
      </c>
      <c r="AG202" s="47">
        <f t="shared" si="149"/>
        <v>0</v>
      </c>
      <c r="AH202" s="47">
        <f t="shared" si="149"/>
        <v>0</v>
      </c>
      <c r="AI202" s="47">
        <f t="shared" si="149"/>
        <v>18.11361584103355</v>
      </c>
      <c r="AJ202" s="47">
        <f t="shared" si="149"/>
        <v>14.49089267282684</v>
      </c>
      <c r="AK202" s="47">
        <f t="shared" si="149"/>
        <v>10.868169504620131</v>
      </c>
      <c r="AL202" s="47">
        <f t="shared" si="149"/>
        <v>7.245446336413421</v>
      </c>
      <c r="AM202" s="47">
        <f t="shared" si="149"/>
        <v>3.6227231682067109</v>
      </c>
      <c r="AN202" s="47">
        <f t="shared" si="149"/>
        <v>0</v>
      </c>
      <c r="AO202" s="47">
        <f t="shared" si="149"/>
        <v>0</v>
      </c>
      <c r="AP202" s="47">
        <f t="shared" si="149"/>
        <v>0</v>
      </c>
      <c r="AQ202" s="47">
        <f t="shared" si="149"/>
        <v>0</v>
      </c>
      <c r="AR202" s="47">
        <f t="shared" si="149"/>
        <v>0</v>
      </c>
      <c r="AS202" s="47">
        <f t="shared" si="149"/>
        <v>0</v>
      </c>
      <c r="AT202" s="47">
        <f t="shared" si="149"/>
        <v>0</v>
      </c>
      <c r="AU202" s="47">
        <f t="shared" si="149"/>
        <v>0</v>
      </c>
      <c r="AV202" s="47">
        <f t="shared" si="149"/>
        <v>0</v>
      </c>
      <c r="AW202" s="47">
        <f t="shared" si="149"/>
        <v>0</v>
      </c>
      <c r="AX202" s="47">
        <f t="shared" si="149"/>
        <v>0</v>
      </c>
      <c r="AY202" s="47">
        <f t="shared" si="149"/>
        <v>0</v>
      </c>
      <c r="AZ202" s="47">
        <f t="shared" si="149"/>
        <v>0</v>
      </c>
      <c r="BA202" s="47">
        <f t="shared" si="149"/>
        <v>0</v>
      </c>
    </row>
    <row r="203" spans="2:53" x14ac:dyDescent="0.2">
      <c r="B203" s="94" t="s">
        <v>101</v>
      </c>
      <c r="C203" s="73" t="s">
        <v>75</v>
      </c>
      <c r="D203" s="95">
        <f>IF($B201=D$2,D$4,0)</f>
        <v>0</v>
      </c>
      <c r="E203" s="95">
        <f t="shared" ref="E203:BA203" si="150">IF($B201=E$2,E$4,0)</f>
        <v>0</v>
      </c>
      <c r="F203" s="95">
        <f t="shared" si="150"/>
        <v>0</v>
      </c>
      <c r="G203" s="95">
        <f t="shared" si="150"/>
        <v>0</v>
      </c>
      <c r="H203" s="95">
        <f t="shared" si="150"/>
        <v>0</v>
      </c>
      <c r="I203" s="95">
        <f t="shared" si="150"/>
        <v>0</v>
      </c>
      <c r="J203" s="95">
        <f t="shared" si="150"/>
        <v>0</v>
      </c>
      <c r="K203" s="95">
        <f t="shared" si="150"/>
        <v>0</v>
      </c>
      <c r="L203" s="95">
        <f t="shared" si="150"/>
        <v>0</v>
      </c>
      <c r="M203" s="95">
        <f t="shared" si="150"/>
        <v>0</v>
      </c>
      <c r="N203" s="95">
        <f t="shared" si="150"/>
        <v>0</v>
      </c>
      <c r="O203" s="95">
        <f t="shared" si="150"/>
        <v>0</v>
      </c>
      <c r="P203" s="95">
        <f t="shared" si="150"/>
        <v>0</v>
      </c>
      <c r="Q203" s="95">
        <f t="shared" si="150"/>
        <v>0</v>
      </c>
      <c r="R203" s="95">
        <f t="shared" si="150"/>
        <v>0</v>
      </c>
      <c r="S203" s="95">
        <f t="shared" si="150"/>
        <v>0</v>
      </c>
      <c r="T203" s="95">
        <f t="shared" si="150"/>
        <v>0</v>
      </c>
      <c r="U203" s="95">
        <f t="shared" si="150"/>
        <v>0</v>
      </c>
      <c r="V203" s="95">
        <f t="shared" si="150"/>
        <v>0</v>
      </c>
      <c r="W203" s="95">
        <f t="shared" si="150"/>
        <v>0</v>
      </c>
      <c r="X203" s="95">
        <f t="shared" si="150"/>
        <v>0</v>
      </c>
      <c r="Y203" s="95">
        <f t="shared" si="150"/>
        <v>0</v>
      </c>
      <c r="Z203" s="95">
        <f t="shared" si="150"/>
        <v>0</v>
      </c>
      <c r="AA203" s="95">
        <f t="shared" si="150"/>
        <v>0</v>
      </c>
      <c r="AB203" s="95">
        <f t="shared" si="150"/>
        <v>0</v>
      </c>
      <c r="AC203" s="95">
        <f t="shared" si="150"/>
        <v>0</v>
      </c>
      <c r="AD203" s="95">
        <f t="shared" si="150"/>
        <v>0</v>
      </c>
      <c r="AE203" s="95">
        <f t="shared" si="150"/>
        <v>0</v>
      </c>
      <c r="AF203" s="95">
        <f t="shared" si="150"/>
        <v>0</v>
      </c>
      <c r="AG203" s="95">
        <f t="shared" si="150"/>
        <v>0</v>
      </c>
      <c r="AH203" s="95">
        <f t="shared" si="150"/>
        <v>18.11361584103355</v>
      </c>
      <c r="AI203" s="95">
        <f t="shared" si="150"/>
        <v>0</v>
      </c>
      <c r="AJ203" s="95">
        <f t="shared" si="150"/>
        <v>0</v>
      </c>
      <c r="AK203" s="95">
        <f t="shared" si="150"/>
        <v>0</v>
      </c>
      <c r="AL203" s="95">
        <f t="shared" si="150"/>
        <v>0</v>
      </c>
      <c r="AM203" s="95">
        <f t="shared" si="150"/>
        <v>0</v>
      </c>
      <c r="AN203" s="95">
        <f t="shared" si="150"/>
        <v>0</v>
      </c>
      <c r="AO203" s="95">
        <f t="shared" si="150"/>
        <v>0</v>
      </c>
      <c r="AP203" s="95">
        <f t="shared" si="150"/>
        <v>0</v>
      </c>
      <c r="AQ203" s="95">
        <f t="shared" si="150"/>
        <v>0</v>
      </c>
      <c r="AR203" s="95">
        <f t="shared" si="150"/>
        <v>0</v>
      </c>
      <c r="AS203" s="95">
        <f t="shared" si="150"/>
        <v>0</v>
      </c>
      <c r="AT203" s="95">
        <f t="shared" si="150"/>
        <v>0</v>
      </c>
      <c r="AU203" s="95">
        <f t="shared" si="150"/>
        <v>0</v>
      </c>
      <c r="AV203" s="95">
        <f t="shared" si="150"/>
        <v>0</v>
      </c>
      <c r="AW203" s="95">
        <f t="shared" si="150"/>
        <v>0</v>
      </c>
      <c r="AX203" s="95">
        <f t="shared" si="150"/>
        <v>0</v>
      </c>
      <c r="AY203" s="95">
        <f t="shared" si="150"/>
        <v>0</v>
      </c>
      <c r="AZ203" s="95">
        <f t="shared" si="150"/>
        <v>0</v>
      </c>
      <c r="BA203" s="95">
        <f t="shared" si="150"/>
        <v>0</v>
      </c>
    </row>
    <row r="204" spans="2:53" x14ac:dyDescent="0.2">
      <c r="B204" s="76" t="s">
        <v>102</v>
      </c>
      <c r="C204" s="73" t="s">
        <v>75</v>
      </c>
      <c r="D204" s="47"/>
      <c r="E204" s="47">
        <f>IF(OR(D205&lt;=$B$15*$AH$203,F$1-$AI$1&gt;$B$13),0,-IF($B$12="straight line",SLN($AH$203,+$B$15*$AH$203,$B$13),VDB($AH$203,$B$15*$AH$203,$B$13,E$1-$AI$1,F$1-$AI$1,$B$14)))</f>
        <v>0</v>
      </c>
      <c r="F204" s="47">
        <f t="shared" ref="F204:BA204" si="151">IF(OR(E205&lt;=$B$15*$AH$203,G$1-$AI$1&gt;$B$13),0,-IF($B$12="straight line",SLN($AH$203,+$B$15*$AH$203,$B$13),VDB($AH$203,$B$15*$AH$203,$B$13,F$1-$AI$1,G$1-$AI$1,$B$14)))</f>
        <v>0</v>
      </c>
      <c r="G204" s="47">
        <f t="shared" si="151"/>
        <v>0</v>
      </c>
      <c r="H204" s="47">
        <f t="shared" si="151"/>
        <v>0</v>
      </c>
      <c r="I204" s="47">
        <f t="shared" si="151"/>
        <v>0</v>
      </c>
      <c r="J204" s="47">
        <f t="shared" si="151"/>
        <v>0</v>
      </c>
      <c r="K204" s="47">
        <f t="shared" si="151"/>
        <v>0</v>
      </c>
      <c r="L204" s="47">
        <f t="shared" si="151"/>
        <v>0</v>
      </c>
      <c r="M204" s="47">
        <f t="shared" si="151"/>
        <v>0</v>
      </c>
      <c r="N204" s="47">
        <f t="shared" si="151"/>
        <v>0</v>
      </c>
      <c r="O204" s="47">
        <f t="shared" si="151"/>
        <v>0</v>
      </c>
      <c r="P204" s="47">
        <f t="shared" si="151"/>
        <v>0</v>
      </c>
      <c r="Q204" s="47">
        <f t="shared" si="151"/>
        <v>0</v>
      </c>
      <c r="R204" s="47">
        <f t="shared" si="151"/>
        <v>0</v>
      </c>
      <c r="S204" s="47">
        <f t="shared" si="151"/>
        <v>0</v>
      </c>
      <c r="T204" s="47">
        <f t="shared" si="151"/>
        <v>0</v>
      </c>
      <c r="U204" s="47">
        <f t="shared" si="151"/>
        <v>0</v>
      </c>
      <c r="V204" s="47">
        <f t="shared" si="151"/>
        <v>0</v>
      </c>
      <c r="W204" s="47">
        <f t="shared" si="151"/>
        <v>0</v>
      </c>
      <c r="X204" s="47">
        <f t="shared" si="151"/>
        <v>0</v>
      </c>
      <c r="Y204" s="47">
        <f t="shared" si="151"/>
        <v>0</v>
      </c>
      <c r="Z204" s="47">
        <f t="shared" si="151"/>
        <v>0</v>
      </c>
      <c r="AA204" s="47">
        <f t="shared" si="151"/>
        <v>0</v>
      </c>
      <c r="AB204" s="47">
        <f t="shared" si="151"/>
        <v>0</v>
      </c>
      <c r="AC204" s="47">
        <f t="shared" si="151"/>
        <v>0</v>
      </c>
      <c r="AD204" s="47">
        <f t="shared" si="151"/>
        <v>0</v>
      </c>
      <c r="AE204" s="47">
        <f t="shared" si="151"/>
        <v>0</v>
      </c>
      <c r="AF204" s="47">
        <f t="shared" si="151"/>
        <v>0</v>
      </c>
      <c r="AG204" s="47">
        <f t="shared" si="151"/>
        <v>0</v>
      </c>
      <c r="AH204" s="47">
        <f t="shared" si="151"/>
        <v>0</v>
      </c>
      <c r="AI204" s="47">
        <f t="shared" si="151"/>
        <v>-3.62272316820671</v>
      </c>
      <c r="AJ204" s="47">
        <f t="shared" si="151"/>
        <v>-3.62272316820671</v>
      </c>
      <c r="AK204" s="47">
        <f t="shared" si="151"/>
        <v>-3.62272316820671</v>
      </c>
      <c r="AL204" s="47">
        <f t="shared" si="151"/>
        <v>-3.62272316820671</v>
      </c>
      <c r="AM204" s="47">
        <f t="shared" si="151"/>
        <v>-3.62272316820671</v>
      </c>
      <c r="AN204" s="47">
        <f t="shared" si="151"/>
        <v>0</v>
      </c>
      <c r="AO204" s="47">
        <f t="shared" si="151"/>
        <v>0</v>
      </c>
      <c r="AP204" s="47">
        <f t="shared" si="151"/>
        <v>0</v>
      </c>
      <c r="AQ204" s="47">
        <f t="shared" si="151"/>
        <v>0</v>
      </c>
      <c r="AR204" s="47">
        <f t="shared" si="151"/>
        <v>0</v>
      </c>
      <c r="AS204" s="47">
        <f t="shared" si="151"/>
        <v>0</v>
      </c>
      <c r="AT204" s="47">
        <f t="shared" si="151"/>
        <v>0</v>
      </c>
      <c r="AU204" s="47">
        <f t="shared" si="151"/>
        <v>0</v>
      </c>
      <c r="AV204" s="47">
        <f t="shared" si="151"/>
        <v>0</v>
      </c>
      <c r="AW204" s="47">
        <f t="shared" si="151"/>
        <v>0</v>
      </c>
      <c r="AX204" s="47">
        <f t="shared" si="151"/>
        <v>0</v>
      </c>
      <c r="AY204" s="47">
        <f t="shared" si="151"/>
        <v>0</v>
      </c>
      <c r="AZ204" s="47">
        <f t="shared" si="151"/>
        <v>0</v>
      </c>
      <c r="BA204" s="47">
        <f t="shared" si="151"/>
        <v>0</v>
      </c>
    </row>
    <row r="205" spans="2:53" x14ac:dyDescent="0.2">
      <c r="B205" s="76" t="s">
        <v>103</v>
      </c>
      <c r="C205" s="73" t="s">
        <v>75</v>
      </c>
      <c r="D205" s="95">
        <f>SUM(D202:D204)</f>
        <v>0</v>
      </c>
      <c r="E205" s="95">
        <f t="shared" ref="E205:BA205" si="152">SUM(E202:E204)</f>
        <v>0</v>
      </c>
      <c r="F205" s="95">
        <f t="shared" si="152"/>
        <v>0</v>
      </c>
      <c r="G205" s="95">
        <f t="shared" si="152"/>
        <v>0</v>
      </c>
      <c r="H205" s="95">
        <f t="shared" si="152"/>
        <v>0</v>
      </c>
      <c r="I205" s="95">
        <f t="shared" si="152"/>
        <v>0</v>
      </c>
      <c r="J205" s="95">
        <f t="shared" si="152"/>
        <v>0</v>
      </c>
      <c r="K205" s="95">
        <f t="shared" si="152"/>
        <v>0</v>
      </c>
      <c r="L205" s="95">
        <f t="shared" si="152"/>
        <v>0</v>
      </c>
      <c r="M205" s="95">
        <f t="shared" si="152"/>
        <v>0</v>
      </c>
      <c r="N205" s="95">
        <f t="shared" si="152"/>
        <v>0</v>
      </c>
      <c r="O205" s="95">
        <f t="shared" si="152"/>
        <v>0</v>
      </c>
      <c r="P205" s="95">
        <f t="shared" si="152"/>
        <v>0</v>
      </c>
      <c r="Q205" s="95">
        <f t="shared" si="152"/>
        <v>0</v>
      </c>
      <c r="R205" s="95">
        <f t="shared" si="152"/>
        <v>0</v>
      </c>
      <c r="S205" s="95">
        <f t="shared" si="152"/>
        <v>0</v>
      </c>
      <c r="T205" s="95">
        <f t="shared" si="152"/>
        <v>0</v>
      </c>
      <c r="U205" s="95">
        <f t="shared" si="152"/>
        <v>0</v>
      </c>
      <c r="V205" s="95">
        <f t="shared" si="152"/>
        <v>0</v>
      </c>
      <c r="W205" s="95">
        <f t="shared" si="152"/>
        <v>0</v>
      </c>
      <c r="X205" s="95">
        <f t="shared" si="152"/>
        <v>0</v>
      </c>
      <c r="Y205" s="95">
        <f t="shared" si="152"/>
        <v>0</v>
      </c>
      <c r="Z205" s="95">
        <f t="shared" si="152"/>
        <v>0</v>
      </c>
      <c r="AA205" s="95">
        <f t="shared" si="152"/>
        <v>0</v>
      </c>
      <c r="AB205" s="95">
        <f t="shared" si="152"/>
        <v>0</v>
      </c>
      <c r="AC205" s="95">
        <f t="shared" si="152"/>
        <v>0</v>
      </c>
      <c r="AD205" s="95">
        <f t="shared" si="152"/>
        <v>0</v>
      </c>
      <c r="AE205" s="95">
        <f t="shared" si="152"/>
        <v>0</v>
      </c>
      <c r="AF205" s="95">
        <f t="shared" si="152"/>
        <v>0</v>
      </c>
      <c r="AG205" s="95">
        <f t="shared" si="152"/>
        <v>0</v>
      </c>
      <c r="AH205" s="95">
        <f t="shared" si="152"/>
        <v>18.11361584103355</v>
      </c>
      <c r="AI205" s="95">
        <f t="shared" si="152"/>
        <v>14.49089267282684</v>
      </c>
      <c r="AJ205" s="95">
        <f t="shared" si="152"/>
        <v>10.868169504620131</v>
      </c>
      <c r="AK205" s="95">
        <f t="shared" si="152"/>
        <v>7.245446336413421</v>
      </c>
      <c r="AL205" s="95">
        <f t="shared" si="152"/>
        <v>3.6227231682067109</v>
      </c>
      <c r="AM205" s="95">
        <f t="shared" si="152"/>
        <v>0</v>
      </c>
      <c r="AN205" s="95">
        <f t="shared" si="152"/>
        <v>0</v>
      </c>
      <c r="AO205" s="95">
        <f t="shared" si="152"/>
        <v>0</v>
      </c>
      <c r="AP205" s="95">
        <f t="shared" si="152"/>
        <v>0</v>
      </c>
      <c r="AQ205" s="95">
        <f t="shared" si="152"/>
        <v>0</v>
      </c>
      <c r="AR205" s="95">
        <f t="shared" si="152"/>
        <v>0</v>
      </c>
      <c r="AS205" s="95">
        <f t="shared" si="152"/>
        <v>0</v>
      </c>
      <c r="AT205" s="95">
        <f t="shared" si="152"/>
        <v>0</v>
      </c>
      <c r="AU205" s="95">
        <f t="shared" si="152"/>
        <v>0</v>
      </c>
      <c r="AV205" s="95">
        <f t="shared" si="152"/>
        <v>0</v>
      </c>
      <c r="AW205" s="95">
        <f t="shared" si="152"/>
        <v>0</v>
      </c>
      <c r="AX205" s="95">
        <f t="shared" si="152"/>
        <v>0</v>
      </c>
      <c r="AY205" s="95">
        <f t="shared" si="152"/>
        <v>0</v>
      </c>
      <c r="AZ205" s="95">
        <f t="shared" si="152"/>
        <v>0</v>
      </c>
      <c r="BA205" s="95">
        <f t="shared" si="152"/>
        <v>0</v>
      </c>
    </row>
    <row r="207" spans="2:53" x14ac:dyDescent="0.2">
      <c r="B207" s="215">
        <f>B201+1</f>
        <v>32</v>
      </c>
    </row>
    <row r="208" spans="2:53" x14ac:dyDescent="0.2">
      <c r="B208" s="94" t="s">
        <v>100</v>
      </c>
      <c r="C208" s="73" t="s">
        <v>75</v>
      </c>
      <c r="D208" s="95">
        <f>0</f>
        <v>0</v>
      </c>
      <c r="E208" s="47">
        <f t="shared" ref="E208:BA208" si="153">D211</f>
        <v>0</v>
      </c>
      <c r="F208" s="47">
        <f t="shared" si="153"/>
        <v>0</v>
      </c>
      <c r="G208" s="47">
        <f t="shared" si="153"/>
        <v>0</v>
      </c>
      <c r="H208" s="47">
        <f t="shared" si="153"/>
        <v>0</v>
      </c>
      <c r="I208" s="47">
        <f t="shared" si="153"/>
        <v>0</v>
      </c>
      <c r="J208" s="47">
        <f t="shared" si="153"/>
        <v>0</v>
      </c>
      <c r="K208" s="47">
        <f t="shared" si="153"/>
        <v>0</v>
      </c>
      <c r="L208" s="47">
        <f t="shared" si="153"/>
        <v>0</v>
      </c>
      <c r="M208" s="47">
        <f t="shared" si="153"/>
        <v>0</v>
      </c>
      <c r="N208" s="47">
        <f t="shared" si="153"/>
        <v>0</v>
      </c>
      <c r="O208" s="47">
        <f t="shared" si="153"/>
        <v>0</v>
      </c>
      <c r="P208" s="47">
        <f t="shared" si="153"/>
        <v>0</v>
      </c>
      <c r="Q208" s="47">
        <f t="shared" si="153"/>
        <v>0</v>
      </c>
      <c r="R208" s="47">
        <f t="shared" si="153"/>
        <v>0</v>
      </c>
      <c r="S208" s="47">
        <f t="shared" si="153"/>
        <v>0</v>
      </c>
      <c r="T208" s="47">
        <f t="shared" si="153"/>
        <v>0</v>
      </c>
      <c r="U208" s="47">
        <f t="shared" si="153"/>
        <v>0</v>
      </c>
      <c r="V208" s="47">
        <f t="shared" si="153"/>
        <v>0</v>
      </c>
      <c r="W208" s="47">
        <f t="shared" si="153"/>
        <v>0</v>
      </c>
      <c r="X208" s="47">
        <f t="shared" si="153"/>
        <v>0</v>
      </c>
      <c r="Y208" s="47">
        <f t="shared" si="153"/>
        <v>0</v>
      </c>
      <c r="Z208" s="47">
        <f t="shared" si="153"/>
        <v>0</v>
      </c>
      <c r="AA208" s="47">
        <f t="shared" si="153"/>
        <v>0</v>
      </c>
      <c r="AB208" s="47">
        <f t="shared" si="153"/>
        <v>0</v>
      </c>
      <c r="AC208" s="47">
        <f t="shared" si="153"/>
        <v>0</v>
      </c>
      <c r="AD208" s="47">
        <f t="shared" si="153"/>
        <v>0</v>
      </c>
      <c r="AE208" s="47">
        <f t="shared" si="153"/>
        <v>0</v>
      </c>
      <c r="AF208" s="47">
        <f t="shared" si="153"/>
        <v>0</v>
      </c>
      <c r="AG208" s="47">
        <f t="shared" si="153"/>
        <v>0</v>
      </c>
      <c r="AH208" s="47">
        <f t="shared" si="153"/>
        <v>0</v>
      </c>
      <c r="AI208" s="47">
        <f t="shared" si="153"/>
        <v>0</v>
      </c>
      <c r="AJ208" s="47">
        <f t="shared" si="153"/>
        <v>0</v>
      </c>
      <c r="AK208" s="47">
        <f t="shared" si="153"/>
        <v>0</v>
      </c>
      <c r="AL208" s="47">
        <f t="shared" si="153"/>
        <v>0</v>
      </c>
      <c r="AM208" s="47">
        <f t="shared" si="153"/>
        <v>0</v>
      </c>
      <c r="AN208" s="47">
        <f t="shared" si="153"/>
        <v>0</v>
      </c>
      <c r="AO208" s="47">
        <f t="shared" si="153"/>
        <v>0</v>
      </c>
      <c r="AP208" s="47">
        <f t="shared" si="153"/>
        <v>0</v>
      </c>
      <c r="AQ208" s="47">
        <f t="shared" si="153"/>
        <v>0</v>
      </c>
      <c r="AR208" s="47">
        <f t="shared" si="153"/>
        <v>0</v>
      </c>
      <c r="AS208" s="47">
        <f t="shared" si="153"/>
        <v>0</v>
      </c>
      <c r="AT208" s="47">
        <f t="shared" si="153"/>
        <v>0</v>
      </c>
      <c r="AU208" s="47">
        <f t="shared" si="153"/>
        <v>0</v>
      </c>
      <c r="AV208" s="47">
        <f t="shared" si="153"/>
        <v>0</v>
      </c>
      <c r="AW208" s="47">
        <f t="shared" si="153"/>
        <v>0</v>
      </c>
      <c r="AX208" s="47">
        <f t="shared" si="153"/>
        <v>0</v>
      </c>
      <c r="AY208" s="47">
        <f t="shared" si="153"/>
        <v>0</v>
      </c>
      <c r="AZ208" s="47">
        <f t="shared" si="153"/>
        <v>0</v>
      </c>
      <c r="BA208" s="47">
        <f t="shared" si="153"/>
        <v>0</v>
      </c>
    </row>
    <row r="209" spans="2:53" x14ac:dyDescent="0.2">
      <c r="B209" s="94" t="s">
        <v>101</v>
      </c>
      <c r="C209" s="73" t="s">
        <v>75</v>
      </c>
      <c r="D209" s="95">
        <f>IF($B207=D$2,D$4,0)</f>
        <v>0</v>
      </c>
      <c r="E209" s="95">
        <f t="shared" ref="E209:BA209" si="154">IF($B207=E$2,E$4,0)</f>
        <v>0</v>
      </c>
      <c r="F209" s="95">
        <f t="shared" si="154"/>
        <v>0</v>
      </c>
      <c r="G209" s="95">
        <f t="shared" si="154"/>
        <v>0</v>
      </c>
      <c r="H209" s="95">
        <f t="shared" si="154"/>
        <v>0</v>
      </c>
      <c r="I209" s="95">
        <f t="shared" si="154"/>
        <v>0</v>
      </c>
      <c r="J209" s="95">
        <f t="shared" si="154"/>
        <v>0</v>
      </c>
      <c r="K209" s="95">
        <f t="shared" si="154"/>
        <v>0</v>
      </c>
      <c r="L209" s="95">
        <f t="shared" si="154"/>
        <v>0</v>
      </c>
      <c r="M209" s="95">
        <f t="shared" si="154"/>
        <v>0</v>
      </c>
      <c r="N209" s="95">
        <f t="shared" si="154"/>
        <v>0</v>
      </c>
      <c r="O209" s="95">
        <f t="shared" si="154"/>
        <v>0</v>
      </c>
      <c r="P209" s="95">
        <f t="shared" si="154"/>
        <v>0</v>
      </c>
      <c r="Q209" s="95">
        <f t="shared" si="154"/>
        <v>0</v>
      </c>
      <c r="R209" s="95">
        <f t="shared" si="154"/>
        <v>0</v>
      </c>
      <c r="S209" s="95">
        <f t="shared" si="154"/>
        <v>0</v>
      </c>
      <c r="T209" s="95">
        <f t="shared" si="154"/>
        <v>0</v>
      </c>
      <c r="U209" s="95">
        <f t="shared" si="154"/>
        <v>0</v>
      </c>
      <c r="V209" s="95">
        <f t="shared" si="154"/>
        <v>0</v>
      </c>
      <c r="W209" s="95">
        <f t="shared" si="154"/>
        <v>0</v>
      </c>
      <c r="X209" s="95">
        <f t="shared" si="154"/>
        <v>0</v>
      </c>
      <c r="Y209" s="95">
        <f t="shared" si="154"/>
        <v>0</v>
      </c>
      <c r="Z209" s="95">
        <f t="shared" si="154"/>
        <v>0</v>
      </c>
      <c r="AA209" s="95">
        <f t="shared" si="154"/>
        <v>0</v>
      </c>
      <c r="AB209" s="95">
        <f t="shared" si="154"/>
        <v>0</v>
      </c>
      <c r="AC209" s="95">
        <f t="shared" si="154"/>
        <v>0</v>
      </c>
      <c r="AD209" s="95">
        <f t="shared" si="154"/>
        <v>0</v>
      </c>
      <c r="AE209" s="95">
        <f t="shared" si="154"/>
        <v>0</v>
      </c>
      <c r="AF209" s="95">
        <f t="shared" si="154"/>
        <v>0</v>
      </c>
      <c r="AG209" s="95">
        <f t="shared" si="154"/>
        <v>0</v>
      </c>
      <c r="AH209" s="95">
        <f t="shared" si="154"/>
        <v>0</v>
      </c>
      <c r="AI209" s="95">
        <f t="shared" si="154"/>
        <v>0</v>
      </c>
      <c r="AJ209" s="95">
        <f t="shared" si="154"/>
        <v>0</v>
      </c>
      <c r="AK209" s="95">
        <f t="shared" si="154"/>
        <v>0</v>
      </c>
      <c r="AL209" s="95">
        <f t="shared" si="154"/>
        <v>0</v>
      </c>
      <c r="AM209" s="95">
        <f t="shared" si="154"/>
        <v>0</v>
      </c>
      <c r="AN209" s="95">
        <f t="shared" si="154"/>
        <v>0</v>
      </c>
      <c r="AO209" s="95">
        <f t="shared" si="154"/>
        <v>0</v>
      </c>
      <c r="AP209" s="95">
        <f t="shared" si="154"/>
        <v>0</v>
      </c>
      <c r="AQ209" s="95">
        <f t="shared" si="154"/>
        <v>0</v>
      </c>
      <c r="AR209" s="95">
        <f t="shared" si="154"/>
        <v>0</v>
      </c>
      <c r="AS209" s="95">
        <f t="shared" si="154"/>
        <v>0</v>
      </c>
      <c r="AT209" s="95">
        <f t="shared" si="154"/>
        <v>0</v>
      </c>
      <c r="AU209" s="95">
        <f t="shared" si="154"/>
        <v>0</v>
      </c>
      <c r="AV209" s="95">
        <f t="shared" si="154"/>
        <v>0</v>
      </c>
      <c r="AW209" s="95">
        <f t="shared" si="154"/>
        <v>0</v>
      </c>
      <c r="AX209" s="95">
        <f t="shared" si="154"/>
        <v>0</v>
      </c>
      <c r="AY209" s="95">
        <f t="shared" si="154"/>
        <v>0</v>
      </c>
      <c r="AZ209" s="95">
        <f t="shared" si="154"/>
        <v>0</v>
      </c>
      <c r="BA209" s="95">
        <f t="shared" si="154"/>
        <v>0</v>
      </c>
    </row>
    <row r="210" spans="2:53" x14ac:dyDescent="0.2">
      <c r="B210" s="76" t="s">
        <v>102</v>
      </c>
      <c r="C210" s="73" t="s">
        <v>75</v>
      </c>
      <c r="D210" s="47"/>
      <c r="E210" s="47">
        <f>IF(OR(D211&lt;=$B$15*$AI$209,F$1-$AJ$1&gt;$B$13),0,-IF($B$12="straight line",SLN($AI$209,+$B$15*$AI$209,$B$13),VDB($AI$209,$B$15*$AI$209,$B$13,E$1-$AJ$1,F$1-$AJ$1,$B$14)))</f>
        <v>0</v>
      </c>
      <c r="F210" s="47">
        <f t="shared" ref="F210:BA210" si="155">IF(OR(E211&lt;=$B$15*$AI$209,G$1-$AJ$1&gt;$B$13),0,-IF($B$12="straight line",SLN($AI$209,+$B$15*$AI$209,$B$13),VDB($AI$209,$B$15*$AI$209,$B$13,F$1-$AJ$1,G$1-$AJ$1,$B$14)))</f>
        <v>0</v>
      </c>
      <c r="G210" s="47">
        <f t="shared" si="155"/>
        <v>0</v>
      </c>
      <c r="H210" s="47">
        <f t="shared" si="155"/>
        <v>0</v>
      </c>
      <c r="I210" s="47">
        <f t="shared" si="155"/>
        <v>0</v>
      </c>
      <c r="J210" s="47">
        <f t="shared" si="155"/>
        <v>0</v>
      </c>
      <c r="K210" s="47">
        <f t="shared" si="155"/>
        <v>0</v>
      </c>
      <c r="L210" s="47">
        <f t="shared" si="155"/>
        <v>0</v>
      </c>
      <c r="M210" s="47">
        <f t="shared" si="155"/>
        <v>0</v>
      </c>
      <c r="N210" s="47">
        <f t="shared" si="155"/>
        <v>0</v>
      </c>
      <c r="O210" s="47">
        <f t="shared" si="155"/>
        <v>0</v>
      </c>
      <c r="P210" s="47">
        <f t="shared" si="155"/>
        <v>0</v>
      </c>
      <c r="Q210" s="47">
        <f t="shared" si="155"/>
        <v>0</v>
      </c>
      <c r="R210" s="47">
        <f t="shared" si="155"/>
        <v>0</v>
      </c>
      <c r="S210" s="47">
        <f t="shared" si="155"/>
        <v>0</v>
      </c>
      <c r="T210" s="47">
        <f t="shared" si="155"/>
        <v>0</v>
      </c>
      <c r="U210" s="47">
        <f t="shared" si="155"/>
        <v>0</v>
      </c>
      <c r="V210" s="47">
        <f t="shared" si="155"/>
        <v>0</v>
      </c>
      <c r="W210" s="47">
        <f t="shared" si="155"/>
        <v>0</v>
      </c>
      <c r="X210" s="47">
        <f t="shared" si="155"/>
        <v>0</v>
      </c>
      <c r="Y210" s="47">
        <f t="shared" si="155"/>
        <v>0</v>
      </c>
      <c r="Z210" s="47">
        <f t="shared" si="155"/>
        <v>0</v>
      </c>
      <c r="AA210" s="47">
        <f t="shared" si="155"/>
        <v>0</v>
      </c>
      <c r="AB210" s="47">
        <f t="shared" si="155"/>
        <v>0</v>
      </c>
      <c r="AC210" s="47">
        <f t="shared" si="155"/>
        <v>0</v>
      </c>
      <c r="AD210" s="47">
        <f t="shared" si="155"/>
        <v>0</v>
      </c>
      <c r="AE210" s="47">
        <f t="shared" si="155"/>
        <v>0</v>
      </c>
      <c r="AF210" s="47">
        <f t="shared" si="155"/>
        <v>0</v>
      </c>
      <c r="AG210" s="47">
        <f t="shared" si="155"/>
        <v>0</v>
      </c>
      <c r="AH210" s="47">
        <f t="shared" si="155"/>
        <v>0</v>
      </c>
      <c r="AI210" s="47">
        <f t="shared" si="155"/>
        <v>0</v>
      </c>
      <c r="AJ210" s="47">
        <f t="shared" si="155"/>
        <v>0</v>
      </c>
      <c r="AK210" s="47">
        <f t="shared" si="155"/>
        <v>0</v>
      </c>
      <c r="AL210" s="47">
        <f t="shared" si="155"/>
        <v>0</v>
      </c>
      <c r="AM210" s="47">
        <f t="shared" si="155"/>
        <v>0</v>
      </c>
      <c r="AN210" s="47">
        <f t="shared" si="155"/>
        <v>0</v>
      </c>
      <c r="AO210" s="47">
        <f t="shared" si="155"/>
        <v>0</v>
      </c>
      <c r="AP210" s="47">
        <f t="shared" si="155"/>
        <v>0</v>
      </c>
      <c r="AQ210" s="47">
        <f t="shared" si="155"/>
        <v>0</v>
      </c>
      <c r="AR210" s="47">
        <f t="shared" si="155"/>
        <v>0</v>
      </c>
      <c r="AS210" s="47">
        <f t="shared" si="155"/>
        <v>0</v>
      </c>
      <c r="AT210" s="47">
        <f t="shared" si="155"/>
        <v>0</v>
      </c>
      <c r="AU210" s="47">
        <f t="shared" si="155"/>
        <v>0</v>
      </c>
      <c r="AV210" s="47">
        <f t="shared" si="155"/>
        <v>0</v>
      </c>
      <c r="AW210" s="47">
        <f t="shared" si="155"/>
        <v>0</v>
      </c>
      <c r="AX210" s="47">
        <f t="shared" si="155"/>
        <v>0</v>
      </c>
      <c r="AY210" s="47">
        <f t="shared" si="155"/>
        <v>0</v>
      </c>
      <c r="AZ210" s="47">
        <f t="shared" si="155"/>
        <v>0</v>
      </c>
      <c r="BA210" s="47">
        <f t="shared" si="155"/>
        <v>0</v>
      </c>
    </row>
    <row r="211" spans="2:53" x14ac:dyDescent="0.2">
      <c r="B211" s="76" t="s">
        <v>103</v>
      </c>
      <c r="C211" s="73" t="s">
        <v>75</v>
      </c>
      <c r="D211" s="95">
        <f>SUM(D208:D210)</f>
        <v>0</v>
      </c>
      <c r="E211" s="95">
        <f t="shared" ref="E211:BA211" si="156">SUM(E208:E210)</f>
        <v>0</v>
      </c>
      <c r="F211" s="95">
        <f t="shared" si="156"/>
        <v>0</v>
      </c>
      <c r="G211" s="95">
        <f t="shared" si="156"/>
        <v>0</v>
      </c>
      <c r="H211" s="95">
        <f t="shared" si="156"/>
        <v>0</v>
      </c>
      <c r="I211" s="95">
        <f t="shared" si="156"/>
        <v>0</v>
      </c>
      <c r="J211" s="95">
        <f t="shared" si="156"/>
        <v>0</v>
      </c>
      <c r="K211" s="95">
        <f t="shared" si="156"/>
        <v>0</v>
      </c>
      <c r="L211" s="95">
        <f t="shared" si="156"/>
        <v>0</v>
      </c>
      <c r="M211" s="95">
        <f t="shared" si="156"/>
        <v>0</v>
      </c>
      <c r="N211" s="95">
        <f t="shared" si="156"/>
        <v>0</v>
      </c>
      <c r="O211" s="95">
        <f t="shared" si="156"/>
        <v>0</v>
      </c>
      <c r="P211" s="95">
        <f t="shared" si="156"/>
        <v>0</v>
      </c>
      <c r="Q211" s="95">
        <f t="shared" si="156"/>
        <v>0</v>
      </c>
      <c r="R211" s="95">
        <f t="shared" si="156"/>
        <v>0</v>
      </c>
      <c r="S211" s="95">
        <f t="shared" si="156"/>
        <v>0</v>
      </c>
      <c r="T211" s="95">
        <f t="shared" si="156"/>
        <v>0</v>
      </c>
      <c r="U211" s="95">
        <f t="shared" si="156"/>
        <v>0</v>
      </c>
      <c r="V211" s="95">
        <f t="shared" si="156"/>
        <v>0</v>
      </c>
      <c r="W211" s="95">
        <f t="shared" si="156"/>
        <v>0</v>
      </c>
      <c r="X211" s="95">
        <f t="shared" si="156"/>
        <v>0</v>
      </c>
      <c r="Y211" s="95">
        <f t="shared" si="156"/>
        <v>0</v>
      </c>
      <c r="Z211" s="95">
        <f t="shared" si="156"/>
        <v>0</v>
      </c>
      <c r="AA211" s="95">
        <f t="shared" si="156"/>
        <v>0</v>
      </c>
      <c r="AB211" s="95">
        <f t="shared" si="156"/>
        <v>0</v>
      </c>
      <c r="AC211" s="95">
        <f t="shared" si="156"/>
        <v>0</v>
      </c>
      <c r="AD211" s="95">
        <f t="shared" si="156"/>
        <v>0</v>
      </c>
      <c r="AE211" s="95">
        <f t="shared" si="156"/>
        <v>0</v>
      </c>
      <c r="AF211" s="95">
        <f t="shared" si="156"/>
        <v>0</v>
      </c>
      <c r="AG211" s="95">
        <f t="shared" si="156"/>
        <v>0</v>
      </c>
      <c r="AH211" s="95">
        <f t="shared" si="156"/>
        <v>0</v>
      </c>
      <c r="AI211" s="95">
        <f t="shared" si="156"/>
        <v>0</v>
      </c>
      <c r="AJ211" s="95">
        <f t="shared" si="156"/>
        <v>0</v>
      </c>
      <c r="AK211" s="95">
        <f t="shared" si="156"/>
        <v>0</v>
      </c>
      <c r="AL211" s="95">
        <f t="shared" si="156"/>
        <v>0</v>
      </c>
      <c r="AM211" s="95">
        <f t="shared" si="156"/>
        <v>0</v>
      </c>
      <c r="AN211" s="95">
        <f t="shared" si="156"/>
        <v>0</v>
      </c>
      <c r="AO211" s="95">
        <f t="shared" si="156"/>
        <v>0</v>
      </c>
      <c r="AP211" s="95">
        <f t="shared" si="156"/>
        <v>0</v>
      </c>
      <c r="AQ211" s="95">
        <f t="shared" si="156"/>
        <v>0</v>
      </c>
      <c r="AR211" s="95">
        <f t="shared" si="156"/>
        <v>0</v>
      </c>
      <c r="AS211" s="95">
        <f t="shared" si="156"/>
        <v>0</v>
      </c>
      <c r="AT211" s="95">
        <f t="shared" si="156"/>
        <v>0</v>
      </c>
      <c r="AU211" s="95">
        <f t="shared" si="156"/>
        <v>0</v>
      </c>
      <c r="AV211" s="95">
        <f t="shared" si="156"/>
        <v>0</v>
      </c>
      <c r="AW211" s="95">
        <f t="shared" si="156"/>
        <v>0</v>
      </c>
      <c r="AX211" s="95">
        <f t="shared" si="156"/>
        <v>0</v>
      </c>
      <c r="AY211" s="95">
        <f t="shared" si="156"/>
        <v>0</v>
      </c>
      <c r="AZ211" s="95">
        <f t="shared" si="156"/>
        <v>0</v>
      </c>
      <c r="BA211" s="95">
        <f t="shared" si="156"/>
        <v>0</v>
      </c>
    </row>
    <row r="213" spans="2:53" x14ac:dyDescent="0.2">
      <c r="B213" s="215">
        <f>B207+1</f>
        <v>33</v>
      </c>
    </row>
    <row r="214" spans="2:53" x14ac:dyDescent="0.2">
      <c r="B214" s="94" t="s">
        <v>100</v>
      </c>
      <c r="C214" s="73" t="s">
        <v>75</v>
      </c>
      <c r="D214" s="95">
        <f>0</f>
        <v>0</v>
      </c>
      <c r="E214" s="47">
        <f t="shared" ref="E214:BA214" si="157">D217</f>
        <v>0</v>
      </c>
      <c r="F214" s="47">
        <f t="shared" si="157"/>
        <v>0</v>
      </c>
      <c r="G214" s="47">
        <f t="shared" si="157"/>
        <v>0</v>
      </c>
      <c r="H214" s="47">
        <f t="shared" si="157"/>
        <v>0</v>
      </c>
      <c r="I214" s="47">
        <f t="shared" si="157"/>
        <v>0</v>
      </c>
      <c r="J214" s="47">
        <f t="shared" si="157"/>
        <v>0</v>
      </c>
      <c r="K214" s="47">
        <f t="shared" si="157"/>
        <v>0</v>
      </c>
      <c r="L214" s="47">
        <f t="shared" si="157"/>
        <v>0</v>
      </c>
      <c r="M214" s="47">
        <f t="shared" si="157"/>
        <v>0</v>
      </c>
      <c r="N214" s="47">
        <f t="shared" si="157"/>
        <v>0</v>
      </c>
      <c r="O214" s="47">
        <f t="shared" si="157"/>
        <v>0</v>
      </c>
      <c r="P214" s="47">
        <f t="shared" si="157"/>
        <v>0</v>
      </c>
      <c r="Q214" s="47">
        <f t="shared" si="157"/>
        <v>0</v>
      </c>
      <c r="R214" s="47">
        <f t="shared" si="157"/>
        <v>0</v>
      </c>
      <c r="S214" s="47">
        <f t="shared" si="157"/>
        <v>0</v>
      </c>
      <c r="T214" s="47">
        <f t="shared" si="157"/>
        <v>0</v>
      </c>
      <c r="U214" s="47">
        <f t="shared" si="157"/>
        <v>0</v>
      </c>
      <c r="V214" s="47">
        <f t="shared" si="157"/>
        <v>0</v>
      </c>
      <c r="W214" s="47">
        <f t="shared" si="157"/>
        <v>0</v>
      </c>
      <c r="X214" s="47">
        <f t="shared" si="157"/>
        <v>0</v>
      </c>
      <c r="Y214" s="47">
        <f t="shared" si="157"/>
        <v>0</v>
      </c>
      <c r="Z214" s="47">
        <f t="shared" si="157"/>
        <v>0</v>
      </c>
      <c r="AA214" s="47">
        <f t="shared" si="157"/>
        <v>0</v>
      </c>
      <c r="AB214" s="47">
        <f t="shared" si="157"/>
        <v>0</v>
      </c>
      <c r="AC214" s="47">
        <f t="shared" si="157"/>
        <v>0</v>
      </c>
      <c r="AD214" s="47">
        <f t="shared" si="157"/>
        <v>0</v>
      </c>
      <c r="AE214" s="47">
        <f t="shared" si="157"/>
        <v>0</v>
      </c>
      <c r="AF214" s="47">
        <f t="shared" si="157"/>
        <v>0</v>
      </c>
      <c r="AG214" s="47">
        <f t="shared" si="157"/>
        <v>0</v>
      </c>
      <c r="AH214" s="47">
        <f t="shared" si="157"/>
        <v>0</v>
      </c>
      <c r="AI214" s="47">
        <f t="shared" si="157"/>
        <v>0</v>
      </c>
      <c r="AJ214" s="47">
        <f t="shared" si="157"/>
        <v>0</v>
      </c>
      <c r="AK214" s="47">
        <f t="shared" si="157"/>
        <v>0</v>
      </c>
      <c r="AL214" s="47">
        <f t="shared" si="157"/>
        <v>0</v>
      </c>
      <c r="AM214" s="47">
        <f t="shared" si="157"/>
        <v>0</v>
      </c>
      <c r="AN214" s="47">
        <f t="shared" si="157"/>
        <v>0</v>
      </c>
      <c r="AO214" s="47">
        <f t="shared" si="157"/>
        <v>0</v>
      </c>
      <c r="AP214" s="47">
        <f t="shared" si="157"/>
        <v>0</v>
      </c>
      <c r="AQ214" s="47">
        <f t="shared" si="157"/>
        <v>0</v>
      </c>
      <c r="AR214" s="47">
        <f t="shared" si="157"/>
        <v>0</v>
      </c>
      <c r="AS214" s="47">
        <f t="shared" si="157"/>
        <v>0</v>
      </c>
      <c r="AT214" s="47">
        <f t="shared" si="157"/>
        <v>0</v>
      </c>
      <c r="AU214" s="47">
        <f t="shared" si="157"/>
        <v>0</v>
      </c>
      <c r="AV214" s="47">
        <f t="shared" si="157"/>
        <v>0</v>
      </c>
      <c r="AW214" s="47">
        <f t="shared" si="157"/>
        <v>0</v>
      </c>
      <c r="AX214" s="47">
        <f t="shared" si="157"/>
        <v>0</v>
      </c>
      <c r="AY214" s="47">
        <f t="shared" si="157"/>
        <v>0</v>
      </c>
      <c r="AZ214" s="47">
        <f t="shared" si="157"/>
        <v>0</v>
      </c>
      <c r="BA214" s="47">
        <f t="shared" si="157"/>
        <v>0</v>
      </c>
    </row>
    <row r="215" spans="2:53" x14ac:dyDescent="0.2">
      <c r="B215" s="94" t="s">
        <v>101</v>
      </c>
      <c r="C215" s="73" t="s">
        <v>75</v>
      </c>
      <c r="D215" s="95">
        <f>IF($B213=D$2,D$4,0)</f>
        <v>0</v>
      </c>
      <c r="E215" s="95">
        <f t="shared" ref="E215:BA215" si="158">IF($B213=E$2,E$4,0)</f>
        <v>0</v>
      </c>
      <c r="F215" s="95">
        <f t="shared" si="158"/>
        <v>0</v>
      </c>
      <c r="G215" s="95">
        <f t="shared" si="158"/>
        <v>0</v>
      </c>
      <c r="H215" s="95">
        <f t="shared" si="158"/>
        <v>0</v>
      </c>
      <c r="I215" s="95">
        <f t="shared" si="158"/>
        <v>0</v>
      </c>
      <c r="J215" s="95">
        <f t="shared" si="158"/>
        <v>0</v>
      </c>
      <c r="K215" s="95">
        <f t="shared" si="158"/>
        <v>0</v>
      </c>
      <c r="L215" s="95">
        <f t="shared" si="158"/>
        <v>0</v>
      </c>
      <c r="M215" s="95">
        <f t="shared" si="158"/>
        <v>0</v>
      </c>
      <c r="N215" s="95">
        <f t="shared" si="158"/>
        <v>0</v>
      </c>
      <c r="O215" s="95">
        <f t="shared" si="158"/>
        <v>0</v>
      </c>
      <c r="P215" s="95">
        <f t="shared" si="158"/>
        <v>0</v>
      </c>
      <c r="Q215" s="95">
        <f t="shared" si="158"/>
        <v>0</v>
      </c>
      <c r="R215" s="95">
        <f t="shared" si="158"/>
        <v>0</v>
      </c>
      <c r="S215" s="95">
        <f t="shared" si="158"/>
        <v>0</v>
      </c>
      <c r="T215" s="95">
        <f t="shared" si="158"/>
        <v>0</v>
      </c>
      <c r="U215" s="95">
        <f t="shared" si="158"/>
        <v>0</v>
      </c>
      <c r="V215" s="95">
        <f t="shared" si="158"/>
        <v>0</v>
      </c>
      <c r="W215" s="95">
        <f t="shared" si="158"/>
        <v>0</v>
      </c>
      <c r="X215" s="95">
        <f t="shared" si="158"/>
        <v>0</v>
      </c>
      <c r="Y215" s="95">
        <f t="shared" si="158"/>
        <v>0</v>
      </c>
      <c r="Z215" s="95">
        <f t="shared" si="158"/>
        <v>0</v>
      </c>
      <c r="AA215" s="95">
        <f t="shared" si="158"/>
        <v>0</v>
      </c>
      <c r="AB215" s="95">
        <f t="shared" si="158"/>
        <v>0</v>
      </c>
      <c r="AC215" s="95">
        <f t="shared" si="158"/>
        <v>0</v>
      </c>
      <c r="AD215" s="95">
        <f t="shared" si="158"/>
        <v>0</v>
      </c>
      <c r="AE215" s="95">
        <f t="shared" si="158"/>
        <v>0</v>
      </c>
      <c r="AF215" s="95">
        <f t="shared" si="158"/>
        <v>0</v>
      </c>
      <c r="AG215" s="95">
        <f t="shared" si="158"/>
        <v>0</v>
      </c>
      <c r="AH215" s="95">
        <f t="shared" si="158"/>
        <v>0</v>
      </c>
      <c r="AI215" s="95">
        <f t="shared" si="158"/>
        <v>0</v>
      </c>
      <c r="AJ215" s="95">
        <f t="shared" si="158"/>
        <v>0</v>
      </c>
      <c r="AK215" s="95">
        <f t="shared" si="158"/>
        <v>0</v>
      </c>
      <c r="AL215" s="95">
        <f t="shared" si="158"/>
        <v>0</v>
      </c>
      <c r="AM215" s="95">
        <f t="shared" si="158"/>
        <v>0</v>
      </c>
      <c r="AN215" s="95">
        <f t="shared" si="158"/>
        <v>0</v>
      </c>
      <c r="AO215" s="95">
        <f t="shared" si="158"/>
        <v>0</v>
      </c>
      <c r="AP215" s="95">
        <f t="shared" si="158"/>
        <v>0</v>
      </c>
      <c r="AQ215" s="95">
        <f t="shared" si="158"/>
        <v>0</v>
      </c>
      <c r="AR215" s="95">
        <f t="shared" si="158"/>
        <v>0</v>
      </c>
      <c r="AS215" s="95">
        <f t="shared" si="158"/>
        <v>0</v>
      </c>
      <c r="AT215" s="95">
        <f t="shared" si="158"/>
        <v>0</v>
      </c>
      <c r="AU215" s="95">
        <f t="shared" si="158"/>
        <v>0</v>
      </c>
      <c r="AV215" s="95">
        <f t="shared" si="158"/>
        <v>0</v>
      </c>
      <c r="AW215" s="95">
        <f t="shared" si="158"/>
        <v>0</v>
      </c>
      <c r="AX215" s="95">
        <f t="shared" si="158"/>
        <v>0</v>
      </c>
      <c r="AY215" s="95">
        <f t="shared" si="158"/>
        <v>0</v>
      </c>
      <c r="AZ215" s="95">
        <f t="shared" si="158"/>
        <v>0</v>
      </c>
      <c r="BA215" s="95">
        <f t="shared" si="158"/>
        <v>0</v>
      </c>
    </row>
    <row r="216" spans="2:53" x14ac:dyDescent="0.2">
      <c r="B216" s="76" t="s">
        <v>102</v>
      </c>
      <c r="C216" s="73" t="s">
        <v>75</v>
      </c>
      <c r="D216" s="47"/>
      <c r="E216" s="47">
        <f>IF(OR(D217&lt;=$B$15*$AJ$215,F$1-$AK$1&gt;$B$13),0,-IF($B$12="straight line",SLN($AJ$215,+$B$15*$AJ$215,$B$13),VDB($AJ$215,$B$15*$AJ$215,$B$13,E$1-$AK$1,F$1-$AK$1,$B$14)))</f>
        <v>0</v>
      </c>
      <c r="F216" s="47">
        <f t="shared" ref="F216:BA216" si="159">IF(OR(E217&lt;=$B$15*$AJ$215,G$1-$AK$1&gt;$B$13),0,-IF($B$12="straight line",SLN($AJ$215,+$B$15*$AJ$215,$B$13),VDB($AJ$215,$B$15*$AJ$215,$B$13,F$1-$AK$1,G$1-$AK$1,$B$14)))</f>
        <v>0</v>
      </c>
      <c r="G216" s="47">
        <f t="shared" si="159"/>
        <v>0</v>
      </c>
      <c r="H216" s="47">
        <f t="shared" si="159"/>
        <v>0</v>
      </c>
      <c r="I216" s="47">
        <f t="shared" si="159"/>
        <v>0</v>
      </c>
      <c r="J216" s="47">
        <f t="shared" si="159"/>
        <v>0</v>
      </c>
      <c r="K216" s="47">
        <f t="shared" si="159"/>
        <v>0</v>
      </c>
      <c r="L216" s="47">
        <f t="shared" si="159"/>
        <v>0</v>
      </c>
      <c r="M216" s="47">
        <f t="shared" si="159"/>
        <v>0</v>
      </c>
      <c r="N216" s="47">
        <f t="shared" si="159"/>
        <v>0</v>
      </c>
      <c r="O216" s="47">
        <f t="shared" si="159"/>
        <v>0</v>
      </c>
      <c r="P216" s="47">
        <f t="shared" si="159"/>
        <v>0</v>
      </c>
      <c r="Q216" s="47">
        <f t="shared" si="159"/>
        <v>0</v>
      </c>
      <c r="R216" s="47">
        <f t="shared" si="159"/>
        <v>0</v>
      </c>
      <c r="S216" s="47">
        <f t="shared" si="159"/>
        <v>0</v>
      </c>
      <c r="T216" s="47">
        <f t="shared" si="159"/>
        <v>0</v>
      </c>
      <c r="U216" s="47">
        <f t="shared" si="159"/>
        <v>0</v>
      </c>
      <c r="V216" s="47">
        <f t="shared" si="159"/>
        <v>0</v>
      </c>
      <c r="W216" s="47">
        <f t="shared" si="159"/>
        <v>0</v>
      </c>
      <c r="X216" s="47">
        <f t="shared" si="159"/>
        <v>0</v>
      </c>
      <c r="Y216" s="47">
        <f t="shared" si="159"/>
        <v>0</v>
      </c>
      <c r="Z216" s="47">
        <f t="shared" si="159"/>
        <v>0</v>
      </c>
      <c r="AA216" s="47">
        <f t="shared" si="159"/>
        <v>0</v>
      </c>
      <c r="AB216" s="47">
        <f t="shared" si="159"/>
        <v>0</v>
      </c>
      <c r="AC216" s="47">
        <f t="shared" si="159"/>
        <v>0</v>
      </c>
      <c r="AD216" s="47">
        <f t="shared" si="159"/>
        <v>0</v>
      </c>
      <c r="AE216" s="47">
        <f t="shared" si="159"/>
        <v>0</v>
      </c>
      <c r="AF216" s="47">
        <f t="shared" si="159"/>
        <v>0</v>
      </c>
      <c r="AG216" s="47">
        <f t="shared" si="159"/>
        <v>0</v>
      </c>
      <c r="AH216" s="47">
        <f t="shared" si="159"/>
        <v>0</v>
      </c>
      <c r="AI216" s="47">
        <f t="shared" si="159"/>
        <v>0</v>
      </c>
      <c r="AJ216" s="47">
        <f t="shared" si="159"/>
        <v>0</v>
      </c>
      <c r="AK216" s="47">
        <f t="shared" si="159"/>
        <v>0</v>
      </c>
      <c r="AL216" s="47">
        <f t="shared" si="159"/>
        <v>0</v>
      </c>
      <c r="AM216" s="47">
        <f t="shared" si="159"/>
        <v>0</v>
      </c>
      <c r="AN216" s="47">
        <f t="shared" si="159"/>
        <v>0</v>
      </c>
      <c r="AO216" s="47">
        <f t="shared" si="159"/>
        <v>0</v>
      </c>
      <c r="AP216" s="47">
        <f t="shared" si="159"/>
        <v>0</v>
      </c>
      <c r="AQ216" s="47">
        <f t="shared" si="159"/>
        <v>0</v>
      </c>
      <c r="AR216" s="47">
        <f t="shared" si="159"/>
        <v>0</v>
      </c>
      <c r="AS216" s="47">
        <f t="shared" si="159"/>
        <v>0</v>
      </c>
      <c r="AT216" s="47">
        <f t="shared" si="159"/>
        <v>0</v>
      </c>
      <c r="AU216" s="47">
        <f t="shared" si="159"/>
        <v>0</v>
      </c>
      <c r="AV216" s="47">
        <f t="shared" si="159"/>
        <v>0</v>
      </c>
      <c r="AW216" s="47">
        <f t="shared" si="159"/>
        <v>0</v>
      </c>
      <c r="AX216" s="47">
        <f t="shared" si="159"/>
        <v>0</v>
      </c>
      <c r="AY216" s="47">
        <f t="shared" si="159"/>
        <v>0</v>
      </c>
      <c r="AZ216" s="47">
        <f t="shared" si="159"/>
        <v>0</v>
      </c>
      <c r="BA216" s="47">
        <f t="shared" si="159"/>
        <v>0</v>
      </c>
    </row>
    <row r="217" spans="2:53" x14ac:dyDescent="0.2">
      <c r="B217" s="76" t="s">
        <v>103</v>
      </c>
      <c r="C217" s="73" t="s">
        <v>75</v>
      </c>
      <c r="D217" s="95">
        <f>SUM(D214:D216)</f>
        <v>0</v>
      </c>
      <c r="E217" s="95">
        <f t="shared" ref="E217:BA217" si="160">SUM(E214:E216)</f>
        <v>0</v>
      </c>
      <c r="F217" s="95">
        <f t="shared" si="160"/>
        <v>0</v>
      </c>
      <c r="G217" s="95">
        <f t="shared" si="160"/>
        <v>0</v>
      </c>
      <c r="H217" s="95">
        <f t="shared" si="160"/>
        <v>0</v>
      </c>
      <c r="I217" s="95">
        <f t="shared" si="160"/>
        <v>0</v>
      </c>
      <c r="J217" s="95">
        <f t="shared" si="160"/>
        <v>0</v>
      </c>
      <c r="K217" s="95">
        <f t="shared" si="160"/>
        <v>0</v>
      </c>
      <c r="L217" s="95">
        <f t="shared" si="160"/>
        <v>0</v>
      </c>
      <c r="M217" s="95">
        <f t="shared" si="160"/>
        <v>0</v>
      </c>
      <c r="N217" s="95">
        <f t="shared" si="160"/>
        <v>0</v>
      </c>
      <c r="O217" s="95">
        <f t="shared" si="160"/>
        <v>0</v>
      </c>
      <c r="P217" s="95">
        <f t="shared" si="160"/>
        <v>0</v>
      </c>
      <c r="Q217" s="95">
        <f t="shared" si="160"/>
        <v>0</v>
      </c>
      <c r="R217" s="95">
        <f t="shared" si="160"/>
        <v>0</v>
      </c>
      <c r="S217" s="95">
        <f t="shared" si="160"/>
        <v>0</v>
      </c>
      <c r="T217" s="95">
        <f t="shared" si="160"/>
        <v>0</v>
      </c>
      <c r="U217" s="95">
        <f t="shared" si="160"/>
        <v>0</v>
      </c>
      <c r="V217" s="95">
        <f t="shared" si="160"/>
        <v>0</v>
      </c>
      <c r="W217" s="95">
        <f t="shared" si="160"/>
        <v>0</v>
      </c>
      <c r="X217" s="95">
        <f t="shared" si="160"/>
        <v>0</v>
      </c>
      <c r="Y217" s="95">
        <f t="shared" si="160"/>
        <v>0</v>
      </c>
      <c r="Z217" s="95">
        <f t="shared" si="160"/>
        <v>0</v>
      </c>
      <c r="AA217" s="95">
        <f t="shared" si="160"/>
        <v>0</v>
      </c>
      <c r="AB217" s="95">
        <f t="shared" si="160"/>
        <v>0</v>
      </c>
      <c r="AC217" s="95">
        <f t="shared" si="160"/>
        <v>0</v>
      </c>
      <c r="AD217" s="95">
        <f t="shared" si="160"/>
        <v>0</v>
      </c>
      <c r="AE217" s="95">
        <f t="shared" si="160"/>
        <v>0</v>
      </c>
      <c r="AF217" s="95">
        <f t="shared" si="160"/>
        <v>0</v>
      </c>
      <c r="AG217" s="95">
        <f t="shared" si="160"/>
        <v>0</v>
      </c>
      <c r="AH217" s="95">
        <f t="shared" si="160"/>
        <v>0</v>
      </c>
      <c r="AI217" s="95">
        <f t="shared" si="160"/>
        <v>0</v>
      </c>
      <c r="AJ217" s="95">
        <f t="shared" si="160"/>
        <v>0</v>
      </c>
      <c r="AK217" s="95">
        <f t="shared" si="160"/>
        <v>0</v>
      </c>
      <c r="AL217" s="95">
        <f t="shared" si="160"/>
        <v>0</v>
      </c>
      <c r="AM217" s="95">
        <f t="shared" si="160"/>
        <v>0</v>
      </c>
      <c r="AN217" s="95">
        <f t="shared" si="160"/>
        <v>0</v>
      </c>
      <c r="AO217" s="95">
        <f t="shared" si="160"/>
        <v>0</v>
      </c>
      <c r="AP217" s="95">
        <f t="shared" si="160"/>
        <v>0</v>
      </c>
      <c r="AQ217" s="95">
        <f t="shared" si="160"/>
        <v>0</v>
      </c>
      <c r="AR217" s="95">
        <f t="shared" si="160"/>
        <v>0</v>
      </c>
      <c r="AS217" s="95">
        <f t="shared" si="160"/>
        <v>0</v>
      </c>
      <c r="AT217" s="95">
        <f t="shared" si="160"/>
        <v>0</v>
      </c>
      <c r="AU217" s="95">
        <f t="shared" si="160"/>
        <v>0</v>
      </c>
      <c r="AV217" s="95">
        <f t="shared" si="160"/>
        <v>0</v>
      </c>
      <c r="AW217" s="95">
        <f t="shared" si="160"/>
        <v>0</v>
      </c>
      <c r="AX217" s="95">
        <f t="shared" si="160"/>
        <v>0</v>
      </c>
      <c r="AY217" s="95">
        <f t="shared" si="160"/>
        <v>0</v>
      </c>
      <c r="AZ217" s="95">
        <f t="shared" si="160"/>
        <v>0</v>
      </c>
      <c r="BA217" s="95">
        <f t="shared" si="160"/>
        <v>0</v>
      </c>
    </row>
    <row r="219" spans="2:53" x14ac:dyDescent="0.2">
      <c r="B219" s="215">
        <f>B213+1</f>
        <v>34</v>
      </c>
    </row>
    <row r="220" spans="2:53" x14ac:dyDescent="0.2">
      <c r="B220" s="94" t="s">
        <v>100</v>
      </c>
      <c r="C220" s="73" t="s">
        <v>75</v>
      </c>
      <c r="D220" s="95">
        <f>0</f>
        <v>0</v>
      </c>
      <c r="E220" s="47">
        <f t="shared" ref="E220:BA220" si="161">D223</f>
        <v>0</v>
      </c>
      <c r="F220" s="47">
        <f t="shared" si="161"/>
        <v>0</v>
      </c>
      <c r="G220" s="47">
        <f t="shared" si="161"/>
        <v>0</v>
      </c>
      <c r="H220" s="47">
        <f t="shared" si="161"/>
        <v>0</v>
      </c>
      <c r="I220" s="47">
        <f t="shared" si="161"/>
        <v>0</v>
      </c>
      <c r="J220" s="47">
        <f t="shared" si="161"/>
        <v>0</v>
      </c>
      <c r="K220" s="47">
        <f t="shared" si="161"/>
        <v>0</v>
      </c>
      <c r="L220" s="47">
        <f t="shared" si="161"/>
        <v>0</v>
      </c>
      <c r="M220" s="47">
        <f t="shared" si="161"/>
        <v>0</v>
      </c>
      <c r="N220" s="47">
        <f t="shared" si="161"/>
        <v>0</v>
      </c>
      <c r="O220" s="47">
        <f t="shared" si="161"/>
        <v>0</v>
      </c>
      <c r="P220" s="47">
        <f t="shared" si="161"/>
        <v>0</v>
      </c>
      <c r="Q220" s="47">
        <f t="shared" si="161"/>
        <v>0</v>
      </c>
      <c r="R220" s="47">
        <f t="shared" si="161"/>
        <v>0</v>
      </c>
      <c r="S220" s="47">
        <f t="shared" si="161"/>
        <v>0</v>
      </c>
      <c r="T220" s="47">
        <f t="shared" si="161"/>
        <v>0</v>
      </c>
      <c r="U220" s="47">
        <f t="shared" si="161"/>
        <v>0</v>
      </c>
      <c r="V220" s="47">
        <f t="shared" si="161"/>
        <v>0</v>
      </c>
      <c r="W220" s="47">
        <f t="shared" si="161"/>
        <v>0</v>
      </c>
      <c r="X220" s="47">
        <f t="shared" si="161"/>
        <v>0</v>
      </c>
      <c r="Y220" s="47">
        <f t="shared" si="161"/>
        <v>0</v>
      </c>
      <c r="Z220" s="47">
        <f t="shared" si="161"/>
        <v>0</v>
      </c>
      <c r="AA220" s="47">
        <f t="shared" si="161"/>
        <v>0</v>
      </c>
      <c r="AB220" s="47">
        <f t="shared" si="161"/>
        <v>0</v>
      </c>
      <c r="AC220" s="47">
        <f t="shared" si="161"/>
        <v>0</v>
      </c>
      <c r="AD220" s="47">
        <f t="shared" si="161"/>
        <v>0</v>
      </c>
      <c r="AE220" s="47">
        <f t="shared" si="161"/>
        <v>0</v>
      </c>
      <c r="AF220" s="47">
        <f t="shared" si="161"/>
        <v>0</v>
      </c>
      <c r="AG220" s="47">
        <f t="shared" si="161"/>
        <v>0</v>
      </c>
      <c r="AH220" s="47">
        <f t="shared" si="161"/>
        <v>0</v>
      </c>
      <c r="AI220" s="47">
        <f t="shared" si="161"/>
        <v>0</v>
      </c>
      <c r="AJ220" s="47">
        <f t="shared" si="161"/>
        <v>0</v>
      </c>
      <c r="AK220" s="47">
        <f t="shared" si="161"/>
        <v>0</v>
      </c>
      <c r="AL220" s="47">
        <f t="shared" si="161"/>
        <v>0</v>
      </c>
      <c r="AM220" s="47">
        <f t="shared" si="161"/>
        <v>0</v>
      </c>
      <c r="AN220" s="47">
        <f t="shared" si="161"/>
        <v>0</v>
      </c>
      <c r="AO220" s="47">
        <f t="shared" si="161"/>
        <v>0</v>
      </c>
      <c r="AP220" s="47">
        <f t="shared" si="161"/>
        <v>0</v>
      </c>
      <c r="AQ220" s="47">
        <f t="shared" si="161"/>
        <v>0</v>
      </c>
      <c r="AR220" s="47">
        <f t="shared" si="161"/>
        <v>0</v>
      </c>
      <c r="AS220" s="47">
        <f t="shared" si="161"/>
        <v>0</v>
      </c>
      <c r="AT220" s="47">
        <f t="shared" si="161"/>
        <v>0</v>
      </c>
      <c r="AU220" s="47">
        <f t="shared" si="161"/>
        <v>0</v>
      </c>
      <c r="AV220" s="47">
        <f t="shared" si="161"/>
        <v>0</v>
      </c>
      <c r="AW220" s="47">
        <f t="shared" si="161"/>
        <v>0</v>
      </c>
      <c r="AX220" s="47">
        <f t="shared" si="161"/>
        <v>0</v>
      </c>
      <c r="AY220" s="47">
        <f t="shared" si="161"/>
        <v>0</v>
      </c>
      <c r="AZ220" s="47">
        <f t="shared" si="161"/>
        <v>0</v>
      </c>
      <c r="BA220" s="47">
        <f t="shared" si="161"/>
        <v>0</v>
      </c>
    </row>
    <row r="221" spans="2:53" x14ac:dyDescent="0.2">
      <c r="B221" s="94" t="s">
        <v>101</v>
      </c>
      <c r="C221" s="73" t="s">
        <v>75</v>
      </c>
      <c r="D221" s="95">
        <f>IF($B219=D$2,D$4,0)</f>
        <v>0</v>
      </c>
      <c r="E221" s="95">
        <f t="shared" ref="E221:BA221" si="162">IF($B219=E$2,E$4,0)</f>
        <v>0</v>
      </c>
      <c r="F221" s="95">
        <f t="shared" si="162"/>
        <v>0</v>
      </c>
      <c r="G221" s="95">
        <f t="shared" si="162"/>
        <v>0</v>
      </c>
      <c r="H221" s="95">
        <f t="shared" si="162"/>
        <v>0</v>
      </c>
      <c r="I221" s="95">
        <f t="shared" si="162"/>
        <v>0</v>
      </c>
      <c r="J221" s="95">
        <f t="shared" si="162"/>
        <v>0</v>
      </c>
      <c r="K221" s="95">
        <f t="shared" si="162"/>
        <v>0</v>
      </c>
      <c r="L221" s="95">
        <f t="shared" si="162"/>
        <v>0</v>
      </c>
      <c r="M221" s="95">
        <f t="shared" si="162"/>
        <v>0</v>
      </c>
      <c r="N221" s="95">
        <f t="shared" si="162"/>
        <v>0</v>
      </c>
      <c r="O221" s="95">
        <f t="shared" si="162"/>
        <v>0</v>
      </c>
      <c r="P221" s="95">
        <f t="shared" si="162"/>
        <v>0</v>
      </c>
      <c r="Q221" s="95">
        <f t="shared" si="162"/>
        <v>0</v>
      </c>
      <c r="R221" s="95">
        <f t="shared" si="162"/>
        <v>0</v>
      </c>
      <c r="S221" s="95">
        <f t="shared" si="162"/>
        <v>0</v>
      </c>
      <c r="T221" s="95">
        <f t="shared" si="162"/>
        <v>0</v>
      </c>
      <c r="U221" s="95">
        <f t="shared" si="162"/>
        <v>0</v>
      </c>
      <c r="V221" s="95">
        <f t="shared" si="162"/>
        <v>0</v>
      </c>
      <c r="W221" s="95">
        <f t="shared" si="162"/>
        <v>0</v>
      </c>
      <c r="X221" s="95">
        <f t="shared" si="162"/>
        <v>0</v>
      </c>
      <c r="Y221" s="95">
        <f t="shared" si="162"/>
        <v>0</v>
      </c>
      <c r="Z221" s="95">
        <f t="shared" si="162"/>
        <v>0</v>
      </c>
      <c r="AA221" s="95">
        <f t="shared" si="162"/>
        <v>0</v>
      </c>
      <c r="AB221" s="95">
        <f t="shared" si="162"/>
        <v>0</v>
      </c>
      <c r="AC221" s="95">
        <f t="shared" si="162"/>
        <v>0</v>
      </c>
      <c r="AD221" s="95">
        <f t="shared" si="162"/>
        <v>0</v>
      </c>
      <c r="AE221" s="95">
        <f t="shared" si="162"/>
        <v>0</v>
      </c>
      <c r="AF221" s="95">
        <f t="shared" si="162"/>
        <v>0</v>
      </c>
      <c r="AG221" s="95">
        <f t="shared" si="162"/>
        <v>0</v>
      </c>
      <c r="AH221" s="95">
        <f t="shared" si="162"/>
        <v>0</v>
      </c>
      <c r="AI221" s="95">
        <f t="shared" si="162"/>
        <v>0</v>
      </c>
      <c r="AJ221" s="95">
        <f t="shared" si="162"/>
        <v>0</v>
      </c>
      <c r="AK221" s="95">
        <f t="shared" si="162"/>
        <v>0</v>
      </c>
      <c r="AL221" s="95">
        <f t="shared" si="162"/>
        <v>0</v>
      </c>
      <c r="AM221" s="95">
        <f t="shared" si="162"/>
        <v>0</v>
      </c>
      <c r="AN221" s="95">
        <f t="shared" si="162"/>
        <v>0</v>
      </c>
      <c r="AO221" s="95">
        <f t="shared" si="162"/>
        <v>0</v>
      </c>
      <c r="AP221" s="95">
        <f t="shared" si="162"/>
        <v>0</v>
      </c>
      <c r="AQ221" s="95">
        <f t="shared" si="162"/>
        <v>0</v>
      </c>
      <c r="AR221" s="95">
        <f t="shared" si="162"/>
        <v>0</v>
      </c>
      <c r="AS221" s="95">
        <f t="shared" si="162"/>
        <v>0</v>
      </c>
      <c r="AT221" s="95">
        <f t="shared" si="162"/>
        <v>0</v>
      </c>
      <c r="AU221" s="95">
        <f t="shared" si="162"/>
        <v>0</v>
      </c>
      <c r="AV221" s="95">
        <f t="shared" si="162"/>
        <v>0</v>
      </c>
      <c r="AW221" s="95">
        <f t="shared" si="162"/>
        <v>0</v>
      </c>
      <c r="AX221" s="95">
        <f t="shared" si="162"/>
        <v>0</v>
      </c>
      <c r="AY221" s="95">
        <f t="shared" si="162"/>
        <v>0</v>
      </c>
      <c r="AZ221" s="95">
        <f t="shared" si="162"/>
        <v>0</v>
      </c>
      <c r="BA221" s="95">
        <f t="shared" si="162"/>
        <v>0</v>
      </c>
    </row>
    <row r="222" spans="2:53" x14ac:dyDescent="0.2">
      <c r="B222" s="76" t="s">
        <v>102</v>
      </c>
      <c r="C222" s="73" t="s">
        <v>75</v>
      </c>
      <c r="D222" s="47"/>
      <c r="E222" s="47">
        <f>IF(OR(D223&lt;=$B$15*$AK$221,F$1-$AL$1&gt;$B$13),0,-IF($B$12="straight line",SLN($AK$221,+$B$15*$AK$221,$B$13),VDB($AK$221,$B$15*$AK$221,$B$13,E$1-$AL$1,F$1-$AL$1,$B$14)))</f>
        <v>0</v>
      </c>
      <c r="F222" s="47">
        <f t="shared" ref="F222:BA222" si="163">IF(OR(E223&lt;=$B$15*$AK$221,G$1-$AL$1&gt;$B$13),0,-IF($B$12="straight line",SLN($AK$221,+$B$15*$AK$221,$B$13),VDB($AK$221,$B$15*$AK$221,$B$13,F$1-$AL$1,G$1-$AL$1,$B$14)))</f>
        <v>0</v>
      </c>
      <c r="G222" s="47">
        <f t="shared" si="163"/>
        <v>0</v>
      </c>
      <c r="H222" s="47">
        <f t="shared" si="163"/>
        <v>0</v>
      </c>
      <c r="I222" s="47">
        <f t="shared" si="163"/>
        <v>0</v>
      </c>
      <c r="J222" s="47">
        <f t="shared" si="163"/>
        <v>0</v>
      </c>
      <c r="K222" s="47">
        <f t="shared" si="163"/>
        <v>0</v>
      </c>
      <c r="L222" s="47">
        <f t="shared" si="163"/>
        <v>0</v>
      </c>
      <c r="M222" s="47">
        <f t="shared" si="163"/>
        <v>0</v>
      </c>
      <c r="N222" s="47">
        <f t="shared" si="163"/>
        <v>0</v>
      </c>
      <c r="O222" s="47">
        <f t="shared" si="163"/>
        <v>0</v>
      </c>
      <c r="P222" s="47">
        <f t="shared" si="163"/>
        <v>0</v>
      </c>
      <c r="Q222" s="47">
        <f t="shared" si="163"/>
        <v>0</v>
      </c>
      <c r="R222" s="47">
        <f t="shared" si="163"/>
        <v>0</v>
      </c>
      <c r="S222" s="47">
        <f t="shared" si="163"/>
        <v>0</v>
      </c>
      <c r="T222" s="47">
        <f t="shared" si="163"/>
        <v>0</v>
      </c>
      <c r="U222" s="47">
        <f t="shared" si="163"/>
        <v>0</v>
      </c>
      <c r="V222" s="47">
        <f t="shared" si="163"/>
        <v>0</v>
      </c>
      <c r="W222" s="47">
        <f t="shared" si="163"/>
        <v>0</v>
      </c>
      <c r="X222" s="47">
        <f t="shared" si="163"/>
        <v>0</v>
      </c>
      <c r="Y222" s="47">
        <f t="shared" si="163"/>
        <v>0</v>
      </c>
      <c r="Z222" s="47">
        <f t="shared" si="163"/>
        <v>0</v>
      </c>
      <c r="AA222" s="47">
        <f t="shared" si="163"/>
        <v>0</v>
      </c>
      <c r="AB222" s="47">
        <f t="shared" si="163"/>
        <v>0</v>
      </c>
      <c r="AC222" s="47">
        <f t="shared" si="163"/>
        <v>0</v>
      </c>
      <c r="AD222" s="47">
        <f t="shared" si="163"/>
        <v>0</v>
      </c>
      <c r="AE222" s="47">
        <f t="shared" si="163"/>
        <v>0</v>
      </c>
      <c r="AF222" s="47">
        <f t="shared" si="163"/>
        <v>0</v>
      </c>
      <c r="AG222" s="47">
        <f t="shared" si="163"/>
        <v>0</v>
      </c>
      <c r="AH222" s="47">
        <f t="shared" si="163"/>
        <v>0</v>
      </c>
      <c r="AI222" s="47">
        <f t="shared" si="163"/>
        <v>0</v>
      </c>
      <c r="AJ222" s="47">
        <f t="shared" si="163"/>
        <v>0</v>
      </c>
      <c r="AK222" s="47">
        <f t="shared" si="163"/>
        <v>0</v>
      </c>
      <c r="AL222" s="47">
        <f t="shared" si="163"/>
        <v>0</v>
      </c>
      <c r="AM222" s="47">
        <f t="shared" si="163"/>
        <v>0</v>
      </c>
      <c r="AN222" s="47">
        <f t="shared" si="163"/>
        <v>0</v>
      </c>
      <c r="AO222" s="47">
        <f t="shared" si="163"/>
        <v>0</v>
      </c>
      <c r="AP222" s="47">
        <f t="shared" si="163"/>
        <v>0</v>
      </c>
      <c r="AQ222" s="47">
        <f t="shared" si="163"/>
        <v>0</v>
      </c>
      <c r="AR222" s="47">
        <f t="shared" si="163"/>
        <v>0</v>
      </c>
      <c r="AS222" s="47">
        <f t="shared" si="163"/>
        <v>0</v>
      </c>
      <c r="AT222" s="47">
        <f t="shared" si="163"/>
        <v>0</v>
      </c>
      <c r="AU222" s="47">
        <f t="shared" si="163"/>
        <v>0</v>
      </c>
      <c r="AV222" s="47">
        <f t="shared" si="163"/>
        <v>0</v>
      </c>
      <c r="AW222" s="47">
        <f t="shared" si="163"/>
        <v>0</v>
      </c>
      <c r="AX222" s="47">
        <f t="shared" si="163"/>
        <v>0</v>
      </c>
      <c r="AY222" s="47">
        <f t="shared" si="163"/>
        <v>0</v>
      </c>
      <c r="AZ222" s="47">
        <f t="shared" si="163"/>
        <v>0</v>
      </c>
      <c r="BA222" s="47">
        <f t="shared" si="163"/>
        <v>0</v>
      </c>
    </row>
    <row r="223" spans="2:53" x14ac:dyDescent="0.2">
      <c r="B223" s="76" t="s">
        <v>103</v>
      </c>
      <c r="C223" s="73" t="s">
        <v>75</v>
      </c>
      <c r="D223" s="95">
        <f>SUM(D220:D222)</f>
        <v>0</v>
      </c>
      <c r="E223" s="95">
        <f t="shared" ref="E223:BA223" si="164">SUM(E220:E222)</f>
        <v>0</v>
      </c>
      <c r="F223" s="95">
        <f t="shared" si="164"/>
        <v>0</v>
      </c>
      <c r="G223" s="95">
        <f t="shared" si="164"/>
        <v>0</v>
      </c>
      <c r="H223" s="95">
        <f t="shared" si="164"/>
        <v>0</v>
      </c>
      <c r="I223" s="95">
        <f t="shared" si="164"/>
        <v>0</v>
      </c>
      <c r="J223" s="95">
        <f t="shared" si="164"/>
        <v>0</v>
      </c>
      <c r="K223" s="95">
        <f t="shared" si="164"/>
        <v>0</v>
      </c>
      <c r="L223" s="95">
        <f t="shared" si="164"/>
        <v>0</v>
      </c>
      <c r="M223" s="95">
        <f t="shared" si="164"/>
        <v>0</v>
      </c>
      <c r="N223" s="95">
        <f t="shared" si="164"/>
        <v>0</v>
      </c>
      <c r="O223" s="95">
        <f t="shared" si="164"/>
        <v>0</v>
      </c>
      <c r="P223" s="95">
        <f t="shared" si="164"/>
        <v>0</v>
      </c>
      <c r="Q223" s="95">
        <f t="shared" si="164"/>
        <v>0</v>
      </c>
      <c r="R223" s="95">
        <f t="shared" si="164"/>
        <v>0</v>
      </c>
      <c r="S223" s="95">
        <f t="shared" si="164"/>
        <v>0</v>
      </c>
      <c r="T223" s="95">
        <f t="shared" si="164"/>
        <v>0</v>
      </c>
      <c r="U223" s="95">
        <f t="shared" si="164"/>
        <v>0</v>
      </c>
      <c r="V223" s="95">
        <f t="shared" si="164"/>
        <v>0</v>
      </c>
      <c r="W223" s="95">
        <f t="shared" si="164"/>
        <v>0</v>
      </c>
      <c r="X223" s="95">
        <f t="shared" si="164"/>
        <v>0</v>
      </c>
      <c r="Y223" s="95">
        <f t="shared" si="164"/>
        <v>0</v>
      </c>
      <c r="Z223" s="95">
        <f t="shared" si="164"/>
        <v>0</v>
      </c>
      <c r="AA223" s="95">
        <f t="shared" si="164"/>
        <v>0</v>
      </c>
      <c r="AB223" s="95">
        <f t="shared" si="164"/>
        <v>0</v>
      </c>
      <c r="AC223" s="95">
        <f t="shared" si="164"/>
        <v>0</v>
      </c>
      <c r="AD223" s="95">
        <f t="shared" si="164"/>
        <v>0</v>
      </c>
      <c r="AE223" s="95">
        <f t="shared" si="164"/>
        <v>0</v>
      </c>
      <c r="AF223" s="95">
        <f t="shared" si="164"/>
        <v>0</v>
      </c>
      <c r="AG223" s="95">
        <f t="shared" si="164"/>
        <v>0</v>
      </c>
      <c r="AH223" s="95">
        <f t="shared" si="164"/>
        <v>0</v>
      </c>
      <c r="AI223" s="95">
        <f t="shared" si="164"/>
        <v>0</v>
      </c>
      <c r="AJ223" s="95">
        <f t="shared" si="164"/>
        <v>0</v>
      </c>
      <c r="AK223" s="95">
        <f t="shared" si="164"/>
        <v>0</v>
      </c>
      <c r="AL223" s="95">
        <f t="shared" si="164"/>
        <v>0</v>
      </c>
      <c r="AM223" s="95">
        <f t="shared" si="164"/>
        <v>0</v>
      </c>
      <c r="AN223" s="95">
        <f t="shared" si="164"/>
        <v>0</v>
      </c>
      <c r="AO223" s="95">
        <f t="shared" si="164"/>
        <v>0</v>
      </c>
      <c r="AP223" s="95">
        <f t="shared" si="164"/>
        <v>0</v>
      </c>
      <c r="AQ223" s="95">
        <f t="shared" si="164"/>
        <v>0</v>
      </c>
      <c r="AR223" s="95">
        <f t="shared" si="164"/>
        <v>0</v>
      </c>
      <c r="AS223" s="95">
        <f t="shared" si="164"/>
        <v>0</v>
      </c>
      <c r="AT223" s="95">
        <f t="shared" si="164"/>
        <v>0</v>
      </c>
      <c r="AU223" s="95">
        <f t="shared" si="164"/>
        <v>0</v>
      </c>
      <c r="AV223" s="95">
        <f t="shared" si="164"/>
        <v>0</v>
      </c>
      <c r="AW223" s="95">
        <f t="shared" si="164"/>
        <v>0</v>
      </c>
      <c r="AX223" s="95">
        <f t="shared" si="164"/>
        <v>0</v>
      </c>
      <c r="AY223" s="95">
        <f t="shared" si="164"/>
        <v>0</v>
      </c>
      <c r="AZ223" s="95">
        <f t="shared" si="164"/>
        <v>0</v>
      </c>
      <c r="BA223" s="95">
        <f t="shared" si="164"/>
        <v>0</v>
      </c>
    </row>
    <row r="225" spans="2:53" x14ac:dyDescent="0.2">
      <c r="B225" s="215">
        <f>B219+1</f>
        <v>35</v>
      </c>
    </row>
    <row r="226" spans="2:53" x14ac:dyDescent="0.2">
      <c r="B226" s="94" t="s">
        <v>100</v>
      </c>
      <c r="C226" s="73" t="s">
        <v>75</v>
      </c>
      <c r="D226" s="95">
        <f>0</f>
        <v>0</v>
      </c>
      <c r="E226" s="47">
        <f t="shared" ref="E226:BA226" si="165">D229</f>
        <v>0</v>
      </c>
      <c r="F226" s="47">
        <f t="shared" si="165"/>
        <v>0</v>
      </c>
      <c r="G226" s="47">
        <f t="shared" si="165"/>
        <v>0</v>
      </c>
      <c r="H226" s="47">
        <f t="shared" si="165"/>
        <v>0</v>
      </c>
      <c r="I226" s="47">
        <f t="shared" si="165"/>
        <v>0</v>
      </c>
      <c r="J226" s="47">
        <f t="shared" si="165"/>
        <v>0</v>
      </c>
      <c r="K226" s="47">
        <f t="shared" si="165"/>
        <v>0</v>
      </c>
      <c r="L226" s="47">
        <f t="shared" si="165"/>
        <v>0</v>
      </c>
      <c r="M226" s="47">
        <f t="shared" si="165"/>
        <v>0</v>
      </c>
      <c r="N226" s="47">
        <f t="shared" si="165"/>
        <v>0</v>
      </c>
      <c r="O226" s="47">
        <f t="shared" si="165"/>
        <v>0</v>
      </c>
      <c r="P226" s="47">
        <f t="shared" si="165"/>
        <v>0</v>
      </c>
      <c r="Q226" s="47">
        <f t="shared" si="165"/>
        <v>0</v>
      </c>
      <c r="R226" s="47">
        <f t="shared" si="165"/>
        <v>0</v>
      </c>
      <c r="S226" s="47">
        <f t="shared" si="165"/>
        <v>0</v>
      </c>
      <c r="T226" s="47">
        <f t="shared" si="165"/>
        <v>0</v>
      </c>
      <c r="U226" s="47">
        <f t="shared" si="165"/>
        <v>0</v>
      </c>
      <c r="V226" s="47">
        <f t="shared" si="165"/>
        <v>0</v>
      </c>
      <c r="W226" s="47">
        <f t="shared" si="165"/>
        <v>0</v>
      </c>
      <c r="X226" s="47">
        <f t="shared" si="165"/>
        <v>0</v>
      </c>
      <c r="Y226" s="47">
        <f t="shared" si="165"/>
        <v>0</v>
      </c>
      <c r="Z226" s="47">
        <f t="shared" si="165"/>
        <v>0</v>
      </c>
      <c r="AA226" s="47">
        <f t="shared" si="165"/>
        <v>0</v>
      </c>
      <c r="AB226" s="47">
        <f t="shared" si="165"/>
        <v>0</v>
      </c>
      <c r="AC226" s="47">
        <f t="shared" si="165"/>
        <v>0</v>
      </c>
      <c r="AD226" s="47">
        <f t="shared" si="165"/>
        <v>0</v>
      </c>
      <c r="AE226" s="47">
        <f t="shared" si="165"/>
        <v>0</v>
      </c>
      <c r="AF226" s="47">
        <f t="shared" si="165"/>
        <v>0</v>
      </c>
      <c r="AG226" s="47">
        <f t="shared" si="165"/>
        <v>0</v>
      </c>
      <c r="AH226" s="47">
        <f t="shared" si="165"/>
        <v>0</v>
      </c>
      <c r="AI226" s="47">
        <f t="shared" si="165"/>
        <v>0</v>
      </c>
      <c r="AJ226" s="47">
        <f t="shared" si="165"/>
        <v>0</v>
      </c>
      <c r="AK226" s="47">
        <f t="shared" si="165"/>
        <v>0</v>
      </c>
      <c r="AL226" s="47">
        <f t="shared" si="165"/>
        <v>0</v>
      </c>
      <c r="AM226" s="47">
        <f t="shared" si="165"/>
        <v>0</v>
      </c>
      <c r="AN226" s="47">
        <f t="shared" si="165"/>
        <v>0</v>
      </c>
      <c r="AO226" s="47">
        <f t="shared" si="165"/>
        <v>0</v>
      </c>
      <c r="AP226" s="47">
        <f t="shared" si="165"/>
        <v>0</v>
      </c>
      <c r="AQ226" s="47">
        <f t="shared" si="165"/>
        <v>0</v>
      </c>
      <c r="AR226" s="47">
        <f t="shared" si="165"/>
        <v>0</v>
      </c>
      <c r="AS226" s="47">
        <f t="shared" si="165"/>
        <v>0</v>
      </c>
      <c r="AT226" s="47">
        <f t="shared" si="165"/>
        <v>0</v>
      </c>
      <c r="AU226" s="47">
        <f t="shared" si="165"/>
        <v>0</v>
      </c>
      <c r="AV226" s="47">
        <f t="shared" si="165"/>
        <v>0</v>
      </c>
      <c r="AW226" s="47">
        <f t="shared" si="165"/>
        <v>0</v>
      </c>
      <c r="AX226" s="47">
        <f t="shared" si="165"/>
        <v>0</v>
      </c>
      <c r="AY226" s="47">
        <f t="shared" si="165"/>
        <v>0</v>
      </c>
      <c r="AZ226" s="47">
        <f t="shared" si="165"/>
        <v>0</v>
      </c>
      <c r="BA226" s="47">
        <f t="shared" si="165"/>
        <v>0</v>
      </c>
    </row>
    <row r="227" spans="2:53" x14ac:dyDescent="0.2">
      <c r="B227" s="94" t="s">
        <v>101</v>
      </c>
      <c r="C227" s="73" t="s">
        <v>75</v>
      </c>
      <c r="D227" s="95">
        <f>IF($B225=D$2,D$4,0)</f>
        <v>0</v>
      </c>
      <c r="E227" s="95">
        <f t="shared" ref="E227:BA227" si="166">IF($B225=E$2,E$4,0)</f>
        <v>0</v>
      </c>
      <c r="F227" s="95">
        <f t="shared" si="166"/>
        <v>0</v>
      </c>
      <c r="G227" s="95">
        <f t="shared" si="166"/>
        <v>0</v>
      </c>
      <c r="H227" s="95">
        <f t="shared" si="166"/>
        <v>0</v>
      </c>
      <c r="I227" s="95">
        <f t="shared" si="166"/>
        <v>0</v>
      </c>
      <c r="J227" s="95">
        <f t="shared" si="166"/>
        <v>0</v>
      </c>
      <c r="K227" s="95">
        <f t="shared" si="166"/>
        <v>0</v>
      </c>
      <c r="L227" s="95">
        <f t="shared" si="166"/>
        <v>0</v>
      </c>
      <c r="M227" s="95">
        <f t="shared" si="166"/>
        <v>0</v>
      </c>
      <c r="N227" s="95">
        <f t="shared" si="166"/>
        <v>0</v>
      </c>
      <c r="O227" s="95">
        <f t="shared" si="166"/>
        <v>0</v>
      </c>
      <c r="P227" s="95">
        <f t="shared" si="166"/>
        <v>0</v>
      </c>
      <c r="Q227" s="95">
        <f t="shared" si="166"/>
        <v>0</v>
      </c>
      <c r="R227" s="95">
        <f t="shared" si="166"/>
        <v>0</v>
      </c>
      <c r="S227" s="95">
        <f t="shared" si="166"/>
        <v>0</v>
      </c>
      <c r="T227" s="95">
        <f t="shared" si="166"/>
        <v>0</v>
      </c>
      <c r="U227" s="95">
        <f t="shared" si="166"/>
        <v>0</v>
      </c>
      <c r="V227" s="95">
        <f t="shared" si="166"/>
        <v>0</v>
      </c>
      <c r="W227" s="95">
        <f t="shared" si="166"/>
        <v>0</v>
      </c>
      <c r="X227" s="95">
        <f t="shared" si="166"/>
        <v>0</v>
      </c>
      <c r="Y227" s="95">
        <f t="shared" si="166"/>
        <v>0</v>
      </c>
      <c r="Z227" s="95">
        <f t="shared" si="166"/>
        <v>0</v>
      </c>
      <c r="AA227" s="95">
        <f t="shared" si="166"/>
        <v>0</v>
      </c>
      <c r="AB227" s="95">
        <f t="shared" si="166"/>
        <v>0</v>
      </c>
      <c r="AC227" s="95">
        <f t="shared" si="166"/>
        <v>0</v>
      </c>
      <c r="AD227" s="95">
        <f t="shared" si="166"/>
        <v>0</v>
      </c>
      <c r="AE227" s="95">
        <f t="shared" si="166"/>
        <v>0</v>
      </c>
      <c r="AF227" s="95">
        <f t="shared" si="166"/>
        <v>0</v>
      </c>
      <c r="AG227" s="95">
        <f t="shared" si="166"/>
        <v>0</v>
      </c>
      <c r="AH227" s="95">
        <f t="shared" si="166"/>
        <v>0</v>
      </c>
      <c r="AI227" s="95">
        <f t="shared" si="166"/>
        <v>0</v>
      </c>
      <c r="AJ227" s="95">
        <f t="shared" si="166"/>
        <v>0</v>
      </c>
      <c r="AK227" s="95">
        <f t="shared" si="166"/>
        <v>0</v>
      </c>
      <c r="AL227" s="95">
        <f t="shared" si="166"/>
        <v>0</v>
      </c>
      <c r="AM227" s="95">
        <f t="shared" si="166"/>
        <v>0</v>
      </c>
      <c r="AN227" s="95">
        <f t="shared" si="166"/>
        <v>0</v>
      </c>
      <c r="AO227" s="95">
        <f t="shared" si="166"/>
        <v>0</v>
      </c>
      <c r="AP227" s="95">
        <f t="shared" si="166"/>
        <v>0</v>
      </c>
      <c r="AQ227" s="95">
        <f t="shared" si="166"/>
        <v>0</v>
      </c>
      <c r="AR227" s="95">
        <f t="shared" si="166"/>
        <v>0</v>
      </c>
      <c r="AS227" s="95">
        <f t="shared" si="166"/>
        <v>0</v>
      </c>
      <c r="AT227" s="95">
        <f t="shared" si="166"/>
        <v>0</v>
      </c>
      <c r="AU227" s="95">
        <f t="shared" si="166"/>
        <v>0</v>
      </c>
      <c r="AV227" s="95">
        <f t="shared" si="166"/>
        <v>0</v>
      </c>
      <c r="AW227" s="95">
        <f t="shared" si="166"/>
        <v>0</v>
      </c>
      <c r="AX227" s="95">
        <f t="shared" si="166"/>
        <v>0</v>
      </c>
      <c r="AY227" s="95">
        <f t="shared" si="166"/>
        <v>0</v>
      </c>
      <c r="AZ227" s="95">
        <f t="shared" si="166"/>
        <v>0</v>
      </c>
      <c r="BA227" s="95">
        <f t="shared" si="166"/>
        <v>0</v>
      </c>
    </row>
    <row r="228" spans="2:53" x14ac:dyDescent="0.2">
      <c r="B228" s="76" t="s">
        <v>102</v>
      </c>
      <c r="C228" s="73" t="s">
        <v>75</v>
      </c>
      <c r="D228" s="47"/>
      <c r="E228" s="47">
        <f>IF(OR(D229&lt;=$B$15*$AL$227,F$1-$AM$1&gt;$B$13),0,-IF($B$12="straight line",SLN($AL$227,+$B$15*$AL$227,$B$13),VDB($AL$227,$B$15*$AL$227,$B$13,E$1-$AM$1,F$1-$AM$1,$B$14)))</f>
        <v>0</v>
      </c>
      <c r="F228" s="47">
        <f t="shared" ref="F228:BA228" si="167">IF(OR(E229&lt;=$B$15*$AL$227,G$1-$AM$1&gt;$B$13),0,-IF($B$12="straight line",SLN($AL$227,+$B$15*$AL$227,$B$13),VDB($AL$227,$B$15*$AL$227,$B$13,F$1-$AM$1,G$1-$AM$1,$B$14)))</f>
        <v>0</v>
      </c>
      <c r="G228" s="47">
        <f t="shared" si="167"/>
        <v>0</v>
      </c>
      <c r="H228" s="47">
        <f t="shared" si="167"/>
        <v>0</v>
      </c>
      <c r="I228" s="47">
        <f t="shared" si="167"/>
        <v>0</v>
      </c>
      <c r="J228" s="47">
        <f t="shared" si="167"/>
        <v>0</v>
      </c>
      <c r="K228" s="47">
        <f t="shared" si="167"/>
        <v>0</v>
      </c>
      <c r="L228" s="47">
        <f t="shared" si="167"/>
        <v>0</v>
      </c>
      <c r="M228" s="47">
        <f t="shared" si="167"/>
        <v>0</v>
      </c>
      <c r="N228" s="47">
        <f t="shared" si="167"/>
        <v>0</v>
      </c>
      <c r="O228" s="47">
        <f t="shared" si="167"/>
        <v>0</v>
      </c>
      <c r="P228" s="47">
        <f t="shared" si="167"/>
        <v>0</v>
      </c>
      <c r="Q228" s="47">
        <f t="shared" si="167"/>
        <v>0</v>
      </c>
      <c r="R228" s="47">
        <f t="shared" si="167"/>
        <v>0</v>
      </c>
      <c r="S228" s="47">
        <f t="shared" si="167"/>
        <v>0</v>
      </c>
      <c r="T228" s="47">
        <f t="shared" si="167"/>
        <v>0</v>
      </c>
      <c r="U228" s="47">
        <f t="shared" si="167"/>
        <v>0</v>
      </c>
      <c r="V228" s="47">
        <f t="shared" si="167"/>
        <v>0</v>
      </c>
      <c r="W228" s="47">
        <f t="shared" si="167"/>
        <v>0</v>
      </c>
      <c r="X228" s="47">
        <f t="shared" si="167"/>
        <v>0</v>
      </c>
      <c r="Y228" s="47">
        <f t="shared" si="167"/>
        <v>0</v>
      </c>
      <c r="Z228" s="47">
        <f t="shared" si="167"/>
        <v>0</v>
      </c>
      <c r="AA228" s="47">
        <f t="shared" si="167"/>
        <v>0</v>
      </c>
      <c r="AB228" s="47">
        <f t="shared" si="167"/>
        <v>0</v>
      </c>
      <c r="AC228" s="47">
        <f t="shared" si="167"/>
        <v>0</v>
      </c>
      <c r="AD228" s="47">
        <f t="shared" si="167"/>
        <v>0</v>
      </c>
      <c r="AE228" s="47">
        <f t="shared" si="167"/>
        <v>0</v>
      </c>
      <c r="AF228" s="47">
        <f t="shared" si="167"/>
        <v>0</v>
      </c>
      <c r="AG228" s="47">
        <f t="shared" si="167"/>
        <v>0</v>
      </c>
      <c r="AH228" s="47">
        <f t="shared" si="167"/>
        <v>0</v>
      </c>
      <c r="AI228" s="47">
        <f t="shared" si="167"/>
        <v>0</v>
      </c>
      <c r="AJ228" s="47">
        <f t="shared" si="167"/>
        <v>0</v>
      </c>
      <c r="AK228" s="47">
        <f t="shared" si="167"/>
        <v>0</v>
      </c>
      <c r="AL228" s="47">
        <f t="shared" si="167"/>
        <v>0</v>
      </c>
      <c r="AM228" s="47">
        <f t="shared" si="167"/>
        <v>0</v>
      </c>
      <c r="AN228" s="47">
        <f t="shared" si="167"/>
        <v>0</v>
      </c>
      <c r="AO228" s="47">
        <f t="shared" si="167"/>
        <v>0</v>
      </c>
      <c r="AP228" s="47">
        <f t="shared" si="167"/>
        <v>0</v>
      </c>
      <c r="AQ228" s="47">
        <f t="shared" si="167"/>
        <v>0</v>
      </c>
      <c r="AR228" s="47">
        <f t="shared" si="167"/>
        <v>0</v>
      </c>
      <c r="AS228" s="47">
        <f t="shared" si="167"/>
        <v>0</v>
      </c>
      <c r="AT228" s="47">
        <f t="shared" si="167"/>
        <v>0</v>
      </c>
      <c r="AU228" s="47">
        <f t="shared" si="167"/>
        <v>0</v>
      </c>
      <c r="AV228" s="47">
        <f t="shared" si="167"/>
        <v>0</v>
      </c>
      <c r="AW228" s="47">
        <f t="shared" si="167"/>
        <v>0</v>
      </c>
      <c r="AX228" s="47">
        <f t="shared" si="167"/>
        <v>0</v>
      </c>
      <c r="AY228" s="47">
        <f t="shared" si="167"/>
        <v>0</v>
      </c>
      <c r="AZ228" s="47">
        <f t="shared" si="167"/>
        <v>0</v>
      </c>
      <c r="BA228" s="47">
        <f t="shared" si="167"/>
        <v>0</v>
      </c>
    </row>
    <row r="229" spans="2:53" x14ac:dyDescent="0.2">
      <c r="B229" s="76" t="s">
        <v>103</v>
      </c>
      <c r="C229" s="73" t="s">
        <v>75</v>
      </c>
      <c r="D229" s="95">
        <f>SUM(D226:D228)</f>
        <v>0</v>
      </c>
      <c r="E229" s="95">
        <f t="shared" ref="E229:BA229" si="168">SUM(E226:E228)</f>
        <v>0</v>
      </c>
      <c r="F229" s="95">
        <f t="shared" si="168"/>
        <v>0</v>
      </c>
      <c r="G229" s="95">
        <f t="shared" si="168"/>
        <v>0</v>
      </c>
      <c r="H229" s="95">
        <f t="shared" si="168"/>
        <v>0</v>
      </c>
      <c r="I229" s="95">
        <f t="shared" si="168"/>
        <v>0</v>
      </c>
      <c r="J229" s="95">
        <f t="shared" si="168"/>
        <v>0</v>
      </c>
      <c r="K229" s="95">
        <f t="shared" si="168"/>
        <v>0</v>
      </c>
      <c r="L229" s="95">
        <f t="shared" si="168"/>
        <v>0</v>
      </c>
      <c r="M229" s="95">
        <f t="shared" si="168"/>
        <v>0</v>
      </c>
      <c r="N229" s="95">
        <f t="shared" si="168"/>
        <v>0</v>
      </c>
      <c r="O229" s="95">
        <f t="shared" si="168"/>
        <v>0</v>
      </c>
      <c r="P229" s="95">
        <f t="shared" si="168"/>
        <v>0</v>
      </c>
      <c r="Q229" s="95">
        <f t="shared" si="168"/>
        <v>0</v>
      </c>
      <c r="R229" s="95">
        <f t="shared" si="168"/>
        <v>0</v>
      </c>
      <c r="S229" s="95">
        <f t="shared" si="168"/>
        <v>0</v>
      </c>
      <c r="T229" s="95">
        <f t="shared" si="168"/>
        <v>0</v>
      </c>
      <c r="U229" s="95">
        <f t="shared" si="168"/>
        <v>0</v>
      </c>
      <c r="V229" s="95">
        <f t="shared" si="168"/>
        <v>0</v>
      </c>
      <c r="W229" s="95">
        <f t="shared" si="168"/>
        <v>0</v>
      </c>
      <c r="X229" s="95">
        <f t="shared" si="168"/>
        <v>0</v>
      </c>
      <c r="Y229" s="95">
        <f t="shared" si="168"/>
        <v>0</v>
      </c>
      <c r="Z229" s="95">
        <f t="shared" si="168"/>
        <v>0</v>
      </c>
      <c r="AA229" s="95">
        <f t="shared" si="168"/>
        <v>0</v>
      </c>
      <c r="AB229" s="95">
        <f t="shared" si="168"/>
        <v>0</v>
      </c>
      <c r="AC229" s="95">
        <f t="shared" si="168"/>
        <v>0</v>
      </c>
      <c r="AD229" s="95">
        <f t="shared" si="168"/>
        <v>0</v>
      </c>
      <c r="AE229" s="95">
        <f t="shared" si="168"/>
        <v>0</v>
      </c>
      <c r="AF229" s="95">
        <f t="shared" si="168"/>
        <v>0</v>
      </c>
      <c r="AG229" s="95">
        <f t="shared" si="168"/>
        <v>0</v>
      </c>
      <c r="AH229" s="95">
        <f t="shared" si="168"/>
        <v>0</v>
      </c>
      <c r="AI229" s="95">
        <f t="shared" si="168"/>
        <v>0</v>
      </c>
      <c r="AJ229" s="95">
        <f t="shared" si="168"/>
        <v>0</v>
      </c>
      <c r="AK229" s="95">
        <f t="shared" si="168"/>
        <v>0</v>
      </c>
      <c r="AL229" s="95">
        <f t="shared" si="168"/>
        <v>0</v>
      </c>
      <c r="AM229" s="95">
        <f t="shared" si="168"/>
        <v>0</v>
      </c>
      <c r="AN229" s="95">
        <f t="shared" si="168"/>
        <v>0</v>
      </c>
      <c r="AO229" s="95">
        <f t="shared" si="168"/>
        <v>0</v>
      </c>
      <c r="AP229" s="95">
        <f t="shared" si="168"/>
        <v>0</v>
      </c>
      <c r="AQ229" s="95">
        <f t="shared" si="168"/>
        <v>0</v>
      </c>
      <c r="AR229" s="95">
        <f t="shared" si="168"/>
        <v>0</v>
      </c>
      <c r="AS229" s="95">
        <f t="shared" si="168"/>
        <v>0</v>
      </c>
      <c r="AT229" s="95">
        <f t="shared" si="168"/>
        <v>0</v>
      </c>
      <c r="AU229" s="95">
        <f t="shared" si="168"/>
        <v>0</v>
      </c>
      <c r="AV229" s="95">
        <f t="shared" si="168"/>
        <v>0</v>
      </c>
      <c r="AW229" s="95">
        <f t="shared" si="168"/>
        <v>0</v>
      </c>
      <c r="AX229" s="95">
        <f t="shared" si="168"/>
        <v>0</v>
      </c>
      <c r="AY229" s="95">
        <f t="shared" si="168"/>
        <v>0</v>
      </c>
      <c r="AZ229" s="95">
        <f t="shared" si="168"/>
        <v>0</v>
      </c>
      <c r="BA229" s="95">
        <f t="shared" si="168"/>
        <v>0</v>
      </c>
    </row>
    <row r="231" spans="2:53" x14ac:dyDescent="0.2">
      <c r="B231" s="215">
        <f>B225+1</f>
        <v>36</v>
      </c>
    </row>
    <row r="232" spans="2:53" x14ac:dyDescent="0.2">
      <c r="B232" s="94" t="s">
        <v>100</v>
      </c>
      <c r="C232" s="73" t="s">
        <v>75</v>
      </c>
      <c r="D232" s="95">
        <f>0</f>
        <v>0</v>
      </c>
      <c r="E232" s="47">
        <f t="shared" ref="E232:BA232" si="169">D235</f>
        <v>0</v>
      </c>
      <c r="F232" s="47">
        <f t="shared" si="169"/>
        <v>0</v>
      </c>
      <c r="G232" s="47">
        <f t="shared" si="169"/>
        <v>0</v>
      </c>
      <c r="H232" s="47">
        <f t="shared" si="169"/>
        <v>0</v>
      </c>
      <c r="I232" s="47">
        <f t="shared" si="169"/>
        <v>0</v>
      </c>
      <c r="J232" s="47">
        <f t="shared" si="169"/>
        <v>0</v>
      </c>
      <c r="K232" s="47">
        <f t="shared" si="169"/>
        <v>0</v>
      </c>
      <c r="L232" s="47">
        <f t="shared" si="169"/>
        <v>0</v>
      </c>
      <c r="M232" s="47">
        <f t="shared" si="169"/>
        <v>0</v>
      </c>
      <c r="N232" s="47">
        <f t="shared" si="169"/>
        <v>0</v>
      </c>
      <c r="O232" s="47">
        <f t="shared" si="169"/>
        <v>0</v>
      </c>
      <c r="P232" s="47">
        <f t="shared" si="169"/>
        <v>0</v>
      </c>
      <c r="Q232" s="47">
        <f t="shared" si="169"/>
        <v>0</v>
      </c>
      <c r="R232" s="47">
        <f t="shared" si="169"/>
        <v>0</v>
      </c>
      <c r="S232" s="47">
        <f t="shared" si="169"/>
        <v>0</v>
      </c>
      <c r="T232" s="47">
        <f t="shared" si="169"/>
        <v>0</v>
      </c>
      <c r="U232" s="47">
        <f t="shared" si="169"/>
        <v>0</v>
      </c>
      <c r="V232" s="47">
        <f t="shared" si="169"/>
        <v>0</v>
      </c>
      <c r="W232" s="47">
        <f t="shared" si="169"/>
        <v>0</v>
      </c>
      <c r="X232" s="47">
        <f t="shared" si="169"/>
        <v>0</v>
      </c>
      <c r="Y232" s="47">
        <f t="shared" si="169"/>
        <v>0</v>
      </c>
      <c r="Z232" s="47">
        <f t="shared" si="169"/>
        <v>0</v>
      </c>
      <c r="AA232" s="47">
        <f t="shared" si="169"/>
        <v>0</v>
      </c>
      <c r="AB232" s="47">
        <f t="shared" si="169"/>
        <v>0</v>
      </c>
      <c r="AC232" s="47">
        <f t="shared" si="169"/>
        <v>0</v>
      </c>
      <c r="AD232" s="47">
        <f t="shared" si="169"/>
        <v>0</v>
      </c>
      <c r="AE232" s="47">
        <f t="shared" si="169"/>
        <v>0</v>
      </c>
      <c r="AF232" s="47">
        <f t="shared" si="169"/>
        <v>0</v>
      </c>
      <c r="AG232" s="47">
        <f t="shared" si="169"/>
        <v>0</v>
      </c>
      <c r="AH232" s="47">
        <f t="shared" si="169"/>
        <v>0</v>
      </c>
      <c r="AI232" s="47">
        <f t="shared" si="169"/>
        <v>0</v>
      </c>
      <c r="AJ232" s="47">
        <f t="shared" si="169"/>
        <v>0</v>
      </c>
      <c r="AK232" s="47">
        <f t="shared" si="169"/>
        <v>0</v>
      </c>
      <c r="AL232" s="47">
        <f t="shared" si="169"/>
        <v>0</v>
      </c>
      <c r="AM232" s="47">
        <f t="shared" si="169"/>
        <v>0</v>
      </c>
      <c r="AN232" s="47">
        <f t="shared" si="169"/>
        <v>0</v>
      </c>
      <c r="AO232" s="47">
        <f t="shared" si="169"/>
        <v>0</v>
      </c>
      <c r="AP232" s="47">
        <f t="shared" si="169"/>
        <v>0</v>
      </c>
      <c r="AQ232" s="47">
        <f t="shared" si="169"/>
        <v>0</v>
      </c>
      <c r="AR232" s="47">
        <f t="shared" si="169"/>
        <v>0</v>
      </c>
      <c r="AS232" s="47">
        <f t="shared" si="169"/>
        <v>0</v>
      </c>
      <c r="AT232" s="47">
        <f t="shared" si="169"/>
        <v>0</v>
      </c>
      <c r="AU232" s="47">
        <f t="shared" si="169"/>
        <v>0</v>
      </c>
      <c r="AV232" s="47">
        <f t="shared" si="169"/>
        <v>0</v>
      </c>
      <c r="AW232" s="47">
        <f t="shared" si="169"/>
        <v>0</v>
      </c>
      <c r="AX232" s="47">
        <f t="shared" si="169"/>
        <v>0</v>
      </c>
      <c r="AY232" s="47">
        <f t="shared" si="169"/>
        <v>0</v>
      </c>
      <c r="AZ232" s="47">
        <f t="shared" si="169"/>
        <v>0</v>
      </c>
      <c r="BA232" s="47">
        <f t="shared" si="169"/>
        <v>0</v>
      </c>
    </row>
    <row r="233" spans="2:53" x14ac:dyDescent="0.2">
      <c r="B233" s="94" t="s">
        <v>101</v>
      </c>
      <c r="C233" s="73" t="s">
        <v>75</v>
      </c>
      <c r="D233" s="95">
        <f>IF($B231=D$2,D$4,0)</f>
        <v>0</v>
      </c>
      <c r="E233" s="95">
        <f t="shared" ref="E233:BA233" si="170">IF($B231=E$2,E$4,0)</f>
        <v>0</v>
      </c>
      <c r="F233" s="95">
        <f t="shared" si="170"/>
        <v>0</v>
      </c>
      <c r="G233" s="95">
        <f t="shared" si="170"/>
        <v>0</v>
      </c>
      <c r="H233" s="95">
        <f t="shared" si="170"/>
        <v>0</v>
      </c>
      <c r="I233" s="95">
        <f t="shared" si="170"/>
        <v>0</v>
      </c>
      <c r="J233" s="95">
        <f t="shared" si="170"/>
        <v>0</v>
      </c>
      <c r="K233" s="95">
        <f t="shared" si="170"/>
        <v>0</v>
      </c>
      <c r="L233" s="95">
        <f t="shared" si="170"/>
        <v>0</v>
      </c>
      <c r="M233" s="95">
        <f t="shared" si="170"/>
        <v>0</v>
      </c>
      <c r="N233" s="95">
        <f t="shared" si="170"/>
        <v>0</v>
      </c>
      <c r="O233" s="95">
        <f t="shared" si="170"/>
        <v>0</v>
      </c>
      <c r="P233" s="95">
        <f t="shared" si="170"/>
        <v>0</v>
      </c>
      <c r="Q233" s="95">
        <f t="shared" si="170"/>
        <v>0</v>
      </c>
      <c r="R233" s="95">
        <f t="shared" si="170"/>
        <v>0</v>
      </c>
      <c r="S233" s="95">
        <f t="shared" si="170"/>
        <v>0</v>
      </c>
      <c r="T233" s="95">
        <f t="shared" si="170"/>
        <v>0</v>
      </c>
      <c r="U233" s="95">
        <f t="shared" si="170"/>
        <v>0</v>
      </c>
      <c r="V233" s="95">
        <f t="shared" si="170"/>
        <v>0</v>
      </c>
      <c r="W233" s="95">
        <f t="shared" si="170"/>
        <v>0</v>
      </c>
      <c r="X233" s="95">
        <f t="shared" si="170"/>
        <v>0</v>
      </c>
      <c r="Y233" s="95">
        <f t="shared" si="170"/>
        <v>0</v>
      </c>
      <c r="Z233" s="95">
        <f t="shared" si="170"/>
        <v>0</v>
      </c>
      <c r="AA233" s="95">
        <f t="shared" si="170"/>
        <v>0</v>
      </c>
      <c r="AB233" s="95">
        <f t="shared" si="170"/>
        <v>0</v>
      </c>
      <c r="AC233" s="95">
        <f t="shared" si="170"/>
        <v>0</v>
      </c>
      <c r="AD233" s="95">
        <f t="shared" si="170"/>
        <v>0</v>
      </c>
      <c r="AE233" s="95">
        <f t="shared" si="170"/>
        <v>0</v>
      </c>
      <c r="AF233" s="95">
        <f t="shared" si="170"/>
        <v>0</v>
      </c>
      <c r="AG233" s="95">
        <f t="shared" si="170"/>
        <v>0</v>
      </c>
      <c r="AH233" s="95">
        <f t="shared" si="170"/>
        <v>0</v>
      </c>
      <c r="AI233" s="95">
        <f t="shared" si="170"/>
        <v>0</v>
      </c>
      <c r="AJ233" s="95">
        <f t="shared" si="170"/>
        <v>0</v>
      </c>
      <c r="AK233" s="95">
        <f t="shared" si="170"/>
        <v>0</v>
      </c>
      <c r="AL233" s="95">
        <f t="shared" si="170"/>
        <v>0</v>
      </c>
      <c r="AM233" s="95">
        <f t="shared" si="170"/>
        <v>0</v>
      </c>
      <c r="AN233" s="95">
        <f t="shared" si="170"/>
        <v>0</v>
      </c>
      <c r="AO233" s="95">
        <f t="shared" si="170"/>
        <v>0</v>
      </c>
      <c r="AP233" s="95">
        <f t="shared" si="170"/>
        <v>0</v>
      </c>
      <c r="AQ233" s="95">
        <f t="shared" si="170"/>
        <v>0</v>
      </c>
      <c r="AR233" s="95">
        <f t="shared" si="170"/>
        <v>0</v>
      </c>
      <c r="AS233" s="95">
        <f t="shared" si="170"/>
        <v>0</v>
      </c>
      <c r="AT233" s="95">
        <f t="shared" si="170"/>
        <v>0</v>
      </c>
      <c r="AU233" s="95">
        <f t="shared" si="170"/>
        <v>0</v>
      </c>
      <c r="AV233" s="95">
        <f t="shared" si="170"/>
        <v>0</v>
      </c>
      <c r="AW233" s="95">
        <f t="shared" si="170"/>
        <v>0</v>
      </c>
      <c r="AX233" s="95">
        <f t="shared" si="170"/>
        <v>0</v>
      </c>
      <c r="AY233" s="95">
        <f t="shared" si="170"/>
        <v>0</v>
      </c>
      <c r="AZ233" s="95">
        <f t="shared" si="170"/>
        <v>0</v>
      </c>
      <c r="BA233" s="95">
        <f t="shared" si="170"/>
        <v>0</v>
      </c>
    </row>
    <row r="234" spans="2:53" x14ac:dyDescent="0.2">
      <c r="B234" s="76" t="s">
        <v>102</v>
      </c>
      <c r="C234" s="73" t="s">
        <v>75</v>
      </c>
      <c r="D234" s="47"/>
      <c r="E234" s="47">
        <f>IF(OR(D235&lt;=$B$15*$AM$233,F$1-$AN$1&gt;$B$13),0,-IF($B$12="straight line",SLN($AM$233,+$B$15*$AM$233,$B$13),VDB($AM$233,$B$15*$AM$233,$B$13,E$1-$AN$1,F$1-$AN$1,$B$14)))</f>
        <v>0</v>
      </c>
      <c r="F234" s="47">
        <f t="shared" ref="F234:BA234" si="171">IF(OR(E235&lt;=$B$15*$AM$233,G$1-$AN$1&gt;$B$13),0,-IF($B$12="straight line",SLN($AM$233,+$B$15*$AM$233,$B$13),VDB($AM$233,$B$15*$AM$233,$B$13,F$1-$AN$1,G$1-$AN$1,$B$14)))</f>
        <v>0</v>
      </c>
      <c r="G234" s="47">
        <f t="shared" si="171"/>
        <v>0</v>
      </c>
      <c r="H234" s="47">
        <f t="shared" si="171"/>
        <v>0</v>
      </c>
      <c r="I234" s="47">
        <f t="shared" si="171"/>
        <v>0</v>
      </c>
      <c r="J234" s="47">
        <f t="shared" si="171"/>
        <v>0</v>
      </c>
      <c r="K234" s="47">
        <f t="shared" si="171"/>
        <v>0</v>
      </c>
      <c r="L234" s="47">
        <f t="shared" si="171"/>
        <v>0</v>
      </c>
      <c r="M234" s="47">
        <f t="shared" si="171"/>
        <v>0</v>
      </c>
      <c r="N234" s="47">
        <f t="shared" si="171"/>
        <v>0</v>
      </c>
      <c r="O234" s="47">
        <f t="shared" si="171"/>
        <v>0</v>
      </c>
      <c r="P234" s="47">
        <f t="shared" si="171"/>
        <v>0</v>
      </c>
      <c r="Q234" s="47">
        <f t="shared" si="171"/>
        <v>0</v>
      </c>
      <c r="R234" s="47">
        <f t="shared" si="171"/>
        <v>0</v>
      </c>
      <c r="S234" s="47">
        <f t="shared" si="171"/>
        <v>0</v>
      </c>
      <c r="T234" s="47">
        <f t="shared" si="171"/>
        <v>0</v>
      </c>
      <c r="U234" s="47">
        <f t="shared" si="171"/>
        <v>0</v>
      </c>
      <c r="V234" s="47">
        <f t="shared" si="171"/>
        <v>0</v>
      </c>
      <c r="W234" s="47">
        <f t="shared" si="171"/>
        <v>0</v>
      </c>
      <c r="X234" s="47">
        <f t="shared" si="171"/>
        <v>0</v>
      </c>
      <c r="Y234" s="47">
        <f t="shared" si="171"/>
        <v>0</v>
      </c>
      <c r="Z234" s="47">
        <f t="shared" si="171"/>
        <v>0</v>
      </c>
      <c r="AA234" s="47">
        <f t="shared" si="171"/>
        <v>0</v>
      </c>
      <c r="AB234" s="47">
        <f t="shared" si="171"/>
        <v>0</v>
      </c>
      <c r="AC234" s="47">
        <f t="shared" si="171"/>
        <v>0</v>
      </c>
      <c r="AD234" s="47">
        <f t="shared" si="171"/>
        <v>0</v>
      </c>
      <c r="AE234" s="47">
        <f t="shared" si="171"/>
        <v>0</v>
      </c>
      <c r="AF234" s="47">
        <f t="shared" si="171"/>
        <v>0</v>
      </c>
      <c r="AG234" s="47">
        <f t="shared" si="171"/>
        <v>0</v>
      </c>
      <c r="AH234" s="47">
        <f t="shared" si="171"/>
        <v>0</v>
      </c>
      <c r="AI234" s="47">
        <f t="shared" si="171"/>
        <v>0</v>
      </c>
      <c r="AJ234" s="47">
        <f t="shared" si="171"/>
        <v>0</v>
      </c>
      <c r="AK234" s="47">
        <f t="shared" si="171"/>
        <v>0</v>
      </c>
      <c r="AL234" s="47">
        <f t="shared" si="171"/>
        <v>0</v>
      </c>
      <c r="AM234" s="47">
        <f t="shared" si="171"/>
        <v>0</v>
      </c>
      <c r="AN234" s="47">
        <f t="shared" si="171"/>
        <v>0</v>
      </c>
      <c r="AO234" s="47">
        <f t="shared" si="171"/>
        <v>0</v>
      </c>
      <c r="AP234" s="47">
        <f t="shared" si="171"/>
        <v>0</v>
      </c>
      <c r="AQ234" s="47">
        <f t="shared" si="171"/>
        <v>0</v>
      </c>
      <c r="AR234" s="47">
        <f t="shared" si="171"/>
        <v>0</v>
      </c>
      <c r="AS234" s="47">
        <f t="shared" si="171"/>
        <v>0</v>
      </c>
      <c r="AT234" s="47">
        <f t="shared" si="171"/>
        <v>0</v>
      </c>
      <c r="AU234" s="47">
        <f t="shared" si="171"/>
        <v>0</v>
      </c>
      <c r="AV234" s="47">
        <f t="shared" si="171"/>
        <v>0</v>
      </c>
      <c r="AW234" s="47">
        <f t="shared" si="171"/>
        <v>0</v>
      </c>
      <c r="AX234" s="47">
        <f t="shared" si="171"/>
        <v>0</v>
      </c>
      <c r="AY234" s="47">
        <f t="shared" si="171"/>
        <v>0</v>
      </c>
      <c r="AZ234" s="47">
        <f t="shared" si="171"/>
        <v>0</v>
      </c>
      <c r="BA234" s="47">
        <f t="shared" si="171"/>
        <v>0</v>
      </c>
    </row>
    <row r="235" spans="2:53" x14ac:dyDescent="0.2">
      <c r="B235" s="76" t="s">
        <v>103</v>
      </c>
      <c r="C235" s="73" t="s">
        <v>75</v>
      </c>
      <c r="D235" s="95">
        <f>SUM(D232:D234)</f>
        <v>0</v>
      </c>
      <c r="E235" s="95">
        <f t="shared" ref="E235:BA235" si="172">SUM(E232:E234)</f>
        <v>0</v>
      </c>
      <c r="F235" s="95">
        <f t="shared" si="172"/>
        <v>0</v>
      </c>
      <c r="G235" s="95">
        <f t="shared" si="172"/>
        <v>0</v>
      </c>
      <c r="H235" s="95">
        <f t="shared" si="172"/>
        <v>0</v>
      </c>
      <c r="I235" s="95">
        <f t="shared" si="172"/>
        <v>0</v>
      </c>
      <c r="J235" s="95">
        <f t="shared" si="172"/>
        <v>0</v>
      </c>
      <c r="K235" s="95">
        <f t="shared" si="172"/>
        <v>0</v>
      </c>
      <c r="L235" s="95">
        <f t="shared" si="172"/>
        <v>0</v>
      </c>
      <c r="M235" s="95">
        <f t="shared" si="172"/>
        <v>0</v>
      </c>
      <c r="N235" s="95">
        <f t="shared" si="172"/>
        <v>0</v>
      </c>
      <c r="O235" s="95">
        <f t="shared" si="172"/>
        <v>0</v>
      </c>
      <c r="P235" s="95">
        <f t="shared" si="172"/>
        <v>0</v>
      </c>
      <c r="Q235" s="95">
        <f t="shared" si="172"/>
        <v>0</v>
      </c>
      <c r="R235" s="95">
        <f t="shared" si="172"/>
        <v>0</v>
      </c>
      <c r="S235" s="95">
        <f t="shared" si="172"/>
        <v>0</v>
      </c>
      <c r="T235" s="95">
        <f t="shared" si="172"/>
        <v>0</v>
      </c>
      <c r="U235" s="95">
        <f t="shared" si="172"/>
        <v>0</v>
      </c>
      <c r="V235" s="95">
        <f t="shared" si="172"/>
        <v>0</v>
      </c>
      <c r="W235" s="95">
        <f t="shared" si="172"/>
        <v>0</v>
      </c>
      <c r="X235" s="95">
        <f t="shared" si="172"/>
        <v>0</v>
      </c>
      <c r="Y235" s="95">
        <f t="shared" si="172"/>
        <v>0</v>
      </c>
      <c r="Z235" s="95">
        <f t="shared" si="172"/>
        <v>0</v>
      </c>
      <c r="AA235" s="95">
        <f t="shared" si="172"/>
        <v>0</v>
      </c>
      <c r="AB235" s="95">
        <f t="shared" si="172"/>
        <v>0</v>
      </c>
      <c r="AC235" s="95">
        <f t="shared" si="172"/>
        <v>0</v>
      </c>
      <c r="AD235" s="95">
        <f t="shared" si="172"/>
        <v>0</v>
      </c>
      <c r="AE235" s="95">
        <f t="shared" si="172"/>
        <v>0</v>
      </c>
      <c r="AF235" s="95">
        <f t="shared" si="172"/>
        <v>0</v>
      </c>
      <c r="AG235" s="95">
        <f t="shared" si="172"/>
        <v>0</v>
      </c>
      <c r="AH235" s="95">
        <f t="shared" si="172"/>
        <v>0</v>
      </c>
      <c r="AI235" s="95">
        <f t="shared" si="172"/>
        <v>0</v>
      </c>
      <c r="AJ235" s="95">
        <f t="shared" si="172"/>
        <v>0</v>
      </c>
      <c r="AK235" s="95">
        <f t="shared" si="172"/>
        <v>0</v>
      </c>
      <c r="AL235" s="95">
        <f t="shared" si="172"/>
        <v>0</v>
      </c>
      <c r="AM235" s="95">
        <f t="shared" si="172"/>
        <v>0</v>
      </c>
      <c r="AN235" s="95">
        <f t="shared" si="172"/>
        <v>0</v>
      </c>
      <c r="AO235" s="95">
        <f t="shared" si="172"/>
        <v>0</v>
      </c>
      <c r="AP235" s="95">
        <f t="shared" si="172"/>
        <v>0</v>
      </c>
      <c r="AQ235" s="95">
        <f t="shared" si="172"/>
        <v>0</v>
      </c>
      <c r="AR235" s="95">
        <f t="shared" si="172"/>
        <v>0</v>
      </c>
      <c r="AS235" s="95">
        <f t="shared" si="172"/>
        <v>0</v>
      </c>
      <c r="AT235" s="95">
        <f t="shared" si="172"/>
        <v>0</v>
      </c>
      <c r="AU235" s="95">
        <f t="shared" si="172"/>
        <v>0</v>
      </c>
      <c r="AV235" s="95">
        <f t="shared" si="172"/>
        <v>0</v>
      </c>
      <c r="AW235" s="95">
        <f t="shared" si="172"/>
        <v>0</v>
      </c>
      <c r="AX235" s="95">
        <f t="shared" si="172"/>
        <v>0</v>
      </c>
      <c r="AY235" s="95">
        <f t="shared" si="172"/>
        <v>0</v>
      </c>
      <c r="AZ235" s="95">
        <f t="shared" si="172"/>
        <v>0</v>
      </c>
      <c r="BA235" s="95">
        <f t="shared" si="172"/>
        <v>0</v>
      </c>
    </row>
    <row r="237" spans="2:53" x14ac:dyDescent="0.2">
      <c r="B237" s="215">
        <f>B231+1</f>
        <v>37</v>
      </c>
    </row>
    <row r="238" spans="2:53" x14ac:dyDescent="0.2">
      <c r="B238" s="94" t="s">
        <v>100</v>
      </c>
      <c r="C238" s="73" t="s">
        <v>75</v>
      </c>
      <c r="D238" s="95">
        <f>0</f>
        <v>0</v>
      </c>
      <c r="E238" s="47">
        <f t="shared" ref="E238:BA238" si="173">D241</f>
        <v>0</v>
      </c>
      <c r="F238" s="47">
        <f t="shared" si="173"/>
        <v>0</v>
      </c>
      <c r="G238" s="47">
        <f t="shared" si="173"/>
        <v>0</v>
      </c>
      <c r="H238" s="47">
        <f t="shared" si="173"/>
        <v>0</v>
      </c>
      <c r="I238" s="47">
        <f t="shared" si="173"/>
        <v>0</v>
      </c>
      <c r="J238" s="47">
        <f t="shared" si="173"/>
        <v>0</v>
      </c>
      <c r="K238" s="47">
        <f t="shared" si="173"/>
        <v>0</v>
      </c>
      <c r="L238" s="47">
        <f t="shared" si="173"/>
        <v>0</v>
      </c>
      <c r="M238" s="47">
        <f t="shared" si="173"/>
        <v>0</v>
      </c>
      <c r="N238" s="47">
        <f t="shared" si="173"/>
        <v>0</v>
      </c>
      <c r="O238" s="47">
        <f t="shared" si="173"/>
        <v>0</v>
      </c>
      <c r="P238" s="47">
        <f t="shared" si="173"/>
        <v>0</v>
      </c>
      <c r="Q238" s="47">
        <f t="shared" si="173"/>
        <v>0</v>
      </c>
      <c r="R238" s="47">
        <f t="shared" si="173"/>
        <v>0</v>
      </c>
      <c r="S238" s="47">
        <f t="shared" si="173"/>
        <v>0</v>
      </c>
      <c r="T238" s="47">
        <f t="shared" si="173"/>
        <v>0</v>
      </c>
      <c r="U238" s="47">
        <f t="shared" si="173"/>
        <v>0</v>
      </c>
      <c r="V238" s="47">
        <f t="shared" si="173"/>
        <v>0</v>
      </c>
      <c r="W238" s="47">
        <f t="shared" si="173"/>
        <v>0</v>
      </c>
      <c r="X238" s="47">
        <f t="shared" si="173"/>
        <v>0</v>
      </c>
      <c r="Y238" s="47">
        <f t="shared" si="173"/>
        <v>0</v>
      </c>
      <c r="Z238" s="47">
        <f t="shared" si="173"/>
        <v>0</v>
      </c>
      <c r="AA238" s="47">
        <f t="shared" si="173"/>
        <v>0</v>
      </c>
      <c r="AB238" s="47">
        <f t="shared" si="173"/>
        <v>0</v>
      </c>
      <c r="AC238" s="47">
        <f t="shared" si="173"/>
        <v>0</v>
      </c>
      <c r="AD238" s="47">
        <f t="shared" si="173"/>
        <v>0</v>
      </c>
      <c r="AE238" s="47">
        <f t="shared" si="173"/>
        <v>0</v>
      </c>
      <c r="AF238" s="47">
        <f t="shared" si="173"/>
        <v>0</v>
      </c>
      <c r="AG238" s="47">
        <f t="shared" si="173"/>
        <v>0</v>
      </c>
      <c r="AH238" s="47">
        <f t="shared" si="173"/>
        <v>0</v>
      </c>
      <c r="AI238" s="47">
        <f t="shared" si="173"/>
        <v>0</v>
      </c>
      <c r="AJ238" s="47">
        <f t="shared" si="173"/>
        <v>0</v>
      </c>
      <c r="AK238" s="47">
        <f t="shared" si="173"/>
        <v>0</v>
      </c>
      <c r="AL238" s="47">
        <f t="shared" si="173"/>
        <v>0</v>
      </c>
      <c r="AM238" s="47">
        <f t="shared" si="173"/>
        <v>0</v>
      </c>
      <c r="AN238" s="47">
        <f t="shared" si="173"/>
        <v>0</v>
      </c>
      <c r="AO238" s="47">
        <f t="shared" si="173"/>
        <v>0</v>
      </c>
      <c r="AP238" s="47">
        <f t="shared" si="173"/>
        <v>0</v>
      </c>
      <c r="AQ238" s="47">
        <f t="shared" si="173"/>
        <v>0</v>
      </c>
      <c r="AR238" s="47">
        <f t="shared" si="173"/>
        <v>0</v>
      </c>
      <c r="AS238" s="47">
        <f t="shared" si="173"/>
        <v>0</v>
      </c>
      <c r="AT238" s="47">
        <f t="shared" si="173"/>
        <v>0</v>
      </c>
      <c r="AU238" s="47">
        <f t="shared" si="173"/>
        <v>0</v>
      </c>
      <c r="AV238" s="47">
        <f t="shared" si="173"/>
        <v>0</v>
      </c>
      <c r="AW238" s="47">
        <f t="shared" si="173"/>
        <v>0</v>
      </c>
      <c r="AX238" s="47">
        <f t="shared" si="173"/>
        <v>0</v>
      </c>
      <c r="AY238" s="47">
        <f t="shared" si="173"/>
        <v>0</v>
      </c>
      <c r="AZ238" s="47">
        <f t="shared" si="173"/>
        <v>0</v>
      </c>
      <c r="BA238" s="47">
        <f t="shared" si="173"/>
        <v>0</v>
      </c>
    </row>
    <row r="239" spans="2:53" x14ac:dyDescent="0.2">
      <c r="B239" s="94" t="s">
        <v>101</v>
      </c>
      <c r="C239" s="73" t="s">
        <v>75</v>
      </c>
      <c r="D239" s="95">
        <f>IF($B237=D$2,D$4,0)</f>
        <v>0</v>
      </c>
      <c r="E239" s="95">
        <f t="shared" ref="E239:BA239" si="174">IF($B237=E$2,E$4,0)</f>
        <v>0</v>
      </c>
      <c r="F239" s="95">
        <f t="shared" si="174"/>
        <v>0</v>
      </c>
      <c r="G239" s="95">
        <f t="shared" si="174"/>
        <v>0</v>
      </c>
      <c r="H239" s="95">
        <f t="shared" si="174"/>
        <v>0</v>
      </c>
      <c r="I239" s="95">
        <f t="shared" si="174"/>
        <v>0</v>
      </c>
      <c r="J239" s="95">
        <f t="shared" si="174"/>
        <v>0</v>
      </c>
      <c r="K239" s="95">
        <f t="shared" si="174"/>
        <v>0</v>
      </c>
      <c r="L239" s="95">
        <f t="shared" si="174"/>
        <v>0</v>
      </c>
      <c r="M239" s="95">
        <f t="shared" si="174"/>
        <v>0</v>
      </c>
      <c r="N239" s="95">
        <f t="shared" si="174"/>
        <v>0</v>
      </c>
      <c r="O239" s="95">
        <f t="shared" si="174"/>
        <v>0</v>
      </c>
      <c r="P239" s="95">
        <f t="shared" si="174"/>
        <v>0</v>
      </c>
      <c r="Q239" s="95">
        <f t="shared" si="174"/>
        <v>0</v>
      </c>
      <c r="R239" s="95">
        <f t="shared" si="174"/>
        <v>0</v>
      </c>
      <c r="S239" s="95">
        <f t="shared" si="174"/>
        <v>0</v>
      </c>
      <c r="T239" s="95">
        <f t="shared" si="174"/>
        <v>0</v>
      </c>
      <c r="U239" s="95">
        <f t="shared" si="174"/>
        <v>0</v>
      </c>
      <c r="V239" s="95">
        <f t="shared" si="174"/>
        <v>0</v>
      </c>
      <c r="W239" s="95">
        <f t="shared" si="174"/>
        <v>0</v>
      </c>
      <c r="X239" s="95">
        <f t="shared" si="174"/>
        <v>0</v>
      </c>
      <c r="Y239" s="95">
        <f t="shared" si="174"/>
        <v>0</v>
      </c>
      <c r="Z239" s="95">
        <f t="shared" si="174"/>
        <v>0</v>
      </c>
      <c r="AA239" s="95">
        <f t="shared" si="174"/>
        <v>0</v>
      </c>
      <c r="AB239" s="95">
        <f t="shared" si="174"/>
        <v>0</v>
      </c>
      <c r="AC239" s="95">
        <f t="shared" si="174"/>
        <v>0</v>
      </c>
      <c r="AD239" s="95">
        <f t="shared" si="174"/>
        <v>0</v>
      </c>
      <c r="AE239" s="95">
        <f t="shared" si="174"/>
        <v>0</v>
      </c>
      <c r="AF239" s="95">
        <f t="shared" si="174"/>
        <v>0</v>
      </c>
      <c r="AG239" s="95">
        <f t="shared" si="174"/>
        <v>0</v>
      </c>
      <c r="AH239" s="95">
        <f t="shared" si="174"/>
        <v>0</v>
      </c>
      <c r="AI239" s="95">
        <f t="shared" si="174"/>
        <v>0</v>
      </c>
      <c r="AJ239" s="95">
        <f t="shared" si="174"/>
        <v>0</v>
      </c>
      <c r="AK239" s="95">
        <f t="shared" si="174"/>
        <v>0</v>
      </c>
      <c r="AL239" s="95">
        <f t="shared" si="174"/>
        <v>0</v>
      </c>
      <c r="AM239" s="95">
        <f t="shared" si="174"/>
        <v>0</v>
      </c>
      <c r="AN239" s="95">
        <f t="shared" si="174"/>
        <v>0</v>
      </c>
      <c r="AO239" s="95">
        <f t="shared" si="174"/>
        <v>0</v>
      </c>
      <c r="AP239" s="95">
        <f t="shared" si="174"/>
        <v>0</v>
      </c>
      <c r="AQ239" s="95">
        <f t="shared" si="174"/>
        <v>0</v>
      </c>
      <c r="AR239" s="95">
        <f t="shared" si="174"/>
        <v>0</v>
      </c>
      <c r="AS239" s="95">
        <f t="shared" si="174"/>
        <v>0</v>
      </c>
      <c r="AT239" s="95">
        <f t="shared" si="174"/>
        <v>0</v>
      </c>
      <c r="AU239" s="95">
        <f t="shared" si="174"/>
        <v>0</v>
      </c>
      <c r="AV239" s="95">
        <f t="shared" si="174"/>
        <v>0</v>
      </c>
      <c r="AW239" s="95">
        <f t="shared" si="174"/>
        <v>0</v>
      </c>
      <c r="AX239" s="95">
        <f t="shared" si="174"/>
        <v>0</v>
      </c>
      <c r="AY239" s="95">
        <f t="shared" si="174"/>
        <v>0</v>
      </c>
      <c r="AZ239" s="95">
        <f t="shared" si="174"/>
        <v>0</v>
      </c>
      <c r="BA239" s="95">
        <f t="shared" si="174"/>
        <v>0</v>
      </c>
    </row>
    <row r="240" spans="2:53" x14ac:dyDescent="0.2">
      <c r="B240" s="76" t="s">
        <v>102</v>
      </c>
      <c r="C240" s="73" t="s">
        <v>75</v>
      </c>
      <c r="D240" s="47"/>
      <c r="E240" s="47">
        <f>IF(OR(D241&lt;=$B$15*$AN$239,F$1-$AO$1&gt;$B$13),0,-IF($B$12="straight line",SLN($AN$239,+$B$15*$AN$239,$B$13),VDB($AN$239,$B$15*$AN$239,$B$13,E$1-$AO$1,F$1-$AO$1,$B$14)))</f>
        <v>0</v>
      </c>
      <c r="F240" s="47">
        <f t="shared" ref="F240:BA240" si="175">IF(OR(E241&lt;=$B$15*$AN$239,G$1-$AO$1&gt;$B$13),0,-IF($B$12="straight line",SLN($AN$239,+$B$15*$AN$239,$B$13),VDB($AN$239,$B$15*$AN$239,$B$13,F$1-$AO$1,G$1-$AO$1,$B$14)))</f>
        <v>0</v>
      </c>
      <c r="G240" s="47">
        <f t="shared" si="175"/>
        <v>0</v>
      </c>
      <c r="H240" s="47">
        <f t="shared" si="175"/>
        <v>0</v>
      </c>
      <c r="I240" s="47">
        <f t="shared" si="175"/>
        <v>0</v>
      </c>
      <c r="J240" s="47">
        <f t="shared" si="175"/>
        <v>0</v>
      </c>
      <c r="K240" s="47">
        <f t="shared" si="175"/>
        <v>0</v>
      </c>
      <c r="L240" s="47">
        <f t="shared" si="175"/>
        <v>0</v>
      </c>
      <c r="M240" s="47">
        <f t="shared" si="175"/>
        <v>0</v>
      </c>
      <c r="N240" s="47">
        <f t="shared" si="175"/>
        <v>0</v>
      </c>
      <c r="O240" s="47">
        <f t="shared" si="175"/>
        <v>0</v>
      </c>
      <c r="P240" s="47">
        <f t="shared" si="175"/>
        <v>0</v>
      </c>
      <c r="Q240" s="47">
        <f t="shared" si="175"/>
        <v>0</v>
      </c>
      <c r="R240" s="47">
        <f t="shared" si="175"/>
        <v>0</v>
      </c>
      <c r="S240" s="47">
        <f t="shared" si="175"/>
        <v>0</v>
      </c>
      <c r="T240" s="47">
        <f t="shared" si="175"/>
        <v>0</v>
      </c>
      <c r="U240" s="47">
        <f t="shared" si="175"/>
        <v>0</v>
      </c>
      <c r="V240" s="47">
        <f t="shared" si="175"/>
        <v>0</v>
      </c>
      <c r="W240" s="47">
        <f t="shared" si="175"/>
        <v>0</v>
      </c>
      <c r="X240" s="47">
        <f t="shared" si="175"/>
        <v>0</v>
      </c>
      <c r="Y240" s="47">
        <f t="shared" si="175"/>
        <v>0</v>
      </c>
      <c r="Z240" s="47">
        <f t="shared" si="175"/>
        <v>0</v>
      </c>
      <c r="AA240" s="47">
        <f t="shared" si="175"/>
        <v>0</v>
      </c>
      <c r="AB240" s="47">
        <f t="shared" si="175"/>
        <v>0</v>
      </c>
      <c r="AC240" s="47">
        <f t="shared" si="175"/>
        <v>0</v>
      </c>
      <c r="AD240" s="47">
        <f t="shared" si="175"/>
        <v>0</v>
      </c>
      <c r="AE240" s="47">
        <f t="shared" si="175"/>
        <v>0</v>
      </c>
      <c r="AF240" s="47">
        <f t="shared" si="175"/>
        <v>0</v>
      </c>
      <c r="AG240" s="47">
        <f t="shared" si="175"/>
        <v>0</v>
      </c>
      <c r="AH240" s="47">
        <f t="shared" si="175"/>
        <v>0</v>
      </c>
      <c r="AI240" s="47">
        <f t="shared" si="175"/>
        <v>0</v>
      </c>
      <c r="AJ240" s="47">
        <f t="shared" si="175"/>
        <v>0</v>
      </c>
      <c r="AK240" s="47">
        <f t="shared" si="175"/>
        <v>0</v>
      </c>
      <c r="AL240" s="47">
        <f t="shared" si="175"/>
        <v>0</v>
      </c>
      <c r="AM240" s="47">
        <f t="shared" si="175"/>
        <v>0</v>
      </c>
      <c r="AN240" s="47">
        <f t="shared" si="175"/>
        <v>0</v>
      </c>
      <c r="AO240" s="47">
        <f t="shared" si="175"/>
        <v>0</v>
      </c>
      <c r="AP240" s="47">
        <f t="shared" si="175"/>
        <v>0</v>
      </c>
      <c r="AQ240" s="47">
        <f t="shared" si="175"/>
        <v>0</v>
      </c>
      <c r="AR240" s="47">
        <f t="shared" si="175"/>
        <v>0</v>
      </c>
      <c r="AS240" s="47">
        <f t="shared" si="175"/>
        <v>0</v>
      </c>
      <c r="AT240" s="47">
        <f t="shared" si="175"/>
        <v>0</v>
      </c>
      <c r="AU240" s="47">
        <f t="shared" si="175"/>
        <v>0</v>
      </c>
      <c r="AV240" s="47">
        <f t="shared" si="175"/>
        <v>0</v>
      </c>
      <c r="AW240" s="47">
        <f t="shared" si="175"/>
        <v>0</v>
      </c>
      <c r="AX240" s="47">
        <f t="shared" si="175"/>
        <v>0</v>
      </c>
      <c r="AY240" s="47">
        <f t="shared" si="175"/>
        <v>0</v>
      </c>
      <c r="AZ240" s="47">
        <f t="shared" si="175"/>
        <v>0</v>
      </c>
      <c r="BA240" s="47">
        <f t="shared" si="175"/>
        <v>0</v>
      </c>
    </row>
    <row r="241" spans="2:53" x14ac:dyDescent="0.2">
      <c r="B241" s="76" t="s">
        <v>103</v>
      </c>
      <c r="C241" s="73" t="s">
        <v>75</v>
      </c>
      <c r="D241" s="95">
        <f>SUM(D238:D240)</f>
        <v>0</v>
      </c>
      <c r="E241" s="95">
        <f t="shared" ref="E241:BA241" si="176">SUM(E238:E240)</f>
        <v>0</v>
      </c>
      <c r="F241" s="95">
        <f t="shared" si="176"/>
        <v>0</v>
      </c>
      <c r="G241" s="95">
        <f t="shared" si="176"/>
        <v>0</v>
      </c>
      <c r="H241" s="95">
        <f t="shared" si="176"/>
        <v>0</v>
      </c>
      <c r="I241" s="95">
        <f t="shared" si="176"/>
        <v>0</v>
      </c>
      <c r="J241" s="95">
        <f t="shared" si="176"/>
        <v>0</v>
      </c>
      <c r="K241" s="95">
        <f t="shared" si="176"/>
        <v>0</v>
      </c>
      <c r="L241" s="95">
        <f t="shared" si="176"/>
        <v>0</v>
      </c>
      <c r="M241" s="95">
        <f t="shared" si="176"/>
        <v>0</v>
      </c>
      <c r="N241" s="95">
        <f t="shared" si="176"/>
        <v>0</v>
      </c>
      <c r="O241" s="95">
        <f t="shared" si="176"/>
        <v>0</v>
      </c>
      <c r="P241" s="95">
        <f t="shared" si="176"/>
        <v>0</v>
      </c>
      <c r="Q241" s="95">
        <f t="shared" si="176"/>
        <v>0</v>
      </c>
      <c r="R241" s="95">
        <f t="shared" si="176"/>
        <v>0</v>
      </c>
      <c r="S241" s="95">
        <f t="shared" si="176"/>
        <v>0</v>
      </c>
      <c r="T241" s="95">
        <f t="shared" si="176"/>
        <v>0</v>
      </c>
      <c r="U241" s="95">
        <f t="shared" si="176"/>
        <v>0</v>
      </c>
      <c r="V241" s="95">
        <f t="shared" si="176"/>
        <v>0</v>
      </c>
      <c r="W241" s="95">
        <f t="shared" si="176"/>
        <v>0</v>
      </c>
      <c r="X241" s="95">
        <f t="shared" si="176"/>
        <v>0</v>
      </c>
      <c r="Y241" s="95">
        <f t="shared" si="176"/>
        <v>0</v>
      </c>
      <c r="Z241" s="95">
        <f t="shared" si="176"/>
        <v>0</v>
      </c>
      <c r="AA241" s="95">
        <f t="shared" si="176"/>
        <v>0</v>
      </c>
      <c r="AB241" s="95">
        <f t="shared" si="176"/>
        <v>0</v>
      </c>
      <c r="AC241" s="95">
        <f t="shared" si="176"/>
        <v>0</v>
      </c>
      <c r="AD241" s="95">
        <f t="shared" si="176"/>
        <v>0</v>
      </c>
      <c r="AE241" s="95">
        <f t="shared" si="176"/>
        <v>0</v>
      </c>
      <c r="AF241" s="95">
        <f t="shared" si="176"/>
        <v>0</v>
      </c>
      <c r="AG241" s="95">
        <f t="shared" si="176"/>
        <v>0</v>
      </c>
      <c r="AH241" s="95">
        <f t="shared" si="176"/>
        <v>0</v>
      </c>
      <c r="AI241" s="95">
        <f t="shared" si="176"/>
        <v>0</v>
      </c>
      <c r="AJ241" s="95">
        <f t="shared" si="176"/>
        <v>0</v>
      </c>
      <c r="AK241" s="95">
        <f t="shared" si="176"/>
        <v>0</v>
      </c>
      <c r="AL241" s="95">
        <f t="shared" si="176"/>
        <v>0</v>
      </c>
      <c r="AM241" s="95">
        <f t="shared" si="176"/>
        <v>0</v>
      </c>
      <c r="AN241" s="95">
        <f t="shared" si="176"/>
        <v>0</v>
      </c>
      <c r="AO241" s="95">
        <f t="shared" si="176"/>
        <v>0</v>
      </c>
      <c r="AP241" s="95">
        <f t="shared" si="176"/>
        <v>0</v>
      </c>
      <c r="AQ241" s="95">
        <f t="shared" si="176"/>
        <v>0</v>
      </c>
      <c r="AR241" s="95">
        <f t="shared" si="176"/>
        <v>0</v>
      </c>
      <c r="AS241" s="95">
        <f t="shared" si="176"/>
        <v>0</v>
      </c>
      <c r="AT241" s="95">
        <f t="shared" si="176"/>
        <v>0</v>
      </c>
      <c r="AU241" s="95">
        <f t="shared" si="176"/>
        <v>0</v>
      </c>
      <c r="AV241" s="95">
        <f t="shared" si="176"/>
        <v>0</v>
      </c>
      <c r="AW241" s="95">
        <f t="shared" si="176"/>
        <v>0</v>
      </c>
      <c r="AX241" s="95">
        <f t="shared" si="176"/>
        <v>0</v>
      </c>
      <c r="AY241" s="95">
        <f t="shared" si="176"/>
        <v>0</v>
      </c>
      <c r="AZ241" s="95">
        <f t="shared" si="176"/>
        <v>0</v>
      </c>
      <c r="BA241" s="95">
        <f t="shared" si="176"/>
        <v>0</v>
      </c>
    </row>
    <row r="243" spans="2:53" x14ac:dyDescent="0.2">
      <c r="B243" s="215">
        <f>B237+1</f>
        <v>38</v>
      </c>
    </row>
    <row r="244" spans="2:53" x14ac:dyDescent="0.2">
      <c r="B244" s="94" t="s">
        <v>100</v>
      </c>
      <c r="C244" s="73" t="s">
        <v>75</v>
      </c>
      <c r="D244" s="95">
        <f>0</f>
        <v>0</v>
      </c>
      <c r="E244" s="47">
        <f t="shared" ref="E244:BA244" si="177">D247</f>
        <v>0</v>
      </c>
      <c r="F244" s="47">
        <f t="shared" si="177"/>
        <v>0</v>
      </c>
      <c r="G244" s="47">
        <f t="shared" si="177"/>
        <v>0</v>
      </c>
      <c r="H244" s="47">
        <f t="shared" si="177"/>
        <v>0</v>
      </c>
      <c r="I244" s="47">
        <f t="shared" si="177"/>
        <v>0</v>
      </c>
      <c r="J244" s="47">
        <f t="shared" si="177"/>
        <v>0</v>
      </c>
      <c r="K244" s="47">
        <f t="shared" si="177"/>
        <v>0</v>
      </c>
      <c r="L244" s="47">
        <f t="shared" si="177"/>
        <v>0</v>
      </c>
      <c r="M244" s="47">
        <f t="shared" si="177"/>
        <v>0</v>
      </c>
      <c r="N244" s="47">
        <f t="shared" si="177"/>
        <v>0</v>
      </c>
      <c r="O244" s="47">
        <f t="shared" si="177"/>
        <v>0</v>
      </c>
      <c r="P244" s="47">
        <f t="shared" si="177"/>
        <v>0</v>
      </c>
      <c r="Q244" s="47">
        <f t="shared" si="177"/>
        <v>0</v>
      </c>
      <c r="R244" s="47">
        <f t="shared" si="177"/>
        <v>0</v>
      </c>
      <c r="S244" s="47">
        <f t="shared" si="177"/>
        <v>0</v>
      </c>
      <c r="T244" s="47">
        <f t="shared" si="177"/>
        <v>0</v>
      </c>
      <c r="U244" s="47">
        <f t="shared" si="177"/>
        <v>0</v>
      </c>
      <c r="V244" s="47">
        <f t="shared" si="177"/>
        <v>0</v>
      </c>
      <c r="W244" s="47">
        <f t="shared" si="177"/>
        <v>0</v>
      </c>
      <c r="X244" s="47">
        <f t="shared" si="177"/>
        <v>0</v>
      </c>
      <c r="Y244" s="47">
        <f t="shared" si="177"/>
        <v>0</v>
      </c>
      <c r="Z244" s="47">
        <f t="shared" si="177"/>
        <v>0</v>
      </c>
      <c r="AA244" s="47">
        <f t="shared" si="177"/>
        <v>0</v>
      </c>
      <c r="AB244" s="47">
        <f t="shared" si="177"/>
        <v>0</v>
      </c>
      <c r="AC244" s="47">
        <f t="shared" si="177"/>
        <v>0</v>
      </c>
      <c r="AD244" s="47">
        <f t="shared" si="177"/>
        <v>0</v>
      </c>
      <c r="AE244" s="47">
        <f t="shared" si="177"/>
        <v>0</v>
      </c>
      <c r="AF244" s="47">
        <f t="shared" si="177"/>
        <v>0</v>
      </c>
      <c r="AG244" s="47">
        <f t="shared" si="177"/>
        <v>0</v>
      </c>
      <c r="AH244" s="47">
        <f t="shared" si="177"/>
        <v>0</v>
      </c>
      <c r="AI244" s="47">
        <f t="shared" si="177"/>
        <v>0</v>
      </c>
      <c r="AJ244" s="47">
        <f t="shared" si="177"/>
        <v>0</v>
      </c>
      <c r="AK244" s="47">
        <f t="shared" si="177"/>
        <v>0</v>
      </c>
      <c r="AL244" s="47">
        <f t="shared" si="177"/>
        <v>0</v>
      </c>
      <c r="AM244" s="47">
        <f t="shared" si="177"/>
        <v>0</v>
      </c>
      <c r="AN244" s="47">
        <f t="shared" si="177"/>
        <v>0</v>
      </c>
      <c r="AO244" s="47">
        <f t="shared" si="177"/>
        <v>0</v>
      </c>
      <c r="AP244" s="47">
        <f t="shared" si="177"/>
        <v>0</v>
      </c>
      <c r="AQ244" s="47">
        <f t="shared" si="177"/>
        <v>0</v>
      </c>
      <c r="AR244" s="47">
        <f t="shared" si="177"/>
        <v>0</v>
      </c>
      <c r="AS244" s="47">
        <f t="shared" si="177"/>
        <v>0</v>
      </c>
      <c r="AT244" s="47">
        <f t="shared" si="177"/>
        <v>0</v>
      </c>
      <c r="AU244" s="47">
        <f t="shared" si="177"/>
        <v>0</v>
      </c>
      <c r="AV244" s="47">
        <f t="shared" si="177"/>
        <v>0</v>
      </c>
      <c r="AW244" s="47">
        <f t="shared" si="177"/>
        <v>0</v>
      </c>
      <c r="AX244" s="47">
        <f t="shared" si="177"/>
        <v>0</v>
      </c>
      <c r="AY244" s="47">
        <f t="shared" si="177"/>
        <v>0</v>
      </c>
      <c r="AZ244" s="47">
        <f t="shared" si="177"/>
        <v>0</v>
      </c>
      <c r="BA244" s="47">
        <f t="shared" si="177"/>
        <v>0</v>
      </c>
    </row>
    <row r="245" spans="2:53" x14ac:dyDescent="0.2">
      <c r="B245" s="94" t="s">
        <v>101</v>
      </c>
      <c r="C245" s="73" t="s">
        <v>75</v>
      </c>
      <c r="D245" s="95">
        <f>IF($B243=D$2,D$4,0)</f>
        <v>0</v>
      </c>
      <c r="E245" s="95">
        <f t="shared" ref="E245:BA245" si="178">IF($B243=E$2,E$4,0)</f>
        <v>0</v>
      </c>
      <c r="F245" s="95">
        <f t="shared" si="178"/>
        <v>0</v>
      </c>
      <c r="G245" s="95">
        <f t="shared" si="178"/>
        <v>0</v>
      </c>
      <c r="H245" s="95">
        <f t="shared" si="178"/>
        <v>0</v>
      </c>
      <c r="I245" s="95">
        <f t="shared" si="178"/>
        <v>0</v>
      </c>
      <c r="J245" s="95">
        <f t="shared" si="178"/>
        <v>0</v>
      </c>
      <c r="K245" s="95">
        <f t="shared" si="178"/>
        <v>0</v>
      </c>
      <c r="L245" s="95">
        <f t="shared" si="178"/>
        <v>0</v>
      </c>
      <c r="M245" s="95">
        <f t="shared" si="178"/>
        <v>0</v>
      </c>
      <c r="N245" s="95">
        <f t="shared" si="178"/>
        <v>0</v>
      </c>
      <c r="O245" s="95">
        <f t="shared" si="178"/>
        <v>0</v>
      </c>
      <c r="P245" s="95">
        <f t="shared" si="178"/>
        <v>0</v>
      </c>
      <c r="Q245" s="95">
        <f t="shared" si="178"/>
        <v>0</v>
      </c>
      <c r="R245" s="95">
        <f t="shared" si="178"/>
        <v>0</v>
      </c>
      <c r="S245" s="95">
        <f t="shared" si="178"/>
        <v>0</v>
      </c>
      <c r="T245" s="95">
        <f t="shared" si="178"/>
        <v>0</v>
      </c>
      <c r="U245" s="95">
        <f t="shared" si="178"/>
        <v>0</v>
      </c>
      <c r="V245" s="95">
        <f t="shared" si="178"/>
        <v>0</v>
      </c>
      <c r="W245" s="95">
        <f t="shared" si="178"/>
        <v>0</v>
      </c>
      <c r="X245" s="95">
        <f t="shared" si="178"/>
        <v>0</v>
      </c>
      <c r="Y245" s="95">
        <f t="shared" si="178"/>
        <v>0</v>
      </c>
      <c r="Z245" s="95">
        <f t="shared" si="178"/>
        <v>0</v>
      </c>
      <c r="AA245" s="95">
        <f t="shared" si="178"/>
        <v>0</v>
      </c>
      <c r="AB245" s="95">
        <f t="shared" si="178"/>
        <v>0</v>
      </c>
      <c r="AC245" s="95">
        <f t="shared" si="178"/>
        <v>0</v>
      </c>
      <c r="AD245" s="95">
        <f t="shared" si="178"/>
        <v>0</v>
      </c>
      <c r="AE245" s="95">
        <f t="shared" si="178"/>
        <v>0</v>
      </c>
      <c r="AF245" s="95">
        <f t="shared" si="178"/>
        <v>0</v>
      </c>
      <c r="AG245" s="95">
        <f t="shared" si="178"/>
        <v>0</v>
      </c>
      <c r="AH245" s="95">
        <f t="shared" si="178"/>
        <v>0</v>
      </c>
      <c r="AI245" s="95">
        <f t="shared" si="178"/>
        <v>0</v>
      </c>
      <c r="AJ245" s="95">
        <f t="shared" si="178"/>
        <v>0</v>
      </c>
      <c r="AK245" s="95">
        <f t="shared" si="178"/>
        <v>0</v>
      </c>
      <c r="AL245" s="95">
        <f t="shared" si="178"/>
        <v>0</v>
      </c>
      <c r="AM245" s="95">
        <f t="shared" si="178"/>
        <v>0</v>
      </c>
      <c r="AN245" s="95">
        <f t="shared" si="178"/>
        <v>0</v>
      </c>
      <c r="AO245" s="95">
        <f t="shared" si="178"/>
        <v>0</v>
      </c>
      <c r="AP245" s="95">
        <f t="shared" si="178"/>
        <v>0</v>
      </c>
      <c r="AQ245" s="95">
        <f t="shared" si="178"/>
        <v>0</v>
      </c>
      <c r="AR245" s="95">
        <f t="shared" si="178"/>
        <v>0</v>
      </c>
      <c r="AS245" s="95">
        <f t="shared" si="178"/>
        <v>0</v>
      </c>
      <c r="AT245" s="95">
        <f t="shared" si="178"/>
        <v>0</v>
      </c>
      <c r="AU245" s="95">
        <f t="shared" si="178"/>
        <v>0</v>
      </c>
      <c r="AV245" s="95">
        <f t="shared" si="178"/>
        <v>0</v>
      </c>
      <c r="AW245" s="95">
        <f t="shared" si="178"/>
        <v>0</v>
      </c>
      <c r="AX245" s="95">
        <f t="shared" si="178"/>
        <v>0</v>
      </c>
      <c r="AY245" s="95">
        <f t="shared" si="178"/>
        <v>0</v>
      </c>
      <c r="AZ245" s="95">
        <f t="shared" si="178"/>
        <v>0</v>
      </c>
      <c r="BA245" s="95">
        <f t="shared" si="178"/>
        <v>0</v>
      </c>
    </row>
    <row r="246" spans="2:53" x14ac:dyDescent="0.2">
      <c r="B246" s="76" t="s">
        <v>102</v>
      </c>
      <c r="C246" s="73" t="s">
        <v>75</v>
      </c>
      <c r="D246" s="47"/>
      <c r="E246" s="47">
        <f>IF(OR(D247&lt;=$B$15*$AO$245,F$1-$AP$1&gt;$B$13),0,-IF($B$12="straight line",SLN($AO$245,+$B$15*$AO$245,$B$13),VDB($AO$245,$B$15*$AO$245,$B$13,E$1-$AP$1,F$1-$AP$1,$B$14)))</f>
        <v>0</v>
      </c>
      <c r="F246" s="47">
        <f t="shared" ref="F246:BA246" si="179">IF(OR(E247&lt;=$B$15*$AO$245,G$1-$AP$1&gt;$B$13),0,-IF($B$12="straight line",SLN($AO$245,+$B$15*$AO$245,$B$13),VDB($AO$245,$B$15*$AO$245,$B$13,F$1-$AP$1,G$1-$AP$1,$B$14)))</f>
        <v>0</v>
      </c>
      <c r="G246" s="47">
        <f t="shared" si="179"/>
        <v>0</v>
      </c>
      <c r="H246" s="47">
        <f t="shared" si="179"/>
        <v>0</v>
      </c>
      <c r="I246" s="47">
        <f t="shared" si="179"/>
        <v>0</v>
      </c>
      <c r="J246" s="47">
        <f t="shared" si="179"/>
        <v>0</v>
      </c>
      <c r="K246" s="47">
        <f t="shared" si="179"/>
        <v>0</v>
      </c>
      <c r="L246" s="47">
        <f t="shared" si="179"/>
        <v>0</v>
      </c>
      <c r="M246" s="47">
        <f t="shared" si="179"/>
        <v>0</v>
      </c>
      <c r="N246" s="47">
        <f t="shared" si="179"/>
        <v>0</v>
      </c>
      <c r="O246" s="47">
        <f t="shared" si="179"/>
        <v>0</v>
      </c>
      <c r="P246" s="47">
        <f t="shared" si="179"/>
        <v>0</v>
      </c>
      <c r="Q246" s="47">
        <f t="shared" si="179"/>
        <v>0</v>
      </c>
      <c r="R246" s="47">
        <f t="shared" si="179"/>
        <v>0</v>
      </c>
      <c r="S246" s="47">
        <f t="shared" si="179"/>
        <v>0</v>
      </c>
      <c r="T246" s="47">
        <f t="shared" si="179"/>
        <v>0</v>
      </c>
      <c r="U246" s="47">
        <f t="shared" si="179"/>
        <v>0</v>
      </c>
      <c r="V246" s="47">
        <f t="shared" si="179"/>
        <v>0</v>
      </c>
      <c r="W246" s="47">
        <f t="shared" si="179"/>
        <v>0</v>
      </c>
      <c r="X246" s="47">
        <f t="shared" si="179"/>
        <v>0</v>
      </c>
      <c r="Y246" s="47">
        <f t="shared" si="179"/>
        <v>0</v>
      </c>
      <c r="Z246" s="47">
        <f t="shared" si="179"/>
        <v>0</v>
      </c>
      <c r="AA246" s="47">
        <f t="shared" si="179"/>
        <v>0</v>
      </c>
      <c r="AB246" s="47">
        <f t="shared" si="179"/>
        <v>0</v>
      </c>
      <c r="AC246" s="47">
        <f t="shared" si="179"/>
        <v>0</v>
      </c>
      <c r="AD246" s="47">
        <f t="shared" si="179"/>
        <v>0</v>
      </c>
      <c r="AE246" s="47">
        <f t="shared" si="179"/>
        <v>0</v>
      </c>
      <c r="AF246" s="47">
        <f t="shared" si="179"/>
        <v>0</v>
      </c>
      <c r="AG246" s="47">
        <f t="shared" si="179"/>
        <v>0</v>
      </c>
      <c r="AH246" s="47">
        <f t="shared" si="179"/>
        <v>0</v>
      </c>
      <c r="AI246" s="47">
        <f t="shared" si="179"/>
        <v>0</v>
      </c>
      <c r="AJ246" s="47">
        <f t="shared" si="179"/>
        <v>0</v>
      </c>
      <c r="AK246" s="47">
        <f t="shared" si="179"/>
        <v>0</v>
      </c>
      <c r="AL246" s="47">
        <f t="shared" si="179"/>
        <v>0</v>
      </c>
      <c r="AM246" s="47">
        <f t="shared" si="179"/>
        <v>0</v>
      </c>
      <c r="AN246" s="47">
        <f t="shared" si="179"/>
        <v>0</v>
      </c>
      <c r="AO246" s="47">
        <f t="shared" si="179"/>
        <v>0</v>
      </c>
      <c r="AP246" s="47">
        <f t="shared" si="179"/>
        <v>0</v>
      </c>
      <c r="AQ246" s="47">
        <f t="shared" si="179"/>
        <v>0</v>
      </c>
      <c r="AR246" s="47">
        <f t="shared" si="179"/>
        <v>0</v>
      </c>
      <c r="AS246" s="47">
        <f t="shared" si="179"/>
        <v>0</v>
      </c>
      <c r="AT246" s="47">
        <f t="shared" si="179"/>
        <v>0</v>
      </c>
      <c r="AU246" s="47">
        <f t="shared" si="179"/>
        <v>0</v>
      </c>
      <c r="AV246" s="47">
        <f t="shared" si="179"/>
        <v>0</v>
      </c>
      <c r="AW246" s="47">
        <f t="shared" si="179"/>
        <v>0</v>
      </c>
      <c r="AX246" s="47">
        <f t="shared" si="179"/>
        <v>0</v>
      </c>
      <c r="AY246" s="47">
        <f t="shared" si="179"/>
        <v>0</v>
      </c>
      <c r="AZ246" s="47">
        <f t="shared" si="179"/>
        <v>0</v>
      </c>
      <c r="BA246" s="47">
        <f t="shared" si="179"/>
        <v>0</v>
      </c>
    </row>
    <row r="247" spans="2:53" x14ac:dyDescent="0.2">
      <c r="B247" s="76" t="s">
        <v>103</v>
      </c>
      <c r="C247" s="73" t="s">
        <v>75</v>
      </c>
      <c r="D247" s="95">
        <f>SUM(D244:D246)</f>
        <v>0</v>
      </c>
      <c r="E247" s="95">
        <f t="shared" ref="E247:BA247" si="180">SUM(E244:E246)</f>
        <v>0</v>
      </c>
      <c r="F247" s="95">
        <f t="shared" si="180"/>
        <v>0</v>
      </c>
      <c r="G247" s="95">
        <f t="shared" si="180"/>
        <v>0</v>
      </c>
      <c r="H247" s="95">
        <f t="shared" si="180"/>
        <v>0</v>
      </c>
      <c r="I247" s="95">
        <f t="shared" si="180"/>
        <v>0</v>
      </c>
      <c r="J247" s="95">
        <f t="shared" si="180"/>
        <v>0</v>
      </c>
      <c r="K247" s="95">
        <f t="shared" si="180"/>
        <v>0</v>
      </c>
      <c r="L247" s="95">
        <f t="shared" si="180"/>
        <v>0</v>
      </c>
      <c r="M247" s="95">
        <f t="shared" si="180"/>
        <v>0</v>
      </c>
      <c r="N247" s="95">
        <f t="shared" si="180"/>
        <v>0</v>
      </c>
      <c r="O247" s="95">
        <f t="shared" si="180"/>
        <v>0</v>
      </c>
      <c r="P247" s="95">
        <f t="shared" si="180"/>
        <v>0</v>
      </c>
      <c r="Q247" s="95">
        <f t="shared" si="180"/>
        <v>0</v>
      </c>
      <c r="R247" s="95">
        <f t="shared" si="180"/>
        <v>0</v>
      </c>
      <c r="S247" s="95">
        <f t="shared" si="180"/>
        <v>0</v>
      </c>
      <c r="T247" s="95">
        <f t="shared" si="180"/>
        <v>0</v>
      </c>
      <c r="U247" s="95">
        <f t="shared" si="180"/>
        <v>0</v>
      </c>
      <c r="V247" s="95">
        <f t="shared" si="180"/>
        <v>0</v>
      </c>
      <c r="W247" s="95">
        <f t="shared" si="180"/>
        <v>0</v>
      </c>
      <c r="X247" s="95">
        <f t="shared" si="180"/>
        <v>0</v>
      </c>
      <c r="Y247" s="95">
        <f t="shared" si="180"/>
        <v>0</v>
      </c>
      <c r="Z247" s="95">
        <f t="shared" si="180"/>
        <v>0</v>
      </c>
      <c r="AA247" s="95">
        <f t="shared" si="180"/>
        <v>0</v>
      </c>
      <c r="AB247" s="95">
        <f t="shared" si="180"/>
        <v>0</v>
      </c>
      <c r="AC247" s="95">
        <f t="shared" si="180"/>
        <v>0</v>
      </c>
      <c r="AD247" s="95">
        <f t="shared" si="180"/>
        <v>0</v>
      </c>
      <c r="AE247" s="95">
        <f t="shared" si="180"/>
        <v>0</v>
      </c>
      <c r="AF247" s="95">
        <f t="shared" si="180"/>
        <v>0</v>
      </c>
      <c r="AG247" s="95">
        <f t="shared" si="180"/>
        <v>0</v>
      </c>
      <c r="AH247" s="95">
        <f t="shared" si="180"/>
        <v>0</v>
      </c>
      <c r="AI247" s="95">
        <f t="shared" si="180"/>
        <v>0</v>
      </c>
      <c r="AJ247" s="95">
        <f t="shared" si="180"/>
        <v>0</v>
      </c>
      <c r="AK247" s="95">
        <f t="shared" si="180"/>
        <v>0</v>
      </c>
      <c r="AL247" s="95">
        <f t="shared" si="180"/>
        <v>0</v>
      </c>
      <c r="AM247" s="95">
        <f t="shared" si="180"/>
        <v>0</v>
      </c>
      <c r="AN247" s="95">
        <f t="shared" si="180"/>
        <v>0</v>
      </c>
      <c r="AO247" s="95">
        <f t="shared" si="180"/>
        <v>0</v>
      </c>
      <c r="AP247" s="95">
        <f t="shared" si="180"/>
        <v>0</v>
      </c>
      <c r="AQ247" s="95">
        <f t="shared" si="180"/>
        <v>0</v>
      </c>
      <c r="AR247" s="95">
        <f t="shared" si="180"/>
        <v>0</v>
      </c>
      <c r="AS247" s="95">
        <f t="shared" si="180"/>
        <v>0</v>
      </c>
      <c r="AT247" s="95">
        <f t="shared" si="180"/>
        <v>0</v>
      </c>
      <c r="AU247" s="95">
        <f t="shared" si="180"/>
        <v>0</v>
      </c>
      <c r="AV247" s="95">
        <f t="shared" si="180"/>
        <v>0</v>
      </c>
      <c r="AW247" s="95">
        <f t="shared" si="180"/>
        <v>0</v>
      </c>
      <c r="AX247" s="95">
        <f t="shared" si="180"/>
        <v>0</v>
      </c>
      <c r="AY247" s="95">
        <f t="shared" si="180"/>
        <v>0</v>
      </c>
      <c r="AZ247" s="95">
        <f t="shared" si="180"/>
        <v>0</v>
      </c>
      <c r="BA247" s="95">
        <f t="shared" si="180"/>
        <v>0</v>
      </c>
    </row>
    <row r="249" spans="2:53" x14ac:dyDescent="0.2">
      <c r="B249" s="215">
        <f>B243+1</f>
        <v>39</v>
      </c>
    </row>
    <row r="250" spans="2:53" x14ac:dyDescent="0.2">
      <c r="B250" s="94" t="s">
        <v>100</v>
      </c>
      <c r="C250" s="73" t="s">
        <v>75</v>
      </c>
      <c r="D250" s="95">
        <f>0</f>
        <v>0</v>
      </c>
      <c r="E250" s="47">
        <f t="shared" ref="E250:BA250" si="181">D253</f>
        <v>0</v>
      </c>
      <c r="F250" s="47">
        <f t="shared" si="181"/>
        <v>0</v>
      </c>
      <c r="G250" s="47">
        <f t="shared" si="181"/>
        <v>0</v>
      </c>
      <c r="H250" s="47">
        <f t="shared" si="181"/>
        <v>0</v>
      </c>
      <c r="I250" s="47">
        <f t="shared" si="181"/>
        <v>0</v>
      </c>
      <c r="J250" s="47">
        <f t="shared" si="181"/>
        <v>0</v>
      </c>
      <c r="K250" s="47">
        <f t="shared" si="181"/>
        <v>0</v>
      </c>
      <c r="L250" s="47">
        <f t="shared" si="181"/>
        <v>0</v>
      </c>
      <c r="M250" s="47">
        <f t="shared" si="181"/>
        <v>0</v>
      </c>
      <c r="N250" s="47">
        <f t="shared" si="181"/>
        <v>0</v>
      </c>
      <c r="O250" s="47">
        <f t="shared" si="181"/>
        <v>0</v>
      </c>
      <c r="P250" s="47">
        <f t="shared" si="181"/>
        <v>0</v>
      </c>
      <c r="Q250" s="47">
        <f t="shared" si="181"/>
        <v>0</v>
      </c>
      <c r="R250" s="47">
        <f t="shared" si="181"/>
        <v>0</v>
      </c>
      <c r="S250" s="47">
        <f t="shared" si="181"/>
        <v>0</v>
      </c>
      <c r="T250" s="47">
        <f t="shared" si="181"/>
        <v>0</v>
      </c>
      <c r="U250" s="47">
        <f t="shared" si="181"/>
        <v>0</v>
      </c>
      <c r="V250" s="47">
        <f t="shared" si="181"/>
        <v>0</v>
      </c>
      <c r="W250" s="47">
        <f t="shared" si="181"/>
        <v>0</v>
      </c>
      <c r="X250" s="47">
        <f t="shared" si="181"/>
        <v>0</v>
      </c>
      <c r="Y250" s="47">
        <f t="shared" si="181"/>
        <v>0</v>
      </c>
      <c r="Z250" s="47">
        <f t="shared" si="181"/>
        <v>0</v>
      </c>
      <c r="AA250" s="47">
        <f t="shared" si="181"/>
        <v>0</v>
      </c>
      <c r="AB250" s="47">
        <f t="shared" si="181"/>
        <v>0</v>
      </c>
      <c r="AC250" s="47">
        <f t="shared" si="181"/>
        <v>0</v>
      </c>
      <c r="AD250" s="47">
        <f t="shared" si="181"/>
        <v>0</v>
      </c>
      <c r="AE250" s="47">
        <f t="shared" si="181"/>
        <v>0</v>
      </c>
      <c r="AF250" s="47">
        <f t="shared" si="181"/>
        <v>0</v>
      </c>
      <c r="AG250" s="47">
        <f t="shared" si="181"/>
        <v>0</v>
      </c>
      <c r="AH250" s="47">
        <f t="shared" si="181"/>
        <v>0</v>
      </c>
      <c r="AI250" s="47">
        <f t="shared" si="181"/>
        <v>0</v>
      </c>
      <c r="AJ250" s="47">
        <f t="shared" si="181"/>
        <v>0</v>
      </c>
      <c r="AK250" s="47">
        <f t="shared" si="181"/>
        <v>0</v>
      </c>
      <c r="AL250" s="47">
        <f t="shared" si="181"/>
        <v>0</v>
      </c>
      <c r="AM250" s="47">
        <f t="shared" si="181"/>
        <v>0</v>
      </c>
      <c r="AN250" s="47">
        <f t="shared" si="181"/>
        <v>0</v>
      </c>
      <c r="AO250" s="47">
        <f t="shared" si="181"/>
        <v>0</v>
      </c>
      <c r="AP250" s="47">
        <f t="shared" si="181"/>
        <v>0</v>
      </c>
      <c r="AQ250" s="47">
        <f t="shared" si="181"/>
        <v>0</v>
      </c>
      <c r="AR250" s="47">
        <f t="shared" si="181"/>
        <v>0</v>
      </c>
      <c r="AS250" s="47">
        <f t="shared" si="181"/>
        <v>0</v>
      </c>
      <c r="AT250" s="47">
        <f t="shared" si="181"/>
        <v>0</v>
      </c>
      <c r="AU250" s="47">
        <f t="shared" si="181"/>
        <v>0</v>
      </c>
      <c r="AV250" s="47">
        <f t="shared" si="181"/>
        <v>0</v>
      </c>
      <c r="AW250" s="47">
        <f t="shared" si="181"/>
        <v>0</v>
      </c>
      <c r="AX250" s="47">
        <f t="shared" si="181"/>
        <v>0</v>
      </c>
      <c r="AY250" s="47">
        <f t="shared" si="181"/>
        <v>0</v>
      </c>
      <c r="AZ250" s="47">
        <f t="shared" si="181"/>
        <v>0</v>
      </c>
      <c r="BA250" s="47">
        <f t="shared" si="181"/>
        <v>0</v>
      </c>
    </row>
    <row r="251" spans="2:53" x14ac:dyDescent="0.2">
      <c r="B251" s="94" t="s">
        <v>101</v>
      </c>
      <c r="C251" s="73" t="s">
        <v>75</v>
      </c>
      <c r="D251" s="95">
        <f>IF($B249=D$2,D$4,0)</f>
        <v>0</v>
      </c>
      <c r="E251" s="95">
        <f t="shared" ref="E251:BA251" si="182">IF($B249=E$2,E$4,0)</f>
        <v>0</v>
      </c>
      <c r="F251" s="95">
        <f t="shared" si="182"/>
        <v>0</v>
      </c>
      <c r="G251" s="95">
        <f t="shared" si="182"/>
        <v>0</v>
      </c>
      <c r="H251" s="95">
        <f t="shared" si="182"/>
        <v>0</v>
      </c>
      <c r="I251" s="95">
        <f t="shared" si="182"/>
        <v>0</v>
      </c>
      <c r="J251" s="95">
        <f t="shared" si="182"/>
        <v>0</v>
      </c>
      <c r="K251" s="95">
        <f t="shared" si="182"/>
        <v>0</v>
      </c>
      <c r="L251" s="95">
        <f t="shared" si="182"/>
        <v>0</v>
      </c>
      <c r="M251" s="95">
        <f t="shared" si="182"/>
        <v>0</v>
      </c>
      <c r="N251" s="95">
        <f t="shared" si="182"/>
        <v>0</v>
      </c>
      <c r="O251" s="95">
        <f t="shared" si="182"/>
        <v>0</v>
      </c>
      <c r="P251" s="95">
        <f t="shared" si="182"/>
        <v>0</v>
      </c>
      <c r="Q251" s="95">
        <f t="shared" si="182"/>
        <v>0</v>
      </c>
      <c r="R251" s="95">
        <f t="shared" si="182"/>
        <v>0</v>
      </c>
      <c r="S251" s="95">
        <f t="shared" si="182"/>
        <v>0</v>
      </c>
      <c r="T251" s="95">
        <f t="shared" si="182"/>
        <v>0</v>
      </c>
      <c r="U251" s="95">
        <f t="shared" si="182"/>
        <v>0</v>
      </c>
      <c r="V251" s="95">
        <f t="shared" si="182"/>
        <v>0</v>
      </c>
      <c r="W251" s="95">
        <f t="shared" si="182"/>
        <v>0</v>
      </c>
      <c r="X251" s="95">
        <f t="shared" si="182"/>
        <v>0</v>
      </c>
      <c r="Y251" s="95">
        <f t="shared" si="182"/>
        <v>0</v>
      </c>
      <c r="Z251" s="95">
        <f t="shared" si="182"/>
        <v>0</v>
      </c>
      <c r="AA251" s="95">
        <f t="shared" si="182"/>
        <v>0</v>
      </c>
      <c r="AB251" s="95">
        <f t="shared" si="182"/>
        <v>0</v>
      </c>
      <c r="AC251" s="95">
        <f t="shared" si="182"/>
        <v>0</v>
      </c>
      <c r="AD251" s="95">
        <f t="shared" si="182"/>
        <v>0</v>
      </c>
      <c r="AE251" s="95">
        <f t="shared" si="182"/>
        <v>0</v>
      </c>
      <c r="AF251" s="95">
        <f t="shared" si="182"/>
        <v>0</v>
      </c>
      <c r="AG251" s="95">
        <f t="shared" si="182"/>
        <v>0</v>
      </c>
      <c r="AH251" s="95">
        <f t="shared" si="182"/>
        <v>0</v>
      </c>
      <c r="AI251" s="95">
        <f t="shared" si="182"/>
        <v>0</v>
      </c>
      <c r="AJ251" s="95">
        <f t="shared" si="182"/>
        <v>0</v>
      </c>
      <c r="AK251" s="95">
        <f t="shared" si="182"/>
        <v>0</v>
      </c>
      <c r="AL251" s="95">
        <f t="shared" si="182"/>
        <v>0</v>
      </c>
      <c r="AM251" s="95">
        <f t="shared" si="182"/>
        <v>0</v>
      </c>
      <c r="AN251" s="95">
        <f t="shared" si="182"/>
        <v>0</v>
      </c>
      <c r="AO251" s="95">
        <f t="shared" si="182"/>
        <v>0</v>
      </c>
      <c r="AP251" s="95">
        <f t="shared" si="182"/>
        <v>0</v>
      </c>
      <c r="AQ251" s="95">
        <f t="shared" si="182"/>
        <v>0</v>
      </c>
      <c r="AR251" s="95">
        <f t="shared" si="182"/>
        <v>0</v>
      </c>
      <c r="AS251" s="95">
        <f t="shared" si="182"/>
        <v>0</v>
      </c>
      <c r="AT251" s="95">
        <f t="shared" si="182"/>
        <v>0</v>
      </c>
      <c r="AU251" s="95">
        <f t="shared" si="182"/>
        <v>0</v>
      </c>
      <c r="AV251" s="95">
        <f t="shared" si="182"/>
        <v>0</v>
      </c>
      <c r="AW251" s="95">
        <f t="shared" si="182"/>
        <v>0</v>
      </c>
      <c r="AX251" s="95">
        <f t="shared" si="182"/>
        <v>0</v>
      </c>
      <c r="AY251" s="95">
        <f t="shared" si="182"/>
        <v>0</v>
      </c>
      <c r="AZ251" s="95">
        <f t="shared" si="182"/>
        <v>0</v>
      </c>
      <c r="BA251" s="95">
        <f t="shared" si="182"/>
        <v>0</v>
      </c>
    </row>
    <row r="252" spans="2:53" x14ac:dyDescent="0.2">
      <c r="B252" s="76" t="s">
        <v>102</v>
      </c>
      <c r="C252" s="73" t="s">
        <v>75</v>
      </c>
      <c r="D252" s="47"/>
      <c r="E252" s="47">
        <f>IF(OR(D253&lt;=$B$15*$AP$251,F$1-$AQ$1&gt;$B$13),0,-IF($B$12="straight line",SLN($AP$251,+$B$15*$AP$251,$B$13),VDB($AP$251,$B$15*$AP$251,$B$13,E$1-$AQ$1,F$1-$AQ$1,$B$14)))</f>
        <v>0</v>
      </c>
      <c r="F252" s="47">
        <f t="shared" ref="F252:BA252" si="183">IF(OR(E253&lt;=$B$15*$AP$251,G$1-$AQ$1&gt;$B$13),0,-IF($B$12="straight line",SLN($AP$251,+$B$15*$AP$251,$B$13),VDB($AP$251,$B$15*$AP$251,$B$13,F$1-$AQ$1,G$1-$AQ$1,$B$14)))</f>
        <v>0</v>
      </c>
      <c r="G252" s="47">
        <f t="shared" si="183"/>
        <v>0</v>
      </c>
      <c r="H252" s="47">
        <f t="shared" si="183"/>
        <v>0</v>
      </c>
      <c r="I252" s="47">
        <f t="shared" si="183"/>
        <v>0</v>
      </c>
      <c r="J252" s="47">
        <f t="shared" si="183"/>
        <v>0</v>
      </c>
      <c r="K252" s="47">
        <f t="shared" si="183"/>
        <v>0</v>
      </c>
      <c r="L252" s="47">
        <f t="shared" si="183"/>
        <v>0</v>
      </c>
      <c r="M252" s="47">
        <f t="shared" si="183"/>
        <v>0</v>
      </c>
      <c r="N252" s="47">
        <f t="shared" si="183"/>
        <v>0</v>
      </c>
      <c r="O252" s="47">
        <f t="shared" si="183"/>
        <v>0</v>
      </c>
      <c r="P252" s="47">
        <f t="shared" si="183"/>
        <v>0</v>
      </c>
      <c r="Q252" s="47">
        <f t="shared" si="183"/>
        <v>0</v>
      </c>
      <c r="R252" s="47">
        <f t="shared" si="183"/>
        <v>0</v>
      </c>
      <c r="S252" s="47">
        <f t="shared" si="183"/>
        <v>0</v>
      </c>
      <c r="T252" s="47">
        <f t="shared" si="183"/>
        <v>0</v>
      </c>
      <c r="U252" s="47">
        <f t="shared" si="183"/>
        <v>0</v>
      </c>
      <c r="V252" s="47">
        <f t="shared" si="183"/>
        <v>0</v>
      </c>
      <c r="W252" s="47">
        <f t="shared" si="183"/>
        <v>0</v>
      </c>
      <c r="X252" s="47">
        <f t="shared" si="183"/>
        <v>0</v>
      </c>
      <c r="Y252" s="47">
        <f t="shared" si="183"/>
        <v>0</v>
      </c>
      <c r="Z252" s="47">
        <f t="shared" si="183"/>
        <v>0</v>
      </c>
      <c r="AA252" s="47">
        <f t="shared" si="183"/>
        <v>0</v>
      </c>
      <c r="AB252" s="47">
        <f t="shared" si="183"/>
        <v>0</v>
      </c>
      <c r="AC252" s="47">
        <f t="shared" si="183"/>
        <v>0</v>
      </c>
      <c r="AD252" s="47">
        <f t="shared" si="183"/>
        <v>0</v>
      </c>
      <c r="AE252" s="47">
        <f t="shared" si="183"/>
        <v>0</v>
      </c>
      <c r="AF252" s="47">
        <f t="shared" si="183"/>
        <v>0</v>
      </c>
      <c r="AG252" s="47">
        <f t="shared" si="183"/>
        <v>0</v>
      </c>
      <c r="AH252" s="47">
        <f t="shared" si="183"/>
        <v>0</v>
      </c>
      <c r="AI252" s="47">
        <f t="shared" si="183"/>
        <v>0</v>
      </c>
      <c r="AJ252" s="47">
        <f t="shared" si="183"/>
        <v>0</v>
      </c>
      <c r="AK252" s="47">
        <f t="shared" si="183"/>
        <v>0</v>
      </c>
      <c r="AL252" s="47">
        <f t="shared" si="183"/>
        <v>0</v>
      </c>
      <c r="AM252" s="47">
        <f t="shared" si="183"/>
        <v>0</v>
      </c>
      <c r="AN252" s="47">
        <f t="shared" si="183"/>
        <v>0</v>
      </c>
      <c r="AO252" s="47">
        <f t="shared" si="183"/>
        <v>0</v>
      </c>
      <c r="AP252" s="47">
        <f t="shared" si="183"/>
        <v>0</v>
      </c>
      <c r="AQ252" s="47">
        <f t="shared" si="183"/>
        <v>0</v>
      </c>
      <c r="AR252" s="47">
        <f t="shared" si="183"/>
        <v>0</v>
      </c>
      <c r="AS252" s="47">
        <f t="shared" si="183"/>
        <v>0</v>
      </c>
      <c r="AT252" s="47">
        <f t="shared" si="183"/>
        <v>0</v>
      </c>
      <c r="AU252" s="47">
        <f t="shared" si="183"/>
        <v>0</v>
      </c>
      <c r="AV252" s="47">
        <f t="shared" si="183"/>
        <v>0</v>
      </c>
      <c r="AW252" s="47">
        <f t="shared" si="183"/>
        <v>0</v>
      </c>
      <c r="AX252" s="47">
        <f t="shared" si="183"/>
        <v>0</v>
      </c>
      <c r="AY252" s="47">
        <f t="shared" si="183"/>
        <v>0</v>
      </c>
      <c r="AZ252" s="47">
        <f t="shared" si="183"/>
        <v>0</v>
      </c>
      <c r="BA252" s="47">
        <f t="shared" si="183"/>
        <v>0</v>
      </c>
    </row>
    <row r="253" spans="2:53" x14ac:dyDescent="0.2">
      <c r="B253" s="76" t="s">
        <v>103</v>
      </c>
      <c r="C253" s="73" t="s">
        <v>75</v>
      </c>
      <c r="D253" s="95">
        <f>SUM(D250:D252)</f>
        <v>0</v>
      </c>
      <c r="E253" s="95">
        <f t="shared" ref="E253:BA253" si="184">SUM(E250:E252)</f>
        <v>0</v>
      </c>
      <c r="F253" s="95">
        <f t="shared" si="184"/>
        <v>0</v>
      </c>
      <c r="G253" s="95">
        <f t="shared" si="184"/>
        <v>0</v>
      </c>
      <c r="H253" s="95">
        <f t="shared" si="184"/>
        <v>0</v>
      </c>
      <c r="I253" s="95">
        <f t="shared" si="184"/>
        <v>0</v>
      </c>
      <c r="J253" s="95">
        <f t="shared" si="184"/>
        <v>0</v>
      </c>
      <c r="K253" s="95">
        <f t="shared" si="184"/>
        <v>0</v>
      </c>
      <c r="L253" s="95">
        <f t="shared" si="184"/>
        <v>0</v>
      </c>
      <c r="M253" s="95">
        <f t="shared" si="184"/>
        <v>0</v>
      </c>
      <c r="N253" s="95">
        <f t="shared" si="184"/>
        <v>0</v>
      </c>
      <c r="O253" s="95">
        <f t="shared" si="184"/>
        <v>0</v>
      </c>
      <c r="P253" s="95">
        <f t="shared" si="184"/>
        <v>0</v>
      </c>
      <c r="Q253" s="95">
        <f t="shared" si="184"/>
        <v>0</v>
      </c>
      <c r="R253" s="95">
        <f t="shared" si="184"/>
        <v>0</v>
      </c>
      <c r="S253" s="95">
        <f t="shared" si="184"/>
        <v>0</v>
      </c>
      <c r="T253" s="95">
        <f t="shared" si="184"/>
        <v>0</v>
      </c>
      <c r="U253" s="95">
        <f t="shared" si="184"/>
        <v>0</v>
      </c>
      <c r="V253" s="95">
        <f t="shared" si="184"/>
        <v>0</v>
      </c>
      <c r="W253" s="95">
        <f t="shared" si="184"/>
        <v>0</v>
      </c>
      <c r="X253" s="95">
        <f t="shared" si="184"/>
        <v>0</v>
      </c>
      <c r="Y253" s="95">
        <f t="shared" si="184"/>
        <v>0</v>
      </c>
      <c r="Z253" s="95">
        <f t="shared" si="184"/>
        <v>0</v>
      </c>
      <c r="AA253" s="95">
        <f t="shared" si="184"/>
        <v>0</v>
      </c>
      <c r="AB253" s="95">
        <f t="shared" si="184"/>
        <v>0</v>
      </c>
      <c r="AC253" s="95">
        <f t="shared" si="184"/>
        <v>0</v>
      </c>
      <c r="AD253" s="95">
        <f t="shared" si="184"/>
        <v>0</v>
      </c>
      <c r="AE253" s="95">
        <f t="shared" si="184"/>
        <v>0</v>
      </c>
      <c r="AF253" s="95">
        <f t="shared" si="184"/>
        <v>0</v>
      </c>
      <c r="AG253" s="95">
        <f t="shared" si="184"/>
        <v>0</v>
      </c>
      <c r="AH253" s="95">
        <f t="shared" si="184"/>
        <v>0</v>
      </c>
      <c r="AI253" s="95">
        <f t="shared" si="184"/>
        <v>0</v>
      </c>
      <c r="AJ253" s="95">
        <f t="shared" si="184"/>
        <v>0</v>
      </c>
      <c r="AK253" s="95">
        <f t="shared" si="184"/>
        <v>0</v>
      </c>
      <c r="AL253" s="95">
        <f t="shared" si="184"/>
        <v>0</v>
      </c>
      <c r="AM253" s="95">
        <f t="shared" si="184"/>
        <v>0</v>
      </c>
      <c r="AN253" s="95">
        <f t="shared" si="184"/>
        <v>0</v>
      </c>
      <c r="AO253" s="95">
        <f t="shared" si="184"/>
        <v>0</v>
      </c>
      <c r="AP253" s="95">
        <f t="shared" si="184"/>
        <v>0</v>
      </c>
      <c r="AQ253" s="95">
        <f t="shared" si="184"/>
        <v>0</v>
      </c>
      <c r="AR253" s="95">
        <f t="shared" si="184"/>
        <v>0</v>
      </c>
      <c r="AS253" s="95">
        <f t="shared" si="184"/>
        <v>0</v>
      </c>
      <c r="AT253" s="95">
        <f t="shared" si="184"/>
        <v>0</v>
      </c>
      <c r="AU253" s="95">
        <f t="shared" si="184"/>
        <v>0</v>
      </c>
      <c r="AV253" s="95">
        <f t="shared" si="184"/>
        <v>0</v>
      </c>
      <c r="AW253" s="95">
        <f t="shared" si="184"/>
        <v>0</v>
      </c>
      <c r="AX253" s="95">
        <f t="shared" si="184"/>
        <v>0</v>
      </c>
      <c r="AY253" s="95">
        <f t="shared" si="184"/>
        <v>0</v>
      </c>
      <c r="AZ253" s="95">
        <f t="shared" si="184"/>
        <v>0</v>
      </c>
      <c r="BA253" s="95">
        <f t="shared" si="184"/>
        <v>0</v>
      </c>
    </row>
    <row r="255" spans="2:53" x14ac:dyDescent="0.2">
      <c r="B255" s="215">
        <f>B249+1</f>
        <v>40</v>
      </c>
    </row>
    <row r="256" spans="2:53" x14ac:dyDescent="0.2">
      <c r="B256" s="94" t="s">
        <v>100</v>
      </c>
      <c r="C256" s="73" t="s">
        <v>75</v>
      </c>
      <c r="D256" s="95">
        <f>0</f>
        <v>0</v>
      </c>
      <c r="E256" s="47">
        <f t="shared" ref="E256:BA256" si="185">D259</f>
        <v>0</v>
      </c>
      <c r="F256" s="47">
        <f t="shared" si="185"/>
        <v>0</v>
      </c>
      <c r="G256" s="47">
        <f t="shared" si="185"/>
        <v>0</v>
      </c>
      <c r="H256" s="47">
        <f t="shared" si="185"/>
        <v>0</v>
      </c>
      <c r="I256" s="47">
        <f t="shared" si="185"/>
        <v>0</v>
      </c>
      <c r="J256" s="47">
        <f t="shared" si="185"/>
        <v>0</v>
      </c>
      <c r="K256" s="47">
        <f t="shared" si="185"/>
        <v>0</v>
      </c>
      <c r="L256" s="47">
        <f t="shared" si="185"/>
        <v>0</v>
      </c>
      <c r="M256" s="47">
        <f t="shared" si="185"/>
        <v>0</v>
      </c>
      <c r="N256" s="47">
        <f t="shared" si="185"/>
        <v>0</v>
      </c>
      <c r="O256" s="47">
        <f t="shared" si="185"/>
        <v>0</v>
      </c>
      <c r="P256" s="47">
        <f t="shared" si="185"/>
        <v>0</v>
      </c>
      <c r="Q256" s="47">
        <f t="shared" si="185"/>
        <v>0</v>
      </c>
      <c r="R256" s="47">
        <f t="shared" si="185"/>
        <v>0</v>
      </c>
      <c r="S256" s="47">
        <f t="shared" si="185"/>
        <v>0</v>
      </c>
      <c r="T256" s="47">
        <f t="shared" si="185"/>
        <v>0</v>
      </c>
      <c r="U256" s="47">
        <f t="shared" si="185"/>
        <v>0</v>
      </c>
      <c r="V256" s="47">
        <f t="shared" si="185"/>
        <v>0</v>
      </c>
      <c r="W256" s="47">
        <f t="shared" si="185"/>
        <v>0</v>
      </c>
      <c r="X256" s="47">
        <f t="shared" si="185"/>
        <v>0</v>
      </c>
      <c r="Y256" s="47">
        <f t="shared" si="185"/>
        <v>0</v>
      </c>
      <c r="Z256" s="47">
        <f t="shared" si="185"/>
        <v>0</v>
      </c>
      <c r="AA256" s="47">
        <f t="shared" si="185"/>
        <v>0</v>
      </c>
      <c r="AB256" s="47">
        <f t="shared" si="185"/>
        <v>0</v>
      </c>
      <c r="AC256" s="47">
        <f t="shared" si="185"/>
        <v>0</v>
      </c>
      <c r="AD256" s="47">
        <f t="shared" si="185"/>
        <v>0</v>
      </c>
      <c r="AE256" s="47">
        <f t="shared" si="185"/>
        <v>0</v>
      </c>
      <c r="AF256" s="47">
        <f t="shared" si="185"/>
        <v>0</v>
      </c>
      <c r="AG256" s="47">
        <f t="shared" si="185"/>
        <v>0</v>
      </c>
      <c r="AH256" s="47">
        <f t="shared" si="185"/>
        <v>0</v>
      </c>
      <c r="AI256" s="47">
        <f t="shared" si="185"/>
        <v>0</v>
      </c>
      <c r="AJ256" s="47">
        <f t="shared" si="185"/>
        <v>0</v>
      </c>
      <c r="AK256" s="47">
        <f t="shared" si="185"/>
        <v>0</v>
      </c>
      <c r="AL256" s="47">
        <f t="shared" si="185"/>
        <v>0</v>
      </c>
      <c r="AM256" s="47">
        <f t="shared" si="185"/>
        <v>0</v>
      </c>
      <c r="AN256" s="47">
        <f t="shared" si="185"/>
        <v>0</v>
      </c>
      <c r="AO256" s="47">
        <f t="shared" si="185"/>
        <v>0</v>
      </c>
      <c r="AP256" s="47">
        <f t="shared" si="185"/>
        <v>0</v>
      </c>
      <c r="AQ256" s="47">
        <f t="shared" si="185"/>
        <v>0</v>
      </c>
      <c r="AR256" s="47">
        <f t="shared" si="185"/>
        <v>0</v>
      </c>
      <c r="AS256" s="47">
        <f t="shared" si="185"/>
        <v>0</v>
      </c>
      <c r="AT256" s="47">
        <f t="shared" si="185"/>
        <v>0</v>
      </c>
      <c r="AU256" s="47">
        <f t="shared" si="185"/>
        <v>0</v>
      </c>
      <c r="AV256" s="47">
        <f t="shared" si="185"/>
        <v>0</v>
      </c>
      <c r="AW256" s="47">
        <f t="shared" si="185"/>
        <v>0</v>
      </c>
      <c r="AX256" s="47">
        <f t="shared" si="185"/>
        <v>0</v>
      </c>
      <c r="AY256" s="47">
        <f t="shared" si="185"/>
        <v>0</v>
      </c>
      <c r="AZ256" s="47">
        <f t="shared" si="185"/>
        <v>0</v>
      </c>
      <c r="BA256" s="47">
        <f t="shared" si="185"/>
        <v>0</v>
      </c>
    </row>
    <row r="257" spans="2:53" x14ac:dyDescent="0.2">
      <c r="B257" s="94" t="s">
        <v>101</v>
      </c>
      <c r="C257" s="73" t="s">
        <v>75</v>
      </c>
      <c r="D257" s="95">
        <f>IF($B255=D$2,D$4,0)</f>
        <v>0</v>
      </c>
      <c r="E257" s="95">
        <f t="shared" ref="E257:BA257" si="186">IF($B255=E$2,E$4,0)</f>
        <v>0</v>
      </c>
      <c r="F257" s="95">
        <f t="shared" si="186"/>
        <v>0</v>
      </c>
      <c r="G257" s="95">
        <f t="shared" si="186"/>
        <v>0</v>
      </c>
      <c r="H257" s="95">
        <f t="shared" si="186"/>
        <v>0</v>
      </c>
      <c r="I257" s="95">
        <f t="shared" si="186"/>
        <v>0</v>
      </c>
      <c r="J257" s="95">
        <f t="shared" si="186"/>
        <v>0</v>
      </c>
      <c r="K257" s="95">
        <f t="shared" si="186"/>
        <v>0</v>
      </c>
      <c r="L257" s="95">
        <f t="shared" si="186"/>
        <v>0</v>
      </c>
      <c r="M257" s="95">
        <f t="shared" si="186"/>
        <v>0</v>
      </c>
      <c r="N257" s="95">
        <f t="shared" si="186"/>
        <v>0</v>
      </c>
      <c r="O257" s="95">
        <f t="shared" si="186"/>
        <v>0</v>
      </c>
      <c r="P257" s="95">
        <f t="shared" si="186"/>
        <v>0</v>
      </c>
      <c r="Q257" s="95">
        <f t="shared" si="186"/>
        <v>0</v>
      </c>
      <c r="R257" s="95">
        <f t="shared" si="186"/>
        <v>0</v>
      </c>
      <c r="S257" s="95">
        <f t="shared" si="186"/>
        <v>0</v>
      </c>
      <c r="T257" s="95">
        <f t="shared" si="186"/>
        <v>0</v>
      </c>
      <c r="U257" s="95">
        <f t="shared" si="186"/>
        <v>0</v>
      </c>
      <c r="V257" s="95">
        <f t="shared" si="186"/>
        <v>0</v>
      </c>
      <c r="W257" s="95">
        <f t="shared" si="186"/>
        <v>0</v>
      </c>
      <c r="X257" s="95">
        <f t="shared" si="186"/>
        <v>0</v>
      </c>
      <c r="Y257" s="95">
        <f t="shared" si="186"/>
        <v>0</v>
      </c>
      <c r="Z257" s="95">
        <f t="shared" si="186"/>
        <v>0</v>
      </c>
      <c r="AA257" s="95">
        <f t="shared" si="186"/>
        <v>0</v>
      </c>
      <c r="AB257" s="95">
        <f t="shared" si="186"/>
        <v>0</v>
      </c>
      <c r="AC257" s="95">
        <f t="shared" si="186"/>
        <v>0</v>
      </c>
      <c r="AD257" s="95">
        <f t="shared" si="186"/>
        <v>0</v>
      </c>
      <c r="AE257" s="95">
        <f t="shared" si="186"/>
        <v>0</v>
      </c>
      <c r="AF257" s="95">
        <f t="shared" si="186"/>
        <v>0</v>
      </c>
      <c r="AG257" s="95">
        <f t="shared" si="186"/>
        <v>0</v>
      </c>
      <c r="AH257" s="95">
        <f t="shared" si="186"/>
        <v>0</v>
      </c>
      <c r="AI257" s="95">
        <f t="shared" si="186"/>
        <v>0</v>
      </c>
      <c r="AJ257" s="95">
        <f t="shared" si="186"/>
        <v>0</v>
      </c>
      <c r="AK257" s="95">
        <f t="shared" si="186"/>
        <v>0</v>
      </c>
      <c r="AL257" s="95">
        <f t="shared" si="186"/>
        <v>0</v>
      </c>
      <c r="AM257" s="95">
        <f t="shared" si="186"/>
        <v>0</v>
      </c>
      <c r="AN257" s="95">
        <f t="shared" si="186"/>
        <v>0</v>
      </c>
      <c r="AO257" s="95">
        <f t="shared" si="186"/>
        <v>0</v>
      </c>
      <c r="AP257" s="95">
        <f t="shared" si="186"/>
        <v>0</v>
      </c>
      <c r="AQ257" s="95">
        <f t="shared" si="186"/>
        <v>0</v>
      </c>
      <c r="AR257" s="95">
        <f t="shared" si="186"/>
        <v>0</v>
      </c>
      <c r="AS257" s="95">
        <f t="shared" si="186"/>
        <v>0</v>
      </c>
      <c r="AT257" s="95">
        <f t="shared" si="186"/>
        <v>0</v>
      </c>
      <c r="AU257" s="95">
        <f t="shared" si="186"/>
        <v>0</v>
      </c>
      <c r="AV257" s="95">
        <f t="shared" si="186"/>
        <v>0</v>
      </c>
      <c r="AW257" s="95">
        <f t="shared" si="186"/>
        <v>0</v>
      </c>
      <c r="AX257" s="95">
        <f t="shared" si="186"/>
        <v>0</v>
      </c>
      <c r="AY257" s="95">
        <f t="shared" si="186"/>
        <v>0</v>
      </c>
      <c r="AZ257" s="95">
        <f t="shared" si="186"/>
        <v>0</v>
      </c>
      <c r="BA257" s="95">
        <f t="shared" si="186"/>
        <v>0</v>
      </c>
    </row>
    <row r="258" spans="2:53" x14ac:dyDescent="0.2">
      <c r="B258" s="76" t="s">
        <v>102</v>
      </c>
      <c r="C258" s="73" t="s">
        <v>75</v>
      </c>
      <c r="D258" s="47"/>
      <c r="E258" s="47">
        <f>IF(OR(D259&lt;=$B$15*$AQ$257,F$1-$AR$1&gt;$B$13),0,-IF($B$12="straight line",SLN($AQ$257,+$B$15*$AQ$257,$B$13),VDB($AQ$257,$B$15*$AQ$257,$B$13,E$1-$AR$1,F$1-$AR$1,$B$14)))</f>
        <v>0</v>
      </c>
      <c r="F258" s="47">
        <f t="shared" ref="F258:BA258" si="187">IF(OR(E259&lt;=$B$15*$AQ$257,G$1-$AR$1&gt;$B$13),0,-IF($B$12="straight line",SLN($AQ$257,+$B$15*$AQ$257,$B$13),VDB($AQ$257,$B$15*$AQ$257,$B$13,F$1-$AR$1,G$1-$AR$1,$B$14)))</f>
        <v>0</v>
      </c>
      <c r="G258" s="47">
        <f t="shared" si="187"/>
        <v>0</v>
      </c>
      <c r="H258" s="47">
        <f t="shared" si="187"/>
        <v>0</v>
      </c>
      <c r="I258" s="47">
        <f t="shared" si="187"/>
        <v>0</v>
      </c>
      <c r="J258" s="47">
        <f t="shared" si="187"/>
        <v>0</v>
      </c>
      <c r="K258" s="47">
        <f t="shared" si="187"/>
        <v>0</v>
      </c>
      <c r="L258" s="47">
        <f t="shared" si="187"/>
        <v>0</v>
      </c>
      <c r="M258" s="47">
        <f t="shared" si="187"/>
        <v>0</v>
      </c>
      <c r="N258" s="47">
        <f t="shared" si="187"/>
        <v>0</v>
      </c>
      <c r="O258" s="47">
        <f t="shared" si="187"/>
        <v>0</v>
      </c>
      <c r="P258" s="47">
        <f t="shared" si="187"/>
        <v>0</v>
      </c>
      <c r="Q258" s="47">
        <f t="shared" si="187"/>
        <v>0</v>
      </c>
      <c r="R258" s="47">
        <f t="shared" si="187"/>
        <v>0</v>
      </c>
      <c r="S258" s="47">
        <f t="shared" si="187"/>
        <v>0</v>
      </c>
      <c r="T258" s="47">
        <f t="shared" si="187"/>
        <v>0</v>
      </c>
      <c r="U258" s="47">
        <f t="shared" si="187"/>
        <v>0</v>
      </c>
      <c r="V258" s="47">
        <f t="shared" si="187"/>
        <v>0</v>
      </c>
      <c r="W258" s="47">
        <f t="shared" si="187"/>
        <v>0</v>
      </c>
      <c r="X258" s="47">
        <f t="shared" si="187"/>
        <v>0</v>
      </c>
      <c r="Y258" s="47">
        <f t="shared" si="187"/>
        <v>0</v>
      </c>
      <c r="Z258" s="47">
        <f t="shared" si="187"/>
        <v>0</v>
      </c>
      <c r="AA258" s="47">
        <f t="shared" si="187"/>
        <v>0</v>
      </c>
      <c r="AB258" s="47">
        <f t="shared" si="187"/>
        <v>0</v>
      </c>
      <c r="AC258" s="47">
        <f t="shared" si="187"/>
        <v>0</v>
      </c>
      <c r="AD258" s="47">
        <f t="shared" si="187"/>
        <v>0</v>
      </c>
      <c r="AE258" s="47">
        <f t="shared" si="187"/>
        <v>0</v>
      </c>
      <c r="AF258" s="47">
        <f t="shared" si="187"/>
        <v>0</v>
      </c>
      <c r="AG258" s="47">
        <f t="shared" si="187"/>
        <v>0</v>
      </c>
      <c r="AH258" s="47">
        <f t="shared" si="187"/>
        <v>0</v>
      </c>
      <c r="AI258" s="47">
        <f t="shared" si="187"/>
        <v>0</v>
      </c>
      <c r="AJ258" s="47">
        <f t="shared" si="187"/>
        <v>0</v>
      </c>
      <c r="AK258" s="47">
        <f t="shared" si="187"/>
        <v>0</v>
      </c>
      <c r="AL258" s="47">
        <f t="shared" si="187"/>
        <v>0</v>
      </c>
      <c r="AM258" s="47">
        <f t="shared" si="187"/>
        <v>0</v>
      </c>
      <c r="AN258" s="47">
        <f t="shared" si="187"/>
        <v>0</v>
      </c>
      <c r="AO258" s="47">
        <f t="shared" si="187"/>
        <v>0</v>
      </c>
      <c r="AP258" s="47">
        <f t="shared" si="187"/>
        <v>0</v>
      </c>
      <c r="AQ258" s="47">
        <f t="shared" si="187"/>
        <v>0</v>
      </c>
      <c r="AR258" s="47">
        <f t="shared" si="187"/>
        <v>0</v>
      </c>
      <c r="AS258" s="47">
        <f t="shared" si="187"/>
        <v>0</v>
      </c>
      <c r="AT258" s="47">
        <f t="shared" si="187"/>
        <v>0</v>
      </c>
      <c r="AU258" s="47">
        <f t="shared" si="187"/>
        <v>0</v>
      </c>
      <c r="AV258" s="47">
        <f t="shared" si="187"/>
        <v>0</v>
      </c>
      <c r="AW258" s="47">
        <f t="shared" si="187"/>
        <v>0</v>
      </c>
      <c r="AX258" s="47">
        <f t="shared" si="187"/>
        <v>0</v>
      </c>
      <c r="AY258" s="47">
        <f t="shared" si="187"/>
        <v>0</v>
      </c>
      <c r="AZ258" s="47">
        <f t="shared" si="187"/>
        <v>0</v>
      </c>
      <c r="BA258" s="47">
        <f t="shared" si="187"/>
        <v>0</v>
      </c>
    </row>
    <row r="259" spans="2:53" x14ac:dyDescent="0.2">
      <c r="B259" s="76" t="s">
        <v>103</v>
      </c>
      <c r="C259" s="73" t="s">
        <v>75</v>
      </c>
      <c r="D259" s="95">
        <f>SUM(D256:D258)</f>
        <v>0</v>
      </c>
      <c r="E259" s="95">
        <f t="shared" ref="E259:BA259" si="188">SUM(E256:E258)</f>
        <v>0</v>
      </c>
      <c r="F259" s="95">
        <f t="shared" si="188"/>
        <v>0</v>
      </c>
      <c r="G259" s="95">
        <f t="shared" si="188"/>
        <v>0</v>
      </c>
      <c r="H259" s="95">
        <f t="shared" si="188"/>
        <v>0</v>
      </c>
      <c r="I259" s="95">
        <f t="shared" si="188"/>
        <v>0</v>
      </c>
      <c r="J259" s="95">
        <f t="shared" si="188"/>
        <v>0</v>
      </c>
      <c r="K259" s="95">
        <f t="shared" si="188"/>
        <v>0</v>
      </c>
      <c r="L259" s="95">
        <f t="shared" si="188"/>
        <v>0</v>
      </c>
      <c r="M259" s="95">
        <f t="shared" si="188"/>
        <v>0</v>
      </c>
      <c r="N259" s="95">
        <f t="shared" si="188"/>
        <v>0</v>
      </c>
      <c r="O259" s="95">
        <f t="shared" si="188"/>
        <v>0</v>
      </c>
      <c r="P259" s="95">
        <f t="shared" si="188"/>
        <v>0</v>
      </c>
      <c r="Q259" s="95">
        <f t="shared" si="188"/>
        <v>0</v>
      </c>
      <c r="R259" s="95">
        <f t="shared" si="188"/>
        <v>0</v>
      </c>
      <c r="S259" s="95">
        <f t="shared" si="188"/>
        <v>0</v>
      </c>
      <c r="T259" s="95">
        <f t="shared" si="188"/>
        <v>0</v>
      </c>
      <c r="U259" s="95">
        <f t="shared" si="188"/>
        <v>0</v>
      </c>
      <c r="V259" s="95">
        <f t="shared" si="188"/>
        <v>0</v>
      </c>
      <c r="W259" s="95">
        <f t="shared" si="188"/>
        <v>0</v>
      </c>
      <c r="X259" s="95">
        <f t="shared" si="188"/>
        <v>0</v>
      </c>
      <c r="Y259" s="95">
        <f t="shared" si="188"/>
        <v>0</v>
      </c>
      <c r="Z259" s="95">
        <f t="shared" si="188"/>
        <v>0</v>
      </c>
      <c r="AA259" s="95">
        <f t="shared" si="188"/>
        <v>0</v>
      </c>
      <c r="AB259" s="95">
        <f t="shared" si="188"/>
        <v>0</v>
      </c>
      <c r="AC259" s="95">
        <f t="shared" si="188"/>
        <v>0</v>
      </c>
      <c r="AD259" s="95">
        <f t="shared" si="188"/>
        <v>0</v>
      </c>
      <c r="AE259" s="95">
        <f t="shared" si="188"/>
        <v>0</v>
      </c>
      <c r="AF259" s="95">
        <f t="shared" si="188"/>
        <v>0</v>
      </c>
      <c r="AG259" s="95">
        <f t="shared" si="188"/>
        <v>0</v>
      </c>
      <c r="AH259" s="95">
        <f t="shared" si="188"/>
        <v>0</v>
      </c>
      <c r="AI259" s="95">
        <f t="shared" si="188"/>
        <v>0</v>
      </c>
      <c r="AJ259" s="95">
        <f t="shared" si="188"/>
        <v>0</v>
      </c>
      <c r="AK259" s="95">
        <f t="shared" si="188"/>
        <v>0</v>
      </c>
      <c r="AL259" s="95">
        <f t="shared" si="188"/>
        <v>0</v>
      </c>
      <c r="AM259" s="95">
        <f t="shared" si="188"/>
        <v>0</v>
      </c>
      <c r="AN259" s="95">
        <f t="shared" si="188"/>
        <v>0</v>
      </c>
      <c r="AO259" s="95">
        <f t="shared" si="188"/>
        <v>0</v>
      </c>
      <c r="AP259" s="95">
        <f t="shared" si="188"/>
        <v>0</v>
      </c>
      <c r="AQ259" s="95">
        <f t="shared" si="188"/>
        <v>0</v>
      </c>
      <c r="AR259" s="95">
        <f t="shared" si="188"/>
        <v>0</v>
      </c>
      <c r="AS259" s="95">
        <f t="shared" si="188"/>
        <v>0</v>
      </c>
      <c r="AT259" s="95">
        <f t="shared" si="188"/>
        <v>0</v>
      </c>
      <c r="AU259" s="95">
        <f t="shared" si="188"/>
        <v>0</v>
      </c>
      <c r="AV259" s="95">
        <f t="shared" si="188"/>
        <v>0</v>
      </c>
      <c r="AW259" s="95">
        <f t="shared" si="188"/>
        <v>0</v>
      </c>
      <c r="AX259" s="95">
        <f t="shared" si="188"/>
        <v>0</v>
      </c>
      <c r="AY259" s="95">
        <f t="shared" si="188"/>
        <v>0</v>
      </c>
      <c r="AZ259" s="95">
        <f t="shared" si="188"/>
        <v>0</v>
      </c>
      <c r="BA259" s="95">
        <f t="shared" si="188"/>
        <v>0</v>
      </c>
    </row>
    <row r="261" spans="2:53" x14ac:dyDescent="0.2">
      <c r="B261" s="215">
        <f>B255+1</f>
        <v>41</v>
      </c>
    </row>
    <row r="262" spans="2:53" x14ac:dyDescent="0.2">
      <c r="B262" s="94" t="s">
        <v>100</v>
      </c>
      <c r="C262" s="73" t="s">
        <v>75</v>
      </c>
      <c r="D262" s="95">
        <f>0</f>
        <v>0</v>
      </c>
      <c r="E262" s="47">
        <f t="shared" ref="E262:BA262" si="189">D265</f>
        <v>0</v>
      </c>
      <c r="F262" s="47">
        <f t="shared" si="189"/>
        <v>0</v>
      </c>
      <c r="G262" s="47">
        <f t="shared" si="189"/>
        <v>0</v>
      </c>
      <c r="H262" s="47">
        <f t="shared" si="189"/>
        <v>0</v>
      </c>
      <c r="I262" s="47">
        <f t="shared" si="189"/>
        <v>0</v>
      </c>
      <c r="J262" s="47">
        <f t="shared" si="189"/>
        <v>0</v>
      </c>
      <c r="K262" s="47">
        <f t="shared" si="189"/>
        <v>0</v>
      </c>
      <c r="L262" s="47">
        <f t="shared" si="189"/>
        <v>0</v>
      </c>
      <c r="M262" s="47">
        <f t="shared" si="189"/>
        <v>0</v>
      </c>
      <c r="N262" s="47">
        <f t="shared" si="189"/>
        <v>0</v>
      </c>
      <c r="O262" s="47">
        <f t="shared" si="189"/>
        <v>0</v>
      </c>
      <c r="P262" s="47">
        <f t="shared" si="189"/>
        <v>0</v>
      </c>
      <c r="Q262" s="47">
        <f t="shared" si="189"/>
        <v>0</v>
      </c>
      <c r="R262" s="47">
        <f t="shared" si="189"/>
        <v>0</v>
      </c>
      <c r="S262" s="47">
        <f t="shared" si="189"/>
        <v>0</v>
      </c>
      <c r="T262" s="47">
        <f t="shared" si="189"/>
        <v>0</v>
      </c>
      <c r="U262" s="47">
        <f t="shared" si="189"/>
        <v>0</v>
      </c>
      <c r="V262" s="47">
        <f t="shared" si="189"/>
        <v>0</v>
      </c>
      <c r="W262" s="47">
        <f t="shared" si="189"/>
        <v>0</v>
      </c>
      <c r="X262" s="47">
        <f t="shared" si="189"/>
        <v>0</v>
      </c>
      <c r="Y262" s="47">
        <f t="shared" si="189"/>
        <v>0</v>
      </c>
      <c r="Z262" s="47">
        <f t="shared" si="189"/>
        <v>0</v>
      </c>
      <c r="AA262" s="47">
        <f t="shared" si="189"/>
        <v>0</v>
      </c>
      <c r="AB262" s="47">
        <f t="shared" si="189"/>
        <v>0</v>
      </c>
      <c r="AC262" s="47">
        <f t="shared" si="189"/>
        <v>0</v>
      </c>
      <c r="AD262" s="47">
        <f t="shared" si="189"/>
        <v>0</v>
      </c>
      <c r="AE262" s="47">
        <f t="shared" si="189"/>
        <v>0</v>
      </c>
      <c r="AF262" s="47">
        <f t="shared" si="189"/>
        <v>0</v>
      </c>
      <c r="AG262" s="47">
        <f t="shared" si="189"/>
        <v>0</v>
      </c>
      <c r="AH262" s="47">
        <f t="shared" si="189"/>
        <v>0</v>
      </c>
      <c r="AI262" s="47">
        <f t="shared" si="189"/>
        <v>0</v>
      </c>
      <c r="AJ262" s="47">
        <f t="shared" si="189"/>
        <v>0</v>
      </c>
      <c r="AK262" s="47">
        <f t="shared" si="189"/>
        <v>0</v>
      </c>
      <c r="AL262" s="47">
        <f t="shared" si="189"/>
        <v>0</v>
      </c>
      <c r="AM262" s="47">
        <f t="shared" si="189"/>
        <v>0</v>
      </c>
      <c r="AN262" s="47">
        <f t="shared" si="189"/>
        <v>0</v>
      </c>
      <c r="AO262" s="47">
        <f t="shared" si="189"/>
        <v>0</v>
      </c>
      <c r="AP262" s="47">
        <f t="shared" si="189"/>
        <v>0</v>
      </c>
      <c r="AQ262" s="47">
        <f t="shared" si="189"/>
        <v>0</v>
      </c>
      <c r="AR262" s="47">
        <f t="shared" si="189"/>
        <v>0</v>
      </c>
      <c r="AS262" s="47">
        <f t="shared" si="189"/>
        <v>0</v>
      </c>
      <c r="AT262" s="47">
        <f t="shared" si="189"/>
        <v>0</v>
      </c>
      <c r="AU262" s="47">
        <f t="shared" si="189"/>
        <v>0</v>
      </c>
      <c r="AV262" s="47">
        <f t="shared" si="189"/>
        <v>0</v>
      </c>
      <c r="AW262" s="47">
        <f t="shared" si="189"/>
        <v>0</v>
      </c>
      <c r="AX262" s="47">
        <f t="shared" si="189"/>
        <v>0</v>
      </c>
      <c r="AY262" s="47">
        <f t="shared" si="189"/>
        <v>0</v>
      </c>
      <c r="AZ262" s="47">
        <f t="shared" si="189"/>
        <v>0</v>
      </c>
      <c r="BA262" s="47">
        <f t="shared" si="189"/>
        <v>0</v>
      </c>
    </row>
    <row r="263" spans="2:53" x14ac:dyDescent="0.2">
      <c r="B263" s="94" t="s">
        <v>101</v>
      </c>
      <c r="C263" s="73" t="s">
        <v>75</v>
      </c>
      <c r="D263" s="95">
        <f>IF($B261=D$2,D$4,0)</f>
        <v>0</v>
      </c>
      <c r="E263" s="95">
        <f t="shared" ref="E263:BA263" si="190">IF($B261=E$2,E$4,0)</f>
        <v>0</v>
      </c>
      <c r="F263" s="95">
        <f t="shared" si="190"/>
        <v>0</v>
      </c>
      <c r="G263" s="95">
        <f t="shared" si="190"/>
        <v>0</v>
      </c>
      <c r="H263" s="95">
        <f t="shared" si="190"/>
        <v>0</v>
      </c>
      <c r="I263" s="95">
        <f t="shared" si="190"/>
        <v>0</v>
      </c>
      <c r="J263" s="95">
        <f t="shared" si="190"/>
        <v>0</v>
      </c>
      <c r="K263" s="95">
        <f t="shared" si="190"/>
        <v>0</v>
      </c>
      <c r="L263" s="95">
        <f t="shared" si="190"/>
        <v>0</v>
      </c>
      <c r="M263" s="95">
        <f t="shared" si="190"/>
        <v>0</v>
      </c>
      <c r="N263" s="95">
        <f t="shared" si="190"/>
        <v>0</v>
      </c>
      <c r="O263" s="95">
        <f t="shared" si="190"/>
        <v>0</v>
      </c>
      <c r="P263" s="95">
        <f t="shared" si="190"/>
        <v>0</v>
      </c>
      <c r="Q263" s="95">
        <f t="shared" si="190"/>
        <v>0</v>
      </c>
      <c r="R263" s="95">
        <f t="shared" si="190"/>
        <v>0</v>
      </c>
      <c r="S263" s="95">
        <f t="shared" si="190"/>
        <v>0</v>
      </c>
      <c r="T263" s="95">
        <f t="shared" si="190"/>
        <v>0</v>
      </c>
      <c r="U263" s="95">
        <f t="shared" si="190"/>
        <v>0</v>
      </c>
      <c r="V263" s="95">
        <f t="shared" si="190"/>
        <v>0</v>
      </c>
      <c r="W263" s="95">
        <f t="shared" si="190"/>
        <v>0</v>
      </c>
      <c r="X263" s="95">
        <f t="shared" si="190"/>
        <v>0</v>
      </c>
      <c r="Y263" s="95">
        <f t="shared" si="190"/>
        <v>0</v>
      </c>
      <c r="Z263" s="95">
        <f t="shared" si="190"/>
        <v>0</v>
      </c>
      <c r="AA263" s="95">
        <f t="shared" si="190"/>
        <v>0</v>
      </c>
      <c r="AB263" s="95">
        <f t="shared" si="190"/>
        <v>0</v>
      </c>
      <c r="AC263" s="95">
        <f t="shared" si="190"/>
        <v>0</v>
      </c>
      <c r="AD263" s="95">
        <f t="shared" si="190"/>
        <v>0</v>
      </c>
      <c r="AE263" s="95">
        <f t="shared" si="190"/>
        <v>0</v>
      </c>
      <c r="AF263" s="95">
        <f t="shared" si="190"/>
        <v>0</v>
      </c>
      <c r="AG263" s="95">
        <f t="shared" si="190"/>
        <v>0</v>
      </c>
      <c r="AH263" s="95">
        <f t="shared" si="190"/>
        <v>0</v>
      </c>
      <c r="AI263" s="95">
        <f t="shared" si="190"/>
        <v>0</v>
      </c>
      <c r="AJ263" s="95">
        <f t="shared" si="190"/>
        <v>0</v>
      </c>
      <c r="AK263" s="95">
        <f t="shared" si="190"/>
        <v>0</v>
      </c>
      <c r="AL263" s="95">
        <f t="shared" si="190"/>
        <v>0</v>
      </c>
      <c r="AM263" s="95">
        <f t="shared" si="190"/>
        <v>0</v>
      </c>
      <c r="AN263" s="95">
        <f t="shared" si="190"/>
        <v>0</v>
      </c>
      <c r="AO263" s="95">
        <f t="shared" si="190"/>
        <v>0</v>
      </c>
      <c r="AP263" s="95">
        <f t="shared" si="190"/>
        <v>0</v>
      </c>
      <c r="AQ263" s="95">
        <f t="shared" si="190"/>
        <v>0</v>
      </c>
      <c r="AR263" s="95">
        <f t="shared" si="190"/>
        <v>0</v>
      </c>
      <c r="AS263" s="95">
        <f t="shared" si="190"/>
        <v>0</v>
      </c>
      <c r="AT263" s="95">
        <f t="shared" si="190"/>
        <v>0</v>
      </c>
      <c r="AU263" s="95">
        <f t="shared" si="190"/>
        <v>0</v>
      </c>
      <c r="AV263" s="95">
        <f t="shared" si="190"/>
        <v>0</v>
      </c>
      <c r="AW263" s="95">
        <f t="shared" si="190"/>
        <v>0</v>
      </c>
      <c r="AX263" s="95">
        <f t="shared" si="190"/>
        <v>0</v>
      </c>
      <c r="AY263" s="95">
        <f t="shared" si="190"/>
        <v>0</v>
      </c>
      <c r="AZ263" s="95">
        <f t="shared" si="190"/>
        <v>0</v>
      </c>
      <c r="BA263" s="95">
        <f t="shared" si="190"/>
        <v>0</v>
      </c>
    </row>
    <row r="264" spans="2:53" x14ac:dyDescent="0.2">
      <c r="B264" s="76" t="s">
        <v>102</v>
      </c>
      <c r="C264" s="73" t="s">
        <v>75</v>
      </c>
      <c r="D264" s="47"/>
      <c r="E264" s="47">
        <f>IF(OR(D265&lt;=$B$15*$AR$263,F$1-$AS$1&gt;$B$13),0,-IF($B$12="straight line",SLN($AR$263,+$B$15*$AR$263,$B$13),VDB($AR$263,$B$15*$AR$263,$B$13,E$1-$AS$1,F$1-$AS$1,$B$14)))</f>
        <v>0</v>
      </c>
      <c r="F264" s="47">
        <f t="shared" ref="F264:BA264" si="191">IF(OR(E265&lt;=$B$15*$AR$263,G$1-$AS$1&gt;$B$13),0,-IF($B$12="straight line",SLN($AR$263,+$B$15*$AR$263,$B$13),VDB($AR$263,$B$15*$AR$263,$B$13,F$1-$AS$1,G$1-$AS$1,$B$14)))</f>
        <v>0</v>
      </c>
      <c r="G264" s="47">
        <f t="shared" si="191"/>
        <v>0</v>
      </c>
      <c r="H264" s="47">
        <f t="shared" si="191"/>
        <v>0</v>
      </c>
      <c r="I264" s="47">
        <f t="shared" si="191"/>
        <v>0</v>
      </c>
      <c r="J264" s="47">
        <f t="shared" si="191"/>
        <v>0</v>
      </c>
      <c r="K264" s="47">
        <f t="shared" si="191"/>
        <v>0</v>
      </c>
      <c r="L264" s="47">
        <f t="shared" si="191"/>
        <v>0</v>
      </c>
      <c r="M264" s="47">
        <f t="shared" si="191"/>
        <v>0</v>
      </c>
      <c r="N264" s="47">
        <f t="shared" si="191"/>
        <v>0</v>
      </c>
      <c r="O264" s="47">
        <f t="shared" si="191"/>
        <v>0</v>
      </c>
      <c r="P264" s="47">
        <f t="shared" si="191"/>
        <v>0</v>
      </c>
      <c r="Q264" s="47">
        <f t="shared" si="191"/>
        <v>0</v>
      </c>
      <c r="R264" s="47">
        <f t="shared" si="191"/>
        <v>0</v>
      </c>
      <c r="S264" s="47">
        <f t="shared" si="191"/>
        <v>0</v>
      </c>
      <c r="T264" s="47">
        <f t="shared" si="191"/>
        <v>0</v>
      </c>
      <c r="U264" s="47">
        <f t="shared" si="191"/>
        <v>0</v>
      </c>
      <c r="V264" s="47">
        <f t="shared" si="191"/>
        <v>0</v>
      </c>
      <c r="W264" s="47">
        <f t="shared" si="191"/>
        <v>0</v>
      </c>
      <c r="X264" s="47">
        <f t="shared" si="191"/>
        <v>0</v>
      </c>
      <c r="Y264" s="47">
        <f t="shared" si="191"/>
        <v>0</v>
      </c>
      <c r="Z264" s="47">
        <f t="shared" si="191"/>
        <v>0</v>
      </c>
      <c r="AA264" s="47">
        <f t="shared" si="191"/>
        <v>0</v>
      </c>
      <c r="AB264" s="47">
        <f t="shared" si="191"/>
        <v>0</v>
      </c>
      <c r="AC264" s="47">
        <f t="shared" si="191"/>
        <v>0</v>
      </c>
      <c r="AD264" s="47">
        <f t="shared" si="191"/>
        <v>0</v>
      </c>
      <c r="AE264" s="47">
        <f t="shared" si="191"/>
        <v>0</v>
      </c>
      <c r="AF264" s="47">
        <f t="shared" si="191"/>
        <v>0</v>
      </c>
      <c r="AG264" s="47">
        <f t="shared" si="191"/>
        <v>0</v>
      </c>
      <c r="AH264" s="47">
        <f t="shared" si="191"/>
        <v>0</v>
      </c>
      <c r="AI264" s="47">
        <f t="shared" si="191"/>
        <v>0</v>
      </c>
      <c r="AJ264" s="47">
        <f t="shared" si="191"/>
        <v>0</v>
      </c>
      <c r="AK264" s="47">
        <f t="shared" si="191"/>
        <v>0</v>
      </c>
      <c r="AL264" s="47">
        <f t="shared" si="191"/>
        <v>0</v>
      </c>
      <c r="AM264" s="47">
        <f t="shared" si="191"/>
        <v>0</v>
      </c>
      <c r="AN264" s="47">
        <f t="shared" si="191"/>
        <v>0</v>
      </c>
      <c r="AO264" s="47">
        <f t="shared" si="191"/>
        <v>0</v>
      </c>
      <c r="AP264" s="47">
        <f t="shared" si="191"/>
        <v>0</v>
      </c>
      <c r="AQ264" s="47">
        <f t="shared" si="191"/>
        <v>0</v>
      </c>
      <c r="AR264" s="47">
        <f t="shared" si="191"/>
        <v>0</v>
      </c>
      <c r="AS264" s="47">
        <f t="shared" si="191"/>
        <v>0</v>
      </c>
      <c r="AT264" s="47">
        <f t="shared" si="191"/>
        <v>0</v>
      </c>
      <c r="AU264" s="47">
        <f t="shared" si="191"/>
        <v>0</v>
      </c>
      <c r="AV264" s="47">
        <f t="shared" si="191"/>
        <v>0</v>
      </c>
      <c r="AW264" s="47">
        <f t="shared" si="191"/>
        <v>0</v>
      </c>
      <c r="AX264" s="47">
        <f t="shared" si="191"/>
        <v>0</v>
      </c>
      <c r="AY264" s="47">
        <f t="shared" si="191"/>
        <v>0</v>
      </c>
      <c r="AZ264" s="47">
        <f t="shared" si="191"/>
        <v>0</v>
      </c>
      <c r="BA264" s="47">
        <f t="shared" si="191"/>
        <v>0</v>
      </c>
    </row>
    <row r="265" spans="2:53" x14ac:dyDescent="0.2">
      <c r="B265" s="76" t="s">
        <v>103</v>
      </c>
      <c r="C265" s="73" t="s">
        <v>75</v>
      </c>
      <c r="D265" s="95">
        <f>SUM(D262:D264)</f>
        <v>0</v>
      </c>
      <c r="E265" s="95">
        <f t="shared" ref="E265:BA265" si="192">SUM(E262:E264)</f>
        <v>0</v>
      </c>
      <c r="F265" s="95">
        <f t="shared" si="192"/>
        <v>0</v>
      </c>
      <c r="G265" s="95">
        <f t="shared" si="192"/>
        <v>0</v>
      </c>
      <c r="H265" s="95">
        <f t="shared" si="192"/>
        <v>0</v>
      </c>
      <c r="I265" s="95">
        <f t="shared" si="192"/>
        <v>0</v>
      </c>
      <c r="J265" s="95">
        <f t="shared" si="192"/>
        <v>0</v>
      </c>
      <c r="K265" s="95">
        <f t="shared" si="192"/>
        <v>0</v>
      </c>
      <c r="L265" s="95">
        <f t="shared" si="192"/>
        <v>0</v>
      </c>
      <c r="M265" s="95">
        <f t="shared" si="192"/>
        <v>0</v>
      </c>
      <c r="N265" s="95">
        <f t="shared" si="192"/>
        <v>0</v>
      </c>
      <c r="O265" s="95">
        <f t="shared" si="192"/>
        <v>0</v>
      </c>
      <c r="P265" s="95">
        <f t="shared" si="192"/>
        <v>0</v>
      </c>
      <c r="Q265" s="95">
        <f t="shared" si="192"/>
        <v>0</v>
      </c>
      <c r="R265" s="95">
        <f t="shared" si="192"/>
        <v>0</v>
      </c>
      <c r="S265" s="95">
        <f t="shared" si="192"/>
        <v>0</v>
      </c>
      <c r="T265" s="95">
        <f t="shared" si="192"/>
        <v>0</v>
      </c>
      <c r="U265" s="95">
        <f t="shared" si="192"/>
        <v>0</v>
      </c>
      <c r="V265" s="95">
        <f t="shared" si="192"/>
        <v>0</v>
      </c>
      <c r="W265" s="95">
        <f t="shared" si="192"/>
        <v>0</v>
      </c>
      <c r="X265" s="95">
        <f t="shared" si="192"/>
        <v>0</v>
      </c>
      <c r="Y265" s="95">
        <f t="shared" si="192"/>
        <v>0</v>
      </c>
      <c r="Z265" s="95">
        <f t="shared" si="192"/>
        <v>0</v>
      </c>
      <c r="AA265" s="95">
        <f t="shared" si="192"/>
        <v>0</v>
      </c>
      <c r="AB265" s="95">
        <f t="shared" si="192"/>
        <v>0</v>
      </c>
      <c r="AC265" s="95">
        <f t="shared" si="192"/>
        <v>0</v>
      </c>
      <c r="AD265" s="95">
        <f t="shared" si="192"/>
        <v>0</v>
      </c>
      <c r="AE265" s="95">
        <f t="shared" si="192"/>
        <v>0</v>
      </c>
      <c r="AF265" s="95">
        <f t="shared" si="192"/>
        <v>0</v>
      </c>
      <c r="AG265" s="95">
        <f t="shared" si="192"/>
        <v>0</v>
      </c>
      <c r="AH265" s="95">
        <f t="shared" si="192"/>
        <v>0</v>
      </c>
      <c r="AI265" s="95">
        <f t="shared" si="192"/>
        <v>0</v>
      </c>
      <c r="AJ265" s="95">
        <f t="shared" si="192"/>
        <v>0</v>
      </c>
      <c r="AK265" s="95">
        <f t="shared" si="192"/>
        <v>0</v>
      </c>
      <c r="AL265" s="95">
        <f t="shared" si="192"/>
        <v>0</v>
      </c>
      <c r="AM265" s="95">
        <f t="shared" si="192"/>
        <v>0</v>
      </c>
      <c r="AN265" s="95">
        <f t="shared" si="192"/>
        <v>0</v>
      </c>
      <c r="AO265" s="95">
        <f t="shared" si="192"/>
        <v>0</v>
      </c>
      <c r="AP265" s="95">
        <f t="shared" si="192"/>
        <v>0</v>
      </c>
      <c r="AQ265" s="95">
        <f t="shared" si="192"/>
        <v>0</v>
      </c>
      <c r="AR265" s="95">
        <f t="shared" si="192"/>
        <v>0</v>
      </c>
      <c r="AS265" s="95">
        <f t="shared" si="192"/>
        <v>0</v>
      </c>
      <c r="AT265" s="95">
        <f t="shared" si="192"/>
        <v>0</v>
      </c>
      <c r="AU265" s="95">
        <f t="shared" si="192"/>
        <v>0</v>
      </c>
      <c r="AV265" s="95">
        <f t="shared" si="192"/>
        <v>0</v>
      </c>
      <c r="AW265" s="95">
        <f t="shared" si="192"/>
        <v>0</v>
      </c>
      <c r="AX265" s="95">
        <f t="shared" si="192"/>
        <v>0</v>
      </c>
      <c r="AY265" s="95">
        <f t="shared" si="192"/>
        <v>0</v>
      </c>
      <c r="AZ265" s="95">
        <f t="shared" si="192"/>
        <v>0</v>
      </c>
      <c r="BA265" s="95">
        <f t="shared" si="192"/>
        <v>0</v>
      </c>
    </row>
    <row r="267" spans="2:53" x14ac:dyDescent="0.2">
      <c r="B267" s="215">
        <f>B261+1</f>
        <v>42</v>
      </c>
    </row>
    <row r="268" spans="2:53" x14ac:dyDescent="0.2">
      <c r="B268" s="94" t="s">
        <v>100</v>
      </c>
      <c r="C268" s="73" t="s">
        <v>75</v>
      </c>
      <c r="D268" s="95">
        <f>0</f>
        <v>0</v>
      </c>
      <c r="E268" s="47">
        <f t="shared" ref="E268:BA268" si="193">D271</f>
        <v>0</v>
      </c>
      <c r="F268" s="47">
        <f t="shared" si="193"/>
        <v>0</v>
      </c>
      <c r="G268" s="47">
        <f t="shared" si="193"/>
        <v>0</v>
      </c>
      <c r="H268" s="47">
        <f t="shared" si="193"/>
        <v>0</v>
      </c>
      <c r="I268" s="47">
        <f t="shared" si="193"/>
        <v>0</v>
      </c>
      <c r="J268" s="47">
        <f t="shared" si="193"/>
        <v>0</v>
      </c>
      <c r="K268" s="47">
        <f t="shared" si="193"/>
        <v>0</v>
      </c>
      <c r="L268" s="47">
        <f t="shared" si="193"/>
        <v>0</v>
      </c>
      <c r="M268" s="47">
        <f t="shared" si="193"/>
        <v>0</v>
      </c>
      <c r="N268" s="47">
        <f t="shared" si="193"/>
        <v>0</v>
      </c>
      <c r="O268" s="47">
        <f t="shared" si="193"/>
        <v>0</v>
      </c>
      <c r="P268" s="47">
        <f t="shared" si="193"/>
        <v>0</v>
      </c>
      <c r="Q268" s="47">
        <f t="shared" si="193"/>
        <v>0</v>
      </c>
      <c r="R268" s="47">
        <f t="shared" si="193"/>
        <v>0</v>
      </c>
      <c r="S268" s="47">
        <f t="shared" si="193"/>
        <v>0</v>
      </c>
      <c r="T268" s="47">
        <f t="shared" si="193"/>
        <v>0</v>
      </c>
      <c r="U268" s="47">
        <f t="shared" si="193"/>
        <v>0</v>
      </c>
      <c r="V268" s="47">
        <f t="shared" si="193"/>
        <v>0</v>
      </c>
      <c r="W268" s="47">
        <f t="shared" si="193"/>
        <v>0</v>
      </c>
      <c r="X268" s="47">
        <f t="shared" si="193"/>
        <v>0</v>
      </c>
      <c r="Y268" s="47">
        <f t="shared" si="193"/>
        <v>0</v>
      </c>
      <c r="Z268" s="47">
        <f t="shared" si="193"/>
        <v>0</v>
      </c>
      <c r="AA268" s="47">
        <f t="shared" si="193"/>
        <v>0</v>
      </c>
      <c r="AB268" s="47">
        <f t="shared" si="193"/>
        <v>0</v>
      </c>
      <c r="AC268" s="47">
        <f t="shared" si="193"/>
        <v>0</v>
      </c>
      <c r="AD268" s="47">
        <f t="shared" si="193"/>
        <v>0</v>
      </c>
      <c r="AE268" s="47">
        <f t="shared" si="193"/>
        <v>0</v>
      </c>
      <c r="AF268" s="47">
        <f t="shared" si="193"/>
        <v>0</v>
      </c>
      <c r="AG268" s="47">
        <f t="shared" si="193"/>
        <v>0</v>
      </c>
      <c r="AH268" s="47">
        <f t="shared" si="193"/>
        <v>0</v>
      </c>
      <c r="AI268" s="47">
        <f t="shared" si="193"/>
        <v>0</v>
      </c>
      <c r="AJ268" s="47">
        <f t="shared" si="193"/>
        <v>0</v>
      </c>
      <c r="AK268" s="47">
        <f t="shared" si="193"/>
        <v>0</v>
      </c>
      <c r="AL268" s="47">
        <f t="shared" si="193"/>
        <v>0</v>
      </c>
      <c r="AM268" s="47">
        <f t="shared" si="193"/>
        <v>0</v>
      </c>
      <c r="AN268" s="47">
        <f t="shared" si="193"/>
        <v>0</v>
      </c>
      <c r="AO268" s="47">
        <f t="shared" si="193"/>
        <v>0</v>
      </c>
      <c r="AP268" s="47">
        <f t="shared" si="193"/>
        <v>0</v>
      </c>
      <c r="AQ268" s="47">
        <f t="shared" si="193"/>
        <v>0</v>
      </c>
      <c r="AR268" s="47">
        <f t="shared" si="193"/>
        <v>0</v>
      </c>
      <c r="AS268" s="47">
        <f t="shared" si="193"/>
        <v>0</v>
      </c>
      <c r="AT268" s="47">
        <f t="shared" si="193"/>
        <v>0</v>
      </c>
      <c r="AU268" s="47">
        <f t="shared" si="193"/>
        <v>0</v>
      </c>
      <c r="AV268" s="47">
        <f t="shared" si="193"/>
        <v>0</v>
      </c>
      <c r="AW268" s="47">
        <f t="shared" si="193"/>
        <v>0</v>
      </c>
      <c r="AX268" s="47">
        <f t="shared" si="193"/>
        <v>0</v>
      </c>
      <c r="AY268" s="47">
        <f t="shared" si="193"/>
        <v>0</v>
      </c>
      <c r="AZ268" s="47">
        <f t="shared" si="193"/>
        <v>0</v>
      </c>
      <c r="BA268" s="47">
        <f t="shared" si="193"/>
        <v>0</v>
      </c>
    </row>
    <row r="269" spans="2:53" x14ac:dyDescent="0.2">
      <c r="B269" s="94" t="s">
        <v>101</v>
      </c>
      <c r="C269" s="73" t="s">
        <v>75</v>
      </c>
      <c r="D269" s="95">
        <f>IF($B267=D$2,D$4,0)</f>
        <v>0</v>
      </c>
      <c r="E269" s="95">
        <f t="shared" ref="E269:BA269" si="194">IF($B267=E$2,E$4,0)</f>
        <v>0</v>
      </c>
      <c r="F269" s="95">
        <f t="shared" si="194"/>
        <v>0</v>
      </c>
      <c r="G269" s="95">
        <f t="shared" si="194"/>
        <v>0</v>
      </c>
      <c r="H269" s="95">
        <f t="shared" si="194"/>
        <v>0</v>
      </c>
      <c r="I269" s="95">
        <f t="shared" si="194"/>
        <v>0</v>
      </c>
      <c r="J269" s="95">
        <f t="shared" si="194"/>
        <v>0</v>
      </c>
      <c r="K269" s="95">
        <f t="shared" si="194"/>
        <v>0</v>
      </c>
      <c r="L269" s="95">
        <f t="shared" si="194"/>
        <v>0</v>
      </c>
      <c r="M269" s="95">
        <f t="shared" si="194"/>
        <v>0</v>
      </c>
      <c r="N269" s="95">
        <f t="shared" si="194"/>
        <v>0</v>
      </c>
      <c r="O269" s="95">
        <f t="shared" si="194"/>
        <v>0</v>
      </c>
      <c r="P269" s="95">
        <f t="shared" si="194"/>
        <v>0</v>
      </c>
      <c r="Q269" s="95">
        <f t="shared" si="194"/>
        <v>0</v>
      </c>
      <c r="R269" s="95">
        <f t="shared" si="194"/>
        <v>0</v>
      </c>
      <c r="S269" s="95">
        <f t="shared" si="194"/>
        <v>0</v>
      </c>
      <c r="T269" s="95">
        <f t="shared" si="194"/>
        <v>0</v>
      </c>
      <c r="U269" s="95">
        <f t="shared" si="194"/>
        <v>0</v>
      </c>
      <c r="V269" s="95">
        <f t="shared" si="194"/>
        <v>0</v>
      </c>
      <c r="W269" s="95">
        <f t="shared" si="194"/>
        <v>0</v>
      </c>
      <c r="X269" s="95">
        <f t="shared" si="194"/>
        <v>0</v>
      </c>
      <c r="Y269" s="95">
        <f t="shared" si="194"/>
        <v>0</v>
      </c>
      <c r="Z269" s="95">
        <f t="shared" si="194"/>
        <v>0</v>
      </c>
      <c r="AA269" s="95">
        <f t="shared" si="194"/>
        <v>0</v>
      </c>
      <c r="AB269" s="95">
        <f t="shared" si="194"/>
        <v>0</v>
      </c>
      <c r="AC269" s="95">
        <f t="shared" si="194"/>
        <v>0</v>
      </c>
      <c r="AD269" s="95">
        <f t="shared" si="194"/>
        <v>0</v>
      </c>
      <c r="AE269" s="95">
        <f t="shared" si="194"/>
        <v>0</v>
      </c>
      <c r="AF269" s="95">
        <f t="shared" si="194"/>
        <v>0</v>
      </c>
      <c r="AG269" s="95">
        <f t="shared" si="194"/>
        <v>0</v>
      </c>
      <c r="AH269" s="95">
        <f t="shared" si="194"/>
        <v>0</v>
      </c>
      <c r="AI269" s="95">
        <f t="shared" si="194"/>
        <v>0</v>
      </c>
      <c r="AJ269" s="95">
        <f t="shared" si="194"/>
        <v>0</v>
      </c>
      <c r="AK269" s="95">
        <f t="shared" si="194"/>
        <v>0</v>
      </c>
      <c r="AL269" s="95">
        <f t="shared" si="194"/>
        <v>0</v>
      </c>
      <c r="AM269" s="95">
        <f t="shared" si="194"/>
        <v>0</v>
      </c>
      <c r="AN269" s="95">
        <f t="shared" si="194"/>
        <v>0</v>
      </c>
      <c r="AO269" s="95">
        <f t="shared" si="194"/>
        <v>0</v>
      </c>
      <c r="AP269" s="95">
        <f t="shared" si="194"/>
        <v>0</v>
      </c>
      <c r="AQ269" s="95">
        <f t="shared" si="194"/>
        <v>0</v>
      </c>
      <c r="AR269" s="95">
        <f t="shared" si="194"/>
        <v>0</v>
      </c>
      <c r="AS269" s="95">
        <f t="shared" si="194"/>
        <v>0</v>
      </c>
      <c r="AT269" s="95">
        <f t="shared" si="194"/>
        <v>0</v>
      </c>
      <c r="AU269" s="95">
        <f t="shared" si="194"/>
        <v>0</v>
      </c>
      <c r="AV269" s="95">
        <f t="shared" si="194"/>
        <v>0</v>
      </c>
      <c r="AW269" s="95">
        <f t="shared" si="194"/>
        <v>0</v>
      </c>
      <c r="AX269" s="95">
        <f t="shared" si="194"/>
        <v>0</v>
      </c>
      <c r="AY269" s="95">
        <f t="shared" si="194"/>
        <v>0</v>
      </c>
      <c r="AZ269" s="95">
        <f t="shared" si="194"/>
        <v>0</v>
      </c>
      <c r="BA269" s="95">
        <f t="shared" si="194"/>
        <v>0</v>
      </c>
    </row>
    <row r="270" spans="2:53" x14ac:dyDescent="0.2">
      <c r="B270" s="76" t="s">
        <v>102</v>
      </c>
      <c r="C270" s="73" t="s">
        <v>75</v>
      </c>
      <c r="D270" s="47"/>
      <c r="E270" s="47">
        <f>IF(OR(D271&lt;=$B$15*$AS$269,F$1-$AT$1&gt;$B$13),0,-IF($B$12="straight line",SLN($AS$269,+$B$15*$AS$269,$B$13),VDB($AS$269,$B$15*$AS$269,$B$13,E$1-$AT$1,F$1-$AT$1,$B$14)))</f>
        <v>0</v>
      </c>
      <c r="F270" s="47">
        <f t="shared" ref="F270:BA270" si="195">IF(OR(E271&lt;=$B$15*$AS$269,G$1-$AT$1&gt;$B$13),0,-IF($B$12="straight line",SLN($AS$269,+$B$15*$AS$269,$B$13),VDB($AS$269,$B$15*$AS$269,$B$13,F$1-$AT$1,G$1-$AT$1,$B$14)))</f>
        <v>0</v>
      </c>
      <c r="G270" s="47">
        <f t="shared" si="195"/>
        <v>0</v>
      </c>
      <c r="H270" s="47">
        <f t="shared" si="195"/>
        <v>0</v>
      </c>
      <c r="I270" s="47">
        <f t="shared" si="195"/>
        <v>0</v>
      </c>
      <c r="J270" s="47">
        <f t="shared" si="195"/>
        <v>0</v>
      </c>
      <c r="K270" s="47">
        <f t="shared" si="195"/>
        <v>0</v>
      </c>
      <c r="L270" s="47">
        <f t="shared" si="195"/>
        <v>0</v>
      </c>
      <c r="M270" s="47">
        <f t="shared" si="195"/>
        <v>0</v>
      </c>
      <c r="N270" s="47">
        <f t="shared" si="195"/>
        <v>0</v>
      </c>
      <c r="O270" s="47">
        <f t="shared" si="195"/>
        <v>0</v>
      </c>
      <c r="P270" s="47">
        <f t="shared" si="195"/>
        <v>0</v>
      </c>
      <c r="Q270" s="47">
        <f t="shared" si="195"/>
        <v>0</v>
      </c>
      <c r="R270" s="47">
        <f t="shared" si="195"/>
        <v>0</v>
      </c>
      <c r="S270" s="47">
        <f t="shared" si="195"/>
        <v>0</v>
      </c>
      <c r="T270" s="47">
        <f t="shared" si="195"/>
        <v>0</v>
      </c>
      <c r="U270" s="47">
        <f t="shared" si="195"/>
        <v>0</v>
      </c>
      <c r="V270" s="47">
        <f t="shared" si="195"/>
        <v>0</v>
      </c>
      <c r="W270" s="47">
        <f t="shared" si="195"/>
        <v>0</v>
      </c>
      <c r="X270" s="47">
        <f t="shared" si="195"/>
        <v>0</v>
      </c>
      <c r="Y270" s="47">
        <f t="shared" si="195"/>
        <v>0</v>
      </c>
      <c r="Z270" s="47">
        <f t="shared" si="195"/>
        <v>0</v>
      </c>
      <c r="AA270" s="47">
        <f t="shared" si="195"/>
        <v>0</v>
      </c>
      <c r="AB270" s="47">
        <f t="shared" si="195"/>
        <v>0</v>
      </c>
      <c r="AC270" s="47">
        <f t="shared" si="195"/>
        <v>0</v>
      </c>
      <c r="AD270" s="47">
        <f t="shared" si="195"/>
        <v>0</v>
      </c>
      <c r="AE270" s="47">
        <f t="shared" si="195"/>
        <v>0</v>
      </c>
      <c r="AF270" s="47">
        <f t="shared" si="195"/>
        <v>0</v>
      </c>
      <c r="AG270" s="47">
        <f t="shared" si="195"/>
        <v>0</v>
      </c>
      <c r="AH270" s="47">
        <f t="shared" si="195"/>
        <v>0</v>
      </c>
      <c r="AI270" s="47">
        <f t="shared" si="195"/>
        <v>0</v>
      </c>
      <c r="AJ270" s="47">
        <f t="shared" si="195"/>
        <v>0</v>
      </c>
      <c r="AK270" s="47">
        <f t="shared" si="195"/>
        <v>0</v>
      </c>
      <c r="AL270" s="47">
        <f t="shared" si="195"/>
        <v>0</v>
      </c>
      <c r="AM270" s="47">
        <f t="shared" si="195"/>
        <v>0</v>
      </c>
      <c r="AN270" s="47">
        <f t="shared" si="195"/>
        <v>0</v>
      </c>
      <c r="AO270" s="47">
        <f t="shared" si="195"/>
        <v>0</v>
      </c>
      <c r="AP270" s="47">
        <f t="shared" si="195"/>
        <v>0</v>
      </c>
      <c r="AQ270" s="47">
        <f t="shared" si="195"/>
        <v>0</v>
      </c>
      <c r="AR270" s="47">
        <f t="shared" si="195"/>
        <v>0</v>
      </c>
      <c r="AS270" s="47">
        <f t="shared" si="195"/>
        <v>0</v>
      </c>
      <c r="AT270" s="47">
        <f t="shared" si="195"/>
        <v>0</v>
      </c>
      <c r="AU270" s="47">
        <f t="shared" si="195"/>
        <v>0</v>
      </c>
      <c r="AV270" s="47">
        <f t="shared" si="195"/>
        <v>0</v>
      </c>
      <c r="AW270" s="47">
        <f t="shared" si="195"/>
        <v>0</v>
      </c>
      <c r="AX270" s="47">
        <f t="shared" si="195"/>
        <v>0</v>
      </c>
      <c r="AY270" s="47">
        <f t="shared" si="195"/>
        <v>0</v>
      </c>
      <c r="AZ270" s="47">
        <f t="shared" si="195"/>
        <v>0</v>
      </c>
      <c r="BA270" s="47">
        <f t="shared" si="195"/>
        <v>0</v>
      </c>
    </row>
    <row r="271" spans="2:53" x14ac:dyDescent="0.2">
      <c r="B271" s="76" t="s">
        <v>103</v>
      </c>
      <c r="C271" s="73" t="s">
        <v>75</v>
      </c>
      <c r="D271" s="95">
        <f>SUM(D268:D270)</f>
        <v>0</v>
      </c>
      <c r="E271" s="95">
        <f t="shared" ref="E271:BA271" si="196">SUM(E268:E270)</f>
        <v>0</v>
      </c>
      <c r="F271" s="95">
        <f t="shared" si="196"/>
        <v>0</v>
      </c>
      <c r="G271" s="95">
        <f t="shared" si="196"/>
        <v>0</v>
      </c>
      <c r="H271" s="95">
        <f t="shared" si="196"/>
        <v>0</v>
      </c>
      <c r="I271" s="95">
        <f t="shared" si="196"/>
        <v>0</v>
      </c>
      <c r="J271" s="95">
        <f t="shared" si="196"/>
        <v>0</v>
      </c>
      <c r="K271" s="95">
        <f t="shared" si="196"/>
        <v>0</v>
      </c>
      <c r="L271" s="95">
        <f t="shared" si="196"/>
        <v>0</v>
      </c>
      <c r="M271" s="95">
        <f t="shared" si="196"/>
        <v>0</v>
      </c>
      <c r="N271" s="95">
        <f t="shared" si="196"/>
        <v>0</v>
      </c>
      <c r="O271" s="95">
        <f t="shared" si="196"/>
        <v>0</v>
      </c>
      <c r="P271" s="95">
        <f t="shared" si="196"/>
        <v>0</v>
      </c>
      <c r="Q271" s="95">
        <f t="shared" si="196"/>
        <v>0</v>
      </c>
      <c r="R271" s="95">
        <f t="shared" si="196"/>
        <v>0</v>
      </c>
      <c r="S271" s="95">
        <f t="shared" si="196"/>
        <v>0</v>
      </c>
      <c r="T271" s="95">
        <f t="shared" si="196"/>
        <v>0</v>
      </c>
      <c r="U271" s="95">
        <f t="shared" si="196"/>
        <v>0</v>
      </c>
      <c r="V271" s="95">
        <f t="shared" si="196"/>
        <v>0</v>
      </c>
      <c r="W271" s="95">
        <f t="shared" si="196"/>
        <v>0</v>
      </c>
      <c r="X271" s="95">
        <f t="shared" si="196"/>
        <v>0</v>
      </c>
      <c r="Y271" s="95">
        <f t="shared" si="196"/>
        <v>0</v>
      </c>
      <c r="Z271" s="95">
        <f t="shared" si="196"/>
        <v>0</v>
      </c>
      <c r="AA271" s="95">
        <f t="shared" si="196"/>
        <v>0</v>
      </c>
      <c r="AB271" s="95">
        <f t="shared" si="196"/>
        <v>0</v>
      </c>
      <c r="AC271" s="95">
        <f t="shared" si="196"/>
        <v>0</v>
      </c>
      <c r="AD271" s="95">
        <f t="shared" si="196"/>
        <v>0</v>
      </c>
      <c r="AE271" s="95">
        <f t="shared" si="196"/>
        <v>0</v>
      </c>
      <c r="AF271" s="95">
        <f t="shared" si="196"/>
        <v>0</v>
      </c>
      <c r="AG271" s="95">
        <f t="shared" si="196"/>
        <v>0</v>
      </c>
      <c r="AH271" s="95">
        <f t="shared" si="196"/>
        <v>0</v>
      </c>
      <c r="AI271" s="95">
        <f t="shared" si="196"/>
        <v>0</v>
      </c>
      <c r="AJ271" s="95">
        <f t="shared" si="196"/>
        <v>0</v>
      </c>
      <c r="AK271" s="95">
        <f t="shared" si="196"/>
        <v>0</v>
      </c>
      <c r="AL271" s="95">
        <f t="shared" si="196"/>
        <v>0</v>
      </c>
      <c r="AM271" s="95">
        <f t="shared" si="196"/>
        <v>0</v>
      </c>
      <c r="AN271" s="95">
        <f t="shared" si="196"/>
        <v>0</v>
      </c>
      <c r="AO271" s="95">
        <f t="shared" si="196"/>
        <v>0</v>
      </c>
      <c r="AP271" s="95">
        <f t="shared" si="196"/>
        <v>0</v>
      </c>
      <c r="AQ271" s="95">
        <f t="shared" si="196"/>
        <v>0</v>
      </c>
      <c r="AR271" s="95">
        <f t="shared" si="196"/>
        <v>0</v>
      </c>
      <c r="AS271" s="95">
        <f t="shared" si="196"/>
        <v>0</v>
      </c>
      <c r="AT271" s="95">
        <f t="shared" si="196"/>
        <v>0</v>
      </c>
      <c r="AU271" s="95">
        <f t="shared" si="196"/>
        <v>0</v>
      </c>
      <c r="AV271" s="95">
        <f t="shared" si="196"/>
        <v>0</v>
      </c>
      <c r="AW271" s="95">
        <f t="shared" si="196"/>
        <v>0</v>
      </c>
      <c r="AX271" s="95">
        <f t="shared" si="196"/>
        <v>0</v>
      </c>
      <c r="AY271" s="95">
        <f t="shared" si="196"/>
        <v>0</v>
      </c>
      <c r="AZ271" s="95">
        <f t="shared" si="196"/>
        <v>0</v>
      </c>
      <c r="BA271" s="95">
        <f t="shared" si="196"/>
        <v>0</v>
      </c>
    </row>
    <row r="273" spans="2:53" x14ac:dyDescent="0.2">
      <c r="B273" s="215">
        <f>B267+1</f>
        <v>43</v>
      </c>
    </row>
    <row r="274" spans="2:53" x14ac:dyDescent="0.2">
      <c r="B274" s="94" t="s">
        <v>100</v>
      </c>
      <c r="C274" s="73" t="s">
        <v>75</v>
      </c>
      <c r="D274" s="95">
        <f>0</f>
        <v>0</v>
      </c>
      <c r="E274" s="47">
        <f t="shared" ref="E274:BA274" si="197">D277</f>
        <v>0</v>
      </c>
      <c r="F274" s="47">
        <f t="shared" si="197"/>
        <v>0</v>
      </c>
      <c r="G274" s="47">
        <f t="shared" si="197"/>
        <v>0</v>
      </c>
      <c r="H274" s="47">
        <f t="shared" si="197"/>
        <v>0</v>
      </c>
      <c r="I274" s="47">
        <f t="shared" si="197"/>
        <v>0</v>
      </c>
      <c r="J274" s="47">
        <f t="shared" si="197"/>
        <v>0</v>
      </c>
      <c r="K274" s="47">
        <f t="shared" si="197"/>
        <v>0</v>
      </c>
      <c r="L274" s="47">
        <f t="shared" si="197"/>
        <v>0</v>
      </c>
      <c r="M274" s="47">
        <f t="shared" si="197"/>
        <v>0</v>
      </c>
      <c r="N274" s="47">
        <f t="shared" si="197"/>
        <v>0</v>
      </c>
      <c r="O274" s="47">
        <f t="shared" si="197"/>
        <v>0</v>
      </c>
      <c r="P274" s="47">
        <f t="shared" si="197"/>
        <v>0</v>
      </c>
      <c r="Q274" s="47">
        <f t="shared" si="197"/>
        <v>0</v>
      </c>
      <c r="R274" s="47">
        <f t="shared" si="197"/>
        <v>0</v>
      </c>
      <c r="S274" s="47">
        <f t="shared" si="197"/>
        <v>0</v>
      </c>
      <c r="T274" s="47">
        <f t="shared" si="197"/>
        <v>0</v>
      </c>
      <c r="U274" s="47">
        <f t="shared" si="197"/>
        <v>0</v>
      </c>
      <c r="V274" s="47">
        <f t="shared" si="197"/>
        <v>0</v>
      </c>
      <c r="W274" s="47">
        <f t="shared" si="197"/>
        <v>0</v>
      </c>
      <c r="X274" s="47">
        <f t="shared" si="197"/>
        <v>0</v>
      </c>
      <c r="Y274" s="47">
        <f t="shared" si="197"/>
        <v>0</v>
      </c>
      <c r="Z274" s="47">
        <f t="shared" si="197"/>
        <v>0</v>
      </c>
      <c r="AA274" s="47">
        <f t="shared" si="197"/>
        <v>0</v>
      </c>
      <c r="AB274" s="47">
        <f t="shared" si="197"/>
        <v>0</v>
      </c>
      <c r="AC274" s="47">
        <f t="shared" si="197"/>
        <v>0</v>
      </c>
      <c r="AD274" s="47">
        <f t="shared" si="197"/>
        <v>0</v>
      </c>
      <c r="AE274" s="47">
        <f t="shared" si="197"/>
        <v>0</v>
      </c>
      <c r="AF274" s="47">
        <f t="shared" si="197"/>
        <v>0</v>
      </c>
      <c r="AG274" s="47">
        <f t="shared" si="197"/>
        <v>0</v>
      </c>
      <c r="AH274" s="47">
        <f t="shared" si="197"/>
        <v>0</v>
      </c>
      <c r="AI274" s="47">
        <f t="shared" si="197"/>
        <v>0</v>
      </c>
      <c r="AJ274" s="47">
        <f t="shared" si="197"/>
        <v>0</v>
      </c>
      <c r="AK274" s="47">
        <f t="shared" si="197"/>
        <v>0</v>
      </c>
      <c r="AL274" s="47">
        <f t="shared" si="197"/>
        <v>0</v>
      </c>
      <c r="AM274" s="47">
        <f t="shared" si="197"/>
        <v>0</v>
      </c>
      <c r="AN274" s="47">
        <f t="shared" si="197"/>
        <v>0</v>
      </c>
      <c r="AO274" s="47">
        <f t="shared" si="197"/>
        <v>0</v>
      </c>
      <c r="AP274" s="47">
        <f t="shared" si="197"/>
        <v>0</v>
      </c>
      <c r="AQ274" s="47">
        <f t="shared" si="197"/>
        <v>0</v>
      </c>
      <c r="AR274" s="47">
        <f t="shared" si="197"/>
        <v>0</v>
      </c>
      <c r="AS274" s="47">
        <f t="shared" si="197"/>
        <v>0</v>
      </c>
      <c r="AT274" s="47">
        <f t="shared" si="197"/>
        <v>0</v>
      </c>
      <c r="AU274" s="47">
        <f t="shared" si="197"/>
        <v>0</v>
      </c>
      <c r="AV274" s="47">
        <f t="shared" si="197"/>
        <v>0</v>
      </c>
      <c r="AW274" s="47">
        <f t="shared" si="197"/>
        <v>0</v>
      </c>
      <c r="AX274" s="47">
        <f t="shared" si="197"/>
        <v>0</v>
      </c>
      <c r="AY274" s="47">
        <f t="shared" si="197"/>
        <v>0</v>
      </c>
      <c r="AZ274" s="47">
        <f t="shared" si="197"/>
        <v>0</v>
      </c>
      <c r="BA274" s="47">
        <f t="shared" si="197"/>
        <v>0</v>
      </c>
    </row>
    <row r="275" spans="2:53" x14ac:dyDescent="0.2">
      <c r="B275" s="94" t="s">
        <v>101</v>
      </c>
      <c r="C275" s="73" t="s">
        <v>75</v>
      </c>
      <c r="D275" s="95">
        <f>IF($B273=D$2,D$4,0)</f>
        <v>0</v>
      </c>
      <c r="E275" s="95">
        <f t="shared" ref="E275:BA275" si="198">IF($B273=E$2,E$4,0)</f>
        <v>0</v>
      </c>
      <c r="F275" s="95">
        <f t="shared" si="198"/>
        <v>0</v>
      </c>
      <c r="G275" s="95">
        <f t="shared" si="198"/>
        <v>0</v>
      </c>
      <c r="H275" s="95">
        <f t="shared" si="198"/>
        <v>0</v>
      </c>
      <c r="I275" s="95">
        <f t="shared" si="198"/>
        <v>0</v>
      </c>
      <c r="J275" s="95">
        <f t="shared" si="198"/>
        <v>0</v>
      </c>
      <c r="K275" s="95">
        <f t="shared" si="198"/>
        <v>0</v>
      </c>
      <c r="L275" s="95">
        <f t="shared" si="198"/>
        <v>0</v>
      </c>
      <c r="M275" s="95">
        <f t="shared" si="198"/>
        <v>0</v>
      </c>
      <c r="N275" s="95">
        <f t="shared" si="198"/>
        <v>0</v>
      </c>
      <c r="O275" s="95">
        <f t="shared" si="198"/>
        <v>0</v>
      </c>
      <c r="P275" s="95">
        <f t="shared" si="198"/>
        <v>0</v>
      </c>
      <c r="Q275" s="95">
        <f t="shared" si="198"/>
        <v>0</v>
      </c>
      <c r="R275" s="95">
        <f t="shared" si="198"/>
        <v>0</v>
      </c>
      <c r="S275" s="95">
        <f t="shared" si="198"/>
        <v>0</v>
      </c>
      <c r="T275" s="95">
        <f t="shared" si="198"/>
        <v>0</v>
      </c>
      <c r="U275" s="95">
        <f t="shared" si="198"/>
        <v>0</v>
      </c>
      <c r="V275" s="95">
        <f t="shared" si="198"/>
        <v>0</v>
      </c>
      <c r="W275" s="95">
        <f t="shared" si="198"/>
        <v>0</v>
      </c>
      <c r="X275" s="95">
        <f t="shared" si="198"/>
        <v>0</v>
      </c>
      <c r="Y275" s="95">
        <f t="shared" si="198"/>
        <v>0</v>
      </c>
      <c r="Z275" s="95">
        <f t="shared" si="198"/>
        <v>0</v>
      </c>
      <c r="AA275" s="95">
        <f t="shared" si="198"/>
        <v>0</v>
      </c>
      <c r="AB275" s="95">
        <f t="shared" si="198"/>
        <v>0</v>
      </c>
      <c r="AC275" s="95">
        <f t="shared" si="198"/>
        <v>0</v>
      </c>
      <c r="AD275" s="95">
        <f t="shared" si="198"/>
        <v>0</v>
      </c>
      <c r="AE275" s="95">
        <f t="shared" si="198"/>
        <v>0</v>
      </c>
      <c r="AF275" s="95">
        <f t="shared" si="198"/>
        <v>0</v>
      </c>
      <c r="AG275" s="95">
        <f t="shared" si="198"/>
        <v>0</v>
      </c>
      <c r="AH275" s="95">
        <f t="shared" si="198"/>
        <v>0</v>
      </c>
      <c r="AI275" s="95">
        <f t="shared" si="198"/>
        <v>0</v>
      </c>
      <c r="AJ275" s="95">
        <f t="shared" si="198"/>
        <v>0</v>
      </c>
      <c r="AK275" s="95">
        <f t="shared" si="198"/>
        <v>0</v>
      </c>
      <c r="AL275" s="95">
        <f t="shared" si="198"/>
        <v>0</v>
      </c>
      <c r="AM275" s="95">
        <f t="shared" si="198"/>
        <v>0</v>
      </c>
      <c r="AN275" s="95">
        <f t="shared" si="198"/>
        <v>0</v>
      </c>
      <c r="AO275" s="95">
        <f t="shared" si="198"/>
        <v>0</v>
      </c>
      <c r="AP275" s="95">
        <f t="shared" si="198"/>
        <v>0</v>
      </c>
      <c r="AQ275" s="95">
        <f t="shared" si="198"/>
        <v>0</v>
      </c>
      <c r="AR275" s="95">
        <f t="shared" si="198"/>
        <v>0</v>
      </c>
      <c r="AS275" s="95">
        <f t="shared" si="198"/>
        <v>0</v>
      </c>
      <c r="AT275" s="95">
        <f t="shared" si="198"/>
        <v>0</v>
      </c>
      <c r="AU275" s="95">
        <f t="shared" si="198"/>
        <v>0</v>
      </c>
      <c r="AV275" s="95">
        <f t="shared" si="198"/>
        <v>0</v>
      </c>
      <c r="AW275" s="95">
        <f t="shared" si="198"/>
        <v>0</v>
      </c>
      <c r="AX275" s="95">
        <f t="shared" si="198"/>
        <v>0</v>
      </c>
      <c r="AY275" s="95">
        <f t="shared" si="198"/>
        <v>0</v>
      </c>
      <c r="AZ275" s="95">
        <f t="shared" si="198"/>
        <v>0</v>
      </c>
      <c r="BA275" s="95">
        <f t="shared" si="198"/>
        <v>0</v>
      </c>
    </row>
    <row r="276" spans="2:53" x14ac:dyDescent="0.2">
      <c r="B276" s="76" t="s">
        <v>102</v>
      </c>
      <c r="C276" s="73" t="s">
        <v>75</v>
      </c>
      <c r="D276" s="47"/>
      <c r="E276" s="47">
        <f>IF(OR(D277&lt;=$B$15*$AT$27,F$1-$AU$1&gt;$B$13)*5,0,-IF($B$12="straight line",SLN($AT$275,+$B$15*$AT$275,$B$13),VDB($AT$275,$B$15*$AT$275,$B$13,E$1-$AU$1,F$1-$AU$1,$B$14)))</f>
        <v>0</v>
      </c>
      <c r="F276" s="47">
        <f t="shared" ref="F276:BA276" si="199">IF(OR(E277&lt;=$B$15*$AT$27,G$1-$AU$1&gt;$B$13)*5,0,-IF($B$12="straight line",SLN($AT$275,+$B$15*$AT$275,$B$13),VDB($AT$275,$B$15*$AT$275,$B$13,F$1-$AU$1,G$1-$AU$1,$B$14)))</f>
        <v>0</v>
      </c>
      <c r="G276" s="47">
        <f t="shared" si="199"/>
        <v>0</v>
      </c>
      <c r="H276" s="47">
        <f t="shared" si="199"/>
        <v>0</v>
      </c>
      <c r="I276" s="47">
        <f t="shared" si="199"/>
        <v>0</v>
      </c>
      <c r="J276" s="47">
        <f t="shared" si="199"/>
        <v>0</v>
      </c>
      <c r="K276" s="47">
        <f t="shared" si="199"/>
        <v>0</v>
      </c>
      <c r="L276" s="47">
        <f t="shared" si="199"/>
        <v>0</v>
      </c>
      <c r="M276" s="47">
        <f t="shared" si="199"/>
        <v>0</v>
      </c>
      <c r="N276" s="47">
        <f t="shared" si="199"/>
        <v>0</v>
      </c>
      <c r="O276" s="47">
        <f t="shared" si="199"/>
        <v>0</v>
      </c>
      <c r="P276" s="47">
        <f t="shared" si="199"/>
        <v>0</v>
      </c>
      <c r="Q276" s="47">
        <f t="shared" si="199"/>
        <v>0</v>
      </c>
      <c r="R276" s="47">
        <f t="shared" si="199"/>
        <v>0</v>
      </c>
      <c r="S276" s="47">
        <f t="shared" si="199"/>
        <v>0</v>
      </c>
      <c r="T276" s="47">
        <f t="shared" si="199"/>
        <v>0</v>
      </c>
      <c r="U276" s="47">
        <f t="shared" si="199"/>
        <v>0</v>
      </c>
      <c r="V276" s="47">
        <f t="shared" si="199"/>
        <v>0</v>
      </c>
      <c r="W276" s="47">
        <f t="shared" si="199"/>
        <v>0</v>
      </c>
      <c r="X276" s="47">
        <f t="shared" si="199"/>
        <v>0</v>
      </c>
      <c r="Y276" s="47">
        <f t="shared" si="199"/>
        <v>0</v>
      </c>
      <c r="Z276" s="47">
        <f t="shared" si="199"/>
        <v>0</v>
      </c>
      <c r="AA276" s="47">
        <f t="shared" si="199"/>
        <v>0</v>
      </c>
      <c r="AB276" s="47">
        <f t="shared" si="199"/>
        <v>0</v>
      </c>
      <c r="AC276" s="47">
        <f t="shared" si="199"/>
        <v>0</v>
      </c>
      <c r="AD276" s="47">
        <f t="shared" si="199"/>
        <v>0</v>
      </c>
      <c r="AE276" s="47">
        <f t="shared" si="199"/>
        <v>0</v>
      </c>
      <c r="AF276" s="47">
        <f t="shared" si="199"/>
        <v>0</v>
      </c>
      <c r="AG276" s="47">
        <f t="shared" si="199"/>
        <v>0</v>
      </c>
      <c r="AH276" s="47">
        <f t="shared" si="199"/>
        <v>0</v>
      </c>
      <c r="AI276" s="47">
        <f t="shared" si="199"/>
        <v>0</v>
      </c>
      <c r="AJ276" s="47">
        <f t="shared" si="199"/>
        <v>0</v>
      </c>
      <c r="AK276" s="47">
        <f t="shared" si="199"/>
        <v>0</v>
      </c>
      <c r="AL276" s="47">
        <f t="shared" si="199"/>
        <v>0</v>
      </c>
      <c r="AM276" s="47">
        <f t="shared" si="199"/>
        <v>0</v>
      </c>
      <c r="AN276" s="47">
        <f t="shared" si="199"/>
        <v>0</v>
      </c>
      <c r="AO276" s="47">
        <f t="shared" si="199"/>
        <v>0</v>
      </c>
      <c r="AP276" s="47">
        <f t="shared" si="199"/>
        <v>0</v>
      </c>
      <c r="AQ276" s="47">
        <f t="shared" si="199"/>
        <v>0</v>
      </c>
      <c r="AR276" s="47">
        <f t="shared" si="199"/>
        <v>0</v>
      </c>
      <c r="AS276" s="47">
        <f t="shared" si="199"/>
        <v>0</v>
      </c>
      <c r="AT276" s="47">
        <f t="shared" si="199"/>
        <v>0</v>
      </c>
      <c r="AU276" s="47">
        <f t="shared" si="199"/>
        <v>0</v>
      </c>
      <c r="AV276" s="47">
        <f t="shared" si="199"/>
        <v>0</v>
      </c>
      <c r="AW276" s="47">
        <f t="shared" si="199"/>
        <v>0</v>
      </c>
      <c r="AX276" s="47">
        <f t="shared" si="199"/>
        <v>0</v>
      </c>
      <c r="AY276" s="47">
        <f t="shared" si="199"/>
        <v>0</v>
      </c>
      <c r="AZ276" s="47">
        <f t="shared" si="199"/>
        <v>0</v>
      </c>
      <c r="BA276" s="47">
        <f t="shared" si="199"/>
        <v>0</v>
      </c>
    </row>
    <row r="277" spans="2:53" x14ac:dyDescent="0.2">
      <c r="B277" s="76" t="s">
        <v>103</v>
      </c>
      <c r="C277" s="73" t="s">
        <v>75</v>
      </c>
      <c r="D277" s="95">
        <f>SUM(D274:D276)</f>
        <v>0</v>
      </c>
      <c r="E277" s="95">
        <f t="shared" ref="E277:BA277" si="200">SUM(E274:E276)</f>
        <v>0</v>
      </c>
      <c r="F277" s="95">
        <f t="shared" si="200"/>
        <v>0</v>
      </c>
      <c r="G277" s="95">
        <f t="shared" si="200"/>
        <v>0</v>
      </c>
      <c r="H277" s="95">
        <f t="shared" si="200"/>
        <v>0</v>
      </c>
      <c r="I277" s="95">
        <f t="shared" si="200"/>
        <v>0</v>
      </c>
      <c r="J277" s="95">
        <f t="shared" si="200"/>
        <v>0</v>
      </c>
      <c r="K277" s="95">
        <f t="shared" si="200"/>
        <v>0</v>
      </c>
      <c r="L277" s="95">
        <f t="shared" si="200"/>
        <v>0</v>
      </c>
      <c r="M277" s="95">
        <f t="shared" si="200"/>
        <v>0</v>
      </c>
      <c r="N277" s="95">
        <f t="shared" si="200"/>
        <v>0</v>
      </c>
      <c r="O277" s="95">
        <f t="shared" si="200"/>
        <v>0</v>
      </c>
      <c r="P277" s="95">
        <f t="shared" si="200"/>
        <v>0</v>
      </c>
      <c r="Q277" s="95">
        <f t="shared" si="200"/>
        <v>0</v>
      </c>
      <c r="R277" s="95">
        <f t="shared" si="200"/>
        <v>0</v>
      </c>
      <c r="S277" s="95">
        <f t="shared" si="200"/>
        <v>0</v>
      </c>
      <c r="T277" s="95">
        <f t="shared" si="200"/>
        <v>0</v>
      </c>
      <c r="U277" s="95">
        <f t="shared" si="200"/>
        <v>0</v>
      </c>
      <c r="V277" s="95">
        <f t="shared" si="200"/>
        <v>0</v>
      </c>
      <c r="W277" s="95">
        <f t="shared" si="200"/>
        <v>0</v>
      </c>
      <c r="X277" s="95">
        <f t="shared" si="200"/>
        <v>0</v>
      </c>
      <c r="Y277" s="95">
        <f t="shared" si="200"/>
        <v>0</v>
      </c>
      <c r="Z277" s="95">
        <f t="shared" si="200"/>
        <v>0</v>
      </c>
      <c r="AA277" s="95">
        <f t="shared" si="200"/>
        <v>0</v>
      </c>
      <c r="AB277" s="95">
        <f t="shared" si="200"/>
        <v>0</v>
      </c>
      <c r="AC277" s="95">
        <f t="shared" si="200"/>
        <v>0</v>
      </c>
      <c r="AD277" s="95">
        <f t="shared" si="200"/>
        <v>0</v>
      </c>
      <c r="AE277" s="95">
        <f t="shared" si="200"/>
        <v>0</v>
      </c>
      <c r="AF277" s="95">
        <f t="shared" si="200"/>
        <v>0</v>
      </c>
      <c r="AG277" s="95">
        <f t="shared" si="200"/>
        <v>0</v>
      </c>
      <c r="AH277" s="95">
        <f t="shared" si="200"/>
        <v>0</v>
      </c>
      <c r="AI277" s="95">
        <f t="shared" si="200"/>
        <v>0</v>
      </c>
      <c r="AJ277" s="95">
        <f t="shared" si="200"/>
        <v>0</v>
      </c>
      <c r="AK277" s="95">
        <f t="shared" si="200"/>
        <v>0</v>
      </c>
      <c r="AL277" s="95">
        <f t="shared" si="200"/>
        <v>0</v>
      </c>
      <c r="AM277" s="95">
        <f t="shared" si="200"/>
        <v>0</v>
      </c>
      <c r="AN277" s="95">
        <f t="shared" si="200"/>
        <v>0</v>
      </c>
      <c r="AO277" s="95">
        <f t="shared" si="200"/>
        <v>0</v>
      </c>
      <c r="AP277" s="95">
        <f t="shared" si="200"/>
        <v>0</v>
      </c>
      <c r="AQ277" s="95">
        <f t="shared" si="200"/>
        <v>0</v>
      </c>
      <c r="AR277" s="95">
        <f t="shared" si="200"/>
        <v>0</v>
      </c>
      <c r="AS277" s="95">
        <f t="shared" si="200"/>
        <v>0</v>
      </c>
      <c r="AT277" s="95">
        <f t="shared" si="200"/>
        <v>0</v>
      </c>
      <c r="AU277" s="95">
        <f t="shared" si="200"/>
        <v>0</v>
      </c>
      <c r="AV277" s="95">
        <f t="shared" si="200"/>
        <v>0</v>
      </c>
      <c r="AW277" s="95">
        <f t="shared" si="200"/>
        <v>0</v>
      </c>
      <c r="AX277" s="95">
        <f t="shared" si="200"/>
        <v>0</v>
      </c>
      <c r="AY277" s="95">
        <f t="shared" si="200"/>
        <v>0</v>
      </c>
      <c r="AZ277" s="95">
        <f t="shared" si="200"/>
        <v>0</v>
      </c>
      <c r="BA277" s="95">
        <f t="shared" si="200"/>
        <v>0</v>
      </c>
    </row>
    <row r="279" spans="2:53" x14ac:dyDescent="0.2">
      <c r="B279" s="215">
        <f>B273+1</f>
        <v>44</v>
      </c>
    </row>
    <row r="280" spans="2:53" x14ac:dyDescent="0.2">
      <c r="B280" s="94" t="s">
        <v>100</v>
      </c>
      <c r="C280" s="73" t="s">
        <v>75</v>
      </c>
      <c r="D280" s="95">
        <f>0</f>
        <v>0</v>
      </c>
      <c r="E280" s="47">
        <f t="shared" ref="E280:BA280" si="201">D283</f>
        <v>0</v>
      </c>
      <c r="F280" s="47">
        <f t="shared" si="201"/>
        <v>0</v>
      </c>
      <c r="G280" s="47">
        <f t="shared" si="201"/>
        <v>0</v>
      </c>
      <c r="H280" s="47">
        <f t="shared" si="201"/>
        <v>0</v>
      </c>
      <c r="I280" s="47">
        <f t="shared" si="201"/>
        <v>0</v>
      </c>
      <c r="J280" s="47">
        <f t="shared" si="201"/>
        <v>0</v>
      </c>
      <c r="K280" s="47">
        <f t="shared" si="201"/>
        <v>0</v>
      </c>
      <c r="L280" s="47">
        <f t="shared" si="201"/>
        <v>0</v>
      </c>
      <c r="M280" s="47">
        <f t="shared" si="201"/>
        <v>0</v>
      </c>
      <c r="N280" s="47">
        <f t="shared" si="201"/>
        <v>0</v>
      </c>
      <c r="O280" s="47">
        <f t="shared" si="201"/>
        <v>0</v>
      </c>
      <c r="P280" s="47">
        <f t="shared" si="201"/>
        <v>0</v>
      </c>
      <c r="Q280" s="47">
        <f t="shared" si="201"/>
        <v>0</v>
      </c>
      <c r="R280" s="47">
        <f t="shared" si="201"/>
        <v>0</v>
      </c>
      <c r="S280" s="47">
        <f t="shared" si="201"/>
        <v>0</v>
      </c>
      <c r="T280" s="47">
        <f t="shared" si="201"/>
        <v>0</v>
      </c>
      <c r="U280" s="47">
        <f t="shared" si="201"/>
        <v>0</v>
      </c>
      <c r="V280" s="47">
        <f t="shared" si="201"/>
        <v>0</v>
      </c>
      <c r="W280" s="47">
        <f t="shared" si="201"/>
        <v>0</v>
      </c>
      <c r="X280" s="47">
        <f t="shared" si="201"/>
        <v>0</v>
      </c>
      <c r="Y280" s="47">
        <f t="shared" si="201"/>
        <v>0</v>
      </c>
      <c r="Z280" s="47">
        <f t="shared" si="201"/>
        <v>0</v>
      </c>
      <c r="AA280" s="47">
        <f t="shared" si="201"/>
        <v>0</v>
      </c>
      <c r="AB280" s="47">
        <f t="shared" si="201"/>
        <v>0</v>
      </c>
      <c r="AC280" s="47">
        <f t="shared" si="201"/>
        <v>0</v>
      </c>
      <c r="AD280" s="47">
        <f t="shared" si="201"/>
        <v>0</v>
      </c>
      <c r="AE280" s="47">
        <f t="shared" si="201"/>
        <v>0</v>
      </c>
      <c r="AF280" s="47">
        <f t="shared" si="201"/>
        <v>0</v>
      </c>
      <c r="AG280" s="47">
        <f t="shared" si="201"/>
        <v>0</v>
      </c>
      <c r="AH280" s="47">
        <f t="shared" si="201"/>
        <v>0</v>
      </c>
      <c r="AI280" s="47">
        <f t="shared" si="201"/>
        <v>0</v>
      </c>
      <c r="AJ280" s="47">
        <f t="shared" si="201"/>
        <v>0</v>
      </c>
      <c r="AK280" s="47">
        <f t="shared" si="201"/>
        <v>0</v>
      </c>
      <c r="AL280" s="47">
        <f t="shared" si="201"/>
        <v>0</v>
      </c>
      <c r="AM280" s="47">
        <f t="shared" si="201"/>
        <v>0</v>
      </c>
      <c r="AN280" s="47">
        <f t="shared" si="201"/>
        <v>0</v>
      </c>
      <c r="AO280" s="47">
        <f t="shared" si="201"/>
        <v>0</v>
      </c>
      <c r="AP280" s="47">
        <f t="shared" si="201"/>
        <v>0</v>
      </c>
      <c r="AQ280" s="47">
        <f t="shared" si="201"/>
        <v>0</v>
      </c>
      <c r="AR280" s="47">
        <f t="shared" si="201"/>
        <v>0</v>
      </c>
      <c r="AS280" s="47">
        <f t="shared" si="201"/>
        <v>0</v>
      </c>
      <c r="AT280" s="47">
        <f t="shared" si="201"/>
        <v>0</v>
      </c>
      <c r="AU280" s="47">
        <f t="shared" si="201"/>
        <v>0</v>
      </c>
      <c r="AV280" s="47">
        <f t="shared" si="201"/>
        <v>0</v>
      </c>
      <c r="AW280" s="47">
        <f t="shared" si="201"/>
        <v>0</v>
      </c>
      <c r="AX280" s="47">
        <f t="shared" si="201"/>
        <v>0</v>
      </c>
      <c r="AY280" s="47">
        <f t="shared" si="201"/>
        <v>0</v>
      </c>
      <c r="AZ280" s="47">
        <f t="shared" si="201"/>
        <v>0</v>
      </c>
      <c r="BA280" s="47">
        <f t="shared" si="201"/>
        <v>0</v>
      </c>
    </row>
    <row r="281" spans="2:53" x14ac:dyDescent="0.2">
      <c r="B281" s="94" t="s">
        <v>101</v>
      </c>
      <c r="C281" s="73" t="s">
        <v>75</v>
      </c>
      <c r="D281" s="95">
        <f>IF($B279=D$2,D$4,0)</f>
        <v>0</v>
      </c>
      <c r="E281" s="95">
        <f t="shared" ref="E281:BA281" si="202">IF($B279=E$2,E$4,0)</f>
        <v>0</v>
      </c>
      <c r="F281" s="95">
        <f t="shared" si="202"/>
        <v>0</v>
      </c>
      <c r="G281" s="95">
        <f t="shared" si="202"/>
        <v>0</v>
      </c>
      <c r="H281" s="95">
        <f t="shared" si="202"/>
        <v>0</v>
      </c>
      <c r="I281" s="95">
        <f t="shared" si="202"/>
        <v>0</v>
      </c>
      <c r="J281" s="95">
        <f t="shared" si="202"/>
        <v>0</v>
      </c>
      <c r="K281" s="95">
        <f t="shared" si="202"/>
        <v>0</v>
      </c>
      <c r="L281" s="95">
        <f t="shared" si="202"/>
        <v>0</v>
      </c>
      <c r="M281" s="95">
        <f t="shared" si="202"/>
        <v>0</v>
      </c>
      <c r="N281" s="95">
        <f t="shared" si="202"/>
        <v>0</v>
      </c>
      <c r="O281" s="95">
        <f t="shared" si="202"/>
        <v>0</v>
      </c>
      <c r="P281" s="95">
        <f t="shared" si="202"/>
        <v>0</v>
      </c>
      <c r="Q281" s="95">
        <f t="shared" si="202"/>
        <v>0</v>
      </c>
      <c r="R281" s="95">
        <f t="shared" si="202"/>
        <v>0</v>
      </c>
      <c r="S281" s="95">
        <f t="shared" si="202"/>
        <v>0</v>
      </c>
      <c r="T281" s="95">
        <f t="shared" si="202"/>
        <v>0</v>
      </c>
      <c r="U281" s="95">
        <f t="shared" si="202"/>
        <v>0</v>
      </c>
      <c r="V281" s="95">
        <f t="shared" si="202"/>
        <v>0</v>
      </c>
      <c r="W281" s="95">
        <f t="shared" si="202"/>
        <v>0</v>
      </c>
      <c r="X281" s="95">
        <f t="shared" si="202"/>
        <v>0</v>
      </c>
      <c r="Y281" s="95">
        <f t="shared" si="202"/>
        <v>0</v>
      </c>
      <c r="Z281" s="95">
        <f t="shared" si="202"/>
        <v>0</v>
      </c>
      <c r="AA281" s="95">
        <f t="shared" si="202"/>
        <v>0</v>
      </c>
      <c r="AB281" s="95">
        <f t="shared" si="202"/>
        <v>0</v>
      </c>
      <c r="AC281" s="95">
        <f t="shared" si="202"/>
        <v>0</v>
      </c>
      <c r="AD281" s="95">
        <f t="shared" si="202"/>
        <v>0</v>
      </c>
      <c r="AE281" s="95">
        <f t="shared" si="202"/>
        <v>0</v>
      </c>
      <c r="AF281" s="95">
        <f t="shared" si="202"/>
        <v>0</v>
      </c>
      <c r="AG281" s="95">
        <f t="shared" si="202"/>
        <v>0</v>
      </c>
      <c r="AH281" s="95">
        <f t="shared" si="202"/>
        <v>0</v>
      </c>
      <c r="AI281" s="95">
        <f t="shared" si="202"/>
        <v>0</v>
      </c>
      <c r="AJ281" s="95">
        <f t="shared" si="202"/>
        <v>0</v>
      </c>
      <c r="AK281" s="95">
        <f t="shared" si="202"/>
        <v>0</v>
      </c>
      <c r="AL281" s="95">
        <f t="shared" si="202"/>
        <v>0</v>
      </c>
      <c r="AM281" s="95">
        <f t="shared" si="202"/>
        <v>0</v>
      </c>
      <c r="AN281" s="95">
        <f t="shared" si="202"/>
        <v>0</v>
      </c>
      <c r="AO281" s="95">
        <f t="shared" si="202"/>
        <v>0</v>
      </c>
      <c r="AP281" s="95">
        <f t="shared" si="202"/>
        <v>0</v>
      </c>
      <c r="AQ281" s="95">
        <f t="shared" si="202"/>
        <v>0</v>
      </c>
      <c r="AR281" s="95">
        <f t="shared" si="202"/>
        <v>0</v>
      </c>
      <c r="AS281" s="95">
        <f t="shared" si="202"/>
        <v>0</v>
      </c>
      <c r="AT281" s="95">
        <f t="shared" si="202"/>
        <v>0</v>
      </c>
      <c r="AU281" s="95">
        <f t="shared" si="202"/>
        <v>0</v>
      </c>
      <c r="AV281" s="95">
        <f t="shared" si="202"/>
        <v>0</v>
      </c>
      <c r="AW281" s="95">
        <f t="shared" si="202"/>
        <v>0</v>
      </c>
      <c r="AX281" s="95">
        <f t="shared" si="202"/>
        <v>0</v>
      </c>
      <c r="AY281" s="95">
        <f t="shared" si="202"/>
        <v>0</v>
      </c>
      <c r="AZ281" s="95">
        <f t="shared" si="202"/>
        <v>0</v>
      </c>
      <c r="BA281" s="95">
        <f t="shared" si="202"/>
        <v>0</v>
      </c>
    </row>
    <row r="282" spans="2:53" x14ac:dyDescent="0.2">
      <c r="B282" s="76" t="s">
        <v>102</v>
      </c>
      <c r="C282" s="73" t="s">
        <v>75</v>
      </c>
      <c r="D282" s="47"/>
      <c r="E282" s="47">
        <f>IF(OR(D283&lt;=$B$15*$AU$281,F$1-$AV$1&gt;$B$13),0,-IF($B$12="straight line",SLN($AU$281,+$B$15*$AU$281,$B$13),VDB($AU$281,$B$15*$AU$281,$B$13,E$1-$AV$1,F$1-$AV$1,$B$14)))</f>
        <v>0</v>
      </c>
      <c r="F282" s="47">
        <f t="shared" ref="F282:BA282" si="203">IF(OR(E283&lt;=$B$15*$AU$281,G$1-$AV$1&gt;$B$13),0,-IF($B$12="straight line",SLN($AU$281,+$B$15*$AU$281,$B$13),VDB($AU$281,$B$15*$AU$281,$B$13,F$1-$AV$1,G$1-$AV$1,$B$14)))</f>
        <v>0</v>
      </c>
      <c r="G282" s="47">
        <f t="shared" si="203"/>
        <v>0</v>
      </c>
      <c r="H282" s="47">
        <f t="shared" si="203"/>
        <v>0</v>
      </c>
      <c r="I282" s="47">
        <f t="shared" si="203"/>
        <v>0</v>
      </c>
      <c r="J282" s="47">
        <f t="shared" si="203"/>
        <v>0</v>
      </c>
      <c r="K282" s="47">
        <f t="shared" si="203"/>
        <v>0</v>
      </c>
      <c r="L282" s="47">
        <f t="shared" si="203"/>
        <v>0</v>
      </c>
      <c r="M282" s="47">
        <f t="shared" si="203"/>
        <v>0</v>
      </c>
      <c r="N282" s="47">
        <f t="shared" si="203"/>
        <v>0</v>
      </c>
      <c r="O282" s="47">
        <f t="shared" si="203"/>
        <v>0</v>
      </c>
      <c r="P282" s="47">
        <f t="shared" si="203"/>
        <v>0</v>
      </c>
      <c r="Q282" s="47">
        <f t="shared" si="203"/>
        <v>0</v>
      </c>
      <c r="R282" s="47">
        <f t="shared" si="203"/>
        <v>0</v>
      </c>
      <c r="S282" s="47">
        <f t="shared" si="203"/>
        <v>0</v>
      </c>
      <c r="T282" s="47">
        <f t="shared" si="203"/>
        <v>0</v>
      </c>
      <c r="U282" s="47">
        <f t="shared" si="203"/>
        <v>0</v>
      </c>
      <c r="V282" s="47">
        <f t="shared" si="203"/>
        <v>0</v>
      </c>
      <c r="W282" s="47">
        <f t="shared" si="203"/>
        <v>0</v>
      </c>
      <c r="X282" s="47">
        <f t="shared" si="203"/>
        <v>0</v>
      </c>
      <c r="Y282" s="47">
        <f t="shared" si="203"/>
        <v>0</v>
      </c>
      <c r="Z282" s="47">
        <f t="shared" si="203"/>
        <v>0</v>
      </c>
      <c r="AA282" s="47">
        <f t="shared" si="203"/>
        <v>0</v>
      </c>
      <c r="AB282" s="47">
        <f t="shared" si="203"/>
        <v>0</v>
      </c>
      <c r="AC282" s="47">
        <f t="shared" si="203"/>
        <v>0</v>
      </c>
      <c r="AD282" s="47">
        <f t="shared" si="203"/>
        <v>0</v>
      </c>
      <c r="AE282" s="47">
        <f t="shared" si="203"/>
        <v>0</v>
      </c>
      <c r="AF282" s="47">
        <f t="shared" si="203"/>
        <v>0</v>
      </c>
      <c r="AG282" s="47">
        <f t="shared" si="203"/>
        <v>0</v>
      </c>
      <c r="AH282" s="47">
        <f t="shared" si="203"/>
        <v>0</v>
      </c>
      <c r="AI282" s="47">
        <f t="shared" si="203"/>
        <v>0</v>
      </c>
      <c r="AJ282" s="47">
        <f t="shared" si="203"/>
        <v>0</v>
      </c>
      <c r="AK282" s="47">
        <f t="shared" si="203"/>
        <v>0</v>
      </c>
      <c r="AL282" s="47">
        <f t="shared" si="203"/>
        <v>0</v>
      </c>
      <c r="AM282" s="47">
        <f t="shared" si="203"/>
        <v>0</v>
      </c>
      <c r="AN282" s="47">
        <f t="shared" si="203"/>
        <v>0</v>
      </c>
      <c r="AO282" s="47">
        <f t="shared" si="203"/>
        <v>0</v>
      </c>
      <c r="AP282" s="47">
        <f t="shared" si="203"/>
        <v>0</v>
      </c>
      <c r="AQ282" s="47">
        <f t="shared" si="203"/>
        <v>0</v>
      </c>
      <c r="AR282" s="47">
        <f t="shared" si="203"/>
        <v>0</v>
      </c>
      <c r="AS282" s="47">
        <f t="shared" si="203"/>
        <v>0</v>
      </c>
      <c r="AT282" s="47">
        <f t="shared" si="203"/>
        <v>0</v>
      </c>
      <c r="AU282" s="47">
        <f t="shared" si="203"/>
        <v>0</v>
      </c>
      <c r="AV282" s="47">
        <f t="shared" si="203"/>
        <v>0</v>
      </c>
      <c r="AW282" s="47">
        <f t="shared" si="203"/>
        <v>0</v>
      </c>
      <c r="AX282" s="47">
        <f t="shared" si="203"/>
        <v>0</v>
      </c>
      <c r="AY282" s="47">
        <f t="shared" si="203"/>
        <v>0</v>
      </c>
      <c r="AZ282" s="47">
        <f t="shared" si="203"/>
        <v>0</v>
      </c>
      <c r="BA282" s="47">
        <f t="shared" si="203"/>
        <v>0</v>
      </c>
    </row>
    <row r="283" spans="2:53" x14ac:dyDescent="0.2">
      <c r="B283" s="76" t="s">
        <v>103</v>
      </c>
      <c r="C283" s="73" t="s">
        <v>75</v>
      </c>
      <c r="D283" s="95">
        <f>SUM(D280:D282)</f>
        <v>0</v>
      </c>
      <c r="E283" s="95">
        <f t="shared" ref="E283:BA283" si="204">SUM(E280:E282)</f>
        <v>0</v>
      </c>
      <c r="F283" s="95">
        <f t="shared" si="204"/>
        <v>0</v>
      </c>
      <c r="G283" s="95">
        <f t="shared" si="204"/>
        <v>0</v>
      </c>
      <c r="H283" s="95">
        <f t="shared" si="204"/>
        <v>0</v>
      </c>
      <c r="I283" s="95">
        <f t="shared" si="204"/>
        <v>0</v>
      </c>
      <c r="J283" s="95">
        <f t="shared" si="204"/>
        <v>0</v>
      </c>
      <c r="K283" s="95">
        <f t="shared" si="204"/>
        <v>0</v>
      </c>
      <c r="L283" s="95">
        <f t="shared" si="204"/>
        <v>0</v>
      </c>
      <c r="M283" s="95">
        <f t="shared" si="204"/>
        <v>0</v>
      </c>
      <c r="N283" s="95">
        <f t="shared" si="204"/>
        <v>0</v>
      </c>
      <c r="O283" s="95">
        <f t="shared" si="204"/>
        <v>0</v>
      </c>
      <c r="P283" s="95">
        <f t="shared" si="204"/>
        <v>0</v>
      </c>
      <c r="Q283" s="95">
        <f t="shared" si="204"/>
        <v>0</v>
      </c>
      <c r="R283" s="95">
        <f t="shared" si="204"/>
        <v>0</v>
      </c>
      <c r="S283" s="95">
        <f t="shared" si="204"/>
        <v>0</v>
      </c>
      <c r="T283" s="95">
        <f t="shared" si="204"/>
        <v>0</v>
      </c>
      <c r="U283" s="95">
        <f t="shared" si="204"/>
        <v>0</v>
      </c>
      <c r="V283" s="95">
        <f t="shared" si="204"/>
        <v>0</v>
      </c>
      <c r="W283" s="95">
        <f t="shared" si="204"/>
        <v>0</v>
      </c>
      <c r="X283" s="95">
        <f t="shared" si="204"/>
        <v>0</v>
      </c>
      <c r="Y283" s="95">
        <f t="shared" si="204"/>
        <v>0</v>
      </c>
      <c r="Z283" s="95">
        <f t="shared" si="204"/>
        <v>0</v>
      </c>
      <c r="AA283" s="95">
        <f t="shared" si="204"/>
        <v>0</v>
      </c>
      <c r="AB283" s="95">
        <f t="shared" si="204"/>
        <v>0</v>
      </c>
      <c r="AC283" s="95">
        <f t="shared" si="204"/>
        <v>0</v>
      </c>
      <c r="AD283" s="95">
        <f t="shared" si="204"/>
        <v>0</v>
      </c>
      <c r="AE283" s="95">
        <f t="shared" si="204"/>
        <v>0</v>
      </c>
      <c r="AF283" s="95">
        <f t="shared" si="204"/>
        <v>0</v>
      </c>
      <c r="AG283" s="95">
        <f t="shared" si="204"/>
        <v>0</v>
      </c>
      <c r="AH283" s="95">
        <f t="shared" si="204"/>
        <v>0</v>
      </c>
      <c r="AI283" s="95">
        <f t="shared" si="204"/>
        <v>0</v>
      </c>
      <c r="AJ283" s="95">
        <f t="shared" si="204"/>
        <v>0</v>
      </c>
      <c r="AK283" s="95">
        <f t="shared" si="204"/>
        <v>0</v>
      </c>
      <c r="AL283" s="95">
        <f t="shared" si="204"/>
        <v>0</v>
      </c>
      <c r="AM283" s="95">
        <f t="shared" si="204"/>
        <v>0</v>
      </c>
      <c r="AN283" s="95">
        <f t="shared" si="204"/>
        <v>0</v>
      </c>
      <c r="AO283" s="95">
        <f t="shared" si="204"/>
        <v>0</v>
      </c>
      <c r="AP283" s="95">
        <f t="shared" si="204"/>
        <v>0</v>
      </c>
      <c r="AQ283" s="95">
        <f t="shared" si="204"/>
        <v>0</v>
      </c>
      <c r="AR283" s="95">
        <f t="shared" si="204"/>
        <v>0</v>
      </c>
      <c r="AS283" s="95">
        <f t="shared" si="204"/>
        <v>0</v>
      </c>
      <c r="AT283" s="95">
        <f t="shared" si="204"/>
        <v>0</v>
      </c>
      <c r="AU283" s="95">
        <f t="shared" si="204"/>
        <v>0</v>
      </c>
      <c r="AV283" s="95">
        <f t="shared" si="204"/>
        <v>0</v>
      </c>
      <c r="AW283" s="95">
        <f t="shared" si="204"/>
        <v>0</v>
      </c>
      <c r="AX283" s="95">
        <f t="shared" si="204"/>
        <v>0</v>
      </c>
      <c r="AY283" s="95">
        <f t="shared" si="204"/>
        <v>0</v>
      </c>
      <c r="AZ283" s="95">
        <f t="shared" si="204"/>
        <v>0</v>
      </c>
      <c r="BA283" s="95">
        <f t="shared" si="204"/>
        <v>0</v>
      </c>
    </row>
    <row r="285" spans="2:53" x14ac:dyDescent="0.2">
      <c r="B285" s="215">
        <f>B279+1</f>
        <v>45</v>
      </c>
    </row>
    <row r="286" spans="2:53" x14ac:dyDescent="0.2">
      <c r="B286" s="94" t="s">
        <v>100</v>
      </c>
      <c r="C286" s="73" t="s">
        <v>75</v>
      </c>
      <c r="D286" s="95">
        <f>0</f>
        <v>0</v>
      </c>
      <c r="E286" s="47">
        <f t="shared" ref="E286:BA286" si="205">D289</f>
        <v>0</v>
      </c>
      <c r="F286" s="47">
        <f t="shared" si="205"/>
        <v>0</v>
      </c>
      <c r="G286" s="47">
        <f t="shared" si="205"/>
        <v>0</v>
      </c>
      <c r="H286" s="47">
        <f t="shared" si="205"/>
        <v>0</v>
      </c>
      <c r="I286" s="47">
        <f t="shared" si="205"/>
        <v>0</v>
      </c>
      <c r="J286" s="47">
        <f t="shared" si="205"/>
        <v>0</v>
      </c>
      <c r="K286" s="47">
        <f t="shared" si="205"/>
        <v>0</v>
      </c>
      <c r="L286" s="47">
        <f t="shared" si="205"/>
        <v>0</v>
      </c>
      <c r="M286" s="47">
        <f t="shared" si="205"/>
        <v>0</v>
      </c>
      <c r="N286" s="47">
        <f t="shared" si="205"/>
        <v>0</v>
      </c>
      <c r="O286" s="47">
        <f t="shared" si="205"/>
        <v>0</v>
      </c>
      <c r="P286" s="47">
        <f t="shared" si="205"/>
        <v>0</v>
      </c>
      <c r="Q286" s="47">
        <f t="shared" si="205"/>
        <v>0</v>
      </c>
      <c r="R286" s="47">
        <f t="shared" si="205"/>
        <v>0</v>
      </c>
      <c r="S286" s="47">
        <f t="shared" si="205"/>
        <v>0</v>
      </c>
      <c r="T286" s="47">
        <f t="shared" si="205"/>
        <v>0</v>
      </c>
      <c r="U286" s="47">
        <f t="shared" si="205"/>
        <v>0</v>
      </c>
      <c r="V286" s="47">
        <f t="shared" si="205"/>
        <v>0</v>
      </c>
      <c r="W286" s="47">
        <f t="shared" si="205"/>
        <v>0</v>
      </c>
      <c r="X286" s="47">
        <f t="shared" si="205"/>
        <v>0</v>
      </c>
      <c r="Y286" s="47">
        <f t="shared" si="205"/>
        <v>0</v>
      </c>
      <c r="Z286" s="47">
        <f t="shared" si="205"/>
        <v>0</v>
      </c>
      <c r="AA286" s="47">
        <f t="shared" si="205"/>
        <v>0</v>
      </c>
      <c r="AB286" s="47">
        <f t="shared" si="205"/>
        <v>0</v>
      </c>
      <c r="AC286" s="47">
        <f t="shared" si="205"/>
        <v>0</v>
      </c>
      <c r="AD286" s="47">
        <f t="shared" si="205"/>
        <v>0</v>
      </c>
      <c r="AE286" s="47">
        <f t="shared" si="205"/>
        <v>0</v>
      </c>
      <c r="AF286" s="47">
        <f t="shared" si="205"/>
        <v>0</v>
      </c>
      <c r="AG286" s="47">
        <f t="shared" si="205"/>
        <v>0</v>
      </c>
      <c r="AH286" s="47">
        <f t="shared" si="205"/>
        <v>0</v>
      </c>
      <c r="AI286" s="47">
        <f t="shared" si="205"/>
        <v>0</v>
      </c>
      <c r="AJ286" s="47">
        <f t="shared" si="205"/>
        <v>0</v>
      </c>
      <c r="AK286" s="47">
        <f t="shared" si="205"/>
        <v>0</v>
      </c>
      <c r="AL286" s="47">
        <f t="shared" si="205"/>
        <v>0</v>
      </c>
      <c r="AM286" s="47">
        <f t="shared" si="205"/>
        <v>0</v>
      </c>
      <c r="AN286" s="47">
        <f t="shared" si="205"/>
        <v>0</v>
      </c>
      <c r="AO286" s="47">
        <f t="shared" si="205"/>
        <v>0</v>
      </c>
      <c r="AP286" s="47">
        <f t="shared" si="205"/>
        <v>0</v>
      </c>
      <c r="AQ286" s="47">
        <f t="shared" si="205"/>
        <v>0</v>
      </c>
      <c r="AR286" s="47">
        <f t="shared" si="205"/>
        <v>0</v>
      </c>
      <c r="AS286" s="47">
        <f t="shared" si="205"/>
        <v>0</v>
      </c>
      <c r="AT286" s="47">
        <f t="shared" si="205"/>
        <v>0</v>
      </c>
      <c r="AU286" s="47">
        <f t="shared" si="205"/>
        <v>0</v>
      </c>
      <c r="AV286" s="47">
        <f t="shared" si="205"/>
        <v>0</v>
      </c>
      <c r="AW286" s="47">
        <f t="shared" si="205"/>
        <v>0</v>
      </c>
      <c r="AX286" s="47">
        <f t="shared" si="205"/>
        <v>0</v>
      </c>
      <c r="AY286" s="47">
        <f t="shared" si="205"/>
        <v>0</v>
      </c>
      <c r="AZ286" s="47">
        <f t="shared" si="205"/>
        <v>0</v>
      </c>
      <c r="BA286" s="47">
        <f t="shared" si="205"/>
        <v>0</v>
      </c>
    </row>
    <row r="287" spans="2:53" x14ac:dyDescent="0.2">
      <c r="B287" s="94" t="s">
        <v>101</v>
      </c>
      <c r="C287" s="73" t="s">
        <v>75</v>
      </c>
      <c r="D287" s="95">
        <f>IF($B285=D$2,D$4,0)</f>
        <v>0</v>
      </c>
      <c r="E287" s="95">
        <f t="shared" ref="E287:BA287" si="206">IF($B285=E$2,E$4,0)</f>
        <v>0</v>
      </c>
      <c r="F287" s="95">
        <f t="shared" si="206"/>
        <v>0</v>
      </c>
      <c r="G287" s="95">
        <f t="shared" si="206"/>
        <v>0</v>
      </c>
      <c r="H287" s="95">
        <f t="shared" si="206"/>
        <v>0</v>
      </c>
      <c r="I287" s="95">
        <f t="shared" si="206"/>
        <v>0</v>
      </c>
      <c r="J287" s="95">
        <f t="shared" si="206"/>
        <v>0</v>
      </c>
      <c r="K287" s="95">
        <f t="shared" si="206"/>
        <v>0</v>
      </c>
      <c r="L287" s="95">
        <f t="shared" si="206"/>
        <v>0</v>
      </c>
      <c r="M287" s="95">
        <f t="shared" si="206"/>
        <v>0</v>
      </c>
      <c r="N287" s="95">
        <f t="shared" si="206"/>
        <v>0</v>
      </c>
      <c r="O287" s="95">
        <f t="shared" si="206"/>
        <v>0</v>
      </c>
      <c r="P287" s="95">
        <f t="shared" si="206"/>
        <v>0</v>
      </c>
      <c r="Q287" s="95">
        <f t="shared" si="206"/>
        <v>0</v>
      </c>
      <c r="R287" s="95">
        <f t="shared" si="206"/>
        <v>0</v>
      </c>
      <c r="S287" s="95">
        <f t="shared" si="206"/>
        <v>0</v>
      </c>
      <c r="T287" s="95">
        <f t="shared" si="206"/>
        <v>0</v>
      </c>
      <c r="U287" s="95">
        <f t="shared" si="206"/>
        <v>0</v>
      </c>
      <c r="V287" s="95">
        <f t="shared" si="206"/>
        <v>0</v>
      </c>
      <c r="W287" s="95">
        <f t="shared" si="206"/>
        <v>0</v>
      </c>
      <c r="X287" s="95">
        <f t="shared" si="206"/>
        <v>0</v>
      </c>
      <c r="Y287" s="95">
        <f t="shared" si="206"/>
        <v>0</v>
      </c>
      <c r="Z287" s="95">
        <f t="shared" si="206"/>
        <v>0</v>
      </c>
      <c r="AA287" s="95">
        <f t="shared" si="206"/>
        <v>0</v>
      </c>
      <c r="AB287" s="95">
        <f t="shared" si="206"/>
        <v>0</v>
      </c>
      <c r="AC287" s="95">
        <f t="shared" si="206"/>
        <v>0</v>
      </c>
      <c r="AD287" s="95">
        <f t="shared" si="206"/>
        <v>0</v>
      </c>
      <c r="AE287" s="95">
        <f t="shared" si="206"/>
        <v>0</v>
      </c>
      <c r="AF287" s="95">
        <f t="shared" si="206"/>
        <v>0</v>
      </c>
      <c r="AG287" s="95">
        <f t="shared" si="206"/>
        <v>0</v>
      </c>
      <c r="AH287" s="95">
        <f t="shared" si="206"/>
        <v>0</v>
      </c>
      <c r="AI287" s="95">
        <f t="shared" si="206"/>
        <v>0</v>
      </c>
      <c r="AJ287" s="95">
        <f t="shared" si="206"/>
        <v>0</v>
      </c>
      <c r="AK287" s="95">
        <f t="shared" si="206"/>
        <v>0</v>
      </c>
      <c r="AL287" s="95">
        <f t="shared" si="206"/>
        <v>0</v>
      </c>
      <c r="AM287" s="95">
        <f t="shared" si="206"/>
        <v>0</v>
      </c>
      <c r="AN287" s="95">
        <f t="shared" si="206"/>
        <v>0</v>
      </c>
      <c r="AO287" s="95">
        <f t="shared" si="206"/>
        <v>0</v>
      </c>
      <c r="AP287" s="95">
        <f t="shared" si="206"/>
        <v>0</v>
      </c>
      <c r="AQ287" s="95">
        <f t="shared" si="206"/>
        <v>0</v>
      </c>
      <c r="AR287" s="95">
        <f t="shared" si="206"/>
        <v>0</v>
      </c>
      <c r="AS287" s="95">
        <f t="shared" si="206"/>
        <v>0</v>
      </c>
      <c r="AT287" s="95">
        <f t="shared" si="206"/>
        <v>0</v>
      </c>
      <c r="AU287" s="95">
        <f t="shared" si="206"/>
        <v>0</v>
      </c>
      <c r="AV287" s="95">
        <f t="shared" si="206"/>
        <v>0</v>
      </c>
      <c r="AW287" s="95">
        <f t="shared" si="206"/>
        <v>0</v>
      </c>
      <c r="AX287" s="95">
        <f t="shared" si="206"/>
        <v>0</v>
      </c>
      <c r="AY287" s="95">
        <f t="shared" si="206"/>
        <v>0</v>
      </c>
      <c r="AZ287" s="95">
        <f t="shared" si="206"/>
        <v>0</v>
      </c>
      <c r="BA287" s="95">
        <f t="shared" si="206"/>
        <v>0</v>
      </c>
    </row>
    <row r="288" spans="2:53" x14ac:dyDescent="0.2">
      <c r="B288" s="76" t="s">
        <v>102</v>
      </c>
      <c r="C288" s="73" t="s">
        <v>75</v>
      </c>
      <c r="D288" s="47"/>
      <c r="E288" s="47">
        <f>IF(OR(D289&lt;=$B$15*$AV$287,F$1-$AW$1&gt;$B$13),0,-IF($B$12="straight line",SLN($AV$287,+$B$15*$AV$287,$B$13),VDB($AV$287,$B$15*$AV$287,$B$13,E$1-$AW$1,F$1-$AW$1,$B$14)))</f>
        <v>0</v>
      </c>
      <c r="F288" s="47">
        <f t="shared" ref="F288:BA288" si="207">IF(OR(E289&lt;=$B$15*$AV$287,G$1-$AW$1&gt;$B$13),0,-IF($B$12="straight line",SLN($AV$287,+$B$15*$AV$287,$B$13),VDB($AV$287,$B$15*$AV$287,$B$13,F$1-$AW$1,G$1-$AW$1,$B$14)))</f>
        <v>0</v>
      </c>
      <c r="G288" s="47">
        <f t="shared" si="207"/>
        <v>0</v>
      </c>
      <c r="H288" s="47">
        <f t="shared" si="207"/>
        <v>0</v>
      </c>
      <c r="I288" s="47">
        <f t="shared" si="207"/>
        <v>0</v>
      </c>
      <c r="J288" s="47">
        <f t="shared" si="207"/>
        <v>0</v>
      </c>
      <c r="K288" s="47">
        <f t="shared" si="207"/>
        <v>0</v>
      </c>
      <c r="L288" s="47">
        <f t="shared" si="207"/>
        <v>0</v>
      </c>
      <c r="M288" s="47">
        <f t="shared" si="207"/>
        <v>0</v>
      </c>
      <c r="N288" s="47">
        <f t="shared" si="207"/>
        <v>0</v>
      </c>
      <c r="O288" s="47">
        <f t="shared" si="207"/>
        <v>0</v>
      </c>
      <c r="P288" s="47">
        <f t="shared" si="207"/>
        <v>0</v>
      </c>
      <c r="Q288" s="47">
        <f t="shared" si="207"/>
        <v>0</v>
      </c>
      <c r="R288" s="47">
        <f t="shared" si="207"/>
        <v>0</v>
      </c>
      <c r="S288" s="47">
        <f t="shared" si="207"/>
        <v>0</v>
      </c>
      <c r="T288" s="47">
        <f t="shared" si="207"/>
        <v>0</v>
      </c>
      <c r="U288" s="47">
        <f t="shared" si="207"/>
        <v>0</v>
      </c>
      <c r="V288" s="47">
        <f t="shared" si="207"/>
        <v>0</v>
      </c>
      <c r="W288" s="47">
        <f t="shared" si="207"/>
        <v>0</v>
      </c>
      <c r="X288" s="47">
        <f t="shared" si="207"/>
        <v>0</v>
      </c>
      <c r="Y288" s="47">
        <f t="shared" si="207"/>
        <v>0</v>
      </c>
      <c r="Z288" s="47">
        <f t="shared" si="207"/>
        <v>0</v>
      </c>
      <c r="AA288" s="47">
        <f t="shared" si="207"/>
        <v>0</v>
      </c>
      <c r="AB288" s="47">
        <f t="shared" si="207"/>
        <v>0</v>
      </c>
      <c r="AC288" s="47">
        <f t="shared" si="207"/>
        <v>0</v>
      </c>
      <c r="AD288" s="47">
        <f t="shared" si="207"/>
        <v>0</v>
      </c>
      <c r="AE288" s="47">
        <f t="shared" si="207"/>
        <v>0</v>
      </c>
      <c r="AF288" s="47">
        <f t="shared" si="207"/>
        <v>0</v>
      </c>
      <c r="AG288" s="47">
        <f t="shared" si="207"/>
        <v>0</v>
      </c>
      <c r="AH288" s="47">
        <f t="shared" si="207"/>
        <v>0</v>
      </c>
      <c r="AI288" s="47">
        <f t="shared" si="207"/>
        <v>0</v>
      </c>
      <c r="AJ288" s="47">
        <f t="shared" si="207"/>
        <v>0</v>
      </c>
      <c r="AK288" s="47">
        <f t="shared" si="207"/>
        <v>0</v>
      </c>
      <c r="AL288" s="47">
        <f t="shared" si="207"/>
        <v>0</v>
      </c>
      <c r="AM288" s="47">
        <f t="shared" si="207"/>
        <v>0</v>
      </c>
      <c r="AN288" s="47">
        <f t="shared" si="207"/>
        <v>0</v>
      </c>
      <c r="AO288" s="47">
        <f t="shared" si="207"/>
        <v>0</v>
      </c>
      <c r="AP288" s="47">
        <f t="shared" si="207"/>
        <v>0</v>
      </c>
      <c r="AQ288" s="47">
        <f t="shared" si="207"/>
        <v>0</v>
      </c>
      <c r="AR288" s="47">
        <f t="shared" si="207"/>
        <v>0</v>
      </c>
      <c r="AS288" s="47">
        <f t="shared" si="207"/>
        <v>0</v>
      </c>
      <c r="AT288" s="47">
        <f t="shared" si="207"/>
        <v>0</v>
      </c>
      <c r="AU288" s="47">
        <f t="shared" si="207"/>
        <v>0</v>
      </c>
      <c r="AV288" s="47">
        <f t="shared" si="207"/>
        <v>0</v>
      </c>
      <c r="AW288" s="47">
        <f t="shared" si="207"/>
        <v>0</v>
      </c>
      <c r="AX288" s="47">
        <f t="shared" si="207"/>
        <v>0</v>
      </c>
      <c r="AY288" s="47">
        <f t="shared" si="207"/>
        <v>0</v>
      </c>
      <c r="AZ288" s="47">
        <f t="shared" si="207"/>
        <v>0</v>
      </c>
      <c r="BA288" s="47">
        <f t="shared" si="207"/>
        <v>0</v>
      </c>
    </row>
    <row r="289" spans="2:53" x14ac:dyDescent="0.2">
      <c r="B289" s="76" t="s">
        <v>103</v>
      </c>
      <c r="C289" s="73" t="s">
        <v>75</v>
      </c>
      <c r="D289" s="95">
        <f>SUM(D286:D288)</f>
        <v>0</v>
      </c>
      <c r="E289" s="95">
        <f t="shared" ref="E289:BA289" si="208">SUM(E286:E288)</f>
        <v>0</v>
      </c>
      <c r="F289" s="95">
        <f t="shared" si="208"/>
        <v>0</v>
      </c>
      <c r="G289" s="95">
        <f t="shared" si="208"/>
        <v>0</v>
      </c>
      <c r="H289" s="95">
        <f t="shared" si="208"/>
        <v>0</v>
      </c>
      <c r="I289" s="95">
        <f t="shared" si="208"/>
        <v>0</v>
      </c>
      <c r="J289" s="95">
        <f t="shared" si="208"/>
        <v>0</v>
      </c>
      <c r="K289" s="95">
        <f t="shared" si="208"/>
        <v>0</v>
      </c>
      <c r="L289" s="95">
        <f t="shared" si="208"/>
        <v>0</v>
      </c>
      <c r="M289" s="95">
        <f t="shared" si="208"/>
        <v>0</v>
      </c>
      <c r="N289" s="95">
        <f t="shared" si="208"/>
        <v>0</v>
      </c>
      <c r="O289" s="95">
        <f t="shared" si="208"/>
        <v>0</v>
      </c>
      <c r="P289" s="95">
        <f t="shared" si="208"/>
        <v>0</v>
      </c>
      <c r="Q289" s="95">
        <f t="shared" si="208"/>
        <v>0</v>
      </c>
      <c r="R289" s="95">
        <f t="shared" si="208"/>
        <v>0</v>
      </c>
      <c r="S289" s="95">
        <f t="shared" si="208"/>
        <v>0</v>
      </c>
      <c r="T289" s="95">
        <f t="shared" si="208"/>
        <v>0</v>
      </c>
      <c r="U289" s="95">
        <f t="shared" si="208"/>
        <v>0</v>
      </c>
      <c r="V289" s="95">
        <f t="shared" si="208"/>
        <v>0</v>
      </c>
      <c r="W289" s="95">
        <f t="shared" si="208"/>
        <v>0</v>
      </c>
      <c r="X289" s="95">
        <f t="shared" si="208"/>
        <v>0</v>
      </c>
      <c r="Y289" s="95">
        <f t="shared" si="208"/>
        <v>0</v>
      </c>
      <c r="Z289" s="95">
        <f t="shared" si="208"/>
        <v>0</v>
      </c>
      <c r="AA289" s="95">
        <f t="shared" si="208"/>
        <v>0</v>
      </c>
      <c r="AB289" s="95">
        <f t="shared" si="208"/>
        <v>0</v>
      </c>
      <c r="AC289" s="95">
        <f t="shared" si="208"/>
        <v>0</v>
      </c>
      <c r="AD289" s="95">
        <f t="shared" si="208"/>
        <v>0</v>
      </c>
      <c r="AE289" s="95">
        <f t="shared" si="208"/>
        <v>0</v>
      </c>
      <c r="AF289" s="95">
        <f t="shared" si="208"/>
        <v>0</v>
      </c>
      <c r="AG289" s="95">
        <f t="shared" si="208"/>
        <v>0</v>
      </c>
      <c r="AH289" s="95">
        <f t="shared" si="208"/>
        <v>0</v>
      </c>
      <c r="AI289" s="95">
        <f t="shared" si="208"/>
        <v>0</v>
      </c>
      <c r="AJ289" s="95">
        <f t="shared" si="208"/>
        <v>0</v>
      </c>
      <c r="AK289" s="95">
        <f t="shared" si="208"/>
        <v>0</v>
      </c>
      <c r="AL289" s="95">
        <f t="shared" si="208"/>
        <v>0</v>
      </c>
      <c r="AM289" s="95">
        <f t="shared" si="208"/>
        <v>0</v>
      </c>
      <c r="AN289" s="95">
        <f t="shared" si="208"/>
        <v>0</v>
      </c>
      <c r="AO289" s="95">
        <f t="shared" si="208"/>
        <v>0</v>
      </c>
      <c r="AP289" s="95">
        <f t="shared" si="208"/>
        <v>0</v>
      </c>
      <c r="AQ289" s="95">
        <f t="shared" si="208"/>
        <v>0</v>
      </c>
      <c r="AR289" s="95">
        <f t="shared" si="208"/>
        <v>0</v>
      </c>
      <c r="AS289" s="95">
        <f t="shared" si="208"/>
        <v>0</v>
      </c>
      <c r="AT289" s="95">
        <f t="shared" si="208"/>
        <v>0</v>
      </c>
      <c r="AU289" s="95">
        <f t="shared" si="208"/>
        <v>0</v>
      </c>
      <c r="AV289" s="95">
        <f t="shared" si="208"/>
        <v>0</v>
      </c>
      <c r="AW289" s="95">
        <f t="shared" si="208"/>
        <v>0</v>
      </c>
      <c r="AX289" s="95">
        <f t="shared" si="208"/>
        <v>0</v>
      </c>
      <c r="AY289" s="95">
        <f t="shared" si="208"/>
        <v>0</v>
      </c>
      <c r="AZ289" s="95">
        <f t="shared" si="208"/>
        <v>0</v>
      </c>
      <c r="BA289" s="95">
        <f t="shared" si="208"/>
        <v>0</v>
      </c>
    </row>
    <row r="291" spans="2:53" x14ac:dyDescent="0.2">
      <c r="B291" s="215">
        <f>B285+1</f>
        <v>46</v>
      </c>
    </row>
    <row r="292" spans="2:53" x14ac:dyDescent="0.2">
      <c r="B292" s="94" t="s">
        <v>100</v>
      </c>
      <c r="C292" s="73" t="s">
        <v>75</v>
      </c>
      <c r="D292" s="95">
        <f>0</f>
        <v>0</v>
      </c>
      <c r="E292" s="47">
        <f t="shared" ref="E292:BA292" si="209">D295</f>
        <v>0</v>
      </c>
      <c r="F292" s="47">
        <f t="shared" si="209"/>
        <v>0</v>
      </c>
      <c r="G292" s="47">
        <f t="shared" si="209"/>
        <v>0</v>
      </c>
      <c r="H292" s="47">
        <f t="shared" si="209"/>
        <v>0</v>
      </c>
      <c r="I292" s="47">
        <f t="shared" si="209"/>
        <v>0</v>
      </c>
      <c r="J292" s="47">
        <f t="shared" si="209"/>
        <v>0</v>
      </c>
      <c r="K292" s="47">
        <f t="shared" si="209"/>
        <v>0</v>
      </c>
      <c r="L292" s="47">
        <f t="shared" si="209"/>
        <v>0</v>
      </c>
      <c r="M292" s="47">
        <f t="shared" si="209"/>
        <v>0</v>
      </c>
      <c r="N292" s="47">
        <f t="shared" si="209"/>
        <v>0</v>
      </c>
      <c r="O292" s="47">
        <f t="shared" si="209"/>
        <v>0</v>
      </c>
      <c r="P292" s="47">
        <f t="shared" si="209"/>
        <v>0</v>
      </c>
      <c r="Q292" s="47">
        <f t="shared" si="209"/>
        <v>0</v>
      </c>
      <c r="R292" s="47">
        <f t="shared" si="209"/>
        <v>0</v>
      </c>
      <c r="S292" s="47">
        <f t="shared" si="209"/>
        <v>0</v>
      </c>
      <c r="T292" s="47">
        <f t="shared" si="209"/>
        <v>0</v>
      </c>
      <c r="U292" s="47">
        <f t="shared" si="209"/>
        <v>0</v>
      </c>
      <c r="V292" s="47">
        <f t="shared" si="209"/>
        <v>0</v>
      </c>
      <c r="W292" s="47">
        <f t="shared" si="209"/>
        <v>0</v>
      </c>
      <c r="X292" s="47">
        <f t="shared" si="209"/>
        <v>0</v>
      </c>
      <c r="Y292" s="47">
        <f t="shared" si="209"/>
        <v>0</v>
      </c>
      <c r="Z292" s="47">
        <f t="shared" si="209"/>
        <v>0</v>
      </c>
      <c r="AA292" s="47">
        <f t="shared" si="209"/>
        <v>0</v>
      </c>
      <c r="AB292" s="47">
        <f t="shared" si="209"/>
        <v>0</v>
      </c>
      <c r="AC292" s="47">
        <f t="shared" si="209"/>
        <v>0</v>
      </c>
      <c r="AD292" s="47">
        <f t="shared" si="209"/>
        <v>0</v>
      </c>
      <c r="AE292" s="47">
        <f t="shared" si="209"/>
        <v>0</v>
      </c>
      <c r="AF292" s="47">
        <f t="shared" si="209"/>
        <v>0</v>
      </c>
      <c r="AG292" s="47">
        <f t="shared" si="209"/>
        <v>0</v>
      </c>
      <c r="AH292" s="47">
        <f t="shared" si="209"/>
        <v>0</v>
      </c>
      <c r="AI292" s="47">
        <f t="shared" si="209"/>
        <v>0</v>
      </c>
      <c r="AJ292" s="47">
        <f t="shared" si="209"/>
        <v>0</v>
      </c>
      <c r="AK292" s="47">
        <f t="shared" si="209"/>
        <v>0</v>
      </c>
      <c r="AL292" s="47">
        <f t="shared" si="209"/>
        <v>0</v>
      </c>
      <c r="AM292" s="47">
        <f t="shared" si="209"/>
        <v>0</v>
      </c>
      <c r="AN292" s="47">
        <f t="shared" si="209"/>
        <v>0</v>
      </c>
      <c r="AO292" s="47">
        <f t="shared" si="209"/>
        <v>0</v>
      </c>
      <c r="AP292" s="47">
        <f t="shared" si="209"/>
        <v>0</v>
      </c>
      <c r="AQ292" s="47">
        <f t="shared" si="209"/>
        <v>0</v>
      </c>
      <c r="AR292" s="47">
        <f t="shared" si="209"/>
        <v>0</v>
      </c>
      <c r="AS292" s="47">
        <f t="shared" si="209"/>
        <v>0</v>
      </c>
      <c r="AT292" s="47">
        <f t="shared" si="209"/>
        <v>0</v>
      </c>
      <c r="AU292" s="47">
        <f t="shared" si="209"/>
        <v>0</v>
      </c>
      <c r="AV292" s="47">
        <f t="shared" si="209"/>
        <v>0</v>
      </c>
      <c r="AW292" s="47">
        <f t="shared" si="209"/>
        <v>0</v>
      </c>
      <c r="AX292" s="47">
        <f t="shared" si="209"/>
        <v>0</v>
      </c>
      <c r="AY292" s="47">
        <f t="shared" si="209"/>
        <v>0</v>
      </c>
      <c r="AZ292" s="47">
        <f t="shared" si="209"/>
        <v>0</v>
      </c>
      <c r="BA292" s="47">
        <f t="shared" si="209"/>
        <v>0</v>
      </c>
    </row>
    <row r="293" spans="2:53" x14ac:dyDescent="0.2">
      <c r="B293" s="94" t="s">
        <v>101</v>
      </c>
      <c r="C293" s="73" t="s">
        <v>75</v>
      </c>
      <c r="D293" s="95">
        <f>IF($B291=D$2,D$4,0)</f>
        <v>0</v>
      </c>
      <c r="E293" s="95">
        <f t="shared" ref="E293:BA293" si="210">IF($B291=E$2,E$4,0)</f>
        <v>0</v>
      </c>
      <c r="F293" s="95">
        <f t="shared" si="210"/>
        <v>0</v>
      </c>
      <c r="G293" s="95">
        <f t="shared" si="210"/>
        <v>0</v>
      </c>
      <c r="H293" s="95">
        <f t="shared" si="210"/>
        <v>0</v>
      </c>
      <c r="I293" s="95">
        <f t="shared" si="210"/>
        <v>0</v>
      </c>
      <c r="J293" s="95">
        <f t="shared" si="210"/>
        <v>0</v>
      </c>
      <c r="K293" s="95">
        <f t="shared" si="210"/>
        <v>0</v>
      </c>
      <c r="L293" s="95">
        <f t="shared" si="210"/>
        <v>0</v>
      </c>
      <c r="M293" s="95">
        <f t="shared" si="210"/>
        <v>0</v>
      </c>
      <c r="N293" s="95">
        <f t="shared" si="210"/>
        <v>0</v>
      </c>
      <c r="O293" s="95">
        <f t="shared" si="210"/>
        <v>0</v>
      </c>
      <c r="P293" s="95">
        <f t="shared" si="210"/>
        <v>0</v>
      </c>
      <c r="Q293" s="95">
        <f t="shared" si="210"/>
        <v>0</v>
      </c>
      <c r="R293" s="95">
        <f t="shared" si="210"/>
        <v>0</v>
      </c>
      <c r="S293" s="95">
        <f t="shared" si="210"/>
        <v>0</v>
      </c>
      <c r="T293" s="95">
        <f t="shared" si="210"/>
        <v>0</v>
      </c>
      <c r="U293" s="95">
        <f t="shared" si="210"/>
        <v>0</v>
      </c>
      <c r="V293" s="95">
        <f t="shared" si="210"/>
        <v>0</v>
      </c>
      <c r="W293" s="95">
        <f t="shared" si="210"/>
        <v>0</v>
      </c>
      <c r="X293" s="95">
        <f t="shared" si="210"/>
        <v>0</v>
      </c>
      <c r="Y293" s="95">
        <f t="shared" si="210"/>
        <v>0</v>
      </c>
      <c r="Z293" s="95">
        <f t="shared" si="210"/>
        <v>0</v>
      </c>
      <c r="AA293" s="95">
        <f t="shared" si="210"/>
        <v>0</v>
      </c>
      <c r="AB293" s="95">
        <f t="shared" si="210"/>
        <v>0</v>
      </c>
      <c r="AC293" s="95">
        <f t="shared" si="210"/>
        <v>0</v>
      </c>
      <c r="AD293" s="95">
        <f t="shared" si="210"/>
        <v>0</v>
      </c>
      <c r="AE293" s="95">
        <f t="shared" si="210"/>
        <v>0</v>
      </c>
      <c r="AF293" s="95">
        <f t="shared" si="210"/>
        <v>0</v>
      </c>
      <c r="AG293" s="95">
        <f t="shared" si="210"/>
        <v>0</v>
      </c>
      <c r="AH293" s="95">
        <f t="shared" si="210"/>
        <v>0</v>
      </c>
      <c r="AI293" s="95">
        <f t="shared" si="210"/>
        <v>0</v>
      </c>
      <c r="AJ293" s="95">
        <f t="shared" si="210"/>
        <v>0</v>
      </c>
      <c r="AK293" s="95">
        <f t="shared" si="210"/>
        <v>0</v>
      </c>
      <c r="AL293" s="95">
        <f t="shared" si="210"/>
        <v>0</v>
      </c>
      <c r="AM293" s="95">
        <f t="shared" si="210"/>
        <v>0</v>
      </c>
      <c r="AN293" s="95">
        <f t="shared" si="210"/>
        <v>0</v>
      </c>
      <c r="AO293" s="95">
        <f t="shared" si="210"/>
        <v>0</v>
      </c>
      <c r="AP293" s="95">
        <f t="shared" si="210"/>
        <v>0</v>
      </c>
      <c r="AQ293" s="95">
        <f t="shared" si="210"/>
        <v>0</v>
      </c>
      <c r="AR293" s="95">
        <f t="shared" si="210"/>
        <v>0</v>
      </c>
      <c r="AS293" s="95">
        <f t="shared" si="210"/>
        <v>0</v>
      </c>
      <c r="AT293" s="95">
        <f t="shared" si="210"/>
        <v>0</v>
      </c>
      <c r="AU293" s="95">
        <f t="shared" si="210"/>
        <v>0</v>
      </c>
      <c r="AV293" s="95">
        <f t="shared" si="210"/>
        <v>0</v>
      </c>
      <c r="AW293" s="95">
        <f t="shared" si="210"/>
        <v>0</v>
      </c>
      <c r="AX293" s="95">
        <f t="shared" si="210"/>
        <v>0</v>
      </c>
      <c r="AY293" s="95">
        <f t="shared" si="210"/>
        <v>0</v>
      </c>
      <c r="AZ293" s="95">
        <f t="shared" si="210"/>
        <v>0</v>
      </c>
      <c r="BA293" s="95">
        <f t="shared" si="210"/>
        <v>0</v>
      </c>
    </row>
    <row r="294" spans="2:53" x14ac:dyDescent="0.2">
      <c r="B294" s="76" t="s">
        <v>102</v>
      </c>
      <c r="C294" s="73" t="s">
        <v>75</v>
      </c>
      <c r="D294" s="47"/>
      <c r="E294" s="47">
        <f>IF(OR(D295&lt;=$B$15*$AW$293,F$1-$AX$1&gt;$B$13),0,-IF($B$12="straight line",SLN($AW$293,+$B$15*$AW$293,$B$13),VDB($AW$293,$B$15*$AW$293,$B$13,E$1-$AX$1,F$1-$AX$1,$B$14)))</f>
        <v>0</v>
      </c>
      <c r="F294" s="47">
        <f t="shared" ref="F294:BA294" si="211">IF(OR(E295&lt;=$B$15*$AW$293,G$1-$AX$1&gt;$B$13),0,-IF($B$12="straight line",SLN($AW$293,+$B$15*$AW$293,$B$13),VDB($AW$293,$B$15*$AW$293,$B$13,F$1-$AX$1,G$1-$AX$1,$B$14)))</f>
        <v>0</v>
      </c>
      <c r="G294" s="47">
        <f t="shared" si="211"/>
        <v>0</v>
      </c>
      <c r="H294" s="47">
        <f t="shared" si="211"/>
        <v>0</v>
      </c>
      <c r="I294" s="47">
        <f t="shared" si="211"/>
        <v>0</v>
      </c>
      <c r="J294" s="47">
        <f t="shared" si="211"/>
        <v>0</v>
      </c>
      <c r="K294" s="47">
        <f t="shared" si="211"/>
        <v>0</v>
      </c>
      <c r="L294" s="47">
        <f t="shared" si="211"/>
        <v>0</v>
      </c>
      <c r="M294" s="47">
        <f t="shared" si="211"/>
        <v>0</v>
      </c>
      <c r="N294" s="47">
        <f t="shared" si="211"/>
        <v>0</v>
      </c>
      <c r="O294" s="47">
        <f t="shared" si="211"/>
        <v>0</v>
      </c>
      <c r="P294" s="47">
        <f t="shared" si="211"/>
        <v>0</v>
      </c>
      <c r="Q294" s="47">
        <f t="shared" si="211"/>
        <v>0</v>
      </c>
      <c r="R294" s="47">
        <f t="shared" si="211"/>
        <v>0</v>
      </c>
      <c r="S294" s="47">
        <f t="shared" si="211"/>
        <v>0</v>
      </c>
      <c r="T294" s="47">
        <f t="shared" si="211"/>
        <v>0</v>
      </c>
      <c r="U294" s="47">
        <f t="shared" si="211"/>
        <v>0</v>
      </c>
      <c r="V294" s="47">
        <f t="shared" si="211"/>
        <v>0</v>
      </c>
      <c r="W294" s="47">
        <f t="shared" si="211"/>
        <v>0</v>
      </c>
      <c r="X294" s="47">
        <f t="shared" si="211"/>
        <v>0</v>
      </c>
      <c r="Y294" s="47">
        <f t="shared" si="211"/>
        <v>0</v>
      </c>
      <c r="Z294" s="47">
        <f t="shared" si="211"/>
        <v>0</v>
      </c>
      <c r="AA294" s="47">
        <f t="shared" si="211"/>
        <v>0</v>
      </c>
      <c r="AB294" s="47">
        <f t="shared" si="211"/>
        <v>0</v>
      </c>
      <c r="AC294" s="47">
        <f t="shared" si="211"/>
        <v>0</v>
      </c>
      <c r="AD294" s="47">
        <f t="shared" si="211"/>
        <v>0</v>
      </c>
      <c r="AE294" s="47">
        <f t="shared" si="211"/>
        <v>0</v>
      </c>
      <c r="AF294" s="47">
        <f t="shared" si="211"/>
        <v>0</v>
      </c>
      <c r="AG294" s="47">
        <f t="shared" si="211"/>
        <v>0</v>
      </c>
      <c r="AH294" s="47">
        <f t="shared" si="211"/>
        <v>0</v>
      </c>
      <c r="AI294" s="47">
        <f t="shared" si="211"/>
        <v>0</v>
      </c>
      <c r="AJ294" s="47">
        <f t="shared" si="211"/>
        <v>0</v>
      </c>
      <c r="AK294" s="47">
        <f t="shared" si="211"/>
        <v>0</v>
      </c>
      <c r="AL294" s="47">
        <f t="shared" si="211"/>
        <v>0</v>
      </c>
      <c r="AM294" s="47">
        <f t="shared" si="211"/>
        <v>0</v>
      </c>
      <c r="AN294" s="47">
        <f t="shared" si="211"/>
        <v>0</v>
      </c>
      <c r="AO294" s="47">
        <f t="shared" si="211"/>
        <v>0</v>
      </c>
      <c r="AP294" s="47">
        <f t="shared" si="211"/>
        <v>0</v>
      </c>
      <c r="AQ294" s="47">
        <f t="shared" si="211"/>
        <v>0</v>
      </c>
      <c r="AR294" s="47">
        <f t="shared" si="211"/>
        <v>0</v>
      </c>
      <c r="AS294" s="47">
        <f t="shared" si="211"/>
        <v>0</v>
      </c>
      <c r="AT294" s="47">
        <f t="shared" si="211"/>
        <v>0</v>
      </c>
      <c r="AU294" s="47">
        <f t="shared" si="211"/>
        <v>0</v>
      </c>
      <c r="AV294" s="47">
        <f t="shared" si="211"/>
        <v>0</v>
      </c>
      <c r="AW294" s="47">
        <f t="shared" si="211"/>
        <v>0</v>
      </c>
      <c r="AX294" s="47">
        <f t="shared" si="211"/>
        <v>0</v>
      </c>
      <c r="AY294" s="47">
        <f t="shared" si="211"/>
        <v>0</v>
      </c>
      <c r="AZ294" s="47">
        <f t="shared" si="211"/>
        <v>0</v>
      </c>
      <c r="BA294" s="47">
        <f t="shared" si="211"/>
        <v>0</v>
      </c>
    </row>
    <row r="295" spans="2:53" x14ac:dyDescent="0.2">
      <c r="B295" s="76" t="s">
        <v>103</v>
      </c>
      <c r="C295" s="73" t="s">
        <v>75</v>
      </c>
      <c r="D295" s="95">
        <f>SUM(D292:D294)</f>
        <v>0</v>
      </c>
      <c r="E295" s="95">
        <f t="shared" ref="E295:BA295" si="212">SUM(E292:E294)</f>
        <v>0</v>
      </c>
      <c r="F295" s="95">
        <f t="shared" si="212"/>
        <v>0</v>
      </c>
      <c r="G295" s="95">
        <f t="shared" si="212"/>
        <v>0</v>
      </c>
      <c r="H295" s="95">
        <f t="shared" si="212"/>
        <v>0</v>
      </c>
      <c r="I295" s="95">
        <f t="shared" si="212"/>
        <v>0</v>
      </c>
      <c r="J295" s="95">
        <f t="shared" si="212"/>
        <v>0</v>
      </c>
      <c r="K295" s="95">
        <f t="shared" si="212"/>
        <v>0</v>
      </c>
      <c r="L295" s="95">
        <f t="shared" si="212"/>
        <v>0</v>
      </c>
      <c r="M295" s="95">
        <f t="shared" si="212"/>
        <v>0</v>
      </c>
      <c r="N295" s="95">
        <f t="shared" si="212"/>
        <v>0</v>
      </c>
      <c r="O295" s="95">
        <f t="shared" si="212"/>
        <v>0</v>
      </c>
      <c r="P295" s="95">
        <f t="shared" si="212"/>
        <v>0</v>
      </c>
      <c r="Q295" s="95">
        <f t="shared" si="212"/>
        <v>0</v>
      </c>
      <c r="R295" s="95">
        <f t="shared" si="212"/>
        <v>0</v>
      </c>
      <c r="S295" s="95">
        <f t="shared" si="212"/>
        <v>0</v>
      </c>
      <c r="T295" s="95">
        <f t="shared" si="212"/>
        <v>0</v>
      </c>
      <c r="U295" s="95">
        <f t="shared" si="212"/>
        <v>0</v>
      </c>
      <c r="V295" s="95">
        <f t="shared" si="212"/>
        <v>0</v>
      </c>
      <c r="W295" s="95">
        <f t="shared" si="212"/>
        <v>0</v>
      </c>
      <c r="X295" s="95">
        <f t="shared" si="212"/>
        <v>0</v>
      </c>
      <c r="Y295" s="95">
        <f t="shared" si="212"/>
        <v>0</v>
      </c>
      <c r="Z295" s="95">
        <f t="shared" si="212"/>
        <v>0</v>
      </c>
      <c r="AA295" s="95">
        <f t="shared" si="212"/>
        <v>0</v>
      </c>
      <c r="AB295" s="95">
        <f t="shared" si="212"/>
        <v>0</v>
      </c>
      <c r="AC295" s="95">
        <f t="shared" si="212"/>
        <v>0</v>
      </c>
      <c r="AD295" s="95">
        <f t="shared" si="212"/>
        <v>0</v>
      </c>
      <c r="AE295" s="95">
        <f t="shared" si="212"/>
        <v>0</v>
      </c>
      <c r="AF295" s="95">
        <f t="shared" si="212"/>
        <v>0</v>
      </c>
      <c r="AG295" s="95">
        <f t="shared" si="212"/>
        <v>0</v>
      </c>
      <c r="AH295" s="95">
        <f t="shared" si="212"/>
        <v>0</v>
      </c>
      <c r="AI295" s="95">
        <f t="shared" si="212"/>
        <v>0</v>
      </c>
      <c r="AJ295" s="95">
        <f t="shared" si="212"/>
        <v>0</v>
      </c>
      <c r="AK295" s="95">
        <f t="shared" si="212"/>
        <v>0</v>
      </c>
      <c r="AL295" s="95">
        <f t="shared" si="212"/>
        <v>0</v>
      </c>
      <c r="AM295" s="95">
        <f t="shared" si="212"/>
        <v>0</v>
      </c>
      <c r="AN295" s="95">
        <f t="shared" si="212"/>
        <v>0</v>
      </c>
      <c r="AO295" s="95">
        <f t="shared" si="212"/>
        <v>0</v>
      </c>
      <c r="AP295" s="95">
        <f t="shared" si="212"/>
        <v>0</v>
      </c>
      <c r="AQ295" s="95">
        <f t="shared" si="212"/>
        <v>0</v>
      </c>
      <c r="AR295" s="95">
        <f t="shared" si="212"/>
        <v>0</v>
      </c>
      <c r="AS295" s="95">
        <f t="shared" si="212"/>
        <v>0</v>
      </c>
      <c r="AT295" s="95">
        <f t="shared" si="212"/>
        <v>0</v>
      </c>
      <c r="AU295" s="95">
        <f t="shared" si="212"/>
        <v>0</v>
      </c>
      <c r="AV295" s="95">
        <f t="shared" si="212"/>
        <v>0</v>
      </c>
      <c r="AW295" s="95">
        <f t="shared" si="212"/>
        <v>0</v>
      </c>
      <c r="AX295" s="95">
        <f t="shared" si="212"/>
        <v>0</v>
      </c>
      <c r="AY295" s="95">
        <f t="shared" si="212"/>
        <v>0</v>
      </c>
      <c r="AZ295" s="95">
        <f t="shared" si="212"/>
        <v>0</v>
      </c>
      <c r="BA295" s="95">
        <f t="shared" si="212"/>
        <v>0</v>
      </c>
    </row>
    <row r="297" spans="2:53" x14ac:dyDescent="0.2">
      <c r="B297" s="215">
        <f>B291+1</f>
        <v>47</v>
      </c>
    </row>
    <row r="298" spans="2:53" x14ac:dyDescent="0.2">
      <c r="B298" s="94" t="s">
        <v>100</v>
      </c>
      <c r="C298" s="73" t="s">
        <v>75</v>
      </c>
      <c r="D298" s="95">
        <f>0</f>
        <v>0</v>
      </c>
      <c r="E298" s="47">
        <f t="shared" ref="E298:BA298" si="213">D301</f>
        <v>0</v>
      </c>
      <c r="F298" s="47">
        <f t="shared" si="213"/>
        <v>0</v>
      </c>
      <c r="G298" s="47">
        <f t="shared" si="213"/>
        <v>0</v>
      </c>
      <c r="H298" s="47">
        <f t="shared" si="213"/>
        <v>0</v>
      </c>
      <c r="I298" s="47">
        <f t="shared" si="213"/>
        <v>0</v>
      </c>
      <c r="J298" s="47">
        <f t="shared" si="213"/>
        <v>0</v>
      </c>
      <c r="K298" s="47">
        <f t="shared" si="213"/>
        <v>0</v>
      </c>
      <c r="L298" s="47">
        <f t="shared" si="213"/>
        <v>0</v>
      </c>
      <c r="M298" s="47">
        <f t="shared" si="213"/>
        <v>0</v>
      </c>
      <c r="N298" s="47">
        <f t="shared" si="213"/>
        <v>0</v>
      </c>
      <c r="O298" s="47">
        <f t="shared" si="213"/>
        <v>0</v>
      </c>
      <c r="P298" s="47">
        <f t="shared" si="213"/>
        <v>0</v>
      </c>
      <c r="Q298" s="47">
        <f t="shared" si="213"/>
        <v>0</v>
      </c>
      <c r="R298" s="47">
        <f t="shared" si="213"/>
        <v>0</v>
      </c>
      <c r="S298" s="47">
        <f t="shared" si="213"/>
        <v>0</v>
      </c>
      <c r="T298" s="47">
        <f t="shared" si="213"/>
        <v>0</v>
      </c>
      <c r="U298" s="47">
        <f t="shared" si="213"/>
        <v>0</v>
      </c>
      <c r="V298" s="47">
        <f t="shared" si="213"/>
        <v>0</v>
      </c>
      <c r="W298" s="47">
        <f t="shared" si="213"/>
        <v>0</v>
      </c>
      <c r="X298" s="47">
        <f t="shared" si="213"/>
        <v>0</v>
      </c>
      <c r="Y298" s="47">
        <f t="shared" si="213"/>
        <v>0</v>
      </c>
      <c r="Z298" s="47">
        <f t="shared" si="213"/>
        <v>0</v>
      </c>
      <c r="AA298" s="47">
        <f t="shared" si="213"/>
        <v>0</v>
      </c>
      <c r="AB298" s="47">
        <f t="shared" si="213"/>
        <v>0</v>
      </c>
      <c r="AC298" s="47">
        <f t="shared" si="213"/>
        <v>0</v>
      </c>
      <c r="AD298" s="47">
        <f t="shared" si="213"/>
        <v>0</v>
      </c>
      <c r="AE298" s="47">
        <f t="shared" si="213"/>
        <v>0</v>
      </c>
      <c r="AF298" s="47">
        <f t="shared" si="213"/>
        <v>0</v>
      </c>
      <c r="AG298" s="47">
        <f t="shared" si="213"/>
        <v>0</v>
      </c>
      <c r="AH298" s="47">
        <f t="shared" si="213"/>
        <v>0</v>
      </c>
      <c r="AI298" s="47">
        <f t="shared" si="213"/>
        <v>0</v>
      </c>
      <c r="AJ298" s="47">
        <f t="shared" si="213"/>
        <v>0</v>
      </c>
      <c r="AK298" s="47">
        <f t="shared" si="213"/>
        <v>0</v>
      </c>
      <c r="AL298" s="47">
        <f t="shared" si="213"/>
        <v>0</v>
      </c>
      <c r="AM298" s="47">
        <f t="shared" si="213"/>
        <v>0</v>
      </c>
      <c r="AN298" s="47">
        <f t="shared" si="213"/>
        <v>0</v>
      </c>
      <c r="AO298" s="47">
        <f t="shared" si="213"/>
        <v>0</v>
      </c>
      <c r="AP298" s="47">
        <f t="shared" si="213"/>
        <v>0</v>
      </c>
      <c r="AQ298" s="47">
        <f t="shared" si="213"/>
        <v>0</v>
      </c>
      <c r="AR298" s="47">
        <f t="shared" si="213"/>
        <v>0</v>
      </c>
      <c r="AS298" s="47">
        <f t="shared" si="213"/>
        <v>0</v>
      </c>
      <c r="AT298" s="47">
        <f t="shared" si="213"/>
        <v>0</v>
      </c>
      <c r="AU298" s="47">
        <f t="shared" si="213"/>
        <v>0</v>
      </c>
      <c r="AV298" s="47">
        <f t="shared" si="213"/>
        <v>0</v>
      </c>
      <c r="AW298" s="47">
        <f t="shared" si="213"/>
        <v>0</v>
      </c>
      <c r="AX298" s="47">
        <f t="shared" si="213"/>
        <v>0</v>
      </c>
      <c r="AY298" s="47">
        <f t="shared" si="213"/>
        <v>0</v>
      </c>
      <c r="AZ298" s="47">
        <f t="shared" si="213"/>
        <v>0</v>
      </c>
      <c r="BA298" s="47">
        <f t="shared" si="213"/>
        <v>0</v>
      </c>
    </row>
    <row r="299" spans="2:53" x14ac:dyDescent="0.2">
      <c r="B299" s="94" t="s">
        <v>101</v>
      </c>
      <c r="C299" s="73" t="s">
        <v>75</v>
      </c>
      <c r="D299" s="95">
        <f>IF($B297=D$2,D$4,0)</f>
        <v>0</v>
      </c>
      <c r="E299" s="95">
        <f t="shared" ref="E299:BA299" si="214">IF($B297=E$2,E$4,0)</f>
        <v>0</v>
      </c>
      <c r="F299" s="95">
        <f t="shared" si="214"/>
        <v>0</v>
      </c>
      <c r="G299" s="95">
        <f t="shared" si="214"/>
        <v>0</v>
      </c>
      <c r="H299" s="95">
        <f t="shared" si="214"/>
        <v>0</v>
      </c>
      <c r="I299" s="95">
        <f t="shared" si="214"/>
        <v>0</v>
      </c>
      <c r="J299" s="95">
        <f t="shared" si="214"/>
        <v>0</v>
      </c>
      <c r="K299" s="95">
        <f t="shared" si="214"/>
        <v>0</v>
      </c>
      <c r="L299" s="95">
        <f t="shared" si="214"/>
        <v>0</v>
      </c>
      <c r="M299" s="95">
        <f t="shared" si="214"/>
        <v>0</v>
      </c>
      <c r="N299" s="95">
        <f t="shared" si="214"/>
        <v>0</v>
      </c>
      <c r="O299" s="95">
        <f t="shared" si="214"/>
        <v>0</v>
      </c>
      <c r="P299" s="95">
        <f t="shared" si="214"/>
        <v>0</v>
      </c>
      <c r="Q299" s="95">
        <f t="shared" si="214"/>
        <v>0</v>
      </c>
      <c r="R299" s="95">
        <f t="shared" si="214"/>
        <v>0</v>
      </c>
      <c r="S299" s="95">
        <f t="shared" si="214"/>
        <v>0</v>
      </c>
      <c r="T299" s="95">
        <f t="shared" si="214"/>
        <v>0</v>
      </c>
      <c r="U299" s="95">
        <f t="shared" si="214"/>
        <v>0</v>
      </c>
      <c r="V299" s="95">
        <f t="shared" si="214"/>
        <v>0</v>
      </c>
      <c r="W299" s="95">
        <f t="shared" si="214"/>
        <v>0</v>
      </c>
      <c r="X299" s="95">
        <f t="shared" si="214"/>
        <v>0</v>
      </c>
      <c r="Y299" s="95">
        <f t="shared" si="214"/>
        <v>0</v>
      </c>
      <c r="Z299" s="95">
        <f t="shared" si="214"/>
        <v>0</v>
      </c>
      <c r="AA299" s="95">
        <f t="shared" si="214"/>
        <v>0</v>
      </c>
      <c r="AB299" s="95">
        <f t="shared" si="214"/>
        <v>0</v>
      </c>
      <c r="AC299" s="95">
        <f t="shared" si="214"/>
        <v>0</v>
      </c>
      <c r="AD299" s="95">
        <f t="shared" si="214"/>
        <v>0</v>
      </c>
      <c r="AE299" s="95">
        <f t="shared" si="214"/>
        <v>0</v>
      </c>
      <c r="AF299" s="95">
        <f t="shared" si="214"/>
        <v>0</v>
      </c>
      <c r="AG299" s="95">
        <f t="shared" si="214"/>
        <v>0</v>
      </c>
      <c r="AH299" s="95">
        <f t="shared" si="214"/>
        <v>0</v>
      </c>
      <c r="AI299" s="95">
        <f t="shared" si="214"/>
        <v>0</v>
      </c>
      <c r="AJ299" s="95">
        <f t="shared" si="214"/>
        <v>0</v>
      </c>
      <c r="AK299" s="95">
        <f t="shared" si="214"/>
        <v>0</v>
      </c>
      <c r="AL299" s="95">
        <f t="shared" si="214"/>
        <v>0</v>
      </c>
      <c r="AM299" s="95">
        <f t="shared" si="214"/>
        <v>0</v>
      </c>
      <c r="AN299" s="95">
        <f t="shared" si="214"/>
        <v>0</v>
      </c>
      <c r="AO299" s="95">
        <f t="shared" si="214"/>
        <v>0</v>
      </c>
      <c r="AP299" s="95">
        <f t="shared" si="214"/>
        <v>0</v>
      </c>
      <c r="AQ299" s="95">
        <f t="shared" si="214"/>
        <v>0</v>
      </c>
      <c r="AR299" s="95">
        <f t="shared" si="214"/>
        <v>0</v>
      </c>
      <c r="AS299" s="95">
        <f t="shared" si="214"/>
        <v>0</v>
      </c>
      <c r="AT299" s="95">
        <f t="shared" si="214"/>
        <v>0</v>
      </c>
      <c r="AU299" s="95">
        <f t="shared" si="214"/>
        <v>0</v>
      </c>
      <c r="AV299" s="95">
        <f t="shared" si="214"/>
        <v>0</v>
      </c>
      <c r="AW299" s="95">
        <f t="shared" si="214"/>
        <v>0</v>
      </c>
      <c r="AX299" s="95">
        <f t="shared" si="214"/>
        <v>0</v>
      </c>
      <c r="AY299" s="95">
        <f t="shared" si="214"/>
        <v>0</v>
      </c>
      <c r="AZ299" s="95">
        <f t="shared" si="214"/>
        <v>0</v>
      </c>
      <c r="BA299" s="95">
        <f t="shared" si="214"/>
        <v>0</v>
      </c>
    </row>
    <row r="300" spans="2:53" x14ac:dyDescent="0.2">
      <c r="B300" s="76" t="s">
        <v>102</v>
      </c>
      <c r="C300" s="73" t="s">
        <v>75</v>
      </c>
      <c r="D300" s="47"/>
      <c r="E300" s="47">
        <f>IF(OR(D301&lt;=$B$15*$AX$299,F$1-$AY$1&gt;$B$13),0,-IF($B$12="straight line",SLN($AX$299,+$B$15*$AX$299,$B$13),VDB($AX$299,$B$15*$AX$299,$B$13,E$1-$AY$1,F$1-$AY$1,$B$14)))</f>
        <v>0</v>
      </c>
      <c r="F300" s="47">
        <f t="shared" ref="F300:BA300" si="215">IF(OR(E301&lt;=$B$15*$AX$299,G$1-$AY$1&gt;$B$13),0,-IF($B$12="straight line",SLN($AX$299,+$B$15*$AX$299,$B$13),VDB($AX$299,$B$15*$AX$299,$B$13,F$1-$AY$1,G$1-$AY$1,$B$14)))</f>
        <v>0</v>
      </c>
      <c r="G300" s="47">
        <f t="shared" si="215"/>
        <v>0</v>
      </c>
      <c r="H300" s="47">
        <f t="shared" si="215"/>
        <v>0</v>
      </c>
      <c r="I300" s="47">
        <f t="shared" si="215"/>
        <v>0</v>
      </c>
      <c r="J300" s="47">
        <f t="shared" si="215"/>
        <v>0</v>
      </c>
      <c r="K300" s="47">
        <f t="shared" si="215"/>
        <v>0</v>
      </c>
      <c r="L300" s="47">
        <f t="shared" si="215"/>
        <v>0</v>
      </c>
      <c r="M300" s="47">
        <f t="shared" si="215"/>
        <v>0</v>
      </c>
      <c r="N300" s="47">
        <f t="shared" si="215"/>
        <v>0</v>
      </c>
      <c r="O300" s="47">
        <f t="shared" si="215"/>
        <v>0</v>
      </c>
      <c r="P300" s="47">
        <f t="shared" si="215"/>
        <v>0</v>
      </c>
      <c r="Q300" s="47">
        <f t="shared" si="215"/>
        <v>0</v>
      </c>
      <c r="R300" s="47">
        <f t="shared" si="215"/>
        <v>0</v>
      </c>
      <c r="S300" s="47">
        <f t="shared" si="215"/>
        <v>0</v>
      </c>
      <c r="T300" s="47">
        <f t="shared" si="215"/>
        <v>0</v>
      </c>
      <c r="U300" s="47">
        <f t="shared" si="215"/>
        <v>0</v>
      </c>
      <c r="V300" s="47">
        <f t="shared" si="215"/>
        <v>0</v>
      </c>
      <c r="W300" s="47">
        <f t="shared" si="215"/>
        <v>0</v>
      </c>
      <c r="X300" s="47">
        <f t="shared" si="215"/>
        <v>0</v>
      </c>
      <c r="Y300" s="47">
        <f t="shared" si="215"/>
        <v>0</v>
      </c>
      <c r="Z300" s="47">
        <f t="shared" si="215"/>
        <v>0</v>
      </c>
      <c r="AA300" s="47">
        <f t="shared" si="215"/>
        <v>0</v>
      </c>
      <c r="AB300" s="47">
        <f t="shared" si="215"/>
        <v>0</v>
      </c>
      <c r="AC300" s="47">
        <f t="shared" si="215"/>
        <v>0</v>
      </c>
      <c r="AD300" s="47">
        <f t="shared" si="215"/>
        <v>0</v>
      </c>
      <c r="AE300" s="47">
        <f t="shared" si="215"/>
        <v>0</v>
      </c>
      <c r="AF300" s="47">
        <f t="shared" si="215"/>
        <v>0</v>
      </c>
      <c r="AG300" s="47">
        <f t="shared" si="215"/>
        <v>0</v>
      </c>
      <c r="AH300" s="47">
        <f t="shared" si="215"/>
        <v>0</v>
      </c>
      <c r="AI300" s="47">
        <f t="shared" si="215"/>
        <v>0</v>
      </c>
      <c r="AJ300" s="47">
        <f t="shared" si="215"/>
        <v>0</v>
      </c>
      <c r="AK300" s="47">
        <f t="shared" si="215"/>
        <v>0</v>
      </c>
      <c r="AL300" s="47">
        <f t="shared" si="215"/>
        <v>0</v>
      </c>
      <c r="AM300" s="47">
        <f t="shared" si="215"/>
        <v>0</v>
      </c>
      <c r="AN300" s="47">
        <f t="shared" si="215"/>
        <v>0</v>
      </c>
      <c r="AO300" s="47">
        <f t="shared" si="215"/>
        <v>0</v>
      </c>
      <c r="AP300" s="47">
        <f t="shared" si="215"/>
        <v>0</v>
      </c>
      <c r="AQ300" s="47">
        <f t="shared" si="215"/>
        <v>0</v>
      </c>
      <c r="AR300" s="47">
        <f t="shared" si="215"/>
        <v>0</v>
      </c>
      <c r="AS300" s="47">
        <f t="shared" si="215"/>
        <v>0</v>
      </c>
      <c r="AT300" s="47">
        <f t="shared" si="215"/>
        <v>0</v>
      </c>
      <c r="AU300" s="47">
        <f t="shared" si="215"/>
        <v>0</v>
      </c>
      <c r="AV300" s="47">
        <f t="shared" si="215"/>
        <v>0</v>
      </c>
      <c r="AW300" s="47">
        <f t="shared" si="215"/>
        <v>0</v>
      </c>
      <c r="AX300" s="47">
        <f t="shared" si="215"/>
        <v>0</v>
      </c>
      <c r="AY300" s="47">
        <f t="shared" si="215"/>
        <v>0</v>
      </c>
      <c r="AZ300" s="47">
        <f t="shared" si="215"/>
        <v>0</v>
      </c>
      <c r="BA300" s="47">
        <f t="shared" si="215"/>
        <v>0</v>
      </c>
    </row>
    <row r="301" spans="2:53" x14ac:dyDescent="0.2">
      <c r="B301" s="76" t="s">
        <v>103</v>
      </c>
      <c r="C301" s="73" t="s">
        <v>75</v>
      </c>
      <c r="D301" s="95">
        <f>SUM(D298:D300)</f>
        <v>0</v>
      </c>
      <c r="E301" s="95">
        <f t="shared" ref="E301:BA301" si="216">SUM(E298:E300)</f>
        <v>0</v>
      </c>
      <c r="F301" s="95">
        <f t="shared" si="216"/>
        <v>0</v>
      </c>
      <c r="G301" s="95">
        <f t="shared" si="216"/>
        <v>0</v>
      </c>
      <c r="H301" s="95">
        <f t="shared" si="216"/>
        <v>0</v>
      </c>
      <c r="I301" s="95">
        <f t="shared" si="216"/>
        <v>0</v>
      </c>
      <c r="J301" s="95">
        <f t="shared" si="216"/>
        <v>0</v>
      </c>
      <c r="K301" s="95">
        <f t="shared" si="216"/>
        <v>0</v>
      </c>
      <c r="L301" s="95">
        <f t="shared" si="216"/>
        <v>0</v>
      </c>
      <c r="M301" s="95">
        <f t="shared" si="216"/>
        <v>0</v>
      </c>
      <c r="N301" s="95">
        <f t="shared" si="216"/>
        <v>0</v>
      </c>
      <c r="O301" s="95">
        <f t="shared" si="216"/>
        <v>0</v>
      </c>
      <c r="P301" s="95">
        <f t="shared" si="216"/>
        <v>0</v>
      </c>
      <c r="Q301" s="95">
        <f t="shared" si="216"/>
        <v>0</v>
      </c>
      <c r="R301" s="95">
        <f t="shared" si="216"/>
        <v>0</v>
      </c>
      <c r="S301" s="95">
        <f t="shared" si="216"/>
        <v>0</v>
      </c>
      <c r="T301" s="95">
        <f t="shared" si="216"/>
        <v>0</v>
      </c>
      <c r="U301" s="95">
        <f t="shared" si="216"/>
        <v>0</v>
      </c>
      <c r="V301" s="95">
        <f t="shared" si="216"/>
        <v>0</v>
      </c>
      <c r="W301" s="95">
        <f t="shared" si="216"/>
        <v>0</v>
      </c>
      <c r="X301" s="95">
        <f t="shared" si="216"/>
        <v>0</v>
      </c>
      <c r="Y301" s="95">
        <f t="shared" si="216"/>
        <v>0</v>
      </c>
      <c r="Z301" s="95">
        <f t="shared" si="216"/>
        <v>0</v>
      </c>
      <c r="AA301" s="95">
        <f t="shared" si="216"/>
        <v>0</v>
      </c>
      <c r="AB301" s="95">
        <f t="shared" si="216"/>
        <v>0</v>
      </c>
      <c r="AC301" s="95">
        <f t="shared" si="216"/>
        <v>0</v>
      </c>
      <c r="AD301" s="95">
        <f t="shared" si="216"/>
        <v>0</v>
      </c>
      <c r="AE301" s="95">
        <f t="shared" si="216"/>
        <v>0</v>
      </c>
      <c r="AF301" s="95">
        <f t="shared" si="216"/>
        <v>0</v>
      </c>
      <c r="AG301" s="95">
        <f t="shared" si="216"/>
        <v>0</v>
      </c>
      <c r="AH301" s="95">
        <f t="shared" si="216"/>
        <v>0</v>
      </c>
      <c r="AI301" s="95">
        <f t="shared" si="216"/>
        <v>0</v>
      </c>
      <c r="AJ301" s="95">
        <f t="shared" si="216"/>
        <v>0</v>
      </c>
      <c r="AK301" s="95">
        <f t="shared" si="216"/>
        <v>0</v>
      </c>
      <c r="AL301" s="95">
        <f t="shared" si="216"/>
        <v>0</v>
      </c>
      <c r="AM301" s="95">
        <f t="shared" si="216"/>
        <v>0</v>
      </c>
      <c r="AN301" s="95">
        <f t="shared" si="216"/>
        <v>0</v>
      </c>
      <c r="AO301" s="95">
        <f t="shared" si="216"/>
        <v>0</v>
      </c>
      <c r="AP301" s="95">
        <f t="shared" si="216"/>
        <v>0</v>
      </c>
      <c r="AQ301" s="95">
        <f t="shared" si="216"/>
        <v>0</v>
      </c>
      <c r="AR301" s="95">
        <f t="shared" si="216"/>
        <v>0</v>
      </c>
      <c r="AS301" s="95">
        <f t="shared" si="216"/>
        <v>0</v>
      </c>
      <c r="AT301" s="95">
        <f t="shared" si="216"/>
        <v>0</v>
      </c>
      <c r="AU301" s="95">
        <f t="shared" si="216"/>
        <v>0</v>
      </c>
      <c r="AV301" s="95">
        <f t="shared" si="216"/>
        <v>0</v>
      </c>
      <c r="AW301" s="95">
        <f t="shared" si="216"/>
        <v>0</v>
      </c>
      <c r="AX301" s="95">
        <f t="shared" si="216"/>
        <v>0</v>
      </c>
      <c r="AY301" s="95">
        <f t="shared" si="216"/>
        <v>0</v>
      </c>
      <c r="AZ301" s="95">
        <f t="shared" si="216"/>
        <v>0</v>
      </c>
      <c r="BA301" s="95">
        <f t="shared" si="216"/>
        <v>0</v>
      </c>
    </row>
    <row r="303" spans="2:53" x14ac:dyDescent="0.2">
      <c r="B303" s="215">
        <f>B297+1</f>
        <v>48</v>
      </c>
    </row>
    <row r="304" spans="2:53" x14ac:dyDescent="0.2">
      <c r="B304" s="94" t="s">
        <v>100</v>
      </c>
      <c r="C304" s="73" t="s">
        <v>75</v>
      </c>
      <c r="D304" s="95">
        <f>0</f>
        <v>0</v>
      </c>
      <c r="E304" s="47">
        <f t="shared" ref="E304:BA304" si="217">D307</f>
        <v>0</v>
      </c>
      <c r="F304" s="47">
        <f t="shared" si="217"/>
        <v>0</v>
      </c>
      <c r="G304" s="47">
        <f t="shared" si="217"/>
        <v>0</v>
      </c>
      <c r="H304" s="47">
        <f t="shared" si="217"/>
        <v>0</v>
      </c>
      <c r="I304" s="47">
        <f t="shared" si="217"/>
        <v>0</v>
      </c>
      <c r="J304" s="47">
        <f t="shared" si="217"/>
        <v>0</v>
      </c>
      <c r="K304" s="47">
        <f t="shared" si="217"/>
        <v>0</v>
      </c>
      <c r="L304" s="47">
        <f t="shared" si="217"/>
        <v>0</v>
      </c>
      <c r="M304" s="47">
        <f t="shared" si="217"/>
        <v>0</v>
      </c>
      <c r="N304" s="47">
        <f t="shared" si="217"/>
        <v>0</v>
      </c>
      <c r="O304" s="47">
        <f t="shared" si="217"/>
        <v>0</v>
      </c>
      <c r="P304" s="47">
        <f t="shared" si="217"/>
        <v>0</v>
      </c>
      <c r="Q304" s="47">
        <f t="shared" si="217"/>
        <v>0</v>
      </c>
      <c r="R304" s="47">
        <f t="shared" si="217"/>
        <v>0</v>
      </c>
      <c r="S304" s="47">
        <f t="shared" si="217"/>
        <v>0</v>
      </c>
      <c r="T304" s="47">
        <f t="shared" si="217"/>
        <v>0</v>
      </c>
      <c r="U304" s="47">
        <f t="shared" si="217"/>
        <v>0</v>
      </c>
      <c r="V304" s="47">
        <f t="shared" si="217"/>
        <v>0</v>
      </c>
      <c r="W304" s="47">
        <f t="shared" si="217"/>
        <v>0</v>
      </c>
      <c r="X304" s="47">
        <f t="shared" si="217"/>
        <v>0</v>
      </c>
      <c r="Y304" s="47">
        <f t="shared" si="217"/>
        <v>0</v>
      </c>
      <c r="Z304" s="47">
        <f t="shared" si="217"/>
        <v>0</v>
      </c>
      <c r="AA304" s="47">
        <f t="shared" si="217"/>
        <v>0</v>
      </c>
      <c r="AB304" s="47">
        <f t="shared" si="217"/>
        <v>0</v>
      </c>
      <c r="AC304" s="47">
        <f t="shared" si="217"/>
        <v>0</v>
      </c>
      <c r="AD304" s="47">
        <f t="shared" si="217"/>
        <v>0</v>
      </c>
      <c r="AE304" s="47">
        <f t="shared" si="217"/>
        <v>0</v>
      </c>
      <c r="AF304" s="47">
        <f t="shared" si="217"/>
        <v>0</v>
      </c>
      <c r="AG304" s="47">
        <f t="shared" si="217"/>
        <v>0</v>
      </c>
      <c r="AH304" s="47">
        <f t="shared" si="217"/>
        <v>0</v>
      </c>
      <c r="AI304" s="47">
        <f t="shared" si="217"/>
        <v>0</v>
      </c>
      <c r="AJ304" s="47">
        <f t="shared" si="217"/>
        <v>0</v>
      </c>
      <c r="AK304" s="47">
        <f t="shared" si="217"/>
        <v>0</v>
      </c>
      <c r="AL304" s="47">
        <f t="shared" si="217"/>
        <v>0</v>
      </c>
      <c r="AM304" s="47">
        <f t="shared" si="217"/>
        <v>0</v>
      </c>
      <c r="AN304" s="47">
        <f t="shared" si="217"/>
        <v>0</v>
      </c>
      <c r="AO304" s="47">
        <f t="shared" si="217"/>
        <v>0</v>
      </c>
      <c r="AP304" s="47">
        <f t="shared" si="217"/>
        <v>0</v>
      </c>
      <c r="AQ304" s="47">
        <f t="shared" si="217"/>
        <v>0</v>
      </c>
      <c r="AR304" s="47">
        <f t="shared" si="217"/>
        <v>0</v>
      </c>
      <c r="AS304" s="47">
        <f t="shared" si="217"/>
        <v>0</v>
      </c>
      <c r="AT304" s="47">
        <f t="shared" si="217"/>
        <v>0</v>
      </c>
      <c r="AU304" s="47">
        <f t="shared" si="217"/>
        <v>0</v>
      </c>
      <c r="AV304" s="47">
        <f t="shared" si="217"/>
        <v>0</v>
      </c>
      <c r="AW304" s="47">
        <f t="shared" si="217"/>
        <v>0</v>
      </c>
      <c r="AX304" s="47">
        <f t="shared" si="217"/>
        <v>0</v>
      </c>
      <c r="AY304" s="47">
        <f t="shared" si="217"/>
        <v>0</v>
      </c>
      <c r="AZ304" s="47">
        <f t="shared" si="217"/>
        <v>0</v>
      </c>
      <c r="BA304" s="47">
        <f t="shared" si="217"/>
        <v>0</v>
      </c>
    </row>
    <row r="305" spans="2:53" x14ac:dyDescent="0.2">
      <c r="B305" s="94" t="s">
        <v>101</v>
      </c>
      <c r="C305" s="73" t="s">
        <v>75</v>
      </c>
      <c r="D305" s="95">
        <f>IF($B303=D$2,D$4,0)</f>
        <v>0</v>
      </c>
      <c r="E305" s="95">
        <f t="shared" ref="E305:BA305" si="218">IF($B303=E$2,E$4,0)</f>
        <v>0</v>
      </c>
      <c r="F305" s="95">
        <f t="shared" si="218"/>
        <v>0</v>
      </c>
      <c r="G305" s="95">
        <f t="shared" si="218"/>
        <v>0</v>
      </c>
      <c r="H305" s="95">
        <f t="shared" si="218"/>
        <v>0</v>
      </c>
      <c r="I305" s="95">
        <f t="shared" si="218"/>
        <v>0</v>
      </c>
      <c r="J305" s="95">
        <f t="shared" si="218"/>
        <v>0</v>
      </c>
      <c r="K305" s="95">
        <f t="shared" si="218"/>
        <v>0</v>
      </c>
      <c r="L305" s="95">
        <f t="shared" si="218"/>
        <v>0</v>
      </c>
      <c r="M305" s="95">
        <f t="shared" si="218"/>
        <v>0</v>
      </c>
      <c r="N305" s="95">
        <f t="shared" si="218"/>
        <v>0</v>
      </c>
      <c r="O305" s="95">
        <f t="shared" si="218"/>
        <v>0</v>
      </c>
      <c r="P305" s="95">
        <f t="shared" si="218"/>
        <v>0</v>
      </c>
      <c r="Q305" s="95">
        <f t="shared" si="218"/>
        <v>0</v>
      </c>
      <c r="R305" s="95">
        <f t="shared" si="218"/>
        <v>0</v>
      </c>
      <c r="S305" s="95">
        <f t="shared" si="218"/>
        <v>0</v>
      </c>
      <c r="T305" s="95">
        <f t="shared" si="218"/>
        <v>0</v>
      </c>
      <c r="U305" s="95">
        <f t="shared" si="218"/>
        <v>0</v>
      </c>
      <c r="V305" s="95">
        <f t="shared" si="218"/>
        <v>0</v>
      </c>
      <c r="W305" s="95">
        <f t="shared" si="218"/>
        <v>0</v>
      </c>
      <c r="X305" s="95">
        <f t="shared" si="218"/>
        <v>0</v>
      </c>
      <c r="Y305" s="95">
        <f t="shared" si="218"/>
        <v>0</v>
      </c>
      <c r="Z305" s="95">
        <f t="shared" si="218"/>
        <v>0</v>
      </c>
      <c r="AA305" s="95">
        <f t="shared" si="218"/>
        <v>0</v>
      </c>
      <c r="AB305" s="95">
        <f t="shared" si="218"/>
        <v>0</v>
      </c>
      <c r="AC305" s="95">
        <f t="shared" si="218"/>
        <v>0</v>
      </c>
      <c r="AD305" s="95">
        <f t="shared" si="218"/>
        <v>0</v>
      </c>
      <c r="AE305" s="95">
        <f t="shared" si="218"/>
        <v>0</v>
      </c>
      <c r="AF305" s="95">
        <f t="shared" si="218"/>
        <v>0</v>
      </c>
      <c r="AG305" s="95">
        <f t="shared" si="218"/>
        <v>0</v>
      </c>
      <c r="AH305" s="95">
        <f t="shared" si="218"/>
        <v>0</v>
      </c>
      <c r="AI305" s="95">
        <f t="shared" si="218"/>
        <v>0</v>
      </c>
      <c r="AJ305" s="95">
        <f t="shared" si="218"/>
        <v>0</v>
      </c>
      <c r="AK305" s="95">
        <f t="shared" si="218"/>
        <v>0</v>
      </c>
      <c r="AL305" s="95">
        <f t="shared" si="218"/>
        <v>0</v>
      </c>
      <c r="AM305" s="95">
        <f t="shared" si="218"/>
        <v>0</v>
      </c>
      <c r="AN305" s="95">
        <f t="shared" si="218"/>
        <v>0</v>
      </c>
      <c r="AO305" s="95">
        <f t="shared" si="218"/>
        <v>0</v>
      </c>
      <c r="AP305" s="95">
        <f t="shared" si="218"/>
        <v>0</v>
      </c>
      <c r="AQ305" s="95">
        <f t="shared" si="218"/>
        <v>0</v>
      </c>
      <c r="AR305" s="95">
        <f t="shared" si="218"/>
        <v>0</v>
      </c>
      <c r="AS305" s="95">
        <f t="shared" si="218"/>
        <v>0</v>
      </c>
      <c r="AT305" s="95">
        <f t="shared" si="218"/>
        <v>0</v>
      </c>
      <c r="AU305" s="95">
        <f t="shared" si="218"/>
        <v>0</v>
      </c>
      <c r="AV305" s="95">
        <f t="shared" si="218"/>
        <v>0</v>
      </c>
      <c r="AW305" s="95">
        <f t="shared" si="218"/>
        <v>0</v>
      </c>
      <c r="AX305" s="95">
        <f t="shared" si="218"/>
        <v>0</v>
      </c>
      <c r="AY305" s="95">
        <f t="shared" si="218"/>
        <v>0</v>
      </c>
      <c r="AZ305" s="95">
        <f t="shared" si="218"/>
        <v>0</v>
      </c>
      <c r="BA305" s="95">
        <f t="shared" si="218"/>
        <v>0</v>
      </c>
    </row>
    <row r="306" spans="2:53" x14ac:dyDescent="0.2">
      <c r="B306" s="76" t="s">
        <v>102</v>
      </c>
      <c r="C306" s="73" t="s">
        <v>75</v>
      </c>
      <c r="D306" s="47"/>
      <c r="E306" s="47">
        <f>IF(OR(D307&lt;=$B$15*$AY$305,F$1-$AZ$1&gt;$B$13),0,-IF($B$12="straight line",SLN($AY$305,+$B$15*$AY$305,$B$13),VDB($AY$305,$B$15*$AY$305,$B$13,E$1-$AZ$1,F$1-$AZ$1,$B$14)))</f>
        <v>0</v>
      </c>
      <c r="F306" s="47">
        <f t="shared" ref="F306:BA306" si="219">IF(OR(E307&lt;=$B$15*$AY$305,G$1-$AZ$1&gt;$B$13),0,-IF($B$12="straight line",SLN($AY$305,+$B$15*$AY$305,$B$13),VDB($AY$305,$B$15*$AY$305,$B$13,F$1-$AZ$1,G$1-$AZ$1,$B$14)))</f>
        <v>0</v>
      </c>
      <c r="G306" s="47">
        <f t="shared" si="219"/>
        <v>0</v>
      </c>
      <c r="H306" s="47">
        <f t="shared" si="219"/>
        <v>0</v>
      </c>
      <c r="I306" s="47">
        <f t="shared" si="219"/>
        <v>0</v>
      </c>
      <c r="J306" s="47">
        <f t="shared" si="219"/>
        <v>0</v>
      </c>
      <c r="K306" s="47">
        <f t="shared" si="219"/>
        <v>0</v>
      </c>
      <c r="L306" s="47">
        <f t="shared" si="219"/>
        <v>0</v>
      </c>
      <c r="M306" s="47">
        <f t="shared" si="219"/>
        <v>0</v>
      </c>
      <c r="N306" s="47">
        <f t="shared" si="219"/>
        <v>0</v>
      </c>
      <c r="O306" s="47">
        <f t="shared" si="219"/>
        <v>0</v>
      </c>
      <c r="P306" s="47">
        <f t="shared" si="219"/>
        <v>0</v>
      </c>
      <c r="Q306" s="47">
        <f t="shared" si="219"/>
        <v>0</v>
      </c>
      <c r="R306" s="47">
        <f t="shared" si="219"/>
        <v>0</v>
      </c>
      <c r="S306" s="47">
        <f t="shared" si="219"/>
        <v>0</v>
      </c>
      <c r="T306" s="47">
        <f t="shared" si="219"/>
        <v>0</v>
      </c>
      <c r="U306" s="47">
        <f t="shared" si="219"/>
        <v>0</v>
      </c>
      <c r="V306" s="47">
        <f t="shared" si="219"/>
        <v>0</v>
      </c>
      <c r="W306" s="47">
        <f t="shared" si="219"/>
        <v>0</v>
      </c>
      <c r="X306" s="47">
        <f t="shared" si="219"/>
        <v>0</v>
      </c>
      <c r="Y306" s="47">
        <f t="shared" si="219"/>
        <v>0</v>
      </c>
      <c r="Z306" s="47">
        <f t="shared" si="219"/>
        <v>0</v>
      </c>
      <c r="AA306" s="47">
        <f t="shared" si="219"/>
        <v>0</v>
      </c>
      <c r="AB306" s="47">
        <f t="shared" si="219"/>
        <v>0</v>
      </c>
      <c r="AC306" s="47">
        <f t="shared" si="219"/>
        <v>0</v>
      </c>
      <c r="AD306" s="47">
        <f t="shared" si="219"/>
        <v>0</v>
      </c>
      <c r="AE306" s="47">
        <f t="shared" si="219"/>
        <v>0</v>
      </c>
      <c r="AF306" s="47">
        <f t="shared" si="219"/>
        <v>0</v>
      </c>
      <c r="AG306" s="47">
        <f t="shared" si="219"/>
        <v>0</v>
      </c>
      <c r="AH306" s="47">
        <f t="shared" si="219"/>
        <v>0</v>
      </c>
      <c r="AI306" s="47">
        <f t="shared" si="219"/>
        <v>0</v>
      </c>
      <c r="AJ306" s="47">
        <f t="shared" si="219"/>
        <v>0</v>
      </c>
      <c r="AK306" s="47">
        <f t="shared" si="219"/>
        <v>0</v>
      </c>
      <c r="AL306" s="47">
        <f t="shared" si="219"/>
        <v>0</v>
      </c>
      <c r="AM306" s="47">
        <f t="shared" si="219"/>
        <v>0</v>
      </c>
      <c r="AN306" s="47">
        <f t="shared" si="219"/>
        <v>0</v>
      </c>
      <c r="AO306" s="47">
        <f t="shared" si="219"/>
        <v>0</v>
      </c>
      <c r="AP306" s="47">
        <f t="shared" si="219"/>
        <v>0</v>
      </c>
      <c r="AQ306" s="47">
        <f t="shared" si="219"/>
        <v>0</v>
      </c>
      <c r="AR306" s="47">
        <f t="shared" si="219"/>
        <v>0</v>
      </c>
      <c r="AS306" s="47">
        <f t="shared" si="219"/>
        <v>0</v>
      </c>
      <c r="AT306" s="47">
        <f t="shared" si="219"/>
        <v>0</v>
      </c>
      <c r="AU306" s="47">
        <f t="shared" si="219"/>
        <v>0</v>
      </c>
      <c r="AV306" s="47">
        <f t="shared" si="219"/>
        <v>0</v>
      </c>
      <c r="AW306" s="47">
        <f t="shared" si="219"/>
        <v>0</v>
      </c>
      <c r="AX306" s="47">
        <f t="shared" si="219"/>
        <v>0</v>
      </c>
      <c r="AY306" s="47">
        <f t="shared" si="219"/>
        <v>0</v>
      </c>
      <c r="AZ306" s="47">
        <f t="shared" si="219"/>
        <v>0</v>
      </c>
      <c r="BA306" s="47">
        <f t="shared" si="219"/>
        <v>0</v>
      </c>
    </row>
    <row r="307" spans="2:53" x14ac:dyDescent="0.2">
      <c r="B307" s="76" t="s">
        <v>103</v>
      </c>
      <c r="C307" s="73" t="s">
        <v>75</v>
      </c>
      <c r="D307" s="95">
        <f>SUM(D304:D306)</f>
        <v>0</v>
      </c>
      <c r="E307" s="95">
        <f t="shared" ref="E307:BA307" si="220">SUM(E304:E306)</f>
        <v>0</v>
      </c>
      <c r="F307" s="95">
        <f t="shared" si="220"/>
        <v>0</v>
      </c>
      <c r="G307" s="95">
        <f t="shared" si="220"/>
        <v>0</v>
      </c>
      <c r="H307" s="95">
        <f t="shared" si="220"/>
        <v>0</v>
      </c>
      <c r="I307" s="95">
        <f t="shared" si="220"/>
        <v>0</v>
      </c>
      <c r="J307" s="95">
        <f t="shared" si="220"/>
        <v>0</v>
      </c>
      <c r="K307" s="95">
        <f t="shared" si="220"/>
        <v>0</v>
      </c>
      <c r="L307" s="95">
        <f t="shared" si="220"/>
        <v>0</v>
      </c>
      <c r="M307" s="95">
        <f t="shared" si="220"/>
        <v>0</v>
      </c>
      <c r="N307" s="95">
        <f t="shared" si="220"/>
        <v>0</v>
      </c>
      <c r="O307" s="95">
        <f t="shared" si="220"/>
        <v>0</v>
      </c>
      <c r="P307" s="95">
        <f t="shared" si="220"/>
        <v>0</v>
      </c>
      <c r="Q307" s="95">
        <f t="shared" si="220"/>
        <v>0</v>
      </c>
      <c r="R307" s="95">
        <f t="shared" si="220"/>
        <v>0</v>
      </c>
      <c r="S307" s="95">
        <f t="shared" si="220"/>
        <v>0</v>
      </c>
      <c r="T307" s="95">
        <f t="shared" si="220"/>
        <v>0</v>
      </c>
      <c r="U307" s="95">
        <f t="shared" si="220"/>
        <v>0</v>
      </c>
      <c r="V307" s="95">
        <f t="shared" si="220"/>
        <v>0</v>
      </c>
      <c r="W307" s="95">
        <f t="shared" si="220"/>
        <v>0</v>
      </c>
      <c r="X307" s="95">
        <f t="shared" si="220"/>
        <v>0</v>
      </c>
      <c r="Y307" s="95">
        <f t="shared" si="220"/>
        <v>0</v>
      </c>
      <c r="Z307" s="95">
        <f t="shared" si="220"/>
        <v>0</v>
      </c>
      <c r="AA307" s="95">
        <f t="shared" si="220"/>
        <v>0</v>
      </c>
      <c r="AB307" s="95">
        <f t="shared" si="220"/>
        <v>0</v>
      </c>
      <c r="AC307" s="95">
        <f t="shared" si="220"/>
        <v>0</v>
      </c>
      <c r="AD307" s="95">
        <f t="shared" si="220"/>
        <v>0</v>
      </c>
      <c r="AE307" s="95">
        <f t="shared" si="220"/>
        <v>0</v>
      </c>
      <c r="AF307" s="95">
        <f t="shared" si="220"/>
        <v>0</v>
      </c>
      <c r="AG307" s="95">
        <f t="shared" si="220"/>
        <v>0</v>
      </c>
      <c r="AH307" s="95">
        <f t="shared" si="220"/>
        <v>0</v>
      </c>
      <c r="AI307" s="95">
        <f t="shared" si="220"/>
        <v>0</v>
      </c>
      <c r="AJ307" s="95">
        <f t="shared" si="220"/>
        <v>0</v>
      </c>
      <c r="AK307" s="95">
        <f t="shared" si="220"/>
        <v>0</v>
      </c>
      <c r="AL307" s="95">
        <f t="shared" si="220"/>
        <v>0</v>
      </c>
      <c r="AM307" s="95">
        <f t="shared" si="220"/>
        <v>0</v>
      </c>
      <c r="AN307" s="95">
        <f t="shared" si="220"/>
        <v>0</v>
      </c>
      <c r="AO307" s="95">
        <f t="shared" si="220"/>
        <v>0</v>
      </c>
      <c r="AP307" s="95">
        <f t="shared" si="220"/>
        <v>0</v>
      </c>
      <c r="AQ307" s="95">
        <f t="shared" si="220"/>
        <v>0</v>
      </c>
      <c r="AR307" s="95">
        <f t="shared" si="220"/>
        <v>0</v>
      </c>
      <c r="AS307" s="95">
        <f t="shared" si="220"/>
        <v>0</v>
      </c>
      <c r="AT307" s="95">
        <f t="shared" si="220"/>
        <v>0</v>
      </c>
      <c r="AU307" s="95">
        <f t="shared" si="220"/>
        <v>0</v>
      </c>
      <c r="AV307" s="95">
        <f t="shared" si="220"/>
        <v>0</v>
      </c>
      <c r="AW307" s="95">
        <f t="shared" si="220"/>
        <v>0</v>
      </c>
      <c r="AX307" s="95">
        <f t="shared" si="220"/>
        <v>0</v>
      </c>
      <c r="AY307" s="95">
        <f t="shared" si="220"/>
        <v>0</v>
      </c>
      <c r="AZ307" s="95">
        <f t="shared" si="220"/>
        <v>0</v>
      </c>
      <c r="BA307" s="95">
        <f t="shared" si="220"/>
        <v>0</v>
      </c>
    </row>
    <row r="309" spans="2:53" x14ac:dyDescent="0.2">
      <c r="B309" s="215">
        <f>B303+1</f>
        <v>49</v>
      </c>
    </row>
    <row r="310" spans="2:53" x14ac:dyDescent="0.2">
      <c r="B310" s="94" t="s">
        <v>100</v>
      </c>
      <c r="C310" s="73" t="s">
        <v>75</v>
      </c>
      <c r="D310" s="95">
        <f>0</f>
        <v>0</v>
      </c>
      <c r="E310" s="47">
        <f t="shared" ref="E310:BA310" si="221">D313</f>
        <v>0</v>
      </c>
      <c r="F310" s="47">
        <f t="shared" si="221"/>
        <v>0</v>
      </c>
      <c r="G310" s="47">
        <f t="shared" si="221"/>
        <v>0</v>
      </c>
      <c r="H310" s="47">
        <f t="shared" si="221"/>
        <v>0</v>
      </c>
      <c r="I310" s="47">
        <f t="shared" si="221"/>
        <v>0</v>
      </c>
      <c r="J310" s="47">
        <f t="shared" si="221"/>
        <v>0</v>
      </c>
      <c r="K310" s="47">
        <f t="shared" si="221"/>
        <v>0</v>
      </c>
      <c r="L310" s="47">
        <f t="shared" si="221"/>
        <v>0</v>
      </c>
      <c r="M310" s="47">
        <f t="shared" si="221"/>
        <v>0</v>
      </c>
      <c r="N310" s="47">
        <f t="shared" si="221"/>
        <v>0</v>
      </c>
      <c r="O310" s="47">
        <f t="shared" si="221"/>
        <v>0</v>
      </c>
      <c r="P310" s="47">
        <f t="shared" si="221"/>
        <v>0</v>
      </c>
      <c r="Q310" s="47">
        <f t="shared" si="221"/>
        <v>0</v>
      </c>
      <c r="R310" s="47">
        <f t="shared" si="221"/>
        <v>0</v>
      </c>
      <c r="S310" s="47">
        <f t="shared" si="221"/>
        <v>0</v>
      </c>
      <c r="T310" s="47">
        <f t="shared" si="221"/>
        <v>0</v>
      </c>
      <c r="U310" s="47">
        <f t="shared" si="221"/>
        <v>0</v>
      </c>
      <c r="V310" s="47">
        <f t="shared" si="221"/>
        <v>0</v>
      </c>
      <c r="W310" s="47">
        <f t="shared" si="221"/>
        <v>0</v>
      </c>
      <c r="X310" s="47">
        <f t="shared" si="221"/>
        <v>0</v>
      </c>
      <c r="Y310" s="47">
        <f t="shared" si="221"/>
        <v>0</v>
      </c>
      <c r="Z310" s="47">
        <f t="shared" si="221"/>
        <v>0</v>
      </c>
      <c r="AA310" s="47">
        <f t="shared" si="221"/>
        <v>0</v>
      </c>
      <c r="AB310" s="47">
        <f t="shared" si="221"/>
        <v>0</v>
      </c>
      <c r="AC310" s="47">
        <f t="shared" si="221"/>
        <v>0</v>
      </c>
      <c r="AD310" s="47">
        <f t="shared" si="221"/>
        <v>0</v>
      </c>
      <c r="AE310" s="47">
        <f t="shared" si="221"/>
        <v>0</v>
      </c>
      <c r="AF310" s="47">
        <f t="shared" si="221"/>
        <v>0</v>
      </c>
      <c r="AG310" s="47">
        <f t="shared" si="221"/>
        <v>0</v>
      </c>
      <c r="AH310" s="47">
        <f t="shared" si="221"/>
        <v>0</v>
      </c>
      <c r="AI310" s="47">
        <f t="shared" si="221"/>
        <v>0</v>
      </c>
      <c r="AJ310" s="47">
        <f t="shared" si="221"/>
        <v>0</v>
      </c>
      <c r="AK310" s="47">
        <f t="shared" si="221"/>
        <v>0</v>
      </c>
      <c r="AL310" s="47">
        <f t="shared" si="221"/>
        <v>0</v>
      </c>
      <c r="AM310" s="47">
        <f t="shared" si="221"/>
        <v>0</v>
      </c>
      <c r="AN310" s="47">
        <f t="shared" si="221"/>
        <v>0</v>
      </c>
      <c r="AO310" s="47">
        <f t="shared" si="221"/>
        <v>0</v>
      </c>
      <c r="AP310" s="47">
        <f t="shared" si="221"/>
        <v>0</v>
      </c>
      <c r="AQ310" s="47">
        <f t="shared" si="221"/>
        <v>0</v>
      </c>
      <c r="AR310" s="47">
        <f t="shared" si="221"/>
        <v>0</v>
      </c>
      <c r="AS310" s="47">
        <f t="shared" si="221"/>
        <v>0</v>
      </c>
      <c r="AT310" s="47">
        <f t="shared" si="221"/>
        <v>0</v>
      </c>
      <c r="AU310" s="47">
        <f t="shared" si="221"/>
        <v>0</v>
      </c>
      <c r="AV310" s="47">
        <f t="shared" si="221"/>
        <v>0</v>
      </c>
      <c r="AW310" s="47">
        <f t="shared" si="221"/>
        <v>0</v>
      </c>
      <c r="AX310" s="47">
        <f t="shared" si="221"/>
        <v>0</v>
      </c>
      <c r="AY310" s="47">
        <f t="shared" si="221"/>
        <v>0</v>
      </c>
      <c r="AZ310" s="47">
        <f t="shared" si="221"/>
        <v>0</v>
      </c>
      <c r="BA310" s="47">
        <f t="shared" si="221"/>
        <v>0</v>
      </c>
    </row>
    <row r="311" spans="2:53" x14ac:dyDescent="0.2">
      <c r="B311" s="94" t="s">
        <v>101</v>
      </c>
      <c r="C311" s="73" t="s">
        <v>75</v>
      </c>
      <c r="D311" s="95">
        <f>IF($B309=D$2,D$4,0)</f>
        <v>0</v>
      </c>
      <c r="E311" s="95">
        <f t="shared" ref="E311:BA311" si="222">IF($B309=E$2,E$4,0)</f>
        <v>0</v>
      </c>
      <c r="F311" s="95">
        <f t="shared" si="222"/>
        <v>0</v>
      </c>
      <c r="G311" s="95">
        <f t="shared" si="222"/>
        <v>0</v>
      </c>
      <c r="H311" s="95">
        <f t="shared" si="222"/>
        <v>0</v>
      </c>
      <c r="I311" s="95">
        <f t="shared" si="222"/>
        <v>0</v>
      </c>
      <c r="J311" s="95">
        <f t="shared" si="222"/>
        <v>0</v>
      </c>
      <c r="K311" s="95">
        <f t="shared" si="222"/>
        <v>0</v>
      </c>
      <c r="L311" s="95">
        <f t="shared" si="222"/>
        <v>0</v>
      </c>
      <c r="M311" s="95">
        <f t="shared" si="222"/>
        <v>0</v>
      </c>
      <c r="N311" s="95">
        <f t="shared" si="222"/>
        <v>0</v>
      </c>
      <c r="O311" s="95">
        <f t="shared" si="222"/>
        <v>0</v>
      </c>
      <c r="P311" s="95">
        <f t="shared" si="222"/>
        <v>0</v>
      </c>
      <c r="Q311" s="95">
        <f t="shared" si="222"/>
        <v>0</v>
      </c>
      <c r="R311" s="95">
        <f t="shared" si="222"/>
        <v>0</v>
      </c>
      <c r="S311" s="95">
        <f t="shared" si="222"/>
        <v>0</v>
      </c>
      <c r="T311" s="95">
        <f t="shared" si="222"/>
        <v>0</v>
      </c>
      <c r="U311" s="95">
        <f t="shared" si="222"/>
        <v>0</v>
      </c>
      <c r="V311" s="95">
        <f t="shared" si="222"/>
        <v>0</v>
      </c>
      <c r="W311" s="95">
        <f t="shared" si="222"/>
        <v>0</v>
      </c>
      <c r="X311" s="95">
        <f t="shared" si="222"/>
        <v>0</v>
      </c>
      <c r="Y311" s="95">
        <f t="shared" si="222"/>
        <v>0</v>
      </c>
      <c r="Z311" s="95">
        <f t="shared" si="222"/>
        <v>0</v>
      </c>
      <c r="AA311" s="95">
        <f t="shared" si="222"/>
        <v>0</v>
      </c>
      <c r="AB311" s="95">
        <f t="shared" si="222"/>
        <v>0</v>
      </c>
      <c r="AC311" s="95">
        <f t="shared" si="222"/>
        <v>0</v>
      </c>
      <c r="AD311" s="95">
        <f t="shared" si="222"/>
        <v>0</v>
      </c>
      <c r="AE311" s="95">
        <f t="shared" si="222"/>
        <v>0</v>
      </c>
      <c r="AF311" s="95">
        <f t="shared" si="222"/>
        <v>0</v>
      </c>
      <c r="AG311" s="95">
        <f t="shared" si="222"/>
        <v>0</v>
      </c>
      <c r="AH311" s="95">
        <f t="shared" si="222"/>
        <v>0</v>
      </c>
      <c r="AI311" s="95">
        <f t="shared" si="222"/>
        <v>0</v>
      </c>
      <c r="AJ311" s="95">
        <f t="shared" si="222"/>
        <v>0</v>
      </c>
      <c r="AK311" s="95">
        <f t="shared" si="222"/>
        <v>0</v>
      </c>
      <c r="AL311" s="95">
        <f t="shared" si="222"/>
        <v>0</v>
      </c>
      <c r="AM311" s="95">
        <f t="shared" si="222"/>
        <v>0</v>
      </c>
      <c r="AN311" s="95">
        <f t="shared" si="222"/>
        <v>0</v>
      </c>
      <c r="AO311" s="95">
        <f t="shared" si="222"/>
        <v>0</v>
      </c>
      <c r="AP311" s="95">
        <f t="shared" si="222"/>
        <v>0</v>
      </c>
      <c r="AQ311" s="95">
        <f t="shared" si="222"/>
        <v>0</v>
      </c>
      <c r="AR311" s="95">
        <f t="shared" si="222"/>
        <v>0</v>
      </c>
      <c r="AS311" s="95">
        <f t="shared" si="222"/>
        <v>0</v>
      </c>
      <c r="AT311" s="95">
        <f t="shared" si="222"/>
        <v>0</v>
      </c>
      <c r="AU311" s="95">
        <f t="shared" si="222"/>
        <v>0</v>
      </c>
      <c r="AV311" s="95">
        <f t="shared" si="222"/>
        <v>0</v>
      </c>
      <c r="AW311" s="95">
        <f t="shared" si="222"/>
        <v>0</v>
      </c>
      <c r="AX311" s="95">
        <f t="shared" si="222"/>
        <v>0</v>
      </c>
      <c r="AY311" s="95">
        <f t="shared" si="222"/>
        <v>0</v>
      </c>
      <c r="AZ311" s="95">
        <f t="shared" si="222"/>
        <v>0</v>
      </c>
      <c r="BA311" s="95">
        <f t="shared" si="222"/>
        <v>0</v>
      </c>
    </row>
    <row r="312" spans="2:53" x14ac:dyDescent="0.2">
      <c r="B312" s="76" t="s">
        <v>102</v>
      </c>
      <c r="C312" s="73" t="s">
        <v>75</v>
      </c>
      <c r="D312" s="47"/>
      <c r="E312" s="47">
        <f>IF(OR(D313&lt;=$B$15*$AZ$311,F$1-$BA$1&gt;$B$13),0,-IF($B$12="straight line",SLN($AZ$311,+$B$15*$AZ$311,$B$13),VDB($AZ$311,$B$15*$AZ$311,$B$13,E$1-$BA$1,F$1-$BA$1,$B$14)))</f>
        <v>0</v>
      </c>
      <c r="F312" s="47">
        <f t="shared" ref="F312:BA312" si="223">IF(OR(E313&lt;=$B$15*$AZ$311,G$1-$BA$1&gt;$B$13),0,-IF($B$12="straight line",SLN($AZ$311,+$B$15*$AZ$311,$B$13),VDB($AZ$311,$B$15*$AZ$311,$B$13,F$1-$BA$1,G$1-$BA$1,$B$14)))</f>
        <v>0</v>
      </c>
      <c r="G312" s="47">
        <f t="shared" si="223"/>
        <v>0</v>
      </c>
      <c r="H312" s="47">
        <f t="shared" si="223"/>
        <v>0</v>
      </c>
      <c r="I312" s="47">
        <f t="shared" si="223"/>
        <v>0</v>
      </c>
      <c r="J312" s="47">
        <f t="shared" si="223"/>
        <v>0</v>
      </c>
      <c r="K312" s="47">
        <f t="shared" si="223"/>
        <v>0</v>
      </c>
      <c r="L312" s="47">
        <f t="shared" si="223"/>
        <v>0</v>
      </c>
      <c r="M312" s="47">
        <f t="shared" si="223"/>
        <v>0</v>
      </c>
      <c r="N312" s="47">
        <f t="shared" si="223"/>
        <v>0</v>
      </c>
      <c r="O312" s="47">
        <f t="shared" si="223"/>
        <v>0</v>
      </c>
      <c r="P312" s="47">
        <f t="shared" si="223"/>
        <v>0</v>
      </c>
      <c r="Q312" s="47">
        <f t="shared" si="223"/>
        <v>0</v>
      </c>
      <c r="R312" s="47">
        <f t="shared" si="223"/>
        <v>0</v>
      </c>
      <c r="S312" s="47">
        <f t="shared" si="223"/>
        <v>0</v>
      </c>
      <c r="T312" s="47">
        <f t="shared" si="223"/>
        <v>0</v>
      </c>
      <c r="U312" s="47">
        <f t="shared" si="223"/>
        <v>0</v>
      </c>
      <c r="V312" s="47">
        <f t="shared" si="223"/>
        <v>0</v>
      </c>
      <c r="W312" s="47">
        <f t="shared" si="223"/>
        <v>0</v>
      </c>
      <c r="X312" s="47">
        <f t="shared" si="223"/>
        <v>0</v>
      </c>
      <c r="Y312" s="47">
        <f t="shared" si="223"/>
        <v>0</v>
      </c>
      <c r="Z312" s="47">
        <f t="shared" si="223"/>
        <v>0</v>
      </c>
      <c r="AA312" s="47">
        <f t="shared" si="223"/>
        <v>0</v>
      </c>
      <c r="AB312" s="47">
        <f t="shared" si="223"/>
        <v>0</v>
      </c>
      <c r="AC312" s="47">
        <f t="shared" si="223"/>
        <v>0</v>
      </c>
      <c r="AD312" s="47">
        <f t="shared" si="223"/>
        <v>0</v>
      </c>
      <c r="AE312" s="47">
        <f t="shared" si="223"/>
        <v>0</v>
      </c>
      <c r="AF312" s="47">
        <f t="shared" si="223"/>
        <v>0</v>
      </c>
      <c r="AG312" s="47">
        <f t="shared" si="223"/>
        <v>0</v>
      </c>
      <c r="AH312" s="47">
        <f t="shared" si="223"/>
        <v>0</v>
      </c>
      <c r="AI312" s="47">
        <f t="shared" si="223"/>
        <v>0</v>
      </c>
      <c r="AJ312" s="47">
        <f t="shared" si="223"/>
        <v>0</v>
      </c>
      <c r="AK312" s="47">
        <f t="shared" si="223"/>
        <v>0</v>
      </c>
      <c r="AL312" s="47">
        <f t="shared" si="223"/>
        <v>0</v>
      </c>
      <c r="AM312" s="47">
        <f t="shared" si="223"/>
        <v>0</v>
      </c>
      <c r="AN312" s="47">
        <f t="shared" si="223"/>
        <v>0</v>
      </c>
      <c r="AO312" s="47">
        <f t="shared" si="223"/>
        <v>0</v>
      </c>
      <c r="AP312" s="47">
        <f t="shared" si="223"/>
        <v>0</v>
      </c>
      <c r="AQ312" s="47">
        <f t="shared" si="223"/>
        <v>0</v>
      </c>
      <c r="AR312" s="47">
        <f t="shared" si="223"/>
        <v>0</v>
      </c>
      <c r="AS312" s="47">
        <f t="shared" si="223"/>
        <v>0</v>
      </c>
      <c r="AT312" s="47">
        <f t="shared" si="223"/>
        <v>0</v>
      </c>
      <c r="AU312" s="47">
        <f t="shared" si="223"/>
        <v>0</v>
      </c>
      <c r="AV312" s="47">
        <f t="shared" si="223"/>
        <v>0</v>
      </c>
      <c r="AW312" s="47">
        <f t="shared" si="223"/>
        <v>0</v>
      </c>
      <c r="AX312" s="47">
        <f t="shared" si="223"/>
        <v>0</v>
      </c>
      <c r="AY312" s="47">
        <f t="shared" si="223"/>
        <v>0</v>
      </c>
      <c r="AZ312" s="47">
        <f t="shared" si="223"/>
        <v>0</v>
      </c>
      <c r="BA312" s="47">
        <f t="shared" si="223"/>
        <v>0</v>
      </c>
    </row>
    <row r="313" spans="2:53" x14ac:dyDescent="0.2">
      <c r="B313" s="76" t="s">
        <v>103</v>
      </c>
      <c r="C313" s="73" t="s">
        <v>75</v>
      </c>
      <c r="D313" s="95">
        <f>SUM(D310:D312)</f>
        <v>0</v>
      </c>
      <c r="E313" s="95">
        <f t="shared" ref="E313:BA313" si="224">SUM(E310:E312)</f>
        <v>0</v>
      </c>
      <c r="F313" s="95">
        <f t="shared" si="224"/>
        <v>0</v>
      </c>
      <c r="G313" s="95">
        <f t="shared" si="224"/>
        <v>0</v>
      </c>
      <c r="H313" s="95">
        <f t="shared" si="224"/>
        <v>0</v>
      </c>
      <c r="I313" s="95">
        <f t="shared" si="224"/>
        <v>0</v>
      </c>
      <c r="J313" s="95">
        <f t="shared" si="224"/>
        <v>0</v>
      </c>
      <c r="K313" s="95">
        <f t="shared" si="224"/>
        <v>0</v>
      </c>
      <c r="L313" s="95">
        <f t="shared" si="224"/>
        <v>0</v>
      </c>
      <c r="M313" s="95">
        <f t="shared" si="224"/>
        <v>0</v>
      </c>
      <c r="N313" s="95">
        <f t="shared" si="224"/>
        <v>0</v>
      </c>
      <c r="O313" s="95">
        <f t="shared" si="224"/>
        <v>0</v>
      </c>
      <c r="P313" s="95">
        <f t="shared" si="224"/>
        <v>0</v>
      </c>
      <c r="Q313" s="95">
        <f t="shared" si="224"/>
        <v>0</v>
      </c>
      <c r="R313" s="95">
        <f t="shared" si="224"/>
        <v>0</v>
      </c>
      <c r="S313" s="95">
        <f t="shared" si="224"/>
        <v>0</v>
      </c>
      <c r="T313" s="95">
        <f t="shared" si="224"/>
        <v>0</v>
      </c>
      <c r="U313" s="95">
        <f t="shared" si="224"/>
        <v>0</v>
      </c>
      <c r="V313" s="95">
        <f t="shared" si="224"/>
        <v>0</v>
      </c>
      <c r="W313" s="95">
        <f t="shared" si="224"/>
        <v>0</v>
      </c>
      <c r="X313" s="95">
        <f t="shared" si="224"/>
        <v>0</v>
      </c>
      <c r="Y313" s="95">
        <f t="shared" si="224"/>
        <v>0</v>
      </c>
      <c r="Z313" s="95">
        <f t="shared" si="224"/>
        <v>0</v>
      </c>
      <c r="AA313" s="95">
        <f t="shared" si="224"/>
        <v>0</v>
      </c>
      <c r="AB313" s="95">
        <f t="shared" si="224"/>
        <v>0</v>
      </c>
      <c r="AC313" s="95">
        <f t="shared" si="224"/>
        <v>0</v>
      </c>
      <c r="AD313" s="95">
        <f t="shared" si="224"/>
        <v>0</v>
      </c>
      <c r="AE313" s="95">
        <f t="shared" si="224"/>
        <v>0</v>
      </c>
      <c r="AF313" s="95">
        <f t="shared" si="224"/>
        <v>0</v>
      </c>
      <c r="AG313" s="95">
        <f t="shared" si="224"/>
        <v>0</v>
      </c>
      <c r="AH313" s="95">
        <f t="shared" si="224"/>
        <v>0</v>
      </c>
      <c r="AI313" s="95">
        <f t="shared" si="224"/>
        <v>0</v>
      </c>
      <c r="AJ313" s="95">
        <f t="shared" si="224"/>
        <v>0</v>
      </c>
      <c r="AK313" s="95">
        <f t="shared" si="224"/>
        <v>0</v>
      </c>
      <c r="AL313" s="95">
        <f t="shared" si="224"/>
        <v>0</v>
      </c>
      <c r="AM313" s="95">
        <f t="shared" si="224"/>
        <v>0</v>
      </c>
      <c r="AN313" s="95">
        <f t="shared" si="224"/>
        <v>0</v>
      </c>
      <c r="AO313" s="95">
        <f t="shared" si="224"/>
        <v>0</v>
      </c>
      <c r="AP313" s="95">
        <f t="shared" si="224"/>
        <v>0</v>
      </c>
      <c r="AQ313" s="95">
        <f t="shared" si="224"/>
        <v>0</v>
      </c>
      <c r="AR313" s="95">
        <f t="shared" si="224"/>
        <v>0</v>
      </c>
      <c r="AS313" s="95">
        <f t="shared" si="224"/>
        <v>0</v>
      </c>
      <c r="AT313" s="95">
        <f t="shared" si="224"/>
        <v>0</v>
      </c>
      <c r="AU313" s="95">
        <f t="shared" si="224"/>
        <v>0</v>
      </c>
      <c r="AV313" s="95">
        <f t="shared" si="224"/>
        <v>0</v>
      </c>
      <c r="AW313" s="95">
        <f t="shared" si="224"/>
        <v>0</v>
      </c>
      <c r="AX313" s="95">
        <f t="shared" si="224"/>
        <v>0</v>
      </c>
      <c r="AY313" s="95">
        <f t="shared" si="224"/>
        <v>0</v>
      </c>
      <c r="AZ313" s="95">
        <f t="shared" si="224"/>
        <v>0</v>
      </c>
      <c r="BA313" s="95">
        <f t="shared" si="224"/>
        <v>0</v>
      </c>
    </row>
    <row r="315" spans="2:53" x14ac:dyDescent="0.2">
      <c r="B315" s="215">
        <f>B309+1</f>
        <v>50</v>
      </c>
    </row>
    <row r="316" spans="2:53" x14ac:dyDescent="0.2">
      <c r="B316" s="94" t="s">
        <v>100</v>
      </c>
      <c r="C316" s="73" t="s">
        <v>75</v>
      </c>
      <c r="D316" s="95">
        <f>0</f>
        <v>0</v>
      </c>
      <c r="E316" s="47">
        <f t="shared" ref="E316:BA316" si="225">D319</f>
        <v>0</v>
      </c>
      <c r="F316" s="47">
        <f t="shared" si="225"/>
        <v>0</v>
      </c>
      <c r="G316" s="47">
        <f t="shared" si="225"/>
        <v>0</v>
      </c>
      <c r="H316" s="47">
        <f t="shared" si="225"/>
        <v>0</v>
      </c>
      <c r="I316" s="47">
        <f t="shared" si="225"/>
        <v>0</v>
      </c>
      <c r="J316" s="47">
        <f t="shared" si="225"/>
        <v>0</v>
      </c>
      <c r="K316" s="47">
        <f t="shared" si="225"/>
        <v>0</v>
      </c>
      <c r="L316" s="47">
        <f t="shared" si="225"/>
        <v>0</v>
      </c>
      <c r="M316" s="47">
        <f t="shared" si="225"/>
        <v>0</v>
      </c>
      <c r="N316" s="47">
        <f t="shared" si="225"/>
        <v>0</v>
      </c>
      <c r="O316" s="47">
        <f t="shared" si="225"/>
        <v>0</v>
      </c>
      <c r="P316" s="47">
        <f t="shared" si="225"/>
        <v>0</v>
      </c>
      <c r="Q316" s="47">
        <f t="shared" si="225"/>
        <v>0</v>
      </c>
      <c r="R316" s="47">
        <f t="shared" si="225"/>
        <v>0</v>
      </c>
      <c r="S316" s="47">
        <f t="shared" si="225"/>
        <v>0</v>
      </c>
      <c r="T316" s="47">
        <f t="shared" si="225"/>
        <v>0</v>
      </c>
      <c r="U316" s="47">
        <f t="shared" si="225"/>
        <v>0</v>
      </c>
      <c r="V316" s="47">
        <f t="shared" si="225"/>
        <v>0</v>
      </c>
      <c r="W316" s="47">
        <f t="shared" si="225"/>
        <v>0</v>
      </c>
      <c r="X316" s="47">
        <f t="shared" si="225"/>
        <v>0</v>
      </c>
      <c r="Y316" s="47">
        <f t="shared" si="225"/>
        <v>0</v>
      </c>
      <c r="Z316" s="47">
        <f t="shared" si="225"/>
        <v>0</v>
      </c>
      <c r="AA316" s="47">
        <f t="shared" si="225"/>
        <v>0</v>
      </c>
      <c r="AB316" s="47">
        <f t="shared" si="225"/>
        <v>0</v>
      </c>
      <c r="AC316" s="47">
        <f t="shared" si="225"/>
        <v>0</v>
      </c>
      <c r="AD316" s="47">
        <f t="shared" si="225"/>
        <v>0</v>
      </c>
      <c r="AE316" s="47">
        <f t="shared" si="225"/>
        <v>0</v>
      </c>
      <c r="AF316" s="47">
        <f t="shared" si="225"/>
        <v>0</v>
      </c>
      <c r="AG316" s="47">
        <f t="shared" si="225"/>
        <v>0</v>
      </c>
      <c r="AH316" s="47">
        <f t="shared" si="225"/>
        <v>0</v>
      </c>
      <c r="AI316" s="47">
        <f t="shared" si="225"/>
        <v>0</v>
      </c>
      <c r="AJ316" s="47">
        <f t="shared" si="225"/>
        <v>0</v>
      </c>
      <c r="AK316" s="47">
        <f t="shared" si="225"/>
        <v>0</v>
      </c>
      <c r="AL316" s="47">
        <f t="shared" si="225"/>
        <v>0</v>
      </c>
      <c r="AM316" s="47">
        <f t="shared" si="225"/>
        <v>0</v>
      </c>
      <c r="AN316" s="47">
        <f t="shared" si="225"/>
        <v>0</v>
      </c>
      <c r="AO316" s="47">
        <f t="shared" si="225"/>
        <v>0</v>
      </c>
      <c r="AP316" s="47">
        <f t="shared" si="225"/>
        <v>0</v>
      </c>
      <c r="AQ316" s="47">
        <f t="shared" si="225"/>
        <v>0</v>
      </c>
      <c r="AR316" s="47">
        <f t="shared" si="225"/>
        <v>0</v>
      </c>
      <c r="AS316" s="47">
        <f t="shared" si="225"/>
        <v>0</v>
      </c>
      <c r="AT316" s="47">
        <f t="shared" si="225"/>
        <v>0</v>
      </c>
      <c r="AU316" s="47">
        <f t="shared" si="225"/>
        <v>0</v>
      </c>
      <c r="AV316" s="47">
        <f t="shared" si="225"/>
        <v>0</v>
      </c>
      <c r="AW316" s="47">
        <f t="shared" si="225"/>
        <v>0</v>
      </c>
      <c r="AX316" s="47">
        <f t="shared" si="225"/>
        <v>0</v>
      </c>
      <c r="AY316" s="47">
        <f t="shared" si="225"/>
        <v>0</v>
      </c>
      <c r="AZ316" s="47">
        <f t="shared" si="225"/>
        <v>0</v>
      </c>
      <c r="BA316" s="47">
        <f t="shared" si="225"/>
        <v>0</v>
      </c>
    </row>
    <row r="317" spans="2:53" x14ac:dyDescent="0.2">
      <c r="B317" s="94" t="s">
        <v>101</v>
      </c>
      <c r="C317" s="73" t="s">
        <v>75</v>
      </c>
      <c r="D317" s="95">
        <f>IF($B315=D$2,D$4,0)</f>
        <v>0</v>
      </c>
      <c r="E317" s="95">
        <f t="shared" ref="E317:BA317" si="226">IF($B315=E$2,E$4,0)</f>
        <v>0</v>
      </c>
      <c r="F317" s="95">
        <f t="shared" si="226"/>
        <v>0</v>
      </c>
      <c r="G317" s="95">
        <f t="shared" si="226"/>
        <v>0</v>
      </c>
      <c r="H317" s="95">
        <f t="shared" si="226"/>
        <v>0</v>
      </c>
      <c r="I317" s="95">
        <f t="shared" si="226"/>
        <v>0</v>
      </c>
      <c r="J317" s="95">
        <f t="shared" si="226"/>
        <v>0</v>
      </c>
      <c r="K317" s="95">
        <f t="shared" si="226"/>
        <v>0</v>
      </c>
      <c r="L317" s="95">
        <f t="shared" si="226"/>
        <v>0</v>
      </c>
      <c r="M317" s="95">
        <f t="shared" si="226"/>
        <v>0</v>
      </c>
      <c r="N317" s="95">
        <f t="shared" si="226"/>
        <v>0</v>
      </c>
      <c r="O317" s="95">
        <f t="shared" si="226"/>
        <v>0</v>
      </c>
      <c r="P317" s="95">
        <f t="shared" si="226"/>
        <v>0</v>
      </c>
      <c r="Q317" s="95">
        <f t="shared" si="226"/>
        <v>0</v>
      </c>
      <c r="R317" s="95">
        <f t="shared" si="226"/>
        <v>0</v>
      </c>
      <c r="S317" s="95">
        <f t="shared" si="226"/>
        <v>0</v>
      </c>
      <c r="T317" s="95">
        <f t="shared" si="226"/>
        <v>0</v>
      </c>
      <c r="U317" s="95">
        <f t="shared" si="226"/>
        <v>0</v>
      </c>
      <c r="V317" s="95">
        <f t="shared" si="226"/>
        <v>0</v>
      </c>
      <c r="W317" s="95">
        <f t="shared" si="226"/>
        <v>0</v>
      </c>
      <c r="X317" s="95">
        <f t="shared" si="226"/>
        <v>0</v>
      </c>
      <c r="Y317" s="95">
        <f t="shared" si="226"/>
        <v>0</v>
      </c>
      <c r="Z317" s="95">
        <f t="shared" si="226"/>
        <v>0</v>
      </c>
      <c r="AA317" s="95">
        <f t="shared" si="226"/>
        <v>0</v>
      </c>
      <c r="AB317" s="95">
        <f t="shared" si="226"/>
        <v>0</v>
      </c>
      <c r="AC317" s="95">
        <f t="shared" si="226"/>
        <v>0</v>
      </c>
      <c r="AD317" s="95">
        <f t="shared" si="226"/>
        <v>0</v>
      </c>
      <c r="AE317" s="95">
        <f t="shared" si="226"/>
        <v>0</v>
      </c>
      <c r="AF317" s="95">
        <f t="shared" si="226"/>
        <v>0</v>
      </c>
      <c r="AG317" s="95">
        <f t="shared" si="226"/>
        <v>0</v>
      </c>
      <c r="AH317" s="95">
        <f t="shared" si="226"/>
        <v>0</v>
      </c>
      <c r="AI317" s="95">
        <f t="shared" si="226"/>
        <v>0</v>
      </c>
      <c r="AJ317" s="95">
        <f t="shared" si="226"/>
        <v>0</v>
      </c>
      <c r="AK317" s="95">
        <f t="shared" si="226"/>
        <v>0</v>
      </c>
      <c r="AL317" s="95">
        <f t="shared" si="226"/>
        <v>0</v>
      </c>
      <c r="AM317" s="95">
        <f t="shared" si="226"/>
        <v>0</v>
      </c>
      <c r="AN317" s="95">
        <f t="shared" si="226"/>
        <v>0</v>
      </c>
      <c r="AO317" s="95">
        <f t="shared" si="226"/>
        <v>0</v>
      </c>
      <c r="AP317" s="95">
        <f t="shared" si="226"/>
        <v>0</v>
      </c>
      <c r="AQ317" s="95">
        <f t="shared" si="226"/>
        <v>0</v>
      </c>
      <c r="AR317" s="95">
        <f t="shared" si="226"/>
        <v>0</v>
      </c>
      <c r="AS317" s="95">
        <f t="shared" si="226"/>
        <v>0</v>
      </c>
      <c r="AT317" s="95">
        <f t="shared" si="226"/>
        <v>0</v>
      </c>
      <c r="AU317" s="95">
        <f t="shared" si="226"/>
        <v>0</v>
      </c>
      <c r="AV317" s="95">
        <f t="shared" si="226"/>
        <v>0</v>
      </c>
      <c r="AW317" s="95">
        <f t="shared" si="226"/>
        <v>0</v>
      </c>
      <c r="AX317" s="95">
        <f t="shared" si="226"/>
        <v>0</v>
      </c>
      <c r="AY317" s="95">
        <f t="shared" si="226"/>
        <v>0</v>
      </c>
      <c r="AZ317" s="95">
        <f t="shared" si="226"/>
        <v>0</v>
      </c>
      <c r="BA317" s="95">
        <f t="shared" si="226"/>
        <v>0</v>
      </c>
    </row>
    <row r="318" spans="2:53" x14ac:dyDescent="0.2">
      <c r="B318" s="76" t="s">
        <v>102</v>
      </c>
      <c r="C318" s="73" t="s">
        <v>75</v>
      </c>
      <c r="D318" s="47"/>
      <c r="E318" s="47">
        <f>IF(OR(D319&lt;=$B$15*$AZ$317,F$1-$BB$1&gt;$B$13),0,-IF($B$12="straight line",SLN($AZ$317,+$B$15*$AZ$317,$B$13),VDB($AZ$317,$B$15*$AZ$317,$B$13,F$1-$BB$1,F$1-$BB$1,$B$14)))</f>
        <v>0</v>
      </c>
      <c r="F318" s="47">
        <f t="shared" ref="F318:BA318" si="227">IF(OR(E319&lt;=$B$15*$AZ$317,G$1-$BB$1&gt;$B$13),0,-IF($B$12="straight line",SLN($AZ$317,+$B$15*$AZ$317,$B$13),VDB($AZ$317,$B$15*$AZ$317,$B$13,G$1-$BB$1,G$1-$BB$1,$B$14)))</f>
        <v>0</v>
      </c>
      <c r="G318" s="47">
        <f t="shared" si="227"/>
        <v>0</v>
      </c>
      <c r="H318" s="47">
        <f t="shared" si="227"/>
        <v>0</v>
      </c>
      <c r="I318" s="47">
        <f t="shared" si="227"/>
        <v>0</v>
      </c>
      <c r="J318" s="47">
        <f t="shared" si="227"/>
        <v>0</v>
      </c>
      <c r="K318" s="47">
        <f t="shared" si="227"/>
        <v>0</v>
      </c>
      <c r="L318" s="47">
        <f t="shared" si="227"/>
        <v>0</v>
      </c>
      <c r="M318" s="47">
        <f t="shared" si="227"/>
        <v>0</v>
      </c>
      <c r="N318" s="47">
        <f t="shared" si="227"/>
        <v>0</v>
      </c>
      <c r="O318" s="47">
        <f t="shared" si="227"/>
        <v>0</v>
      </c>
      <c r="P318" s="47">
        <f t="shared" si="227"/>
        <v>0</v>
      </c>
      <c r="Q318" s="47">
        <f t="shared" si="227"/>
        <v>0</v>
      </c>
      <c r="R318" s="47">
        <f t="shared" si="227"/>
        <v>0</v>
      </c>
      <c r="S318" s="47">
        <f t="shared" si="227"/>
        <v>0</v>
      </c>
      <c r="T318" s="47">
        <f t="shared" si="227"/>
        <v>0</v>
      </c>
      <c r="U318" s="47">
        <f t="shared" si="227"/>
        <v>0</v>
      </c>
      <c r="V318" s="47">
        <f t="shared" si="227"/>
        <v>0</v>
      </c>
      <c r="W318" s="47">
        <f t="shared" si="227"/>
        <v>0</v>
      </c>
      <c r="X318" s="47">
        <f t="shared" si="227"/>
        <v>0</v>
      </c>
      <c r="Y318" s="47">
        <f t="shared" si="227"/>
        <v>0</v>
      </c>
      <c r="Z318" s="47">
        <f t="shared" si="227"/>
        <v>0</v>
      </c>
      <c r="AA318" s="47">
        <f t="shared" si="227"/>
        <v>0</v>
      </c>
      <c r="AB318" s="47">
        <f t="shared" si="227"/>
        <v>0</v>
      </c>
      <c r="AC318" s="47">
        <f t="shared" si="227"/>
        <v>0</v>
      </c>
      <c r="AD318" s="47">
        <f t="shared" si="227"/>
        <v>0</v>
      </c>
      <c r="AE318" s="47">
        <f t="shared" si="227"/>
        <v>0</v>
      </c>
      <c r="AF318" s="47">
        <f t="shared" si="227"/>
        <v>0</v>
      </c>
      <c r="AG318" s="47">
        <f t="shared" si="227"/>
        <v>0</v>
      </c>
      <c r="AH318" s="47">
        <f t="shared" si="227"/>
        <v>0</v>
      </c>
      <c r="AI318" s="47">
        <f t="shared" si="227"/>
        <v>0</v>
      </c>
      <c r="AJ318" s="47">
        <f t="shared" si="227"/>
        <v>0</v>
      </c>
      <c r="AK318" s="47">
        <f t="shared" si="227"/>
        <v>0</v>
      </c>
      <c r="AL318" s="47">
        <f t="shared" si="227"/>
        <v>0</v>
      </c>
      <c r="AM318" s="47">
        <f t="shared" si="227"/>
        <v>0</v>
      </c>
      <c r="AN318" s="47">
        <f t="shared" si="227"/>
        <v>0</v>
      </c>
      <c r="AO318" s="47">
        <f t="shared" si="227"/>
        <v>0</v>
      </c>
      <c r="AP318" s="47">
        <f t="shared" si="227"/>
        <v>0</v>
      </c>
      <c r="AQ318" s="47">
        <f t="shared" si="227"/>
        <v>0</v>
      </c>
      <c r="AR318" s="47">
        <f t="shared" si="227"/>
        <v>0</v>
      </c>
      <c r="AS318" s="47">
        <f t="shared" si="227"/>
        <v>0</v>
      </c>
      <c r="AT318" s="47">
        <f t="shared" si="227"/>
        <v>0</v>
      </c>
      <c r="AU318" s="47">
        <f t="shared" si="227"/>
        <v>0</v>
      </c>
      <c r="AV318" s="47">
        <f t="shared" si="227"/>
        <v>0</v>
      </c>
      <c r="AW318" s="47">
        <f t="shared" si="227"/>
        <v>0</v>
      </c>
      <c r="AX318" s="47">
        <f t="shared" si="227"/>
        <v>0</v>
      </c>
      <c r="AY318" s="47">
        <f t="shared" si="227"/>
        <v>0</v>
      </c>
      <c r="AZ318" s="47">
        <f t="shared" si="227"/>
        <v>0</v>
      </c>
      <c r="BA318" s="47">
        <f t="shared" si="227"/>
        <v>0</v>
      </c>
    </row>
    <row r="319" spans="2:53" x14ac:dyDescent="0.2">
      <c r="B319" s="76" t="s">
        <v>103</v>
      </c>
      <c r="C319" s="73" t="s">
        <v>75</v>
      </c>
      <c r="D319" s="95">
        <f>SUM(D316:D318)</f>
        <v>0</v>
      </c>
      <c r="E319" s="95">
        <f t="shared" ref="E319:BA319" si="228">SUM(E316:E318)</f>
        <v>0</v>
      </c>
      <c r="F319" s="95">
        <f t="shared" si="228"/>
        <v>0</v>
      </c>
      <c r="G319" s="95">
        <f t="shared" si="228"/>
        <v>0</v>
      </c>
      <c r="H319" s="95">
        <f t="shared" si="228"/>
        <v>0</v>
      </c>
      <c r="I319" s="95">
        <f t="shared" si="228"/>
        <v>0</v>
      </c>
      <c r="J319" s="95">
        <f t="shared" si="228"/>
        <v>0</v>
      </c>
      <c r="K319" s="95">
        <f t="shared" si="228"/>
        <v>0</v>
      </c>
      <c r="L319" s="95">
        <f t="shared" si="228"/>
        <v>0</v>
      </c>
      <c r="M319" s="95">
        <f t="shared" si="228"/>
        <v>0</v>
      </c>
      <c r="N319" s="95">
        <f t="shared" si="228"/>
        <v>0</v>
      </c>
      <c r="O319" s="95">
        <f t="shared" si="228"/>
        <v>0</v>
      </c>
      <c r="P319" s="95">
        <f t="shared" si="228"/>
        <v>0</v>
      </c>
      <c r="Q319" s="95">
        <f t="shared" si="228"/>
        <v>0</v>
      </c>
      <c r="R319" s="95">
        <f t="shared" si="228"/>
        <v>0</v>
      </c>
      <c r="S319" s="95">
        <f t="shared" si="228"/>
        <v>0</v>
      </c>
      <c r="T319" s="95">
        <f t="shared" si="228"/>
        <v>0</v>
      </c>
      <c r="U319" s="95">
        <f t="shared" si="228"/>
        <v>0</v>
      </c>
      <c r="V319" s="95">
        <f t="shared" si="228"/>
        <v>0</v>
      </c>
      <c r="W319" s="95">
        <f t="shared" si="228"/>
        <v>0</v>
      </c>
      <c r="X319" s="95">
        <f t="shared" si="228"/>
        <v>0</v>
      </c>
      <c r="Y319" s="95">
        <f t="shared" si="228"/>
        <v>0</v>
      </c>
      <c r="Z319" s="95">
        <f t="shared" si="228"/>
        <v>0</v>
      </c>
      <c r="AA319" s="95">
        <f t="shared" si="228"/>
        <v>0</v>
      </c>
      <c r="AB319" s="95">
        <f t="shared" si="228"/>
        <v>0</v>
      </c>
      <c r="AC319" s="95">
        <f t="shared" si="228"/>
        <v>0</v>
      </c>
      <c r="AD319" s="95">
        <f t="shared" si="228"/>
        <v>0</v>
      </c>
      <c r="AE319" s="95">
        <f t="shared" si="228"/>
        <v>0</v>
      </c>
      <c r="AF319" s="95">
        <f t="shared" si="228"/>
        <v>0</v>
      </c>
      <c r="AG319" s="95">
        <f t="shared" si="228"/>
        <v>0</v>
      </c>
      <c r="AH319" s="95">
        <f t="shared" si="228"/>
        <v>0</v>
      </c>
      <c r="AI319" s="95">
        <f t="shared" si="228"/>
        <v>0</v>
      </c>
      <c r="AJ319" s="95">
        <f t="shared" si="228"/>
        <v>0</v>
      </c>
      <c r="AK319" s="95">
        <f t="shared" si="228"/>
        <v>0</v>
      </c>
      <c r="AL319" s="95">
        <f t="shared" si="228"/>
        <v>0</v>
      </c>
      <c r="AM319" s="95">
        <f t="shared" si="228"/>
        <v>0</v>
      </c>
      <c r="AN319" s="95">
        <f t="shared" si="228"/>
        <v>0</v>
      </c>
      <c r="AO319" s="95">
        <f t="shared" si="228"/>
        <v>0</v>
      </c>
      <c r="AP319" s="95">
        <f t="shared" si="228"/>
        <v>0</v>
      </c>
      <c r="AQ319" s="95">
        <f t="shared" si="228"/>
        <v>0</v>
      </c>
      <c r="AR319" s="95">
        <f t="shared" si="228"/>
        <v>0</v>
      </c>
      <c r="AS319" s="95">
        <f t="shared" si="228"/>
        <v>0</v>
      </c>
      <c r="AT319" s="95">
        <f t="shared" si="228"/>
        <v>0</v>
      </c>
      <c r="AU319" s="95">
        <f t="shared" si="228"/>
        <v>0</v>
      </c>
      <c r="AV319" s="95">
        <f t="shared" si="228"/>
        <v>0</v>
      </c>
      <c r="AW319" s="95">
        <f t="shared" si="228"/>
        <v>0</v>
      </c>
      <c r="AX319" s="95">
        <f t="shared" si="228"/>
        <v>0</v>
      </c>
      <c r="AY319" s="95">
        <f t="shared" si="228"/>
        <v>0</v>
      </c>
      <c r="AZ319" s="95">
        <f t="shared" si="228"/>
        <v>0</v>
      </c>
      <c r="BA319" s="95">
        <f t="shared" si="228"/>
        <v>0</v>
      </c>
    </row>
  </sheetData>
  <phoneticPr fontId="0" type="noConversion"/>
  <pageMargins left="0.75" right="0.75" top="1" bottom="1" header="0" footer="0"/>
  <pageSetup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59999389629810485"/>
  </sheetPr>
  <dimension ref="B1:BF275"/>
  <sheetViews>
    <sheetView workbookViewId="0">
      <pane xSplit="3" ySplit="1" topLeftCell="D2" activePane="bottomRight" state="frozen"/>
      <selection activeCell="G29" sqref="G29"/>
      <selection pane="topRight" activeCell="G29" sqref="G29"/>
      <selection pane="bottomLeft" activeCell="G29" sqref="G29"/>
      <selection pane="bottomRight" activeCell="D19" sqref="D19"/>
    </sheetView>
  </sheetViews>
  <sheetFormatPr defaultColWidth="11.42578125" defaultRowHeight="12.75" x14ac:dyDescent="0.2"/>
  <cols>
    <col min="1" max="1" width="11.42578125" style="54"/>
    <col min="2" max="2" width="42.42578125" style="54" customWidth="1"/>
    <col min="3" max="3" width="8.7109375" style="60" bestFit="1" customWidth="1"/>
    <col min="4" max="4" width="12.42578125" style="54" bestFit="1" customWidth="1"/>
    <col min="5" max="8" width="11.42578125" style="54" customWidth="1"/>
    <col min="9" max="9" width="11.7109375" style="54" bestFit="1" customWidth="1"/>
    <col min="10" max="16384" width="11.42578125" style="54"/>
  </cols>
  <sheetData>
    <row r="1" spans="2:58" s="55" customFormat="1" x14ac:dyDescent="0.2">
      <c r="C1" s="16" t="s">
        <v>0</v>
      </c>
      <c r="D1" s="36">
        <f>Inputs!D1</f>
        <v>2015</v>
      </c>
      <c r="E1" s="36">
        <f>Inputs!E1</f>
        <v>2016</v>
      </c>
      <c r="F1" s="36">
        <f>Inputs!F1</f>
        <v>2017</v>
      </c>
      <c r="G1" s="36">
        <f>Inputs!G1</f>
        <v>2018</v>
      </c>
      <c r="H1" s="36">
        <f>Inputs!H1</f>
        <v>2019</v>
      </c>
      <c r="I1" s="36">
        <f>Inputs!I1</f>
        <v>2020</v>
      </c>
      <c r="J1" s="36">
        <f>Inputs!J1</f>
        <v>2021</v>
      </c>
      <c r="K1" s="36">
        <f>Inputs!K1</f>
        <v>2022</v>
      </c>
      <c r="L1" s="36">
        <f>Inputs!L1</f>
        <v>2023</v>
      </c>
      <c r="M1" s="36">
        <f>Inputs!M1</f>
        <v>2024</v>
      </c>
      <c r="N1" s="36">
        <f>Inputs!N1</f>
        <v>2025</v>
      </c>
      <c r="O1" s="36">
        <f>Inputs!O1</f>
        <v>2026</v>
      </c>
      <c r="P1" s="36">
        <f>Inputs!P1</f>
        <v>2027</v>
      </c>
      <c r="Q1" s="36">
        <f>Inputs!Q1</f>
        <v>2028</v>
      </c>
      <c r="R1" s="36">
        <f>Inputs!R1</f>
        <v>2029</v>
      </c>
      <c r="S1" s="36">
        <f>Inputs!S1</f>
        <v>2030</v>
      </c>
      <c r="T1" s="36">
        <f>Inputs!T1</f>
        <v>2031</v>
      </c>
      <c r="U1" s="36">
        <f>Inputs!U1</f>
        <v>2032</v>
      </c>
      <c r="V1" s="36">
        <f>Inputs!V1</f>
        <v>2033</v>
      </c>
      <c r="W1" s="36">
        <f>Inputs!W1</f>
        <v>2034</v>
      </c>
      <c r="X1" s="36">
        <f>Inputs!X1</f>
        <v>2035</v>
      </c>
      <c r="Y1" s="36">
        <f>Inputs!Y1</f>
        <v>2036</v>
      </c>
      <c r="Z1" s="36">
        <f>Inputs!Z1</f>
        <v>2037</v>
      </c>
      <c r="AA1" s="36">
        <f>Inputs!AA1</f>
        <v>2038</v>
      </c>
      <c r="AB1" s="36">
        <f>Inputs!AB1</f>
        <v>2039</v>
      </c>
      <c r="AC1" s="36">
        <f>Inputs!AC1</f>
        <v>2040</v>
      </c>
      <c r="AD1" s="36">
        <f>Inputs!AD1</f>
        <v>2041</v>
      </c>
      <c r="AE1" s="36">
        <f>Inputs!AE1</f>
        <v>2042</v>
      </c>
      <c r="AF1" s="36">
        <f>Inputs!AF1</f>
        <v>2043</v>
      </c>
      <c r="AG1" s="36">
        <f>Inputs!AG1</f>
        <v>2044</v>
      </c>
      <c r="AH1" s="36">
        <f>Inputs!AH1</f>
        <v>2045</v>
      </c>
      <c r="AI1" s="36">
        <f>Inputs!AI1</f>
        <v>2046</v>
      </c>
      <c r="AJ1" s="36">
        <f>Inputs!AJ1</f>
        <v>2047</v>
      </c>
      <c r="AK1" s="36">
        <f>Inputs!AK1</f>
        <v>2048</v>
      </c>
      <c r="AL1" s="36">
        <f>Inputs!AL1</f>
        <v>2049</v>
      </c>
      <c r="AM1" s="36">
        <f>Inputs!AM1</f>
        <v>2050</v>
      </c>
      <c r="AN1" s="36">
        <f>Inputs!AN1</f>
        <v>2051</v>
      </c>
      <c r="AO1" s="36">
        <f>Inputs!AO1</f>
        <v>2052</v>
      </c>
      <c r="AP1" s="36">
        <f>Inputs!AP1</f>
        <v>2053</v>
      </c>
      <c r="AQ1" s="36">
        <f>Inputs!AQ1</f>
        <v>2054</v>
      </c>
      <c r="AR1" s="36">
        <f>Inputs!AR1</f>
        <v>2055</v>
      </c>
      <c r="AS1" s="36">
        <f>Inputs!AS1</f>
        <v>2056</v>
      </c>
      <c r="AT1" s="36">
        <f>Inputs!AT1</f>
        <v>2057</v>
      </c>
      <c r="AU1" s="36">
        <f>Inputs!AU1</f>
        <v>2058</v>
      </c>
      <c r="AV1" s="36">
        <f>Inputs!AV1</f>
        <v>2059</v>
      </c>
      <c r="AW1" s="36">
        <f>Inputs!AW1</f>
        <v>2060</v>
      </c>
      <c r="AX1" s="36">
        <f>Inputs!AX1</f>
        <v>2061</v>
      </c>
      <c r="AY1" s="36">
        <f>Inputs!AY1</f>
        <v>2062</v>
      </c>
      <c r="AZ1" s="36">
        <f>Inputs!AZ1</f>
        <v>2063</v>
      </c>
      <c r="BA1" s="36">
        <f>Inputs!BA1</f>
        <v>2064</v>
      </c>
      <c r="BB1" s="36"/>
      <c r="BC1" s="36"/>
      <c r="BD1" s="36"/>
      <c r="BE1" s="36"/>
      <c r="BF1" s="36"/>
    </row>
    <row r="2" spans="2:58" x14ac:dyDescent="0.2">
      <c r="C2" s="16"/>
      <c r="D2" s="36">
        <f>Inputs!D2</f>
        <v>1</v>
      </c>
      <c r="E2" s="36">
        <f>Inputs!E2</f>
        <v>2</v>
      </c>
      <c r="F2" s="36">
        <f>Inputs!F2</f>
        <v>3</v>
      </c>
      <c r="G2" s="36">
        <f>Inputs!G2</f>
        <v>4</v>
      </c>
      <c r="H2" s="36">
        <f>Inputs!H2</f>
        <v>5</v>
      </c>
      <c r="I2" s="36">
        <f>Inputs!I2</f>
        <v>6</v>
      </c>
      <c r="J2" s="36">
        <f>Inputs!J2</f>
        <v>7</v>
      </c>
      <c r="K2" s="36">
        <f>Inputs!K2</f>
        <v>8</v>
      </c>
      <c r="L2" s="36">
        <f>Inputs!L2</f>
        <v>9</v>
      </c>
      <c r="M2" s="36">
        <f>Inputs!M2</f>
        <v>10</v>
      </c>
      <c r="N2" s="36">
        <f>Inputs!N2</f>
        <v>11</v>
      </c>
      <c r="O2" s="36">
        <f>Inputs!O2</f>
        <v>12</v>
      </c>
      <c r="P2" s="36">
        <f>Inputs!P2</f>
        <v>13</v>
      </c>
      <c r="Q2" s="36">
        <f>Inputs!Q2</f>
        <v>14</v>
      </c>
      <c r="R2" s="36">
        <f>Inputs!R2</f>
        <v>15</v>
      </c>
      <c r="S2" s="36">
        <f>Inputs!S2</f>
        <v>16</v>
      </c>
      <c r="T2" s="36">
        <f>Inputs!T2</f>
        <v>17</v>
      </c>
      <c r="U2" s="36">
        <f>Inputs!U2</f>
        <v>18</v>
      </c>
      <c r="V2" s="36">
        <f>Inputs!V2</f>
        <v>19</v>
      </c>
      <c r="W2" s="36">
        <f>Inputs!W2</f>
        <v>20</v>
      </c>
      <c r="X2" s="36">
        <f>Inputs!X2</f>
        <v>21</v>
      </c>
      <c r="Y2" s="36">
        <f>Inputs!Y2</f>
        <v>22</v>
      </c>
      <c r="Z2" s="36">
        <f>Inputs!Z2</f>
        <v>23</v>
      </c>
      <c r="AA2" s="36">
        <f>Inputs!AA2</f>
        <v>24</v>
      </c>
      <c r="AB2" s="36">
        <f>Inputs!AB2</f>
        <v>25</v>
      </c>
      <c r="AC2" s="36">
        <f>Inputs!AC2</f>
        <v>26</v>
      </c>
      <c r="AD2" s="36">
        <f>Inputs!AD2</f>
        <v>27</v>
      </c>
      <c r="AE2" s="36">
        <f>Inputs!AE2</f>
        <v>28</v>
      </c>
      <c r="AF2" s="36">
        <f>Inputs!AF2</f>
        <v>29</v>
      </c>
      <c r="AG2" s="36">
        <f>Inputs!AG2</f>
        <v>30</v>
      </c>
      <c r="AH2" s="36">
        <f>Inputs!AH2</f>
        <v>31</v>
      </c>
      <c r="AI2" s="36">
        <f>Inputs!AI2</f>
        <v>32</v>
      </c>
      <c r="AJ2" s="36">
        <f>Inputs!AJ2</f>
        <v>33</v>
      </c>
      <c r="AK2" s="36">
        <f>Inputs!AK2</f>
        <v>34</v>
      </c>
      <c r="AL2" s="36">
        <f>Inputs!AL2</f>
        <v>35</v>
      </c>
      <c r="AM2" s="36">
        <f>Inputs!AM2</f>
        <v>36</v>
      </c>
      <c r="AN2" s="36">
        <f>Inputs!AN2</f>
        <v>37</v>
      </c>
      <c r="AO2" s="36">
        <f>Inputs!AO2</f>
        <v>38</v>
      </c>
      <c r="AP2" s="36">
        <f>Inputs!AP2</f>
        <v>39</v>
      </c>
      <c r="AQ2" s="36">
        <f>Inputs!AQ2</f>
        <v>40</v>
      </c>
      <c r="AR2" s="36">
        <f>Inputs!AR2</f>
        <v>41</v>
      </c>
      <c r="AS2" s="36">
        <f>Inputs!AS2</f>
        <v>42</v>
      </c>
      <c r="AT2" s="36">
        <f>Inputs!AT2</f>
        <v>43</v>
      </c>
      <c r="AU2" s="36">
        <f>Inputs!AU2</f>
        <v>44</v>
      </c>
      <c r="AV2" s="36">
        <f>Inputs!AV2</f>
        <v>45</v>
      </c>
      <c r="AW2" s="36">
        <f>Inputs!AW2</f>
        <v>46</v>
      </c>
      <c r="AX2" s="36">
        <f>Inputs!AX2</f>
        <v>47</v>
      </c>
      <c r="AY2" s="36">
        <f>Inputs!AY2</f>
        <v>48</v>
      </c>
      <c r="AZ2" s="36">
        <f>Inputs!AZ2</f>
        <v>49</v>
      </c>
      <c r="BA2" s="36">
        <f>Inputs!BA2</f>
        <v>50</v>
      </c>
      <c r="BB2" s="36"/>
      <c r="BC2" s="36"/>
      <c r="BD2" s="36"/>
      <c r="BE2" s="36"/>
      <c r="BF2" s="36"/>
    </row>
    <row r="3" spans="2:58" x14ac:dyDescent="0.2">
      <c r="C3" s="1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row>
    <row r="4" spans="2:58" s="113" customFormat="1" x14ac:dyDescent="0.2">
      <c r="B4" s="113" t="s">
        <v>21</v>
      </c>
      <c r="C4" s="136" t="s">
        <v>75</v>
      </c>
      <c r="D4" s="137">
        <f>ROUND(+D28+D33+D38+D43+D48+D53+D58+D63+D68+D73+D78+D83+D88+D93+D98+D103+D108+D113+D118+D123+D128+D133+D138+D143+D148+D153+D158,6)+D163+D168+D173+D178+D183+D188+D193+D198+D203+D208+D213+D218+D223+D228+D233+D238+D243+D248+D253+D258+D263+D268+D273</f>
        <v>0</v>
      </c>
      <c r="E4" s="137">
        <f t="shared" ref="E4:BA4" si="0">ROUND(+E28+E33+E38+E43+E48+E53+E58+E63+E68+E73+E78+E83+E88+E93+E98+E103+E108+E113+E118+E123+E128+E133+E138+E143+E148+E153+E158,6)+E163+E168+E173+E178+E183+E188+E193+E198+E203+E208+E213+E218+E223+E228+E233+E238+E243+E248+E253+E258+E263+E268+E273</f>
        <v>21</v>
      </c>
      <c r="F4" s="137">
        <f t="shared" si="0"/>
        <v>40.71264</v>
      </c>
      <c r="G4" s="137">
        <f t="shared" si="0"/>
        <v>58.907291000000001</v>
      </c>
      <c r="H4" s="137">
        <f t="shared" si="0"/>
        <v>75.324122000000003</v>
      </c>
      <c r="I4" s="137">
        <f t="shared" si="0"/>
        <v>66.939497000000003</v>
      </c>
      <c r="J4" s="137">
        <f t="shared" si="0"/>
        <v>57.548717000000003</v>
      </c>
      <c r="K4" s="137">
        <f t="shared" si="0"/>
        <v>47.031044000000001</v>
      </c>
      <c r="L4" s="137">
        <f t="shared" si="0"/>
        <v>35.251249999999999</v>
      </c>
      <c r="M4" s="137">
        <f t="shared" si="0"/>
        <v>22.057880999999998</v>
      </c>
      <c r="N4" s="137">
        <f t="shared" si="0"/>
        <v>11.508666</v>
      </c>
      <c r="O4" s="137">
        <f t="shared" si="0"/>
        <v>4.0054530000000002</v>
      </c>
      <c r="P4" s="137">
        <f t="shared" si="0"/>
        <v>0</v>
      </c>
      <c r="Q4" s="137">
        <f t="shared" si="0"/>
        <v>0</v>
      </c>
      <c r="R4" s="137">
        <f t="shared" si="0"/>
        <v>0</v>
      </c>
      <c r="S4" s="137">
        <f t="shared" si="0"/>
        <v>0</v>
      </c>
      <c r="T4" s="137">
        <f t="shared" si="0"/>
        <v>0</v>
      </c>
      <c r="U4" s="137">
        <f t="shared" si="0"/>
        <v>0</v>
      </c>
      <c r="V4" s="137">
        <f t="shared" si="0"/>
        <v>0</v>
      </c>
      <c r="W4" s="137">
        <f t="shared" si="0"/>
        <v>0</v>
      </c>
      <c r="X4" s="137">
        <f t="shared" si="0"/>
        <v>0</v>
      </c>
      <c r="Y4" s="137">
        <f t="shared" si="0"/>
        <v>0</v>
      </c>
      <c r="Z4" s="137">
        <f t="shared" si="0"/>
        <v>0</v>
      </c>
      <c r="AA4" s="137">
        <f t="shared" si="0"/>
        <v>0</v>
      </c>
      <c r="AB4" s="137">
        <f t="shared" si="0"/>
        <v>0</v>
      </c>
      <c r="AC4" s="137">
        <f t="shared" si="0"/>
        <v>0</v>
      </c>
      <c r="AD4" s="137">
        <f t="shared" si="0"/>
        <v>0</v>
      </c>
      <c r="AE4" s="137">
        <f t="shared" si="0"/>
        <v>0</v>
      </c>
      <c r="AF4" s="137">
        <f t="shared" si="0"/>
        <v>0</v>
      </c>
      <c r="AG4" s="137">
        <f t="shared" si="0"/>
        <v>0</v>
      </c>
      <c r="AH4" s="137">
        <f t="shared" si="0"/>
        <v>0</v>
      </c>
      <c r="AI4" s="137">
        <f t="shared" si="0"/>
        <v>0</v>
      </c>
      <c r="AJ4" s="137">
        <f t="shared" si="0"/>
        <v>0</v>
      </c>
      <c r="AK4" s="137">
        <f t="shared" si="0"/>
        <v>0</v>
      </c>
      <c r="AL4" s="137">
        <f t="shared" si="0"/>
        <v>0</v>
      </c>
      <c r="AM4" s="137">
        <f t="shared" si="0"/>
        <v>0</v>
      </c>
      <c r="AN4" s="137">
        <f t="shared" si="0"/>
        <v>0</v>
      </c>
      <c r="AO4" s="137">
        <f t="shared" si="0"/>
        <v>0</v>
      </c>
      <c r="AP4" s="137">
        <f t="shared" si="0"/>
        <v>0</v>
      </c>
      <c r="AQ4" s="137">
        <f t="shared" si="0"/>
        <v>0</v>
      </c>
      <c r="AR4" s="137">
        <f t="shared" si="0"/>
        <v>0</v>
      </c>
      <c r="AS4" s="137">
        <f t="shared" si="0"/>
        <v>0</v>
      </c>
      <c r="AT4" s="137">
        <f t="shared" si="0"/>
        <v>0</v>
      </c>
      <c r="AU4" s="137">
        <f t="shared" si="0"/>
        <v>0</v>
      </c>
      <c r="AV4" s="137">
        <f t="shared" si="0"/>
        <v>0</v>
      </c>
      <c r="AW4" s="137">
        <f t="shared" si="0"/>
        <v>0</v>
      </c>
      <c r="AX4" s="137">
        <f t="shared" si="0"/>
        <v>0</v>
      </c>
      <c r="AY4" s="137">
        <f t="shared" si="0"/>
        <v>0</v>
      </c>
      <c r="AZ4" s="137">
        <f t="shared" si="0"/>
        <v>0</v>
      </c>
      <c r="BA4" s="137">
        <f t="shared" si="0"/>
        <v>0</v>
      </c>
    </row>
    <row r="5" spans="2:58" x14ac:dyDescent="0.2">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row>
    <row r="6" spans="2:58" x14ac:dyDescent="0.2">
      <c r="B6" s="129" t="s">
        <v>127</v>
      </c>
      <c r="C6" s="130"/>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row>
    <row r="7" spans="2:58" x14ac:dyDescent="0.2">
      <c r="B7" s="131" t="s">
        <v>35</v>
      </c>
      <c r="C7" s="132">
        <f>'Assumptions &amp; Results'!C136</f>
        <v>0.7</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row>
    <row r="8" spans="2:58" s="4" customFormat="1" x14ac:dyDescent="0.2">
      <c r="B8" s="131" t="s">
        <v>22</v>
      </c>
      <c r="C8" s="133">
        <f>'Assumptions &amp; Results'!C137</f>
        <v>8</v>
      </c>
      <c r="D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row>
    <row r="9" spans="2:58" s="4" customFormat="1" x14ac:dyDescent="0.2">
      <c r="B9" s="134" t="s">
        <v>23</v>
      </c>
      <c r="C9" s="135">
        <f>'Assumptions &amp; Results'!C138</f>
        <v>0.12</v>
      </c>
      <c r="D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row>
    <row r="10" spans="2:58" s="4" customFormat="1" x14ac:dyDescent="0.2">
      <c r="B10" s="3"/>
      <c r="C10" s="61"/>
      <c r="D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row>
    <row r="11" spans="2:58" s="4" customFormat="1" x14ac:dyDescent="0.2">
      <c r="B11" s="3"/>
      <c r="C11" s="61"/>
      <c r="D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row>
    <row r="12" spans="2:58" s="116" customFormat="1" x14ac:dyDescent="0.2">
      <c r="B12" s="113" t="s">
        <v>24</v>
      </c>
      <c r="C12" s="140" t="s">
        <v>75</v>
      </c>
      <c r="D12" s="141">
        <f>+D13+D14</f>
        <v>250</v>
      </c>
      <c r="E12" s="141">
        <f t="shared" ref="E12:W12" si="1">+E13+E14</f>
        <v>255</v>
      </c>
      <c r="F12" s="141">
        <f t="shared" si="1"/>
        <v>260.10000000000002</v>
      </c>
      <c r="G12" s="141">
        <f t="shared" si="1"/>
        <v>265.30199999999996</v>
      </c>
      <c r="H12" s="141">
        <f t="shared" si="1"/>
        <v>0</v>
      </c>
      <c r="I12" s="141">
        <f t="shared" si="1"/>
        <v>11.040808032000001</v>
      </c>
      <c r="J12" s="141">
        <f t="shared" si="1"/>
        <v>11.261624192640001</v>
      </c>
      <c r="K12" s="141">
        <f t="shared" si="1"/>
        <v>11.486856676492801</v>
      </c>
      <c r="L12" s="141">
        <f t="shared" si="1"/>
        <v>11.716593810022658</v>
      </c>
      <c r="M12" s="141">
        <f t="shared" si="1"/>
        <v>11.95092568622311</v>
      </c>
      <c r="N12" s="141">
        <f t="shared" si="1"/>
        <v>12.189944199947574</v>
      </c>
      <c r="O12" s="141">
        <f t="shared" si="1"/>
        <v>12.433743083946524</v>
      </c>
      <c r="P12" s="141">
        <f t="shared" si="1"/>
        <v>12.682417945625454</v>
      </c>
      <c r="Q12" s="141">
        <f t="shared" si="1"/>
        <v>12.936066304537963</v>
      </c>
      <c r="R12" s="141">
        <f t="shared" si="1"/>
        <v>13.194787630628724</v>
      </c>
      <c r="S12" s="141">
        <f t="shared" si="1"/>
        <v>13.458683383241299</v>
      </c>
      <c r="T12" s="141">
        <f t="shared" si="1"/>
        <v>13.727857050906124</v>
      </c>
      <c r="U12" s="141">
        <f t="shared" si="1"/>
        <v>14.002414191924249</v>
      </c>
      <c r="V12" s="141">
        <f t="shared" si="1"/>
        <v>14.282462475762735</v>
      </c>
      <c r="W12" s="141">
        <f t="shared" si="1"/>
        <v>14.568111725277987</v>
      </c>
      <c r="X12" s="141">
        <f t="shared" ref="X12:AP12" si="2">+X13+X14</f>
        <v>14.85947395978355</v>
      </c>
      <c r="Y12" s="141">
        <f t="shared" si="2"/>
        <v>15.156663438979221</v>
      </c>
      <c r="Z12" s="141">
        <f t="shared" si="2"/>
        <v>15.459796707758805</v>
      </c>
      <c r="AA12" s="141">
        <f t="shared" si="2"/>
        <v>15.768992641913982</v>
      </c>
      <c r="AB12" s="141">
        <f t="shared" si="2"/>
        <v>16.084372494752262</v>
      </c>
      <c r="AC12" s="141">
        <f t="shared" si="2"/>
        <v>16.406059944647307</v>
      </c>
      <c r="AD12" s="141">
        <f t="shared" si="2"/>
        <v>16.734181143540251</v>
      </c>
      <c r="AE12" s="141">
        <f t="shared" si="2"/>
        <v>17.068864766411057</v>
      </c>
      <c r="AF12" s="141">
        <f t="shared" si="2"/>
        <v>17.410242061739282</v>
      </c>
      <c r="AG12" s="141">
        <f t="shared" si="2"/>
        <v>17.758446902974065</v>
      </c>
      <c r="AH12" s="141">
        <f t="shared" si="2"/>
        <v>18.11361584103355</v>
      </c>
      <c r="AI12" s="141">
        <f t="shared" si="2"/>
        <v>0</v>
      </c>
      <c r="AJ12" s="141">
        <f t="shared" si="2"/>
        <v>0</v>
      </c>
      <c r="AK12" s="141">
        <f t="shared" si="2"/>
        <v>0</v>
      </c>
      <c r="AL12" s="141">
        <f t="shared" si="2"/>
        <v>0</v>
      </c>
      <c r="AM12" s="141">
        <f t="shared" si="2"/>
        <v>0</v>
      </c>
      <c r="AN12" s="141">
        <f t="shared" si="2"/>
        <v>0</v>
      </c>
      <c r="AO12" s="141">
        <f t="shared" si="2"/>
        <v>0</v>
      </c>
      <c r="AP12" s="141">
        <f t="shared" si="2"/>
        <v>0</v>
      </c>
      <c r="AQ12" s="141">
        <f t="shared" ref="AQ12:BA12" si="3">+AQ13+AQ14</f>
        <v>0</v>
      </c>
      <c r="AR12" s="141">
        <f t="shared" si="3"/>
        <v>0</v>
      </c>
      <c r="AS12" s="141">
        <f t="shared" si="3"/>
        <v>0</v>
      </c>
      <c r="AT12" s="141">
        <f t="shared" si="3"/>
        <v>0</v>
      </c>
      <c r="AU12" s="141">
        <f t="shared" si="3"/>
        <v>0</v>
      </c>
      <c r="AV12" s="141">
        <f t="shared" si="3"/>
        <v>0</v>
      </c>
      <c r="AW12" s="141">
        <f t="shared" si="3"/>
        <v>0</v>
      </c>
      <c r="AX12" s="141">
        <f t="shared" si="3"/>
        <v>0</v>
      </c>
      <c r="AY12" s="141">
        <f t="shared" si="3"/>
        <v>0</v>
      </c>
      <c r="AZ12" s="141">
        <f t="shared" si="3"/>
        <v>0</v>
      </c>
      <c r="BA12" s="141">
        <f t="shared" si="3"/>
        <v>0</v>
      </c>
    </row>
    <row r="13" spans="2:58" x14ac:dyDescent="0.2">
      <c r="B13" s="57" t="s">
        <v>184</v>
      </c>
      <c r="C13" s="65" t="s">
        <v>75</v>
      </c>
      <c r="D13" s="56">
        <f>Capex!D4</f>
        <v>250</v>
      </c>
      <c r="E13" s="56">
        <f>Capex!E4</f>
        <v>255</v>
      </c>
      <c r="F13" s="56">
        <f>Capex!F4</f>
        <v>260.10000000000002</v>
      </c>
      <c r="G13" s="56">
        <f>Capex!G4</f>
        <v>265.30199999999996</v>
      </c>
      <c r="H13" s="56">
        <f>Capex!H4</f>
        <v>0</v>
      </c>
      <c r="I13" s="56">
        <f>Capex!I4</f>
        <v>11.040808032000001</v>
      </c>
      <c r="J13" s="56">
        <f>Capex!J4</f>
        <v>11.261624192640001</v>
      </c>
      <c r="K13" s="56">
        <f>Capex!K4</f>
        <v>11.486856676492801</v>
      </c>
      <c r="L13" s="56">
        <f>Capex!L4</f>
        <v>11.716593810022658</v>
      </c>
      <c r="M13" s="56">
        <f>Capex!M4</f>
        <v>11.95092568622311</v>
      </c>
      <c r="N13" s="56">
        <f>Capex!N4</f>
        <v>12.189944199947574</v>
      </c>
      <c r="O13" s="56">
        <f>Capex!O4</f>
        <v>12.433743083946524</v>
      </c>
      <c r="P13" s="56">
        <f>Capex!P4</f>
        <v>12.682417945625454</v>
      </c>
      <c r="Q13" s="56">
        <f>Capex!Q4</f>
        <v>12.936066304537963</v>
      </c>
      <c r="R13" s="56">
        <f>Capex!R4</f>
        <v>13.194787630628724</v>
      </c>
      <c r="S13" s="56">
        <f>Capex!S4</f>
        <v>13.458683383241299</v>
      </c>
      <c r="T13" s="56">
        <f>Capex!T4</f>
        <v>13.727857050906124</v>
      </c>
      <c r="U13" s="56">
        <f>Capex!U4</f>
        <v>14.002414191924249</v>
      </c>
      <c r="V13" s="56">
        <f>Capex!V4</f>
        <v>14.282462475762735</v>
      </c>
      <c r="W13" s="56">
        <f>Capex!W4</f>
        <v>14.568111725277987</v>
      </c>
      <c r="X13" s="56">
        <f>Capex!X4</f>
        <v>14.85947395978355</v>
      </c>
      <c r="Y13" s="56">
        <f>Capex!Y4</f>
        <v>15.156663438979221</v>
      </c>
      <c r="Z13" s="56">
        <f>Capex!Z4</f>
        <v>15.459796707758805</v>
      </c>
      <c r="AA13" s="56">
        <f>Capex!AA4</f>
        <v>15.768992641913982</v>
      </c>
      <c r="AB13" s="56">
        <f>Capex!AB4</f>
        <v>16.084372494752262</v>
      </c>
      <c r="AC13" s="56">
        <f>Capex!AC4</f>
        <v>16.406059944647307</v>
      </c>
      <c r="AD13" s="56">
        <f>Capex!AD4</f>
        <v>16.734181143540251</v>
      </c>
      <c r="AE13" s="56">
        <f>Capex!AE4</f>
        <v>17.068864766411057</v>
      </c>
      <c r="AF13" s="56">
        <f>Capex!AF4</f>
        <v>17.410242061739282</v>
      </c>
      <c r="AG13" s="56">
        <f>Capex!AG4</f>
        <v>17.758446902974065</v>
      </c>
      <c r="AH13" s="56">
        <f>Capex!AH4</f>
        <v>18.11361584103355</v>
      </c>
      <c r="AI13" s="56">
        <f>Capex!AI4</f>
        <v>0</v>
      </c>
      <c r="AJ13" s="56">
        <f>Capex!AJ4</f>
        <v>0</v>
      </c>
      <c r="AK13" s="56">
        <f>Capex!AK4</f>
        <v>0</v>
      </c>
      <c r="AL13" s="56">
        <f>Capex!AL4</f>
        <v>0</v>
      </c>
      <c r="AM13" s="56">
        <f>Capex!AM4</f>
        <v>0</v>
      </c>
      <c r="AN13" s="56">
        <f>Capex!AN4</f>
        <v>0</v>
      </c>
      <c r="AO13" s="56">
        <f>Capex!AO4</f>
        <v>0</v>
      </c>
      <c r="AP13" s="56">
        <f>Capex!AP4</f>
        <v>0</v>
      </c>
      <c r="AQ13" s="56">
        <f>Capex!AQ4</f>
        <v>0</v>
      </c>
      <c r="AR13" s="56">
        <f>Capex!AR4</f>
        <v>0</v>
      </c>
      <c r="AS13" s="56">
        <f>Capex!AS4</f>
        <v>0</v>
      </c>
      <c r="AT13" s="56">
        <f>Capex!AT4</f>
        <v>0</v>
      </c>
      <c r="AU13" s="56">
        <f>Capex!AU4</f>
        <v>0</v>
      </c>
      <c r="AV13" s="56">
        <f>Capex!AV4</f>
        <v>0</v>
      </c>
      <c r="AW13" s="56">
        <f>Capex!AW4</f>
        <v>0</v>
      </c>
      <c r="AX13" s="56">
        <f>Capex!AX4</f>
        <v>0</v>
      </c>
      <c r="AY13" s="56">
        <f>Capex!AY4</f>
        <v>0</v>
      </c>
      <c r="AZ13" s="56">
        <f>Capex!AZ4</f>
        <v>0</v>
      </c>
      <c r="BA13" s="56">
        <f>Capex!BA4</f>
        <v>0</v>
      </c>
    </row>
    <row r="14" spans="2:58" s="6" customFormat="1" x14ac:dyDescent="0.2">
      <c r="B14" s="10" t="s">
        <v>25</v>
      </c>
      <c r="C14" s="128" t="s">
        <v>75</v>
      </c>
      <c r="D14" s="44">
        <v>0</v>
      </c>
      <c r="E14" s="44">
        <v>0</v>
      </c>
      <c r="F14" s="44">
        <v>0</v>
      </c>
      <c r="G14" s="44">
        <v>0</v>
      </c>
      <c r="H14" s="44">
        <v>0</v>
      </c>
      <c r="I14" s="44">
        <v>0</v>
      </c>
      <c r="J14" s="44">
        <v>0</v>
      </c>
      <c r="K14" s="44">
        <v>0</v>
      </c>
      <c r="L14" s="44">
        <v>0</v>
      </c>
      <c r="M14" s="44">
        <v>0</v>
      </c>
      <c r="N14" s="44">
        <v>0</v>
      </c>
      <c r="O14" s="44">
        <v>0</v>
      </c>
      <c r="P14" s="44">
        <v>0</v>
      </c>
      <c r="Q14" s="44">
        <v>0</v>
      </c>
      <c r="R14" s="44">
        <v>0</v>
      </c>
      <c r="S14" s="44">
        <v>0</v>
      </c>
      <c r="T14" s="44">
        <v>0</v>
      </c>
      <c r="U14" s="44">
        <v>0</v>
      </c>
      <c r="V14" s="44">
        <v>0</v>
      </c>
      <c r="W14" s="44">
        <v>0</v>
      </c>
      <c r="X14" s="44">
        <v>0</v>
      </c>
      <c r="Y14" s="44">
        <v>0</v>
      </c>
      <c r="Z14" s="44">
        <v>0</v>
      </c>
      <c r="AA14" s="44">
        <v>0</v>
      </c>
      <c r="AB14" s="44">
        <v>0</v>
      </c>
      <c r="AC14" s="44">
        <v>0</v>
      </c>
      <c r="AD14" s="44">
        <v>0</v>
      </c>
      <c r="AE14" s="44">
        <v>0</v>
      </c>
      <c r="AF14" s="44">
        <v>0</v>
      </c>
      <c r="AG14" s="44">
        <v>0</v>
      </c>
      <c r="AH14" s="44">
        <v>0</v>
      </c>
      <c r="AI14" s="44">
        <v>0</v>
      </c>
      <c r="AJ14" s="44">
        <v>0</v>
      </c>
      <c r="AK14" s="44">
        <v>0</v>
      </c>
      <c r="AL14" s="44">
        <v>0</v>
      </c>
      <c r="AM14" s="44">
        <v>0</v>
      </c>
      <c r="AN14" s="44">
        <v>0</v>
      </c>
      <c r="AO14" s="44">
        <v>0</v>
      </c>
      <c r="AP14" s="44">
        <v>0</v>
      </c>
      <c r="AQ14" s="44">
        <v>0</v>
      </c>
      <c r="AR14" s="44">
        <v>0</v>
      </c>
      <c r="AS14" s="44">
        <v>0</v>
      </c>
      <c r="AT14" s="44">
        <v>0</v>
      </c>
      <c r="AU14" s="44">
        <v>0</v>
      </c>
      <c r="AV14" s="44">
        <v>0</v>
      </c>
      <c r="AW14" s="44">
        <v>0</v>
      </c>
      <c r="AX14" s="44">
        <v>0</v>
      </c>
      <c r="AY14" s="44">
        <v>0</v>
      </c>
      <c r="AZ14" s="44">
        <v>0</v>
      </c>
      <c r="BA14" s="44">
        <v>0</v>
      </c>
    </row>
    <row r="15" spans="2:58" x14ac:dyDescent="0.2">
      <c r="B15" s="57"/>
      <c r="C15" s="62"/>
      <c r="D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row>
    <row r="17" spans="2:53" s="113" customFormat="1" x14ac:dyDescent="0.2">
      <c r="B17" s="113" t="s">
        <v>209</v>
      </c>
      <c r="C17" s="136"/>
      <c r="D17" s="137">
        <f>IF(Calculations!E114&lt;'Debt &amp; Equity'!D13,'Debt &amp; Equity'!D13,-MIN(0,Calculations!E114-'Debt &amp; Equity'!D13))</f>
        <v>250</v>
      </c>
      <c r="E17" s="137">
        <f>IF(Calculations!F114&lt;'Debt &amp; Equity'!E13,'Debt &amp; Equity'!E13,-MIN(0,Calculations!F114-'Debt &amp; Equity'!E13))</f>
        <v>255</v>
      </c>
      <c r="F17" s="137">
        <f>IF(Calculations!G114&lt;'Debt &amp; Equity'!F13,'Debt &amp; Equity'!F13,-MIN(0,Calculations!G114-'Debt &amp; Equity'!F13))</f>
        <v>260.10000000000002</v>
      </c>
      <c r="G17" s="137">
        <f>IF(Calculations!H114&lt;'Debt &amp; Equity'!G13,'Debt &amp; Equity'!G13,-MIN(0,Calculations!H114-'Debt &amp; Equity'!G13))</f>
        <v>265.30199999999996</v>
      </c>
      <c r="H17" s="137">
        <f>IF(Calculations!I114&lt;'Debt &amp; Equity'!H13,'Debt &amp; Equity'!H13,-MIN(0,Calculations!I114-'Debt &amp; Equity'!H13))</f>
        <v>0</v>
      </c>
      <c r="I17" s="137">
        <f>IF(Calculations!J114&lt;'Debt &amp; Equity'!I13,'Debt &amp; Equity'!I13,-MIN(0,Calculations!J114-'Debt &amp; Equity'!I13))</f>
        <v>0</v>
      </c>
      <c r="J17" s="137">
        <f>IF(Calculations!K114&lt;'Debt &amp; Equity'!J13,'Debt &amp; Equity'!J13,-MIN(0,Calculations!K114-'Debt &amp; Equity'!J13))</f>
        <v>0</v>
      </c>
      <c r="K17" s="137">
        <f>IF(Calculations!L114&lt;'Debt &amp; Equity'!K13,'Debt &amp; Equity'!K13,-MIN(0,Calculations!L114-'Debt &amp; Equity'!K13))</f>
        <v>0</v>
      </c>
      <c r="L17" s="137">
        <f>IF(Calculations!M114&lt;'Debt &amp; Equity'!L13,'Debt &amp; Equity'!L13,-MIN(0,Calculations!M114-'Debt &amp; Equity'!L13))</f>
        <v>0</v>
      </c>
      <c r="M17" s="137">
        <f>IF(Calculations!N114&lt;'Debt &amp; Equity'!M13,'Debt &amp; Equity'!M13,-MIN(0,Calculations!N114-'Debt &amp; Equity'!M13))</f>
        <v>0</v>
      </c>
      <c r="N17" s="137">
        <f>IF(Calculations!O114&lt;'Debt &amp; Equity'!N13,'Debt &amp; Equity'!N13,-MIN(0,Calculations!O114-'Debt &amp; Equity'!N13))</f>
        <v>0</v>
      </c>
      <c r="O17" s="137">
        <f>IF(Calculations!P114&lt;'Debt &amp; Equity'!O13,'Debt &amp; Equity'!O13,-MIN(0,Calculations!P114-'Debt &amp; Equity'!O13))</f>
        <v>0</v>
      </c>
      <c r="P17" s="137">
        <f>IF(Calculations!Q114&lt;'Debt &amp; Equity'!P13,'Debt &amp; Equity'!P13,-MIN(0,Calculations!Q114-'Debt &amp; Equity'!P13))</f>
        <v>0</v>
      </c>
      <c r="Q17" s="137">
        <f>IF(Calculations!R114&lt;'Debt &amp; Equity'!Q13,'Debt &amp; Equity'!Q13,-MIN(0,Calculations!R114-'Debt &amp; Equity'!Q13))</f>
        <v>0</v>
      </c>
      <c r="R17" s="137">
        <f>IF(Calculations!S114&lt;'Debt &amp; Equity'!R13,'Debt &amp; Equity'!R13,-MIN(0,Calculations!S114-'Debt &amp; Equity'!R13))</f>
        <v>0</v>
      </c>
      <c r="S17" s="137">
        <f>IF(Calculations!T114&lt;'Debt &amp; Equity'!S13,'Debt &amp; Equity'!S13,-MIN(0,Calculations!T114-'Debt &amp; Equity'!S13))</f>
        <v>0</v>
      </c>
      <c r="T17" s="137">
        <f>IF(Calculations!U114&lt;'Debt &amp; Equity'!T13,'Debt &amp; Equity'!T13,-MIN(0,Calculations!U114-'Debt &amp; Equity'!T13))</f>
        <v>0</v>
      </c>
      <c r="U17" s="137">
        <f>IF(Calculations!V114&lt;'Debt &amp; Equity'!U13,'Debt &amp; Equity'!U13,-MIN(0,Calculations!V114-'Debt &amp; Equity'!U13))</f>
        <v>0</v>
      </c>
      <c r="V17" s="137">
        <f>IF(Calculations!W114&lt;'Debt &amp; Equity'!V13,'Debt &amp; Equity'!V13,-MIN(0,Calculations!W114-'Debt &amp; Equity'!V13))</f>
        <v>0</v>
      </c>
      <c r="W17" s="137">
        <f>IF(Calculations!X114&lt;'Debt &amp; Equity'!W13,'Debt &amp; Equity'!W13,-MIN(0,Calculations!X114-'Debt &amp; Equity'!W13))</f>
        <v>0</v>
      </c>
      <c r="X17" s="137">
        <f>IF(Calculations!Y114&lt;'Debt &amp; Equity'!X13,'Debt &amp; Equity'!X13,-MIN(0,Calculations!Y114-'Debt &amp; Equity'!X13))</f>
        <v>0</v>
      </c>
      <c r="Y17" s="137">
        <f>IF(Calculations!Z114&lt;'Debt &amp; Equity'!Y13,'Debt &amp; Equity'!Y13,-MIN(0,Calculations!Z114-'Debt &amp; Equity'!Y13))</f>
        <v>0</v>
      </c>
      <c r="Z17" s="137">
        <f>IF(Calculations!AA114&lt;'Debt &amp; Equity'!Z13,'Debt &amp; Equity'!Z13,-MIN(0,Calculations!AA114-'Debt &amp; Equity'!Z13))</f>
        <v>0</v>
      </c>
      <c r="AA17" s="137">
        <f>IF(Calculations!AB114&lt;'Debt &amp; Equity'!AA13,'Debt &amp; Equity'!AA13,-MIN(0,Calculations!AB114-'Debt &amp; Equity'!AA13))</f>
        <v>0</v>
      </c>
      <c r="AB17" s="137">
        <f>IF(Calculations!AC114&lt;'Debt &amp; Equity'!AB13,'Debt &amp; Equity'!AB13,-MIN(0,Calculations!AC114-'Debt &amp; Equity'!AB13))</f>
        <v>0</v>
      </c>
      <c r="AC17" s="137">
        <f>IF(Calculations!AD114&lt;'Debt &amp; Equity'!AC13,'Debt &amp; Equity'!AC13,-MIN(0,Calculations!AD114-'Debt &amp; Equity'!AC13))</f>
        <v>0</v>
      </c>
      <c r="AD17" s="137">
        <f>IF(Calculations!AE114&lt;'Debt &amp; Equity'!AD13,'Debt &amp; Equity'!AD13,-MIN(0,Calculations!AE114-'Debt &amp; Equity'!AD13))</f>
        <v>0</v>
      </c>
      <c r="AE17" s="137">
        <f>IF(Calculations!AF114&lt;'Debt &amp; Equity'!AE13,'Debt &amp; Equity'!AE13,-MIN(0,Calculations!AF114-'Debt &amp; Equity'!AE13))</f>
        <v>0</v>
      </c>
      <c r="AF17" s="137">
        <f>IF(Calculations!AG114&lt;'Debt &amp; Equity'!AF13,'Debt &amp; Equity'!AF13,-MIN(0,Calculations!AG114-'Debt &amp; Equity'!AF13))</f>
        <v>0</v>
      </c>
      <c r="AG17" s="137">
        <f>IF(Calculations!AH114&lt;'Debt &amp; Equity'!AG13,'Debt &amp; Equity'!AG13,-MIN(0,Calculations!AH114-'Debt &amp; Equity'!AG13))</f>
        <v>0</v>
      </c>
      <c r="AH17" s="137">
        <f>IF(Calculations!AI114&lt;'Debt &amp; Equity'!AH13,'Debt &amp; Equity'!AH13,-MIN(0,Calculations!AI114-'Debt &amp; Equity'!AH13))</f>
        <v>0</v>
      </c>
      <c r="AI17" s="137">
        <f>IF(Calculations!AJ114&lt;'Debt &amp; Equity'!AI13,'Debt &amp; Equity'!AI13,-MIN(0,Calculations!AJ114-'Debt &amp; Equity'!AI13))</f>
        <v>0</v>
      </c>
      <c r="AJ17" s="137">
        <f>IF(Calculations!AK114&lt;'Debt &amp; Equity'!AJ13,'Debt &amp; Equity'!AJ13,-MIN(0,Calculations!AK114-'Debt &amp; Equity'!AJ13))</f>
        <v>0</v>
      </c>
      <c r="AK17" s="137">
        <f>IF(Calculations!AL114&lt;'Debt &amp; Equity'!AK13,'Debt &amp; Equity'!AK13,-MIN(0,Calculations!AL114-'Debt &amp; Equity'!AK13))</f>
        <v>0</v>
      </c>
      <c r="AL17" s="137">
        <f>IF(Calculations!AM114&lt;'Debt &amp; Equity'!AL13,'Debt &amp; Equity'!AL13,-MIN(0,Calculations!AM114-'Debt &amp; Equity'!AL13))</f>
        <v>0</v>
      </c>
      <c r="AM17" s="137">
        <f>IF(Calculations!AN114&lt;'Debt &amp; Equity'!AM13,'Debt &amp; Equity'!AM13,-MIN(0,Calculations!AN114-'Debt &amp; Equity'!AM13))</f>
        <v>0</v>
      </c>
      <c r="AN17" s="137">
        <f>IF(Calculations!AO114&lt;'Debt &amp; Equity'!AN13,'Debt &amp; Equity'!AN13,-MIN(0,Calculations!AO114-'Debt &amp; Equity'!AN13))</f>
        <v>0</v>
      </c>
      <c r="AO17" s="137">
        <f>IF(Calculations!AP114&lt;'Debt &amp; Equity'!AO13,'Debt &amp; Equity'!AO13,-MIN(0,Calculations!AP114-'Debt &amp; Equity'!AO13))</f>
        <v>0</v>
      </c>
      <c r="AP17" s="137">
        <f>IF(Calculations!AQ114&lt;'Debt &amp; Equity'!AP13,'Debt &amp; Equity'!AP13,-MIN(0,Calculations!AQ114-'Debt &amp; Equity'!AP13))</f>
        <v>0</v>
      </c>
      <c r="AQ17" s="137">
        <f>IF(Calculations!AR114&lt;'Debt &amp; Equity'!AQ13,'Debt &amp; Equity'!AQ13,-MIN(0,Calculations!AR114-'Debt &amp; Equity'!AQ13))</f>
        <v>0</v>
      </c>
      <c r="AR17" s="137">
        <f>IF(Calculations!AS114&lt;'Debt &amp; Equity'!AR13,'Debt &amp; Equity'!AR13,-MIN(0,Calculations!AS114-'Debt &amp; Equity'!AR13))</f>
        <v>0</v>
      </c>
      <c r="AS17" s="137">
        <f>IF(Calculations!AT114&lt;'Debt &amp; Equity'!AS13,'Debt &amp; Equity'!AS13,-MIN(0,Calculations!AT114-'Debt &amp; Equity'!AS13))</f>
        <v>0</v>
      </c>
      <c r="AT17" s="137">
        <f>IF(Calculations!AU114&lt;'Debt &amp; Equity'!AT13,'Debt &amp; Equity'!AT13,-MIN(0,Calculations!AU114-'Debt &amp; Equity'!AT13))</f>
        <v>0</v>
      </c>
      <c r="AU17" s="137">
        <f>IF(Calculations!AV114&lt;'Debt &amp; Equity'!AU13,'Debt &amp; Equity'!AU13,-MIN(0,Calculations!AV114-'Debt &amp; Equity'!AU13))</f>
        <v>0</v>
      </c>
      <c r="AV17" s="137">
        <f>IF(Calculations!AW114&lt;'Debt &amp; Equity'!AV13,'Debt &amp; Equity'!AV13,-MIN(0,Calculations!AW114-'Debt &amp; Equity'!AV13))</f>
        <v>0</v>
      </c>
      <c r="AW17" s="137">
        <f>IF(Calculations!AX114&lt;'Debt &amp; Equity'!AW13,'Debt &amp; Equity'!AW13,-MIN(0,Calculations!AX114-'Debt &amp; Equity'!AW13))</f>
        <v>0</v>
      </c>
      <c r="AX17" s="137">
        <f>IF(Calculations!AY114&lt;'Debt &amp; Equity'!AX13,'Debt &amp; Equity'!AX13,-MIN(0,Calculations!AY114-'Debt &amp; Equity'!AX13))</f>
        <v>0</v>
      </c>
      <c r="AY17" s="137">
        <f>IF(Calculations!AZ114&lt;'Debt &amp; Equity'!AY13,'Debt &amp; Equity'!AY13,-MIN(0,Calculations!AZ114-'Debt &amp; Equity'!AY13))</f>
        <v>0</v>
      </c>
      <c r="AZ17" s="137">
        <f>IF(Calculations!BA114&lt;'Debt &amp; Equity'!AZ13,'Debt &amp; Equity'!AZ13,-MIN(0,Calculations!BA114-'Debt &amp; Equity'!AZ13))</f>
        <v>0</v>
      </c>
      <c r="BA17" s="137">
        <f>IF(Calculations!BB114&lt;'Debt &amp; Equity'!BA13,'Debt &amp; Equity'!BA13,-MIN(0,Calculations!BB114-'Debt &amp; Equity'!BA13))</f>
        <v>0</v>
      </c>
    </row>
    <row r="18" spans="2:53" x14ac:dyDescent="0.2">
      <c r="B18" s="57" t="s">
        <v>5</v>
      </c>
      <c r="C18" s="65" t="s">
        <v>75</v>
      </c>
      <c r="D18" s="56">
        <f>+$C$7*D17</f>
        <v>175</v>
      </c>
      <c r="E18" s="56">
        <f t="shared" ref="E18:BA18" si="4">+$C$7*E17</f>
        <v>178.5</v>
      </c>
      <c r="F18" s="56">
        <f t="shared" si="4"/>
        <v>182.07</v>
      </c>
      <c r="G18" s="56">
        <f t="shared" si="4"/>
        <v>185.71139999999997</v>
      </c>
      <c r="H18" s="56">
        <f t="shared" si="4"/>
        <v>0</v>
      </c>
      <c r="I18" s="56">
        <f t="shared" si="4"/>
        <v>0</v>
      </c>
      <c r="J18" s="56">
        <f t="shared" si="4"/>
        <v>0</v>
      </c>
      <c r="K18" s="56">
        <f t="shared" si="4"/>
        <v>0</v>
      </c>
      <c r="L18" s="56">
        <f t="shared" si="4"/>
        <v>0</v>
      </c>
      <c r="M18" s="56">
        <f t="shared" si="4"/>
        <v>0</v>
      </c>
      <c r="N18" s="56">
        <f t="shared" si="4"/>
        <v>0</v>
      </c>
      <c r="O18" s="56">
        <f t="shared" si="4"/>
        <v>0</v>
      </c>
      <c r="P18" s="56">
        <f t="shared" si="4"/>
        <v>0</v>
      </c>
      <c r="Q18" s="56">
        <f t="shared" si="4"/>
        <v>0</v>
      </c>
      <c r="R18" s="56">
        <f t="shared" si="4"/>
        <v>0</v>
      </c>
      <c r="S18" s="56">
        <f t="shared" si="4"/>
        <v>0</v>
      </c>
      <c r="T18" s="56">
        <f t="shared" si="4"/>
        <v>0</v>
      </c>
      <c r="U18" s="56">
        <f t="shared" si="4"/>
        <v>0</v>
      </c>
      <c r="V18" s="56">
        <f t="shared" si="4"/>
        <v>0</v>
      </c>
      <c r="W18" s="56">
        <f t="shared" si="4"/>
        <v>0</v>
      </c>
      <c r="X18" s="56">
        <f t="shared" si="4"/>
        <v>0</v>
      </c>
      <c r="Y18" s="56">
        <f t="shared" si="4"/>
        <v>0</v>
      </c>
      <c r="Z18" s="56">
        <f t="shared" si="4"/>
        <v>0</v>
      </c>
      <c r="AA18" s="56">
        <f t="shared" si="4"/>
        <v>0</v>
      </c>
      <c r="AB18" s="56">
        <f t="shared" si="4"/>
        <v>0</v>
      </c>
      <c r="AC18" s="56">
        <f t="shared" si="4"/>
        <v>0</v>
      </c>
      <c r="AD18" s="56">
        <f t="shared" si="4"/>
        <v>0</v>
      </c>
      <c r="AE18" s="56">
        <f t="shared" si="4"/>
        <v>0</v>
      </c>
      <c r="AF18" s="56">
        <f t="shared" si="4"/>
        <v>0</v>
      </c>
      <c r="AG18" s="56">
        <f t="shared" si="4"/>
        <v>0</v>
      </c>
      <c r="AH18" s="56">
        <f t="shared" si="4"/>
        <v>0</v>
      </c>
      <c r="AI18" s="56">
        <f t="shared" si="4"/>
        <v>0</v>
      </c>
      <c r="AJ18" s="56">
        <f t="shared" si="4"/>
        <v>0</v>
      </c>
      <c r="AK18" s="56">
        <f t="shared" si="4"/>
        <v>0</v>
      </c>
      <c r="AL18" s="56">
        <f t="shared" si="4"/>
        <v>0</v>
      </c>
      <c r="AM18" s="56">
        <f t="shared" si="4"/>
        <v>0</v>
      </c>
      <c r="AN18" s="56">
        <f t="shared" si="4"/>
        <v>0</v>
      </c>
      <c r="AO18" s="56">
        <f t="shared" si="4"/>
        <v>0</v>
      </c>
      <c r="AP18" s="56">
        <f t="shared" si="4"/>
        <v>0</v>
      </c>
      <c r="AQ18" s="56">
        <f t="shared" si="4"/>
        <v>0</v>
      </c>
      <c r="AR18" s="56">
        <f t="shared" si="4"/>
        <v>0</v>
      </c>
      <c r="AS18" s="56">
        <f t="shared" si="4"/>
        <v>0</v>
      </c>
      <c r="AT18" s="56">
        <f t="shared" si="4"/>
        <v>0</v>
      </c>
      <c r="AU18" s="56">
        <f t="shared" si="4"/>
        <v>0</v>
      </c>
      <c r="AV18" s="56">
        <f t="shared" si="4"/>
        <v>0</v>
      </c>
      <c r="AW18" s="56">
        <f t="shared" si="4"/>
        <v>0</v>
      </c>
      <c r="AX18" s="56">
        <f t="shared" si="4"/>
        <v>0</v>
      </c>
      <c r="AY18" s="56">
        <f t="shared" si="4"/>
        <v>0</v>
      </c>
      <c r="AZ18" s="56">
        <f t="shared" si="4"/>
        <v>0</v>
      </c>
      <c r="BA18" s="56">
        <f t="shared" si="4"/>
        <v>0</v>
      </c>
    </row>
    <row r="19" spans="2:53" x14ac:dyDescent="0.2">
      <c r="B19" s="57" t="s">
        <v>9</v>
      </c>
      <c r="C19" s="65" t="s">
        <v>75</v>
      </c>
      <c r="D19" s="56">
        <f t="shared" ref="D19:AI19" si="5">+D17-D18</f>
        <v>75</v>
      </c>
      <c r="E19" s="56">
        <f t="shared" si="5"/>
        <v>76.5</v>
      </c>
      <c r="F19" s="56">
        <f t="shared" si="5"/>
        <v>78.03000000000003</v>
      </c>
      <c r="G19" s="56">
        <f t="shared" si="5"/>
        <v>79.590599999999995</v>
      </c>
      <c r="H19" s="56">
        <f t="shared" si="5"/>
        <v>0</v>
      </c>
      <c r="I19" s="56">
        <f t="shared" si="5"/>
        <v>0</v>
      </c>
      <c r="J19" s="56">
        <f t="shared" si="5"/>
        <v>0</v>
      </c>
      <c r="K19" s="56">
        <f t="shared" si="5"/>
        <v>0</v>
      </c>
      <c r="L19" s="56">
        <f t="shared" si="5"/>
        <v>0</v>
      </c>
      <c r="M19" s="56">
        <f t="shared" si="5"/>
        <v>0</v>
      </c>
      <c r="N19" s="56">
        <f t="shared" si="5"/>
        <v>0</v>
      </c>
      <c r="O19" s="56">
        <f t="shared" si="5"/>
        <v>0</v>
      </c>
      <c r="P19" s="56">
        <f t="shared" si="5"/>
        <v>0</v>
      </c>
      <c r="Q19" s="56">
        <f t="shared" si="5"/>
        <v>0</v>
      </c>
      <c r="R19" s="56">
        <f t="shared" si="5"/>
        <v>0</v>
      </c>
      <c r="S19" s="56">
        <f t="shared" si="5"/>
        <v>0</v>
      </c>
      <c r="T19" s="56">
        <f t="shared" si="5"/>
        <v>0</v>
      </c>
      <c r="U19" s="56">
        <f t="shared" si="5"/>
        <v>0</v>
      </c>
      <c r="V19" s="56">
        <f t="shared" si="5"/>
        <v>0</v>
      </c>
      <c r="W19" s="56">
        <f t="shared" si="5"/>
        <v>0</v>
      </c>
      <c r="X19" s="56">
        <f t="shared" si="5"/>
        <v>0</v>
      </c>
      <c r="Y19" s="56">
        <f t="shared" si="5"/>
        <v>0</v>
      </c>
      <c r="Z19" s="56">
        <f t="shared" si="5"/>
        <v>0</v>
      </c>
      <c r="AA19" s="56">
        <f t="shared" si="5"/>
        <v>0</v>
      </c>
      <c r="AB19" s="56">
        <f t="shared" si="5"/>
        <v>0</v>
      </c>
      <c r="AC19" s="56">
        <f t="shared" si="5"/>
        <v>0</v>
      </c>
      <c r="AD19" s="56">
        <f t="shared" si="5"/>
        <v>0</v>
      </c>
      <c r="AE19" s="56">
        <f t="shared" si="5"/>
        <v>0</v>
      </c>
      <c r="AF19" s="56">
        <f t="shared" si="5"/>
        <v>0</v>
      </c>
      <c r="AG19" s="56">
        <f t="shared" si="5"/>
        <v>0</v>
      </c>
      <c r="AH19" s="56">
        <f t="shared" si="5"/>
        <v>0</v>
      </c>
      <c r="AI19" s="56">
        <f t="shared" si="5"/>
        <v>0</v>
      </c>
      <c r="AJ19" s="56">
        <f t="shared" ref="AJ19:BA19" si="6">+AJ17-AJ18</f>
        <v>0</v>
      </c>
      <c r="AK19" s="56">
        <f t="shared" si="6"/>
        <v>0</v>
      </c>
      <c r="AL19" s="56">
        <f t="shared" si="6"/>
        <v>0</v>
      </c>
      <c r="AM19" s="56">
        <f t="shared" si="6"/>
        <v>0</v>
      </c>
      <c r="AN19" s="56">
        <f t="shared" si="6"/>
        <v>0</v>
      </c>
      <c r="AO19" s="56">
        <f t="shared" si="6"/>
        <v>0</v>
      </c>
      <c r="AP19" s="56">
        <f t="shared" si="6"/>
        <v>0</v>
      </c>
      <c r="AQ19" s="56">
        <f t="shared" si="6"/>
        <v>0</v>
      </c>
      <c r="AR19" s="56">
        <f t="shared" si="6"/>
        <v>0</v>
      </c>
      <c r="AS19" s="56">
        <f t="shared" si="6"/>
        <v>0</v>
      </c>
      <c r="AT19" s="56">
        <f t="shared" si="6"/>
        <v>0</v>
      </c>
      <c r="AU19" s="56">
        <f t="shared" si="6"/>
        <v>0</v>
      </c>
      <c r="AV19" s="56">
        <f t="shared" si="6"/>
        <v>0</v>
      </c>
      <c r="AW19" s="56">
        <f t="shared" si="6"/>
        <v>0</v>
      </c>
      <c r="AX19" s="56">
        <f t="shared" si="6"/>
        <v>0</v>
      </c>
      <c r="AY19" s="56">
        <f t="shared" si="6"/>
        <v>0</v>
      </c>
      <c r="AZ19" s="56">
        <f t="shared" si="6"/>
        <v>0</v>
      </c>
      <c r="BA19" s="56">
        <f t="shared" si="6"/>
        <v>0</v>
      </c>
    </row>
    <row r="20" spans="2:53" x14ac:dyDescent="0.2">
      <c r="B20" s="54" t="s">
        <v>26</v>
      </c>
      <c r="C20" s="65" t="s">
        <v>75</v>
      </c>
      <c r="D20" s="56">
        <f t="shared" ref="D20:AI20" si="7">+D18+D19</f>
        <v>250</v>
      </c>
      <c r="E20" s="56">
        <f t="shared" si="7"/>
        <v>255</v>
      </c>
      <c r="F20" s="56">
        <f t="shared" si="7"/>
        <v>260.10000000000002</v>
      </c>
      <c r="G20" s="56">
        <f t="shared" si="7"/>
        <v>265.30199999999996</v>
      </c>
      <c r="H20" s="56">
        <f t="shared" si="7"/>
        <v>0</v>
      </c>
      <c r="I20" s="56">
        <f t="shared" si="7"/>
        <v>0</v>
      </c>
      <c r="J20" s="56">
        <f t="shared" si="7"/>
        <v>0</v>
      </c>
      <c r="K20" s="56">
        <f t="shared" si="7"/>
        <v>0</v>
      </c>
      <c r="L20" s="56">
        <f t="shared" si="7"/>
        <v>0</v>
      </c>
      <c r="M20" s="56">
        <f t="shared" si="7"/>
        <v>0</v>
      </c>
      <c r="N20" s="56">
        <f t="shared" si="7"/>
        <v>0</v>
      </c>
      <c r="O20" s="56">
        <f t="shared" si="7"/>
        <v>0</v>
      </c>
      <c r="P20" s="56">
        <f t="shared" si="7"/>
        <v>0</v>
      </c>
      <c r="Q20" s="56">
        <f t="shared" si="7"/>
        <v>0</v>
      </c>
      <c r="R20" s="56">
        <f t="shared" si="7"/>
        <v>0</v>
      </c>
      <c r="S20" s="56">
        <f t="shared" si="7"/>
        <v>0</v>
      </c>
      <c r="T20" s="56">
        <f t="shared" si="7"/>
        <v>0</v>
      </c>
      <c r="U20" s="56">
        <f t="shared" si="7"/>
        <v>0</v>
      </c>
      <c r="V20" s="56">
        <f t="shared" si="7"/>
        <v>0</v>
      </c>
      <c r="W20" s="56">
        <f t="shared" si="7"/>
        <v>0</v>
      </c>
      <c r="X20" s="56">
        <f t="shared" si="7"/>
        <v>0</v>
      </c>
      <c r="Y20" s="56">
        <f t="shared" si="7"/>
        <v>0</v>
      </c>
      <c r="Z20" s="56">
        <f t="shared" si="7"/>
        <v>0</v>
      </c>
      <c r="AA20" s="56">
        <f t="shared" si="7"/>
        <v>0</v>
      </c>
      <c r="AB20" s="56">
        <f t="shared" si="7"/>
        <v>0</v>
      </c>
      <c r="AC20" s="56">
        <f t="shared" si="7"/>
        <v>0</v>
      </c>
      <c r="AD20" s="56">
        <f t="shared" si="7"/>
        <v>0</v>
      </c>
      <c r="AE20" s="56">
        <f t="shared" si="7"/>
        <v>0</v>
      </c>
      <c r="AF20" s="56">
        <f t="shared" si="7"/>
        <v>0</v>
      </c>
      <c r="AG20" s="56">
        <f t="shared" si="7"/>
        <v>0</v>
      </c>
      <c r="AH20" s="56">
        <f t="shared" si="7"/>
        <v>0</v>
      </c>
      <c r="AI20" s="56">
        <f t="shared" si="7"/>
        <v>0</v>
      </c>
      <c r="AJ20" s="56">
        <f t="shared" ref="AJ20:BA20" si="8">+AJ18+AJ19</f>
        <v>0</v>
      </c>
      <c r="AK20" s="56">
        <f t="shared" si="8"/>
        <v>0</v>
      </c>
      <c r="AL20" s="56">
        <f t="shared" si="8"/>
        <v>0</v>
      </c>
      <c r="AM20" s="56">
        <f t="shared" si="8"/>
        <v>0</v>
      </c>
      <c r="AN20" s="56">
        <f t="shared" si="8"/>
        <v>0</v>
      </c>
      <c r="AO20" s="56">
        <f t="shared" si="8"/>
        <v>0</v>
      </c>
      <c r="AP20" s="56">
        <f t="shared" si="8"/>
        <v>0</v>
      </c>
      <c r="AQ20" s="56">
        <f t="shared" si="8"/>
        <v>0</v>
      </c>
      <c r="AR20" s="56">
        <f t="shared" si="8"/>
        <v>0</v>
      </c>
      <c r="AS20" s="56">
        <f t="shared" si="8"/>
        <v>0</v>
      </c>
      <c r="AT20" s="56">
        <f t="shared" si="8"/>
        <v>0</v>
      </c>
      <c r="AU20" s="56">
        <f t="shared" si="8"/>
        <v>0</v>
      </c>
      <c r="AV20" s="56">
        <f t="shared" si="8"/>
        <v>0</v>
      </c>
      <c r="AW20" s="56">
        <f t="shared" si="8"/>
        <v>0</v>
      </c>
      <c r="AX20" s="56">
        <f t="shared" si="8"/>
        <v>0</v>
      </c>
      <c r="AY20" s="56">
        <f t="shared" si="8"/>
        <v>0</v>
      </c>
      <c r="AZ20" s="56">
        <f t="shared" si="8"/>
        <v>0</v>
      </c>
      <c r="BA20" s="56">
        <f t="shared" si="8"/>
        <v>0</v>
      </c>
    </row>
    <row r="21" spans="2:53" x14ac:dyDescent="0.2">
      <c r="C21" s="65"/>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row>
    <row r="22" spans="2:53" x14ac:dyDescent="0.2">
      <c r="B22" s="57" t="s">
        <v>27</v>
      </c>
      <c r="C22" s="65" t="s">
        <v>75</v>
      </c>
      <c r="D22" s="59">
        <f>+D25+D30+D35+D40+D45+D50+D55+D60+D65+D70+D75+D80+D85+D90+D95+D100+D105+D110+D115+D120+D125+D130+D135+D140+D145+D150+D155+D160+D165+D170+D175+D180+D185+D190+D195+D200+D205+D210+D215+D220+D225+D230+D235+D240+D245+D250+D255+D260+D265+D270</f>
        <v>175</v>
      </c>
      <c r="E22" s="59">
        <f t="shared" ref="E22:BA22" si="9">+E25+E30+E35+E40+E45+E50+E55+E60+E65+E70+E75+E80+E85+E90+E95+E100+E105+E110+E115+E120+E125+E130+E135+E140+E145+E150+E155+E160+E165+E170+E175+E180+E185+E190+E195+E200+E205+E210+E215+E220+E225+E230+E235+E240+E245+E250+E255+E260+E265+E270</f>
        <v>339.27200275909496</v>
      </c>
      <c r="F22" s="59">
        <f t="shared" si="9"/>
        <v>490.89408866355819</v>
      </c>
      <c r="G22" s="59">
        <f t="shared" si="9"/>
        <v>627.70101654711948</v>
      </c>
      <c r="H22" s="59">
        <f t="shared" si="9"/>
        <v>557.82914328068159</v>
      </c>
      <c r="I22" s="59">
        <f t="shared" si="9"/>
        <v>479.57264522227126</v>
      </c>
      <c r="J22" s="59">
        <f t="shared" si="9"/>
        <v>391.92536739685181</v>
      </c>
      <c r="K22" s="59">
        <f t="shared" si="9"/>
        <v>293.76041623238189</v>
      </c>
      <c r="L22" s="59">
        <f t="shared" si="9"/>
        <v>183.81567092817562</v>
      </c>
      <c r="M22" s="59">
        <f t="shared" si="9"/>
        <v>95.905553428369615</v>
      </c>
      <c r="N22" s="59">
        <f t="shared" si="9"/>
        <v>33.378779014310041</v>
      </c>
      <c r="O22" s="59">
        <f t="shared" si="9"/>
        <v>8.9945297077065337E-13</v>
      </c>
      <c r="P22" s="59">
        <f t="shared" si="9"/>
        <v>1.0073873272631317E-12</v>
      </c>
      <c r="Q22" s="59">
        <f t="shared" si="9"/>
        <v>1.1282738065347076E-12</v>
      </c>
      <c r="R22" s="59">
        <f t="shared" si="9"/>
        <v>1.2636666633188724E-12</v>
      </c>
      <c r="S22" s="59">
        <f t="shared" si="9"/>
        <v>1.4153066629171372E-12</v>
      </c>
      <c r="T22" s="59">
        <f t="shared" si="9"/>
        <v>1.5851434624671937E-12</v>
      </c>
      <c r="U22" s="59">
        <f t="shared" si="9"/>
        <v>1.7753606779632568E-12</v>
      </c>
      <c r="V22" s="59">
        <f t="shared" si="9"/>
        <v>1.9884039593188477E-12</v>
      </c>
      <c r="W22" s="59">
        <f t="shared" si="9"/>
        <v>2.2270124344371089E-12</v>
      </c>
      <c r="X22" s="59">
        <f t="shared" si="9"/>
        <v>2.4942539265695623E-12</v>
      </c>
      <c r="Y22" s="59">
        <f t="shared" si="9"/>
        <v>2.7935643977579098E-12</v>
      </c>
      <c r="Z22" s="59">
        <f t="shared" si="9"/>
        <v>3.1287921254888585E-12</v>
      </c>
      <c r="AA22" s="59">
        <f t="shared" si="9"/>
        <v>3.504247180547522E-12</v>
      </c>
      <c r="AB22" s="59">
        <f t="shared" si="9"/>
        <v>3.9247568422132244E-12</v>
      </c>
      <c r="AC22" s="59">
        <f t="shared" si="9"/>
        <v>4.3957276632788117E-12</v>
      </c>
      <c r="AD22" s="59">
        <f t="shared" si="9"/>
        <v>4.9232149828722686E-12</v>
      </c>
      <c r="AE22" s="59">
        <f t="shared" si="9"/>
        <v>5.5140007808169406E-12</v>
      </c>
      <c r="AF22" s="59">
        <f t="shared" si="9"/>
        <v>6.1756808745149736E-12</v>
      </c>
      <c r="AG22" s="59">
        <f t="shared" si="9"/>
        <v>6.91676257945677E-12</v>
      </c>
      <c r="AH22" s="59">
        <f t="shared" si="9"/>
        <v>7.7467740889915828E-12</v>
      </c>
      <c r="AI22" s="59">
        <f t="shared" si="9"/>
        <v>8.6763869796705722E-12</v>
      </c>
      <c r="AJ22" s="59">
        <f t="shared" si="9"/>
        <v>9.7175534172310408E-12</v>
      </c>
      <c r="AK22" s="59">
        <f t="shared" si="9"/>
        <v>1.0883659827298765E-11</v>
      </c>
      <c r="AL22" s="59">
        <f t="shared" si="9"/>
        <v>1.2189699006574618E-11</v>
      </c>
      <c r="AM22" s="59">
        <f t="shared" si="9"/>
        <v>1.3652462887363572E-11</v>
      </c>
      <c r="AN22" s="59">
        <f t="shared" si="9"/>
        <v>1.5290758433847201E-11</v>
      </c>
      <c r="AO22" s="59">
        <f t="shared" si="9"/>
        <v>1.7125649445908866E-11</v>
      </c>
      <c r="AP22" s="59">
        <f t="shared" si="9"/>
        <v>1.9180727379417926E-11</v>
      </c>
      <c r="AQ22" s="59">
        <f t="shared" si="9"/>
        <v>2.1482414664948077E-11</v>
      </c>
      <c r="AR22" s="59">
        <f t="shared" si="9"/>
        <v>2.4060304424741848E-11</v>
      </c>
      <c r="AS22" s="59">
        <f t="shared" si="9"/>
        <v>2.6947540955710867E-11</v>
      </c>
      <c r="AT22" s="59">
        <f t="shared" si="9"/>
        <v>3.0181245870396173E-11</v>
      </c>
      <c r="AU22" s="59">
        <f t="shared" si="9"/>
        <v>3.3802995374843712E-11</v>
      </c>
      <c r="AV22" s="59">
        <f t="shared" si="9"/>
        <v>3.7859354819824955E-11</v>
      </c>
      <c r="AW22" s="59">
        <f t="shared" si="9"/>
        <v>4.2402477398203957E-11</v>
      </c>
      <c r="AX22" s="59">
        <f t="shared" si="9"/>
        <v>4.7490774685988427E-11</v>
      </c>
      <c r="AY22" s="59">
        <f t="shared" si="9"/>
        <v>5.3189667648307039E-11</v>
      </c>
      <c r="AZ22" s="59">
        <f t="shared" si="9"/>
        <v>5.9572427766103877E-11</v>
      </c>
      <c r="BA22" s="59">
        <f t="shared" si="9"/>
        <v>6.6721119098036357E-11</v>
      </c>
    </row>
    <row r="23" spans="2:53" x14ac:dyDescent="0.2">
      <c r="B23" s="57"/>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row>
    <row r="24" spans="2:53" s="116" customFormat="1" x14ac:dyDescent="0.2">
      <c r="B24" s="113" t="s">
        <v>28</v>
      </c>
      <c r="C24" s="138"/>
      <c r="D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row>
    <row r="25" spans="2:53" x14ac:dyDescent="0.2">
      <c r="B25" s="46" t="s">
        <v>45</v>
      </c>
      <c r="C25" s="65" t="s">
        <v>75</v>
      </c>
      <c r="D25" s="44">
        <f>+D18</f>
        <v>175</v>
      </c>
      <c r="E25" s="44">
        <f>+D25-E27</f>
        <v>160.77200275909496</v>
      </c>
      <c r="F25" s="44">
        <f t="shared" ref="F25:W25" si="10">+E25-F27</f>
        <v>144.83664584928133</v>
      </c>
      <c r="G25" s="44">
        <f t="shared" si="10"/>
        <v>126.98904611029005</v>
      </c>
      <c r="H25" s="44">
        <f t="shared" si="10"/>
        <v>106.99973440261982</v>
      </c>
      <c r="I25" s="44">
        <f t="shared" si="10"/>
        <v>84.611705290029164</v>
      </c>
      <c r="J25" s="44">
        <f t="shared" si="10"/>
        <v>59.537112683927631</v>
      </c>
      <c r="K25" s="44">
        <f>+J25-K27</f>
        <v>31.453568965093915</v>
      </c>
      <c r="L25" s="44">
        <f t="shared" si="10"/>
        <v>1.5276668818842154E-13</v>
      </c>
      <c r="M25" s="44">
        <f t="shared" si="10"/>
        <v>1.7109869077103211E-13</v>
      </c>
      <c r="N25" s="44">
        <f t="shared" si="10"/>
        <v>1.9163053366355598E-13</v>
      </c>
      <c r="O25" s="56">
        <f t="shared" si="10"/>
        <v>2.146261977031827E-13</v>
      </c>
      <c r="P25" s="56">
        <f t="shared" si="10"/>
        <v>2.4038134142756462E-13</v>
      </c>
      <c r="Q25" s="56">
        <f t="shared" si="10"/>
        <v>2.6922710239887234E-13</v>
      </c>
      <c r="R25" s="56">
        <f t="shared" si="10"/>
        <v>3.0153435468673701E-13</v>
      </c>
      <c r="S25" s="56">
        <f t="shared" si="10"/>
        <v>3.3771847724914546E-13</v>
      </c>
      <c r="T25" s="56">
        <f t="shared" si="10"/>
        <v>3.782446945190429E-13</v>
      </c>
      <c r="U25" s="56">
        <f t="shared" si="10"/>
        <v>4.2363405786132804E-13</v>
      </c>
      <c r="V25" s="56">
        <f t="shared" si="10"/>
        <v>4.7447014480468737E-13</v>
      </c>
      <c r="W25" s="56">
        <f t="shared" si="10"/>
        <v>5.314065621812498E-13</v>
      </c>
      <c r="X25" s="56">
        <f t="shared" ref="X25:AP25" si="11">+W25-X27</f>
        <v>5.9517534964299981E-13</v>
      </c>
      <c r="Y25" s="56">
        <f t="shared" si="11"/>
        <v>6.6659639160015975E-13</v>
      </c>
      <c r="Z25" s="56">
        <f t="shared" si="11"/>
        <v>7.4658795859217895E-13</v>
      </c>
      <c r="AA25" s="56">
        <f t="shared" si="11"/>
        <v>8.3617851362324042E-13</v>
      </c>
      <c r="AB25" s="56">
        <f t="shared" si="11"/>
        <v>9.3651993525802923E-13</v>
      </c>
      <c r="AC25" s="56">
        <f t="shared" si="11"/>
        <v>1.0489023274889928E-12</v>
      </c>
      <c r="AD25" s="56">
        <f t="shared" si="11"/>
        <v>1.1747706067876718E-12</v>
      </c>
      <c r="AE25" s="56">
        <f t="shared" si="11"/>
        <v>1.3157430796021924E-12</v>
      </c>
      <c r="AF25" s="56">
        <f t="shared" si="11"/>
        <v>1.4736322491544556E-12</v>
      </c>
      <c r="AG25" s="56">
        <f t="shared" si="11"/>
        <v>1.6504681190529903E-12</v>
      </c>
      <c r="AH25" s="56">
        <f t="shared" si="11"/>
        <v>1.848524293339349E-12</v>
      </c>
      <c r="AI25" s="56">
        <f t="shared" si="11"/>
        <v>2.0703472085400707E-12</v>
      </c>
      <c r="AJ25" s="56">
        <f t="shared" si="11"/>
        <v>2.318788873564879E-12</v>
      </c>
      <c r="AK25" s="56">
        <f t="shared" si="11"/>
        <v>2.5970435383926644E-12</v>
      </c>
      <c r="AL25" s="56">
        <f t="shared" si="11"/>
        <v>2.9086887629997842E-12</v>
      </c>
      <c r="AM25" s="56">
        <f t="shared" si="11"/>
        <v>3.2577314145597582E-12</v>
      </c>
      <c r="AN25" s="56">
        <f t="shared" si="11"/>
        <v>3.6486591843069288E-12</v>
      </c>
      <c r="AO25" s="56">
        <f t="shared" si="11"/>
        <v>4.0864982864237603E-12</v>
      </c>
      <c r="AP25" s="56">
        <f t="shared" si="11"/>
        <v>4.5768780807946113E-12</v>
      </c>
      <c r="AQ25" s="56">
        <f t="shared" ref="AQ25" si="12">+AP25-AQ27</f>
        <v>5.1261034504899645E-12</v>
      </c>
      <c r="AR25" s="56">
        <f t="shared" ref="AR25" si="13">+AQ25-AR27</f>
        <v>5.7412358645487599E-12</v>
      </c>
      <c r="AS25" s="56">
        <f t="shared" ref="AS25" si="14">+AR25-AS27</f>
        <v>6.430184168294611E-12</v>
      </c>
      <c r="AT25" s="56">
        <f t="shared" ref="AT25" si="15">+AS25-AT27</f>
        <v>7.201806268489964E-12</v>
      </c>
      <c r="AU25" s="56">
        <f t="shared" ref="AU25" si="16">+AT25-AU27</f>
        <v>8.06602302070876E-12</v>
      </c>
      <c r="AV25" s="56">
        <f t="shared" ref="AV25" si="17">+AU25-AV27</f>
        <v>9.0339457831938111E-12</v>
      </c>
      <c r="AW25" s="56">
        <f t="shared" ref="AW25" si="18">+AV25-AW27</f>
        <v>1.0118019277177069E-11</v>
      </c>
      <c r="AX25" s="56">
        <f t="shared" ref="AX25" si="19">+AW25-AX27</f>
        <v>1.1332181590438318E-11</v>
      </c>
      <c r="AY25" s="56">
        <f t="shared" ref="AY25" si="20">+AX25-AY27</f>
        <v>1.2692043381290915E-11</v>
      </c>
      <c r="AZ25" s="56">
        <f t="shared" ref="AZ25" si="21">+AY25-AZ27</f>
        <v>1.4215088587045824E-11</v>
      </c>
      <c r="BA25" s="56">
        <f t="shared" ref="BA25" si="22">+AZ25-BA27</f>
        <v>1.5920899217491323E-11</v>
      </c>
    </row>
    <row r="26" spans="2:53" x14ac:dyDescent="0.2">
      <c r="B26" s="57" t="s">
        <v>29</v>
      </c>
      <c r="C26" s="64">
        <f>+D25/((1-(1/(1+$C$9)^$C$8))/$C$9)</f>
        <v>35.227997240905033</v>
      </c>
      <c r="D26" s="44">
        <v>0</v>
      </c>
      <c r="E26" s="44">
        <f>+IF(D25&lt;0.01,0,$C$26)</f>
        <v>35.227997240905033</v>
      </c>
      <c r="F26" s="44">
        <f t="shared" ref="F26:W26" si="23">+IF(E25&lt;0.01,0,$C$26)</f>
        <v>35.227997240905033</v>
      </c>
      <c r="G26" s="44">
        <f t="shared" si="23"/>
        <v>35.227997240905033</v>
      </c>
      <c r="H26" s="44">
        <f t="shared" si="23"/>
        <v>35.227997240905033</v>
      </c>
      <c r="I26" s="44">
        <f t="shared" si="23"/>
        <v>35.227997240905033</v>
      </c>
      <c r="J26" s="44">
        <f t="shared" si="23"/>
        <v>35.227997240905033</v>
      </c>
      <c r="K26" s="44">
        <f t="shared" si="23"/>
        <v>35.227997240905033</v>
      </c>
      <c r="L26" s="44">
        <f t="shared" si="23"/>
        <v>35.227997240905033</v>
      </c>
      <c r="M26" s="44">
        <f t="shared" si="23"/>
        <v>0</v>
      </c>
      <c r="N26" s="44">
        <f t="shared" si="23"/>
        <v>0</v>
      </c>
      <c r="O26" s="56">
        <f t="shared" si="23"/>
        <v>0</v>
      </c>
      <c r="P26" s="56">
        <f t="shared" si="23"/>
        <v>0</v>
      </c>
      <c r="Q26" s="56">
        <f t="shared" si="23"/>
        <v>0</v>
      </c>
      <c r="R26" s="56">
        <f t="shared" si="23"/>
        <v>0</v>
      </c>
      <c r="S26" s="56">
        <f t="shared" si="23"/>
        <v>0</v>
      </c>
      <c r="T26" s="56">
        <f t="shared" si="23"/>
        <v>0</v>
      </c>
      <c r="U26" s="56">
        <f t="shared" si="23"/>
        <v>0</v>
      </c>
      <c r="V26" s="56">
        <f t="shared" si="23"/>
        <v>0</v>
      </c>
      <c r="W26" s="56">
        <f t="shared" si="23"/>
        <v>0</v>
      </c>
      <c r="X26" s="56">
        <f t="shared" ref="X26:AP26" si="24">+IF(W25&lt;0.01,0,$C$26)</f>
        <v>0</v>
      </c>
      <c r="Y26" s="56">
        <f t="shared" si="24"/>
        <v>0</v>
      </c>
      <c r="Z26" s="56">
        <f t="shared" si="24"/>
        <v>0</v>
      </c>
      <c r="AA26" s="56">
        <f t="shared" si="24"/>
        <v>0</v>
      </c>
      <c r="AB26" s="56">
        <f t="shared" si="24"/>
        <v>0</v>
      </c>
      <c r="AC26" s="56">
        <f t="shared" si="24"/>
        <v>0</v>
      </c>
      <c r="AD26" s="56">
        <f t="shared" si="24"/>
        <v>0</v>
      </c>
      <c r="AE26" s="56">
        <f t="shared" si="24"/>
        <v>0</v>
      </c>
      <c r="AF26" s="56">
        <f t="shared" si="24"/>
        <v>0</v>
      </c>
      <c r="AG26" s="56">
        <f t="shared" si="24"/>
        <v>0</v>
      </c>
      <c r="AH26" s="56">
        <f t="shared" si="24"/>
        <v>0</v>
      </c>
      <c r="AI26" s="56">
        <f t="shared" si="24"/>
        <v>0</v>
      </c>
      <c r="AJ26" s="56">
        <f t="shared" si="24"/>
        <v>0</v>
      </c>
      <c r="AK26" s="56">
        <f t="shared" si="24"/>
        <v>0</v>
      </c>
      <c r="AL26" s="56">
        <f t="shared" si="24"/>
        <v>0</v>
      </c>
      <c r="AM26" s="56">
        <f t="shared" si="24"/>
        <v>0</v>
      </c>
      <c r="AN26" s="56">
        <f t="shared" si="24"/>
        <v>0</v>
      </c>
      <c r="AO26" s="56">
        <f t="shared" si="24"/>
        <v>0</v>
      </c>
      <c r="AP26" s="56">
        <f t="shared" si="24"/>
        <v>0</v>
      </c>
      <c r="AQ26" s="56">
        <f t="shared" ref="AQ26" si="25">+IF(AP25&lt;0.01,0,$C$26)</f>
        <v>0</v>
      </c>
      <c r="AR26" s="56">
        <f t="shared" ref="AR26" si="26">+IF(AQ25&lt;0.01,0,$C$26)</f>
        <v>0</v>
      </c>
      <c r="AS26" s="56">
        <f t="shared" ref="AS26" si="27">+IF(AR25&lt;0.01,0,$C$26)</f>
        <v>0</v>
      </c>
      <c r="AT26" s="56">
        <f t="shared" ref="AT26" si="28">+IF(AS25&lt;0.01,0,$C$26)</f>
        <v>0</v>
      </c>
      <c r="AU26" s="56">
        <f t="shared" ref="AU26" si="29">+IF(AT25&lt;0.01,0,$C$26)</f>
        <v>0</v>
      </c>
      <c r="AV26" s="56">
        <f t="shared" ref="AV26" si="30">+IF(AU25&lt;0.01,0,$C$26)</f>
        <v>0</v>
      </c>
      <c r="AW26" s="56">
        <f t="shared" ref="AW26" si="31">+IF(AV25&lt;0.01,0,$C$26)</f>
        <v>0</v>
      </c>
      <c r="AX26" s="56">
        <f t="shared" ref="AX26" si="32">+IF(AW25&lt;0.01,0,$C$26)</f>
        <v>0</v>
      </c>
      <c r="AY26" s="56">
        <f t="shared" ref="AY26" si="33">+IF(AX25&lt;0.01,0,$C$26)</f>
        <v>0</v>
      </c>
      <c r="AZ26" s="56">
        <f t="shared" ref="AZ26" si="34">+IF(AY25&lt;0.01,0,$C$26)</f>
        <v>0</v>
      </c>
      <c r="BA26" s="56">
        <f t="shared" ref="BA26" si="35">+IF(AZ25&lt;0.01,0,$C$26)</f>
        <v>0</v>
      </c>
    </row>
    <row r="27" spans="2:53" x14ac:dyDescent="0.2">
      <c r="B27" s="57" t="s">
        <v>30</v>
      </c>
      <c r="C27" s="65" t="s">
        <v>75</v>
      </c>
      <c r="D27" s="44">
        <v>0</v>
      </c>
      <c r="E27" s="44">
        <f>+E26-E28</f>
        <v>14.227997240905033</v>
      </c>
      <c r="F27" s="44">
        <f t="shared" ref="F27:W27" si="36">+F26-F28</f>
        <v>15.935356909813638</v>
      </c>
      <c r="G27" s="44">
        <f t="shared" si="36"/>
        <v>17.847599738991274</v>
      </c>
      <c r="H27" s="44">
        <f t="shared" si="36"/>
        <v>19.989311707670225</v>
      </c>
      <c r="I27" s="44">
        <f t="shared" si="36"/>
        <v>22.388029112590655</v>
      </c>
      <c r="J27" s="44">
        <f t="shared" si="36"/>
        <v>25.074592606101533</v>
      </c>
      <c r="K27" s="44">
        <f t="shared" si="36"/>
        <v>28.083543718833717</v>
      </c>
      <c r="L27" s="44">
        <f t="shared" si="36"/>
        <v>31.453568965093762</v>
      </c>
      <c r="M27" s="44">
        <f t="shared" si="36"/>
        <v>-1.8332002582610585E-14</v>
      </c>
      <c r="N27" s="44">
        <f t="shared" si="36"/>
        <v>-2.0531842892523853E-14</v>
      </c>
      <c r="O27" s="56">
        <f t="shared" si="36"/>
        <v>-2.2995664039626715E-14</v>
      </c>
      <c r="P27" s="56">
        <f t="shared" si="36"/>
        <v>-2.5755143724381923E-14</v>
      </c>
      <c r="Q27" s="56">
        <f t="shared" si="36"/>
        <v>-2.8845760971307751E-14</v>
      </c>
      <c r="R27" s="56">
        <f t="shared" si="36"/>
        <v>-3.2307252287864677E-14</v>
      </c>
      <c r="S27" s="56">
        <f t="shared" si="36"/>
        <v>-3.6184122562408442E-14</v>
      </c>
      <c r="T27" s="56">
        <f t="shared" si="36"/>
        <v>-4.0526217269897454E-14</v>
      </c>
      <c r="U27" s="56">
        <f t="shared" si="36"/>
        <v>-4.5389363342285148E-14</v>
      </c>
      <c r="V27" s="56">
        <f t="shared" si="36"/>
        <v>-5.0836086943359363E-14</v>
      </c>
      <c r="W27" s="56">
        <f t="shared" si="36"/>
        <v>-5.6936417376562478E-14</v>
      </c>
      <c r="X27" s="56">
        <f t="shared" ref="X27:AP27" si="37">+X26-X28</f>
        <v>-6.3768787461749974E-14</v>
      </c>
      <c r="Y27" s="56">
        <f t="shared" si="37"/>
        <v>-7.142104195715997E-14</v>
      </c>
      <c r="Z27" s="56">
        <f t="shared" si="37"/>
        <v>-7.9991566992019174E-14</v>
      </c>
      <c r="AA27" s="56">
        <f t="shared" si="37"/>
        <v>-8.9590555031061475E-14</v>
      </c>
      <c r="AB27" s="56">
        <f t="shared" si="37"/>
        <v>-1.0034142163478884E-13</v>
      </c>
      <c r="AC27" s="56">
        <f t="shared" si="37"/>
        <v>-1.123823922309635E-13</v>
      </c>
      <c r="AD27" s="56">
        <f t="shared" si="37"/>
        <v>-1.2586827929867913E-13</v>
      </c>
      <c r="AE27" s="56">
        <f t="shared" si="37"/>
        <v>-1.4097247281452061E-13</v>
      </c>
      <c r="AF27" s="56">
        <f t="shared" si="37"/>
        <v>-1.5788916955226308E-13</v>
      </c>
      <c r="AG27" s="56">
        <f t="shared" si="37"/>
        <v>-1.7683586989853467E-13</v>
      </c>
      <c r="AH27" s="56">
        <f t="shared" si="37"/>
        <v>-1.9805617428635882E-13</v>
      </c>
      <c r="AI27" s="56">
        <f t="shared" si="37"/>
        <v>-2.2182291520072188E-13</v>
      </c>
      <c r="AJ27" s="56">
        <f t="shared" si="37"/>
        <v>-2.4844166502480847E-13</v>
      </c>
      <c r="AK27" s="56">
        <f t="shared" si="37"/>
        <v>-2.7825466482778547E-13</v>
      </c>
      <c r="AL27" s="56">
        <f t="shared" si="37"/>
        <v>-3.1164522460711971E-13</v>
      </c>
      <c r="AM27" s="56">
        <f t="shared" si="37"/>
        <v>-3.4904265155997409E-13</v>
      </c>
      <c r="AN27" s="56">
        <f t="shared" si="37"/>
        <v>-3.9092776974717098E-13</v>
      </c>
      <c r="AO27" s="56">
        <f t="shared" si="37"/>
        <v>-4.3783910211683144E-13</v>
      </c>
      <c r="AP27" s="56">
        <f t="shared" si="37"/>
        <v>-4.9037979437085121E-13</v>
      </c>
      <c r="AQ27" s="56">
        <f t="shared" ref="AQ27:BA27" si="38">+AQ26-AQ28</f>
        <v>-5.4922536969535337E-13</v>
      </c>
      <c r="AR27" s="56">
        <f t="shared" si="38"/>
        <v>-6.1513241405879572E-13</v>
      </c>
      <c r="AS27" s="56">
        <f t="shared" si="38"/>
        <v>-6.8894830374585119E-13</v>
      </c>
      <c r="AT27" s="56">
        <f t="shared" si="38"/>
        <v>-7.7162210019535326E-13</v>
      </c>
      <c r="AU27" s="56">
        <f t="shared" si="38"/>
        <v>-8.6421675221879564E-13</v>
      </c>
      <c r="AV27" s="56">
        <f t="shared" si="38"/>
        <v>-9.6792276248505113E-13</v>
      </c>
      <c r="AW27" s="56">
        <f t="shared" si="38"/>
        <v>-1.0840734939832573E-12</v>
      </c>
      <c r="AX27" s="56">
        <f t="shared" si="38"/>
        <v>-1.2141623132612482E-12</v>
      </c>
      <c r="AY27" s="56">
        <f t="shared" si="38"/>
        <v>-1.359861790852598E-12</v>
      </c>
      <c r="AZ27" s="56">
        <f t="shared" si="38"/>
        <v>-1.5230452057549097E-12</v>
      </c>
      <c r="BA27" s="56">
        <f t="shared" si="38"/>
        <v>-1.7058106304454987E-12</v>
      </c>
    </row>
    <row r="28" spans="2:53" x14ac:dyDescent="0.2">
      <c r="B28" s="57" t="s">
        <v>3</v>
      </c>
      <c r="C28" s="65" t="s">
        <v>75</v>
      </c>
      <c r="D28" s="44">
        <v>0</v>
      </c>
      <c r="E28" s="44">
        <f>+$C$9*D25</f>
        <v>21</v>
      </c>
      <c r="F28" s="44">
        <f t="shared" ref="F28:W28" si="39">+$C$9*E25</f>
        <v>19.292640331091395</v>
      </c>
      <c r="G28" s="44">
        <f t="shared" si="39"/>
        <v>17.380397501913759</v>
      </c>
      <c r="H28" s="44">
        <f>+$C$9*G25</f>
        <v>15.238685533234806</v>
      </c>
      <c r="I28" s="44">
        <f>+$C$9*H25</f>
        <v>12.839968128314379</v>
      </c>
      <c r="J28" s="44">
        <f t="shared" si="39"/>
        <v>10.153404634803499</v>
      </c>
      <c r="K28" s="44">
        <f t="shared" si="39"/>
        <v>7.1444535220713155</v>
      </c>
      <c r="L28" s="44">
        <f t="shared" si="39"/>
        <v>3.7744282758112697</v>
      </c>
      <c r="M28" s="44">
        <f t="shared" si="39"/>
        <v>1.8332002582610585E-14</v>
      </c>
      <c r="N28" s="44">
        <f t="shared" si="39"/>
        <v>2.0531842892523853E-14</v>
      </c>
      <c r="O28" s="56">
        <f t="shared" si="39"/>
        <v>2.2995664039626715E-14</v>
      </c>
      <c r="P28" s="56">
        <f t="shared" si="39"/>
        <v>2.5755143724381923E-14</v>
      </c>
      <c r="Q28" s="56">
        <f t="shared" si="39"/>
        <v>2.8845760971307751E-14</v>
      </c>
      <c r="R28" s="56">
        <f t="shared" si="39"/>
        <v>3.2307252287864677E-14</v>
      </c>
      <c r="S28" s="56">
        <f t="shared" si="39"/>
        <v>3.6184122562408442E-14</v>
      </c>
      <c r="T28" s="56">
        <f t="shared" si="39"/>
        <v>4.0526217269897454E-14</v>
      </c>
      <c r="U28" s="56">
        <f t="shared" si="39"/>
        <v>4.5389363342285148E-14</v>
      </c>
      <c r="V28" s="56">
        <f t="shared" si="39"/>
        <v>5.0836086943359363E-14</v>
      </c>
      <c r="W28" s="56">
        <f t="shared" si="39"/>
        <v>5.6936417376562478E-14</v>
      </c>
      <c r="X28" s="56">
        <f t="shared" ref="X28:AP28" si="40">+$C$9*W25</f>
        <v>6.3768787461749974E-14</v>
      </c>
      <c r="Y28" s="56">
        <f t="shared" si="40"/>
        <v>7.142104195715997E-14</v>
      </c>
      <c r="Z28" s="56">
        <f t="shared" si="40"/>
        <v>7.9991566992019174E-14</v>
      </c>
      <c r="AA28" s="56">
        <f t="shared" si="40"/>
        <v>8.9590555031061475E-14</v>
      </c>
      <c r="AB28" s="56">
        <f t="shared" si="40"/>
        <v>1.0034142163478884E-13</v>
      </c>
      <c r="AC28" s="56">
        <f t="shared" si="40"/>
        <v>1.123823922309635E-13</v>
      </c>
      <c r="AD28" s="56">
        <f t="shared" si="40"/>
        <v>1.2586827929867913E-13</v>
      </c>
      <c r="AE28" s="56">
        <f t="shared" si="40"/>
        <v>1.4097247281452061E-13</v>
      </c>
      <c r="AF28" s="56">
        <f t="shared" si="40"/>
        <v>1.5788916955226308E-13</v>
      </c>
      <c r="AG28" s="56">
        <f t="shared" si="40"/>
        <v>1.7683586989853467E-13</v>
      </c>
      <c r="AH28" s="56">
        <f t="shared" si="40"/>
        <v>1.9805617428635882E-13</v>
      </c>
      <c r="AI28" s="56">
        <f t="shared" si="40"/>
        <v>2.2182291520072188E-13</v>
      </c>
      <c r="AJ28" s="56">
        <f t="shared" si="40"/>
        <v>2.4844166502480847E-13</v>
      </c>
      <c r="AK28" s="56">
        <f t="shared" si="40"/>
        <v>2.7825466482778547E-13</v>
      </c>
      <c r="AL28" s="56">
        <f t="shared" si="40"/>
        <v>3.1164522460711971E-13</v>
      </c>
      <c r="AM28" s="56">
        <f t="shared" si="40"/>
        <v>3.4904265155997409E-13</v>
      </c>
      <c r="AN28" s="56">
        <f t="shared" si="40"/>
        <v>3.9092776974717098E-13</v>
      </c>
      <c r="AO28" s="56">
        <f t="shared" si="40"/>
        <v>4.3783910211683144E-13</v>
      </c>
      <c r="AP28" s="56">
        <f t="shared" si="40"/>
        <v>4.9037979437085121E-13</v>
      </c>
      <c r="AQ28" s="56">
        <f t="shared" ref="AQ28" si="41">+$C$9*AP25</f>
        <v>5.4922536969535337E-13</v>
      </c>
      <c r="AR28" s="56">
        <f t="shared" ref="AR28" si="42">+$C$9*AQ25</f>
        <v>6.1513241405879572E-13</v>
      </c>
      <c r="AS28" s="56">
        <f t="shared" ref="AS28" si="43">+$C$9*AR25</f>
        <v>6.8894830374585119E-13</v>
      </c>
      <c r="AT28" s="56">
        <f t="shared" ref="AT28" si="44">+$C$9*AS25</f>
        <v>7.7162210019535326E-13</v>
      </c>
      <c r="AU28" s="56">
        <f t="shared" ref="AU28" si="45">+$C$9*AT25</f>
        <v>8.6421675221879564E-13</v>
      </c>
      <c r="AV28" s="56">
        <f t="shared" ref="AV28" si="46">+$C$9*AU25</f>
        <v>9.6792276248505113E-13</v>
      </c>
      <c r="AW28" s="56">
        <f t="shared" ref="AW28" si="47">+$C$9*AV25</f>
        <v>1.0840734939832573E-12</v>
      </c>
      <c r="AX28" s="56">
        <f t="shared" ref="AX28" si="48">+$C$9*AW25</f>
        <v>1.2141623132612482E-12</v>
      </c>
      <c r="AY28" s="56">
        <f t="shared" ref="AY28" si="49">+$C$9*AX25</f>
        <v>1.359861790852598E-12</v>
      </c>
      <c r="AZ28" s="56">
        <f t="shared" ref="AZ28" si="50">+$C$9*AY25</f>
        <v>1.5230452057549097E-12</v>
      </c>
      <c r="BA28" s="56">
        <f t="shared" ref="BA28" si="51">+$C$9*AZ25</f>
        <v>1.7058106304454987E-12</v>
      </c>
    </row>
    <row r="29" spans="2:53" x14ac:dyDescent="0.2">
      <c r="B29" s="57"/>
      <c r="D29" s="44"/>
      <c r="E29" s="44"/>
      <c r="F29" s="44"/>
      <c r="G29" s="44"/>
      <c r="H29" s="44"/>
      <c r="I29" s="44"/>
      <c r="J29" s="44"/>
      <c r="K29" s="44"/>
      <c r="L29" s="44"/>
      <c r="M29" s="44"/>
      <c r="N29" s="44"/>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row>
    <row r="30" spans="2:53" x14ac:dyDescent="0.2">
      <c r="B30" s="46" t="s">
        <v>46</v>
      </c>
      <c r="C30" s="65" t="s">
        <v>75</v>
      </c>
      <c r="D30" s="44"/>
      <c r="E30" s="44">
        <f>+E18</f>
        <v>178.5</v>
      </c>
      <c r="F30" s="44">
        <f t="shared" ref="F30:AP30" si="52">+E30-F32</f>
        <v>163.98744281427687</v>
      </c>
      <c r="G30" s="44">
        <f t="shared" si="52"/>
        <v>147.73337876626698</v>
      </c>
      <c r="H30" s="44">
        <f t="shared" si="52"/>
        <v>129.52882703249588</v>
      </c>
      <c r="I30" s="44">
        <f t="shared" si="52"/>
        <v>109.13972909067226</v>
      </c>
      <c r="J30" s="44">
        <f t="shared" si="52"/>
        <v>86.303939395829801</v>
      </c>
      <c r="K30" s="44">
        <f t="shared" si="52"/>
        <v>60.727854937606239</v>
      </c>
      <c r="L30" s="44">
        <f t="shared" si="52"/>
        <v>32.082640344395855</v>
      </c>
      <c r="M30" s="44">
        <f t="shared" si="52"/>
        <v>2.2737367544323206E-13</v>
      </c>
      <c r="N30" s="44">
        <f t="shared" si="52"/>
        <v>2.5465851649641993E-13</v>
      </c>
      <c r="O30" s="56">
        <f t="shared" si="52"/>
        <v>2.8521753847599034E-13</v>
      </c>
      <c r="P30" s="56">
        <f t="shared" si="52"/>
        <v>3.1944364309310917E-13</v>
      </c>
      <c r="Q30" s="56">
        <f t="shared" si="52"/>
        <v>3.5777688026428226E-13</v>
      </c>
      <c r="R30" s="56">
        <f t="shared" si="52"/>
        <v>4.0071010589599611E-13</v>
      </c>
      <c r="S30" s="56">
        <f t="shared" si="52"/>
        <v>4.4879531860351561E-13</v>
      </c>
      <c r="T30" s="56">
        <f t="shared" si="52"/>
        <v>5.0265075683593752E-13</v>
      </c>
      <c r="U30" s="56">
        <f t="shared" si="52"/>
        <v>5.6296884765624999E-13</v>
      </c>
      <c r="V30" s="56">
        <f t="shared" si="52"/>
        <v>6.3052510937499994E-13</v>
      </c>
      <c r="W30" s="56">
        <f t="shared" si="52"/>
        <v>7.0618812249999995E-13</v>
      </c>
      <c r="X30" s="56">
        <f t="shared" si="52"/>
        <v>7.9093069719999993E-13</v>
      </c>
      <c r="Y30" s="56">
        <f t="shared" si="52"/>
        <v>8.8584238086399993E-13</v>
      </c>
      <c r="Z30" s="56">
        <f t="shared" si="52"/>
        <v>9.9214346656767988E-13</v>
      </c>
      <c r="AA30" s="56">
        <f t="shared" si="52"/>
        <v>1.1112006825558015E-12</v>
      </c>
      <c r="AB30" s="56">
        <f t="shared" si="52"/>
        <v>1.2445447644624977E-12</v>
      </c>
      <c r="AC30" s="56">
        <f t="shared" si="52"/>
        <v>1.3938901361979974E-12</v>
      </c>
      <c r="AD30" s="56">
        <f t="shared" si="52"/>
        <v>1.561156952541757E-12</v>
      </c>
      <c r="AE30" s="56">
        <f t="shared" si="52"/>
        <v>1.7484957868467679E-12</v>
      </c>
      <c r="AF30" s="56">
        <f t="shared" si="52"/>
        <v>1.9583152812683801E-12</v>
      </c>
      <c r="AG30" s="56">
        <f t="shared" si="52"/>
        <v>2.1933131150205856E-12</v>
      </c>
      <c r="AH30" s="56">
        <f t="shared" si="52"/>
        <v>2.456510688823056E-12</v>
      </c>
      <c r="AI30" s="56">
        <f t="shared" si="52"/>
        <v>2.7512919714818227E-12</v>
      </c>
      <c r="AJ30" s="56">
        <f t="shared" si="52"/>
        <v>3.0814470080596414E-12</v>
      </c>
      <c r="AK30" s="56">
        <f t="shared" si="52"/>
        <v>3.4512206490267985E-12</v>
      </c>
      <c r="AL30" s="56">
        <f t="shared" si="52"/>
        <v>3.8653671269100146E-12</v>
      </c>
      <c r="AM30" s="56">
        <f t="shared" si="52"/>
        <v>4.3292111821392163E-12</v>
      </c>
      <c r="AN30" s="56">
        <f t="shared" si="52"/>
        <v>4.8487165239959219E-12</v>
      </c>
      <c r="AO30" s="56">
        <f t="shared" si="52"/>
        <v>5.4305625068754324E-12</v>
      </c>
      <c r="AP30" s="56">
        <f t="shared" si="52"/>
        <v>6.0822300077004841E-12</v>
      </c>
      <c r="AQ30" s="56">
        <f t="shared" ref="AQ30" si="53">+AP30-AQ32</f>
        <v>6.8120976086245424E-12</v>
      </c>
      <c r="AR30" s="56">
        <f t="shared" ref="AR30" si="54">+AQ30-AR32</f>
        <v>7.6295493216594872E-12</v>
      </c>
      <c r="AS30" s="56">
        <f t="shared" ref="AS30" si="55">+AR30-AS32</f>
        <v>8.5450952402586264E-12</v>
      </c>
      <c r="AT30" s="56">
        <f t="shared" ref="AT30" si="56">+AS30-AT32</f>
        <v>9.5705066690896619E-12</v>
      </c>
      <c r="AU30" s="56">
        <f t="shared" ref="AU30" si="57">+AT30-AU32</f>
        <v>1.0718967469380421E-11</v>
      </c>
      <c r="AV30" s="56">
        <f t="shared" ref="AV30" si="58">+AU30-AV32</f>
        <v>1.2005243565706072E-11</v>
      </c>
      <c r="AW30" s="56">
        <f t="shared" ref="AW30" si="59">+AV30-AW32</f>
        <v>1.3445872793590801E-11</v>
      </c>
      <c r="AX30" s="56">
        <f t="shared" ref="AX30" si="60">+AW30-AX32</f>
        <v>1.5059377528821697E-11</v>
      </c>
      <c r="AY30" s="56">
        <f t="shared" ref="AY30" si="61">+AX30-AY32</f>
        <v>1.68665028322803E-11</v>
      </c>
      <c r="AZ30" s="56">
        <f t="shared" ref="AZ30" si="62">+AY30-AZ32</f>
        <v>1.8890483172153934E-11</v>
      </c>
      <c r="BA30" s="56">
        <f t="shared" ref="BA30" si="63">+AZ30-BA32</f>
        <v>2.1157341152812407E-11</v>
      </c>
    </row>
    <row r="31" spans="2:53" x14ac:dyDescent="0.2">
      <c r="B31" s="57" t="s">
        <v>29</v>
      </c>
      <c r="C31" s="64">
        <f>+E30/((1-(1/(1+$C$9)^$C$8))/$C$9)</f>
        <v>35.932557185723134</v>
      </c>
      <c r="D31" s="44"/>
      <c r="E31" s="44">
        <v>0</v>
      </c>
      <c r="F31" s="44">
        <f>+IF(E30&lt;0.01,0,$C$31)</f>
        <v>35.932557185723134</v>
      </c>
      <c r="G31" s="44">
        <f t="shared" ref="G31:AP31" si="64">+IF(F30&lt;0.01,0,$C$31)</f>
        <v>35.932557185723134</v>
      </c>
      <c r="H31" s="44">
        <f t="shared" si="64"/>
        <v>35.932557185723134</v>
      </c>
      <c r="I31" s="44">
        <f t="shared" si="64"/>
        <v>35.932557185723134</v>
      </c>
      <c r="J31" s="44">
        <f t="shared" si="64"/>
        <v>35.932557185723134</v>
      </c>
      <c r="K31" s="44">
        <f t="shared" si="64"/>
        <v>35.932557185723134</v>
      </c>
      <c r="L31" s="44">
        <f t="shared" si="64"/>
        <v>35.932557185723134</v>
      </c>
      <c r="M31" s="44">
        <f t="shared" si="64"/>
        <v>35.932557185723134</v>
      </c>
      <c r="N31" s="44">
        <f t="shared" si="64"/>
        <v>0</v>
      </c>
      <c r="O31" s="56">
        <f t="shared" si="64"/>
        <v>0</v>
      </c>
      <c r="P31" s="56">
        <f t="shared" si="64"/>
        <v>0</v>
      </c>
      <c r="Q31" s="56">
        <f t="shared" si="64"/>
        <v>0</v>
      </c>
      <c r="R31" s="56">
        <f t="shared" si="64"/>
        <v>0</v>
      </c>
      <c r="S31" s="56">
        <f t="shared" si="64"/>
        <v>0</v>
      </c>
      <c r="T31" s="56">
        <f t="shared" si="64"/>
        <v>0</v>
      </c>
      <c r="U31" s="56">
        <f t="shared" si="64"/>
        <v>0</v>
      </c>
      <c r="V31" s="56">
        <f t="shared" si="64"/>
        <v>0</v>
      </c>
      <c r="W31" s="56">
        <f t="shared" si="64"/>
        <v>0</v>
      </c>
      <c r="X31" s="56">
        <f t="shared" si="64"/>
        <v>0</v>
      </c>
      <c r="Y31" s="56">
        <f t="shared" si="64"/>
        <v>0</v>
      </c>
      <c r="Z31" s="56">
        <f t="shared" si="64"/>
        <v>0</v>
      </c>
      <c r="AA31" s="56">
        <f t="shared" si="64"/>
        <v>0</v>
      </c>
      <c r="AB31" s="56">
        <f t="shared" si="64"/>
        <v>0</v>
      </c>
      <c r="AC31" s="56">
        <f t="shared" si="64"/>
        <v>0</v>
      </c>
      <c r="AD31" s="56">
        <f t="shared" si="64"/>
        <v>0</v>
      </c>
      <c r="AE31" s="56">
        <f t="shared" si="64"/>
        <v>0</v>
      </c>
      <c r="AF31" s="56">
        <f t="shared" si="64"/>
        <v>0</v>
      </c>
      <c r="AG31" s="56">
        <f t="shared" si="64"/>
        <v>0</v>
      </c>
      <c r="AH31" s="56">
        <f t="shared" si="64"/>
        <v>0</v>
      </c>
      <c r="AI31" s="56">
        <f t="shared" si="64"/>
        <v>0</v>
      </c>
      <c r="AJ31" s="56">
        <f t="shared" si="64"/>
        <v>0</v>
      </c>
      <c r="AK31" s="56">
        <f t="shared" si="64"/>
        <v>0</v>
      </c>
      <c r="AL31" s="56">
        <f t="shared" si="64"/>
        <v>0</v>
      </c>
      <c r="AM31" s="56">
        <f t="shared" si="64"/>
        <v>0</v>
      </c>
      <c r="AN31" s="56">
        <f t="shared" si="64"/>
        <v>0</v>
      </c>
      <c r="AO31" s="56">
        <f t="shared" si="64"/>
        <v>0</v>
      </c>
      <c r="AP31" s="56">
        <f t="shared" si="64"/>
        <v>0</v>
      </c>
      <c r="AQ31" s="56">
        <f t="shared" ref="AQ31" si="65">+IF(AP30&lt;0.01,0,$C$31)</f>
        <v>0</v>
      </c>
      <c r="AR31" s="56">
        <f t="shared" ref="AR31" si="66">+IF(AQ30&lt;0.01,0,$C$31)</f>
        <v>0</v>
      </c>
      <c r="AS31" s="56">
        <f t="shared" ref="AS31" si="67">+IF(AR30&lt;0.01,0,$C$31)</f>
        <v>0</v>
      </c>
      <c r="AT31" s="56">
        <f t="shared" ref="AT31" si="68">+IF(AS30&lt;0.01,0,$C$31)</f>
        <v>0</v>
      </c>
      <c r="AU31" s="56">
        <f t="shared" ref="AU31" si="69">+IF(AT30&lt;0.01,0,$C$31)</f>
        <v>0</v>
      </c>
      <c r="AV31" s="56">
        <f t="shared" ref="AV31" si="70">+IF(AU30&lt;0.01,0,$C$31)</f>
        <v>0</v>
      </c>
      <c r="AW31" s="56">
        <f t="shared" ref="AW31" si="71">+IF(AV30&lt;0.01,0,$C$31)</f>
        <v>0</v>
      </c>
      <c r="AX31" s="56">
        <f t="shared" ref="AX31" si="72">+IF(AW30&lt;0.01,0,$C$31)</f>
        <v>0</v>
      </c>
      <c r="AY31" s="56">
        <f t="shared" ref="AY31" si="73">+IF(AX30&lt;0.01,0,$C$31)</f>
        <v>0</v>
      </c>
      <c r="AZ31" s="56">
        <f t="shared" ref="AZ31" si="74">+IF(AY30&lt;0.01,0,$C$31)</f>
        <v>0</v>
      </c>
      <c r="BA31" s="56">
        <f t="shared" ref="BA31" si="75">+IF(AZ30&lt;0.01,0,$C$31)</f>
        <v>0</v>
      </c>
    </row>
    <row r="32" spans="2:53" x14ac:dyDescent="0.2">
      <c r="B32" s="57" t="s">
        <v>30</v>
      </c>
      <c r="C32" s="65" t="s">
        <v>75</v>
      </c>
      <c r="D32" s="44"/>
      <c r="E32" s="44">
        <v>0</v>
      </c>
      <c r="F32" s="44">
        <f>+F31-F33</f>
        <v>14.512557185723136</v>
      </c>
      <c r="G32" s="44">
        <f t="shared" ref="G32:AP32" si="76">+G31-G33</f>
        <v>16.254064048009909</v>
      </c>
      <c r="H32" s="44">
        <f t="shared" si="76"/>
        <v>18.204551733771098</v>
      </c>
      <c r="I32" s="44">
        <f t="shared" si="76"/>
        <v>20.389097941823628</v>
      </c>
      <c r="J32" s="44">
        <f t="shared" si="76"/>
        <v>22.835789694842461</v>
      </c>
      <c r="K32" s="44">
        <f t="shared" si="76"/>
        <v>25.576084458223558</v>
      </c>
      <c r="L32" s="44">
        <f t="shared" si="76"/>
        <v>28.645214593210387</v>
      </c>
      <c r="M32" s="44">
        <f t="shared" si="76"/>
        <v>32.082640344395628</v>
      </c>
      <c r="N32" s="44">
        <f t="shared" si="76"/>
        <v>-2.7284841053187846E-14</v>
      </c>
      <c r="O32" s="56">
        <f t="shared" si="76"/>
        <v>-3.0559021979570393E-14</v>
      </c>
      <c r="P32" s="56">
        <f t="shared" si="76"/>
        <v>-3.4226104617118841E-14</v>
      </c>
      <c r="Q32" s="56">
        <f t="shared" si="76"/>
        <v>-3.8333237171173101E-14</v>
      </c>
      <c r="R32" s="56">
        <f t="shared" si="76"/>
        <v>-4.2933225631713868E-14</v>
      </c>
      <c r="S32" s="56">
        <f t="shared" si="76"/>
        <v>-4.808521270751953E-14</v>
      </c>
      <c r="T32" s="56">
        <f t="shared" si="76"/>
        <v>-5.3855438232421872E-14</v>
      </c>
      <c r="U32" s="56">
        <f t="shared" si="76"/>
        <v>-6.0318090820312504E-14</v>
      </c>
      <c r="V32" s="56">
        <f t="shared" si="76"/>
        <v>-6.7556261718749992E-14</v>
      </c>
      <c r="W32" s="56">
        <f t="shared" si="76"/>
        <v>-7.5663013124999993E-14</v>
      </c>
      <c r="X32" s="56">
        <f t="shared" si="76"/>
        <v>-8.4742574699999994E-14</v>
      </c>
      <c r="Y32" s="56">
        <f t="shared" si="76"/>
        <v>-9.4911683663999991E-14</v>
      </c>
      <c r="Z32" s="56">
        <f t="shared" si="76"/>
        <v>-1.0630108570367999E-13</v>
      </c>
      <c r="AA32" s="56">
        <f t="shared" si="76"/>
        <v>-1.1905721598812159E-13</v>
      </c>
      <c r="AB32" s="56">
        <f t="shared" si="76"/>
        <v>-1.3334408190669618E-13</v>
      </c>
      <c r="AC32" s="56">
        <f t="shared" si="76"/>
        <v>-1.4934537173549972E-13</v>
      </c>
      <c r="AD32" s="56">
        <f t="shared" si="76"/>
        <v>-1.6726681634375968E-13</v>
      </c>
      <c r="AE32" s="56">
        <f t="shared" si="76"/>
        <v>-1.8733883430501084E-13</v>
      </c>
      <c r="AF32" s="56">
        <f t="shared" si="76"/>
        <v>-2.0981949442161214E-13</v>
      </c>
      <c r="AG32" s="56">
        <f t="shared" si="76"/>
        <v>-2.3499783375220562E-13</v>
      </c>
      <c r="AH32" s="56">
        <f t="shared" si="76"/>
        <v>-2.6319757380247026E-13</v>
      </c>
      <c r="AI32" s="56">
        <f t="shared" si="76"/>
        <v>-2.947812826587667E-13</v>
      </c>
      <c r="AJ32" s="56">
        <f t="shared" si="76"/>
        <v>-3.3015503657781872E-13</v>
      </c>
      <c r="AK32" s="56">
        <f t="shared" si="76"/>
        <v>-3.6977364096715695E-13</v>
      </c>
      <c r="AL32" s="56">
        <f t="shared" si="76"/>
        <v>-4.1414647788321582E-13</v>
      </c>
      <c r="AM32" s="56">
        <f t="shared" si="76"/>
        <v>-4.6384405522920176E-13</v>
      </c>
      <c r="AN32" s="56">
        <f t="shared" si="76"/>
        <v>-5.1950534185670597E-13</v>
      </c>
      <c r="AO32" s="56">
        <f t="shared" si="76"/>
        <v>-5.8184598287951056E-13</v>
      </c>
      <c r="AP32" s="56">
        <f t="shared" si="76"/>
        <v>-6.5166750082505183E-13</v>
      </c>
      <c r="AQ32" s="56">
        <f t="shared" ref="AQ32:BA32" si="77">+AQ31-AQ33</f>
        <v>-7.2986760092405801E-13</v>
      </c>
      <c r="AR32" s="56">
        <f t="shared" si="77"/>
        <v>-8.1745171303494503E-13</v>
      </c>
      <c r="AS32" s="56">
        <f t="shared" si="77"/>
        <v>-9.1554591859913843E-13</v>
      </c>
      <c r="AT32" s="56">
        <f t="shared" si="77"/>
        <v>-1.0254114288310351E-12</v>
      </c>
      <c r="AU32" s="56">
        <f t="shared" si="77"/>
        <v>-1.1484608002907594E-12</v>
      </c>
      <c r="AV32" s="56">
        <f t="shared" si="77"/>
        <v>-1.2862760963256506E-12</v>
      </c>
      <c r="AW32" s="56">
        <f t="shared" si="77"/>
        <v>-1.4406292278847286E-12</v>
      </c>
      <c r="AX32" s="56">
        <f t="shared" si="77"/>
        <v>-1.613504735230896E-12</v>
      </c>
      <c r="AY32" s="56">
        <f t="shared" si="77"/>
        <v>-1.8071253034586036E-12</v>
      </c>
      <c r="AZ32" s="56">
        <f t="shared" si="77"/>
        <v>-2.0239803398736358E-12</v>
      </c>
      <c r="BA32" s="56">
        <f t="shared" si="77"/>
        <v>-2.2668579806584719E-12</v>
      </c>
    </row>
    <row r="33" spans="2:53" x14ac:dyDescent="0.2">
      <c r="B33" s="57" t="s">
        <v>3</v>
      </c>
      <c r="C33" s="65" t="s">
        <v>75</v>
      </c>
      <c r="D33" s="44"/>
      <c r="E33" s="44">
        <v>0</v>
      </c>
      <c r="F33" s="44">
        <f t="shared" ref="F33:AP33" si="78">+$C$9*E30</f>
        <v>21.419999999999998</v>
      </c>
      <c r="G33" s="44">
        <f t="shared" si="78"/>
        <v>19.678493137713225</v>
      </c>
      <c r="H33" s="44">
        <f t="shared" si="78"/>
        <v>17.728005451952036</v>
      </c>
      <c r="I33" s="44">
        <f t="shared" si="78"/>
        <v>15.543459243899505</v>
      </c>
      <c r="J33" s="44">
        <f t="shared" si="78"/>
        <v>13.096767490880671</v>
      </c>
      <c r="K33" s="44">
        <f t="shared" si="78"/>
        <v>10.356472727499575</v>
      </c>
      <c r="L33" s="44">
        <f t="shared" si="78"/>
        <v>7.287342592512748</v>
      </c>
      <c r="M33" s="44">
        <f t="shared" si="78"/>
        <v>3.8499168413275027</v>
      </c>
      <c r="N33" s="44">
        <f t="shared" si="78"/>
        <v>2.7284841053187846E-14</v>
      </c>
      <c r="O33" s="56">
        <f t="shared" si="78"/>
        <v>3.0559021979570393E-14</v>
      </c>
      <c r="P33" s="56">
        <f t="shared" si="78"/>
        <v>3.4226104617118841E-14</v>
      </c>
      <c r="Q33" s="56">
        <f t="shared" si="78"/>
        <v>3.8333237171173101E-14</v>
      </c>
      <c r="R33" s="56">
        <f t="shared" si="78"/>
        <v>4.2933225631713868E-14</v>
      </c>
      <c r="S33" s="56">
        <f t="shared" si="78"/>
        <v>4.808521270751953E-14</v>
      </c>
      <c r="T33" s="56">
        <f t="shared" si="78"/>
        <v>5.3855438232421872E-14</v>
      </c>
      <c r="U33" s="56">
        <f t="shared" si="78"/>
        <v>6.0318090820312504E-14</v>
      </c>
      <c r="V33" s="56">
        <f t="shared" si="78"/>
        <v>6.7556261718749992E-14</v>
      </c>
      <c r="W33" s="56">
        <f t="shared" si="78"/>
        <v>7.5663013124999993E-14</v>
      </c>
      <c r="X33" s="56">
        <f t="shared" si="78"/>
        <v>8.4742574699999994E-14</v>
      </c>
      <c r="Y33" s="56">
        <f t="shared" si="78"/>
        <v>9.4911683663999991E-14</v>
      </c>
      <c r="Z33" s="56">
        <f t="shared" si="78"/>
        <v>1.0630108570367999E-13</v>
      </c>
      <c r="AA33" s="56">
        <f t="shared" si="78"/>
        <v>1.1905721598812159E-13</v>
      </c>
      <c r="AB33" s="56">
        <f t="shared" si="78"/>
        <v>1.3334408190669618E-13</v>
      </c>
      <c r="AC33" s="56">
        <f t="shared" si="78"/>
        <v>1.4934537173549972E-13</v>
      </c>
      <c r="AD33" s="56">
        <f t="shared" si="78"/>
        <v>1.6726681634375968E-13</v>
      </c>
      <c r="AE33" s="56">
        <f t="shared" si="78"/>
        <v>1.8733883430501084E-13</v>
      </c>
      <c r="AF33" s="56">
        <f t="shared" si="78"/>
        <v>2.0981949442161214E-13</v>
      </c>
      <c r="AG33" s="56">
        <f t="shared" si="78"/>
        <v>2.3499783375220562E-13</v>
      </c>
      <c r="AH33" s="56">
        <f t="shared" si="78"/>
        <v>2.6319757380247026E-13</v>
      </c>
      <c r="AI33" s="56">
        <f t="shared" si="78"/>
        <v>2.947812826587667E-13</v>
      </c>
      <c r="AJ33" s="56">
        <f t="shared" si="78"/>
        <v>3.3015503657781872E-13</v>
      </c>
      <c r="AK33" s="56">
        <f t="shared" si="78"/>
        <v>3.6977364096715695E-13</v>
      </c>
      <c r="AL33" s="56">
        <f t="shared" si="78"/>
        <v>4.1414647788321582E-13</v>
      </c>
      <c r="AM33" s="56">
        <f t="shared" si="78"/>
        <v>4.6384405522920176E-13</v>
      </c>
      <c r="AN33" s="56">
        <f t="shared" si="78"/>
        <v>5.1950534185670597E-13</v>
      </c>
      <c r="AO33" s="56">
        <f t="shared" si="78"/>
        <v>5.8184598287951056E-13</v>
      </c>
      <c r="AP33" s="56">
        <f t="shared" si="78"/>
        <v>6.5166750082505183E-13</v>
      </c>
      <c r="AQ33" s="56">
        <f t="shared" ref="AQ33" si="79">+$C$9*AP30</f>
        <v>7.2986760092405801E-13</v>
      </c>
      <c r="AR33" s="56">
        <f t="shared" ref="AR33" si="80">+$C$9*AQ30</f>
        <v>8.1745171303494503E-13</v>
      </c>
      <c r="AS33" s="56">
        <f t="shared" ref="AS33" si="81">+$C$9*AR30</f>
        <v>9.1554591859913843E-13</v>
      </c>
      <c r="AT33" s="56">
        <f t="shared" ref="AT33" si="82">+$C$9*AS30</f>
        <v>1.0254114288310351E-12</v>
      </c>
      <c r="AU33" s="56">
        <f t="shared" ref="AU33" si="83">+$C$9*AT30</f>
        <v>1.1484608002907594E-12</v>
      </c>
      <c r="AV33" s="56">
        <f t="shared" ref="AV33" si="84">+$C$9*AU30</f>
        <v>1.2862760963256506E-12</v>
      </c>
      <c r="AW33" s="56">
        <f t="shared" ref="AW33" si="85">+$C$9*AV30</f>
        <v>1.4406292278847286E-12</v>
      </c>
      <c r="AX33" s="56">
        <f t="shared" ref="AX33" si="86">+$C$9*AW30</f>
        <v>1.613504735230896E-12</v>
      </c>
      <c r="AY33" s="56">
        <f t="shared" ref="AY33" si="87">+$C$9*AX30</f>
        <v>1.8071253034586036E-12</v>
      </c>
      <c r="AZ33" s="56">
        <f t="shared" ref="AZ33" si="88">+$C$9*AY30</f>
        <v>2.0239803398736358E-12</v>
      </c>
      <c r="BA33" s="56">
        <f t="shared" ref="BA33" si="89">+$C$9*AZ30</f>
        <v>2.2668579806584719E-12</v>
      </c>
    </row>
    <row r="34" spans="2:53" x14ac:dyDescent="0.2">
      <c r="B34" s="57"/>
      <c r="D34" s="44"/>
      <c r="E34" s="44"/>
      <c r="F34" s="44"/>
      <c r="G34" s="44"/>
      <c r="H34" s="44"/>
      <c r="I34" s="44"/>
      <c r="J34" s="44"/>
      <c r="K34" s="44"/>
      <c r="L34" s="44"/>
      <c r="M34" s="44"/>
      <c r="N34" s="44"/>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row>
    <row r="35" spans="2:53" x14ac:dyDescent="0.2">
      <c r="B35" s="46" t="s">
        <v>47</v>
      </c>
      <c r="C35" s="65" t="s">
        <v>75</v>
      </c>
      <c r="D35" s="44"/>
      <c r="E35" s="44"/>
      <c r="F35" s="44">
        <f>+F18</f>
        <v>182.07</v>
      </c>
      <c r="G35" s="44">
        <f>+F35-G37</f>
        <v>167.2671916705624</v>
      </c>
      <c r="H35" s="44">
        <f t="shared" ref="H35:W35" si="90">+G35-H37</f>
        <v>150.6880463415923</v>
      </c>
      <c r="I35" s="44">
        <f t="shared" si="90"/>
        <v>132.11940357314577</v>
      </c>
      <c r="J35" s="44">
        <f t="shared" si="90"/>
        <v>111.32252367248567</v>
      </c>
      <c r="K35" s="44">
        <f t="shared" si="90"/>
        <v>88.030018183746364</v>
      </c>
      <c r="L35" s="44">
        <f t="shared" si="90"/>
        <v>61.942412036358334</v>
      </c>
      <c r="M35" s="44">
        <f t="shared" si="90"/>
        <v>32.724293151283739</v>
      </c>
      <c r="N35" s="44">
        <f t="shared" si="90"/>
        <v>1.9184653865522705E-13</v>
      </c>
      <c r="O35" s="56">
        <f t="shared" si="90"/>
        <v>2.1486812329385429E-13</v>
      </c>
      <c r="P35" s="56">
        <f t="shared" si="90"/>
        <v>2.4065229808911681E-13</v>
      </c>
      <c r="Q35" s="56">
        <f t="shared" si="90"/>
        <v>2.6953057385981083E-13</v>
      </c>
      <c r="R35" s="56">
        <f t="shared" si="90"/>
        <v>3.0187424272298815E-13</v>
      </c>
      <c r="S35" s="56">
        <f t="shared" si="90"/>
        <v>3.3809915184974676E-13</v>
      </c>
      <c r="T35" s="56">
        <f t="shared" si="90"/>
        <v>3.7867105007171636E-13</v>
      </c>
      <c r="U35" s="56">
        <f t="shared" si="90"/>
        <v>4.2411157608032231E-13</v>
      </c>
      <c r="V35" s="56">
        <f t="shared" si="90"/>
        <v>4.7500496520996095E-13</v>
      </c>
      <c r="W35" s="56">
        <f t="shared" si="90"/>
        <v>5.3200556103515627E-13</v>
      </c>
      <c r="X35" s="56">
        <f t="shared" ref="X35:AP35" si="91">+W35-X37</f>
        <v>5.9584622835937502E-13</v>
      </c>
      <c r="Y35" s="56">
        <f t="shared" si="91"/>
        <v>6.6734777576249998E-13</v>
      </c>
      <c r="Z35" s="56">
        <f t="shared" si="91"/>
        <v>7.47429508854E-13</v>
      </c>
      <c r="AA35" s="56">
        <f t="shared" si="91"/>
        <v>8.3712104991647997E-13</v>
      </c>
      <c r="AB35" s="56">
        <f t="shared" si="91"/>
        <v>9.3757557590645747E-13</v>
      </c>
      <c r="AC35" s="56">
        <f t="shared" si="91"/>
        <v>1.0500846450152323E-12</v>
      </c>
      <c r="AD35" s="56">
        <f t="shared" si="91"/>
        <v>1.1760948024170602E-12</v>
      </c>
      <c r="AE35" s="56">
        <f t="shared" si="91"/>
        <v>1.3172261787071073E-12</v>
      </c>
      <c r="AF35" s="56">
        <f t="shared" si="91"/>
        <v>1.4752933201519602E-12</v>
      </c>
      <c r="AG35" s="56">
        <f t="shared" si="91"/>
        <v>1.6523285185701955E-12</v>
      </c>
      <c r="AH35" s="56">
        <f t="shared" si="91"/>
        <v>1.8506079407986189E-12</v>
      </c>
      <c r="AI35" s="56">
        <f t="shared" si="91"/>
        <v>2.0726808936944532E-12</v>
      </c>
      <c r="AJ35" s="56">
        <f t="shared" si="91"/>
        <v>2.3214026009377874E-12</v>
      </c>
      <c r="AK35" s="56">
        <f t="shared" si="91"/>
        <v>2.5999709130503219E-12</v>
      </c>
      <c r="AL35" s="56">
        <f t="shared" si="91"/>
        <v>2.9119674226163606E-12</v>
      </c>
      <c r="AM35" s="56">
        <f t="shared" si="91"/>
        <v>3.261403513330324E-12</v>
      </c>
      <c r="AN35" s="56">
        <f t="shared" si="91"/>
        <v>3.6527719349299631E-12</v>
      </c>
      <c r="AO35" s="56">
        <f t="shared" si="91"/>
        <v>4.0911045671215587E-12</v>
      </c>
      <c r="AP35" s="56">
        <f t="shared" si="91"/>
        <v>4.5820371151761454E-12</v>
      </c>
      <c r="AQ35" s="56">
        <f t="shared" ref="AQ35" si="92">+AP35-AQ37</f>
        <v>5.1318815689972826E-12</v>
      </c>
      <c r="AR35" s="56">
        <f t="shared" ref="AR35" si="93">+AQ35-AR37</f>
        <v>5.7477073572769567E-12</v>
      </c>
      <c r="AS35" s="56">
        <f t="shared" ref="AS35" si="94">+AR35-AS37</f>
        <v>6.4374322401501918E-12</v>
      </c>
      <c r="AT35" s="56">
        <f t="shared" ref="AT35" si="95">+AS35-AT37</f>
        <v>7.2099241089682146E-12</v>
      </c>
      <c r="AU35" s="56">
        <f t="shared" ref="AU35" si="96">+AT35-AU37</f>
        <v>8.0751150020443999E-12</v>
      </c>
      <c r="AV35" s="56">
        <f t="shared" ref="AV35" si="97">+AU35-AV37</f>
        <v>9.0441288022897271E-12</v>
      </c>
      <c r="AW35" s="56">
        <f t="shared" ref="AW35" si="98">+AV35-AW37</f>
        <v>1.0129424258564494E-11</v>
      </c>
      <c r="AX35" s="56">
        <f t="shared" ref="AX35" si="99">+AW35-AX37</f>
        <v>1.1344955169592234E-11</v>
      </c>
      <c r="AY35" s="56">
        <f t="shared" ref="AY35" si="100">+AX35-AY37</f>
        <v>1.2706349789943301E-11</v>
      </c>
      <c r="AZ35" s="56">
        <f t="shared" ref="AZ35" si="101">+AY35-AZ37</f>
        <v>1.4231111764736498E-11</v>
      </c>
      <c r="BA35" s="56">
        <f t="shared" ref="BA35" si="102">+AZ35-BA37</f>
        <v>1.5938845176504879E-11</v>
      </c>
    </row>
    <row r="36" spans="2:53" x14ac:dyDescent="0.2">
      <c r="B36" s="57" t="s">
        <v>29</v>
      </c>
      <c r="C36" s="64">
        <f>+F35/((1-(1/(1+$C$9)^$C$8))/$C$9)</f>
        <v>36.651208329437594</v>
      </c>
      <c r="D36" s="44"/>
      <c r="E36" s="44"/>
      <c r="F36" s="44">
        <v>0</v>
      </c>
      <c r="G36" s="44">
        <f>+IF(F35&lt;0.01,0,$C$36)</f>
        <v>36.651208329437594</v>
      </c>
      <c r="H36" s="44">
        <f t="shared" ref="H36:W36" si="103">+IF(G35&lt;0.01,0,$C$36)</f>
        <v>36.651208329437594</v>
      </c>
      <c r="I36" s="44">
        <f>+IF(H35&lt;0.01,0,$C$36)</f>
        <v>36.651208329437594</v>
      </c>
      <c r="J36" s="44">
        <f t="shared" si="103"/>
        <v>36.651208329437594</v>
      </c>
      <c r="K36" s="44">
        <f t="shared" si="103"/>
        <v>36.651208329437594</v>
      </c>
      <c r="L36" s="44">
        <f>+IF(K35&lt;0.01,0,$C$36)</f>
        <v>36.651208329437594</v>
      </c>
      <c r="M36" s="44">
        <f t="shared" si="103"/>
        <v>36.651208329437594</v>
      </c>
      <c r="N36" s="44">
        <f t="shared" si="103"/>
        <v>36.651208329437594</v>
      </c>
      <c r="O36" s="56">
        <f t="shared" si="103"/>
        <v>0</v>
      </c>
      <c r="P36" s="56">
        <f t="shared" si="103"/>
        <v>0</v>
      </c>
      <c r="Q36" s="56">
        <f t="shared" si="103"/>
        <v>0</v>
      </c>
      <c r="R36" s="56">
        <f t="shared" si="103"/>
        <v>0</v>
      </c>
      <c r="S36" s="56">
        <f t="shared" si="103"/>
        <v>0</v>
      </c>
      <c r="T36" s="56">
        <f t="shared" si="103"/>
        <v>0</v>
      </c>
      <c r="U36" s="56">
        <f t="shared" si="103"/>
        <v>0</v>
      </c>
      <c r="V36" s="56">
        <f t="shared" si="103"/>
        <v>0</v>
      </c>
      <c r="W36" s="56">
        <f t="shared" si="103"/>
        <v>0</v>
      </c>
      <c r="X36" s="56">
        <f t="shared" ref="X36:AP36" si="104">+IF(W35&lt;0.01,0,$C$36)</f>
        <v>0</v>
      </c>
      <c r="Y36" s="56">
        <f t="shared" si="104"/>
        <v>0</v>
      </c>
      <c r="Z36" s="56">
        <f t="shared" si="104"/>
        <v>0</v>
      </c>
      <c r="AA36" s="56">
        <f t="shared" si="104"/>
        <v>0</v>
      </c>
      <c r="AB36" s="56">
        <f t="shared" si="104"/>
        <v>0</v>
      </c>
      <c r="AC36" s="56">
        <f t="shared" si="104"/>
        <v>0</v>
      </c>
      <c r="AD36" s="56">
        <f t="shared" si="104"/>
        <v>0</v>
      </c>
      <c r="AE36" s="56">
        <f t="shared" si="104"/>
        <v>0</v>
      </c>
      <c r="AF36" s="56">
        <f t="shared" si="104"/>
        <v>0</v>
      </c>
      <c r="AG36" s="56">
        <f t="shared" si="104"/>
        <v>0</v>
      </c>
      <c r="AH36" s="56">
        <f t="shared" si="104"/>
        <v>0</v>
      </c>
      <c r="AI36" s="56">
        <f t="shared" si="104"/>
        <v>0</v>
      </c>
      <c r="AJ36" s="56">
        <f t="shared" si="104"/>
        <v>0</v>
      </c>
      <c r="AK36" s="56">
        <f t="shared" si="104"/>
        <v>0</v>
      </c>
      <c r="AL36" s="56">
        <f t="shared" si="104"/>
        <v>0</v>
      </c>
      <c r="AM36" s="56">
        <f t="shared" si="104"/>
        <v>0</v>
      </c>
      <c r="AN36" s="56">
        <f t="shared" si="104"/>
        <v>0</v>
      </c>
      <c r="AO36" s="56">
        <f t="shared" si="104"/>
        <v>0</v>
      </c>
      <c r="AP36" s="56">
        <f t="shared" si="104"/>
        <v>0</v>
      </c>
      <c r="AQ36" s="56">
        <f t="shared" ref="AQ36" si="105">+IF(AP35&lt;0.01,0,$C$36)</f>
        <v>0</v>
      </c>
      <c r="AR36" s="56">
        <f t="shared" ref="AR36" si="106">+IF(AQ35&lt;0.01,0,$C$36)</f>
        <v>0</v>
      </c>
      <c r="AS36" s="56">
        <f t="shared" ref="AS36" si="107">+IF(AR35&lt;0.01,0,$C$36)</f>
        <v>0</v>
      </c>
      <c r="AT36" s="56">
        <f t="shared" ref="AT36" si="108">+IF(AS35&lt;0.01,0,$C$36)</f>
        <v>0</v>
      </c>
      <c r="AU36" s="56">
        <f t="shared" ref="AU36" si="109">+IF(AT35&lt;0.01,0,$C$36)</f>
        <v>0</v>
      </c>
      <c r="AV36" s="56">
        <f t="shared" ref="AV36" si="110">+IF(AU35&lt;0.01,0,$C$36)</f>
        <v>0</v>
      </c>
      <c r="AW36" s="56">
        <f t="shared" ref="AW36" si="111">+IF(AV35&lt;0.01,0,$C$36)</f>
        <v>0</v>
      </c>
      <c r="AX36" s="56">
        <f t="shared" ref="AX36" si="112">+IF(AW35&lt;0.01,0,$C$36)</f>
        <v>0</v>
      </c>
      <c r="AY36" s="56">
        <f t="shared" ref="AY36" si="113">+IF(AX35&lt;0.01,0,$C$36)</f>
        <v>0</v>
      </c>
      <c r="AZ36" s="56">
        <f t="shared" ref="AZ36" si="114">+IF(AY35&lt;0.01,0,$C$36)</f>
        <v>0</v>
      </c>
      <c r="BA36" s="56">
        <f t="shared" ref="BA36" si="115">+IF(AZ35&lt;0.01,0,$C$36)</f>
        <v>0</v>
      </c>
    </row>
    <row r="37" spans="2:53" x14ac:dyDescent="0.2">
      <c r="B37" s="57" t="s">
        <v>30</v>
      </c>
      <c r="C37" s="65" t="s">
        <v>75</v>
      </c>
      <c r="D37" s="44"/>
      <c r="E37" s="44"/>
      <c r="F37" s="44">
        <v>0</v>
      </c>
      <c r="G37" s="44">
        <f>+G36-G38</f>
        <v>14.802808329437596</v>
      </c>
      <c r="H37" s="44">
        <f t="shared" ref="H37:W37" si="116">+H36-H38</f>
        <v>16.579145328970107</v>
      </c>
      <c r="I37" s="44">
        <f t="shared" si="116"/>
        <v>18.568642768446519</v>
      </c>
      <c r="J37" s="44">
        <f t="shared" si="116"/>
        <v>20.796879900660102</v>
      </c>
      <c r="K37" s="44">
        <f t="shared" si="116"/>
        <v>23.292505488739316</v>
      </c>
      <c r="L37" s="44">
        <f t="shared" si="116"/>
        <v>26.08760614738803</v>
      </c>
      <c r="M37" s="44">
        <f t="shared" si="116"/>
        <v>29.218118885074595</v>
      </c>
      <c r="N37" s="44">
        <f t="shared" si="116"/>
        <v>32.724293151283547</v>
      </c>
      <c r="O37" s="56">
        <f t="shared" si="116"/>
        <v>-2.3021584638627244E-14</v>
      </c>
      <c r="P37" s="56">
        <f t="shared" si="116"/>
        <v>-2.5784174795262513E-14</v>
      </c>
      <c r="Q37" s="56">
        <f t="shared" si="116"/>
        <v>-2.887827577069402E-14</v>
      </c>
      <c r="R37" s="56">
        <f t="shared" si="116"/>
        <v>-3.2343668863177301E-14</v>
      </c>
      <c r="S37" s="56">
        <f t="shared" si="116"/>
        <v>-3.6224909126758577E-14</v>
      </c>
      <c r="T37" s="56">
        <f t="shared" si="116"/>
        <v>-4.0571898221969609E-14</v>
      </c>
      <c r="U37" s="56">
        <f t="shared" si="116"/>
        <v>-4.5440526008605961E-14</v>
      </c>
      <c r="V37" s="56">
        <f t="shared" si="116"/>
        <v>-5.0893389129638675E-14</v>
      </c>
      <c r="W37" s="56">
        <f t="shared" si="116"/>
        <v>-5.7000595825195318E-14</v>
      </c>
      <c r="X37" s="56">
        <f t="shared" ref="X37:AP37" si="117">+X36-X38</f>
        <v>-6.3840667324218748E-14</v>
      </c>
      <c r="Y37" s="56">
        <f t="shared" si="117"/>
        <v>-7.1501547403125004E-14</v>
      </c>
      <c r="Z37" s="56">
        <f t="shared" si="117"/>
        <v>-8.0081733091499997E-14</v>
      </c>
      <c r="AA37" s="56">
        <f t="shared" si="117"/>
        <v>-8.9691541062479994E-14</v>
      </c>
      <c r="AB37" s="56">
        <f t="shared" si="117"/>
        <v>-1.0045452598997759E-13</v>
      </c>
      <c r="AC37" s="56">
        <f t="shared" si="117"/>
        <v>-1.125090691087749E-13</v>
      </c>
      <c r="AD37" s="56">
        <f t="shared" si="117"/>
        <v>-1.2601015740182787E-13</v>
      </c>
      <c r="AE37" s="56">
        <f t="shared" si="117"/>
        <v>-1.4113137629004722E-13</v>
      </c>
      <c r="AF37" s="56">
        <f t="shared" si="117"/>
        <v>-1.5806714144485288E-13</v>
      </c>
      <c r="AG37" s="56">
        <f t="shared" si="117"/>
        <v>-1.7703519841823521E-13</v>
      </c>
      <c r="AH37" s="56">
        <f t="shared" si="117"/>
        <v>-1.9827942222842345E-13</v>
      </c>
      <c r="AI37" s="56">
        <f t="shared" si="117"/>
        <v>-2.2207295289583426E-13</v>
      </c>
      <c r="AJ37" s="56">
        <f t="shared" si="117"/>
        <v>-2.4872170724333436E-13</v>
      </c>
      <c r="AK37" s="56">
        <f t="shared" si="117"/>
        <v>-2.7856831211253447E-13</v>
      </c>
      <c r="AL37" s="56">
        <f t="shared" si="117"/>
        <v>-3.1199650956603862E-13</v>
      </c>
      <c r="AM37" s="56">
        <f t="shared" si="117"/>
        <v>-3.4943609071396325E-13</v>
      </c>
      <c r="AN37" s="56">
        <f t="shared" si="117"/>
        <v>-3.9136842159963885E-13</v>
      </c>
      <c r="AO37" s="56">
        <f t="shared" si="117"/>
        <v>-4.3833263219159555E-13</v>
      </c>
      <c r="AP37" s="56">
        <f t="shared" si="117"/>
        <v>-4.9093254805458698E-13</v>
      </c>
      <c r="AQ37" s="56">
        <f t="shared" ref="AQ37:BA37" si="118">+AQ36-AQ38</f>
        <v>-5.4984445382113747E-13</v>
      </c>
      <c r="AR37" s="56">
        <f t="shared" si="118"/>
        <v>-6.1582578827967387E-13</v>
      </c>
      <c r="AS37" s="56">
        <f t="shared" si="118"/>
        <v>-6.8972488287323482E-13</v>
      </c>
      <c r="AT37" s="56">
        <f t="shared" si="118"/>
        <v>-7.7249186881802303E-13</v>
      </c>
      <c r="AU37" s="56">
        <f t="shared" si="118"/>
        <v>-8.6519089307618574E-13</v>
      </c>
      <c r="AV37" s="56">
        <f t="shared" si="118"/>
        <v>-9.6901380024532802E-13</v>
      </c>
      <c r="AW37" s="56">
        <f t="shared" si="118"/>
        <v>-1.0852954562747672E-12</v>
      </c>
      <c r="AX37" s="56">
        <f t="shared" si="118"/>
        <v>-1.2155309110277392E-12</v>
      </c>
      <c r="AY37" s="56">
        <f t="shared" si="118"/>
        <v>-1.361394620351068E-12</v>
      </c>
      <c r="AZ37" s="56">
        <f t="shared" si="118"/>
        <v>-1.5247619747931961E-12</v>
      </c>
      <c r="BA37" s="56">
        <f t="shared" si="118"/>
        <v>-1.7077334117683797E-12</v>
      </c>
    </row>
    <row r="38" spans="2:53" x14ac:dyDescent="0.2">
      <c r="B38" s="57" t="s">
        <v>3</v>
      </c>
      <c r="C38" s="65" t="s">
        <v>75</v>
      </c>
      <c r="D38" s="44"/>
      <c r="E38" s="44"/>
      <c r="F38" s="44">
        <v>0</v>
      </c>
      <c r="G38" s="44">
        <f>+$C$9*F35</f>
        <v>21.848399999999998</v>
      </c>
      <c r="H38" s="44">
        <f t="shared" ref="H38:W38" si="119">+$C$9*G35</f>
        <v>20.072063000467487</v>
      </c>
      <c r="I38" s="44">
        <f t="shared" si="119"/>
        <v>18.082565560991075</v>
      </c>
      <c r="J38" s="44">
        <f t="shared" si="119"/>
        <v>15.854328428777492</v>
      </c>
      <c r="K38" s="44">
        <f t="shared" si="119"/>
        <v>13.35870284069828</v>
      </c>
      <c r="L38" s="44">
        <f t="shared" si="119"/>
        <v>10.563602182049562</v>
      </c>
      <c r="M38" s="44">
        <f t="shared" si="119"/>
        <v>7.4330894443629996</v>
      </c>
      <c r="N38" s="44">
        <f t="shared" si="119"/>
        <v>3.9269151781540486</v>
      </c>
      <c r="O38" s="56">
        <f t="shared" si="119"/>
        <v>2.3021584638627244E-14</v>
      </c>
      <c r="P38" s="56">
        <f t="shared" si="119"/>
        <v>2.5784174795262513E-14</v>
      </c>
      <c r="Q38" s="56">
        <f t="shared" si="119"/>
        <v>2.887827577069402E-14</v>
      </c>
      <c r="R38" s="56">
        <f t="shared" si="119"/>
        <v>3.2343668863177301E-14</v>
      </c>
      <c r="S38" s="56">
        <f t="shared" si="119"/>
        <v>3.6224909126758577E-14</v>
      </c>
      <c r="T38" s="56">
        <f t="shared" si="119"/>
        <v>4.0571898221969609E-14</v>
      </c>
      <c r="U38" s="56">
        <f t="shared" si="119"/>
        <v>4.5440526008605961E-14</v>
      </c>
      <c r="V38" s="56">
        <f t="shared" si="119"/>
        <v>5.0893389129638675E-14</v>
      </c>
      <c r="W38" s="56">
        <f t="shared" si="119"/>
        <v>5.7000595825195318E-14</v>
      </c>
      <c r="X38" s="56">
        <f t="shared" ref="X38:AP38" si="120">+$C$9*W35</f>
        <v>6.3840667324218748E-14</v>
      </c>
      <c r="Y38" s="56">
        <f t="shared" si="120"/>
        <v>7.1501547403125004E-14</v>
      </c>
      <c r="Z38" s="56">
        <f t="shared" si="120"/>
        <v>8.0081733091499997E-14</v>
      </c>
      <c r="AA38" s="56">
        <f t="shared" si="120"/>
        <v>8.9691541062479994E-14</v>
      </c>
      <c r="AB38" s="56">
        <f t="shared" si="120"/>
        <v>1.0045452598997759E-13</v>
      </c>
      <c r="AC38" s="56">
        <f t="shared" si="120"/>
        <v>1.125090691087749E-13</v>
      </c>
      <c r="AD38" s="56">
        <f t="shared" si="120"/>
        <v>1.2601015740182787E-13</v>
      </c>
      <c r="AE38" s="56">
        <f t="shared" si="120"/>
        <v>1.4113137629004722E-13</v>
      </c>
      <c r="AF38" s="56">
        <f t="shared" si="120"/>
        <v>1.5806714144485288E-13</v>
      </c>
      <c r="AG38" s="56">
        <f t="shared" si="120"/>
        <v>1.7703519841823521E-13</v>
      </c>
      <c r="AH38" s="56">
        <f t="shared" si="120"/>
        <v>1.9827942222842345E-13</v>
      </c>
      <c r="AI38" s="56">
        <f t="shared" si="120"/>
        <v>2.2207295289583426E-13</v>
      </c>
      <c r="AJ38" s="56">
        <f t="shared" si="120"/>
        <v>2.4872170724333436E-13</v>
      </c>
      <c r="AK38" s="56">
        <f t="shared" si="120"/>
        <v>2.7856831211253447E-13</v>
      </c>
      <c r="AL38" s="56">
        <f t="shared" si="120"/>
        <v>3.1199650956603862E-13</v>
      </c>
      <c r="AM38" s="56">
        <f t="shared" si="120"/>
        <v>3.4943609071396325E-13</v>
      </c>
      <c r="AN38" s="56">
        <f t="shared" si="120"/>
        <v>3.9136842159963885E-13</v>
      </c>
      <c r="AO38" s="56">
        <f t="shared" si="120"/>
        <v>4.3833263219159555E-13</v>
      </c>
      <c r="AP38" s="56">
        <f t="shared" si="120"/>
        <v>4.9093254805458698E-13</v>
      </c>
      <c r="AQ38" s="56">
        <f t="shared" ref="AQ38" si="121">+$C$9*AP35</f>
        <v>5.4984445382113747E-13</v>
      </c>
      <c r="AR38" s="56">
        <f t="shared" ref="AR38" si="122">+$C$9*AQ35</f>
        <v>6.1582578827967387E-13</v>
      </c>
      <c r="AS38" s="56">
        <f t="shared" ref="AS38" si="123">+$C$9*AR35</f>
        <v>6.8972488287323482E-13</v>
      </c>
      <c r="AT38" s="56">
        <f t="shared" ref="AT38" si="124">+$C$9*AS35</f>
        <v>7.7249186881802303E-13</v>
      </c>
      <c r="AU38" s="56">
        <f t="shared" ref="AU38" si="125">+$C$9*AT35</f>
        <v>8.6519089307618574E-13</v>
      </c>
      <c r="AV38" s="56">
        <f t="shared" ref="AV38" si="126">+$C$9*AU35</f>
        <v>9.6901380024532802E-13</v>
      </c>
      <c r="AW38" s="56">
        <f t="shared" ref="AW38" si="127">+$C$9*AV35</f>
        <v>1.0852954562747672E-12</v>
      </c>
      <c r="AX38" s="56">
        <f t="shared" ref="AX38" si="128">+$C$9*AW35</f>
        <v>1.2155309110277392E-12</v>
      </c>
      <c r="AY38" s="56">
        <f t="shared" ref="AY38" si="129">+$C$9*AX35</f>
        <v>1.361394620351068E-12</v>
      </c>
      <c r="AZ38" s="56">
        <f t="shared" ref="AZ38" si="130">+$C$9*AY35</f>
        <v>1.5247619747931961E-12</v>
      </c>
      <c r="BA38" s="56">
        <f t="shared" ref="BA38" si="131">+$C$9*AZ35</f>
        <v>1.7077334117683797E-12</v>
      </c>
    </row>
    <row r="39" spans="2:53" x14ac:dyDescent="0.2">
      <c r="B39" s="57"/>
      <c r="D39" s="44"/>
      <c r="E39" s="44"/>
      <c r="F39" s="44"/>
      <c r="G39" s="44"/>
      <c r="H39" s="44"/>
      <c r="I39" s="44"/>
      <c r="J39" s="44"/>
      <c r="K39" s="44"/>
      <c r="L39" s="44"/>
      <c r="M39" s="44"/>
      <c r="N39" s="44"/>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row>
    <row r="40" spans="2:53" x14ac:dyDescent="0.2">
      <c r="B40" s="46" t="s">
        <v>48</v>
      </c>
      <c r="C40" s="65" t="s">
        <v>75</v>
      </c>
      <c r="D40" s="44"/>
      <c r="E40" s="44"/>
      <c r="F40" s="44"/>
      <c r="G40" s="44">
        <f>+G18</f>
        <v>185.71139999999997</v>
      </c>
      <c r="H40" s="44">
        <f>+G40-H42</f>
        <v>170.61253550397362</v>
      </c>
      <c r="I40" s="44">
        <f t="shared" ref="I40:W40" si="132">+H40-I42</f>
        <v>153.70180726842412</v>
      </c>
      <c r="J40" s="44">
        <f t="shared" si="132"/>
        <v>134.76179164460868</v>
      </c>
      <c r="K40" s="44">
        <f t="shared" si="132"/>
        <v>113.54897414593538</v>
      </c>
      <c r="L40" s="44">
        <f t="shared" si="132"/>
        <v>89.790618547421275</v>
      </c>
      <c r="M40" s="44">
        <f t="shared" si="132"/>
        <v>63.181260277085485</v>
      </c>
      <c r="N40" s="44">
        <f t="shared" si="132"/>
        <v>33.378779014309401</v>
      </c>
      <c r="O40" s="56">
        <f t="shared" si="132"/>
        <v>1.8474111129762605E-13</v>
      </c>
      <c r="P40" s="56">
        <f t="shared" si="132"/>
        <v>2.0691004465334118E-13</v>
      </c>
      <c r="Q40" s="56">
        <f t="shared" si="132"/>
        <v>2.3173925001174214E-13</v>
      </c>
      <c r="R40" s="56">
        <f t="shared" si="132"/>
        <v>2.5954796001315119E-13</v>
      </c>
      <c r="S40" s="56">
        <f t="shared" si="132"/>
        <v>2.9069371521472934E-13</v>
      </c>
      <c r="T40" s="56">
        <f t="shared" si="132"/>
        <v>3.2557696104049683E-13</v>
      </c>
      <c r="U40" s="56">
        <f t="shared" si="132"/>
        <v>3.6464619636535647E-13</v>
      </c>
      <c r="V40" s="56">
        <f t="shared" si="132"/>
        <v>4.0840373992919923E-13</v>
      </c>
      <c r="W40" s="56">
        <f t="shared" si="132"/>
        <v>4.5741218872070312E-13</v>
      </c>
      <c r="X40" s="56">
        <f t="shared" ref="X40:AP40" si="133">+W40-X42</f>
        <v>5.1230165136718747E-13</v>
      </c>
      <c r="Y40" s="56">
        <f t="shared" si="133"/>
        <v>5.7377784953124999E-13</v>
      </c>
      <c r="Z40" s="56">
        <f t="shared" si="133"/>
        <v>6.4263119147500001E-13</v>
      </c>
      <c r="AA40" s="56">
        <f t="shared" si="133"/>
        <v>7.1974693445199998E-13</v>
      </c>
      <c r="AB40" s="56">
        <f t="shared" si="133"/>
        <v>8.0611656658623995E-13</v>
      </c>
      <c r="AC40" s="56">
        <f t="shared" si="133"/>
        <v>9.0285055457658873E-13</v>
      </c>
      <c r="AD40" s="56">
        <f t="shared" si="133"/>
        <v>1.0111926211257794E-12</v>
      </c>
      <c r="AE40" s="56">
        <f t="shared" si="133"/>
        <v>1.1325357356608729E-12</v>
      </c>
      <c r="AF40" s="56">
        <f t="shared" si="133"/>
        <v>1.2684400239401777E-12</v>
      </c>
      <c r="AG40" s="56">
        <f t="shared" si="133"/>
        <v>1.420652826812999E-12</v>
      </c>
      <c r="AH40" s="56">
        <f t="shared" si="133"/>
        <v>1.5911311660305589E-12</v>
      </c>
      <c r="AI40" s="56">
        <f t="shared" si="133"/>
        <v>1.7820669059542259E-12</v>
      </c>
      <c r="AJ40" s="56">
        <f t="shared" si="133"/>
        <v>1.995914934668733E-12</v>
      </c>
      <c r="AK40" s="56">
        <f t="shared" si="133"/>
        <v>2.2354247268289808E-12</v>
      </c>
      <c r="AL40" s="56">
        <f t="shared" si="133"/>
        <v>2.5036756940484585E-12</v>
      </c>
      <c r="AM40" s="56">
        <f t="shared" si="133"/>
        <v>2.8041167773342735E-12</v>
      </c>
      <c r="AN40" s="56">
        <f t="shared" si="133"/>
        <v>3.1406107906143862E-12</v>
      </c>
      <c r="AO40" s="56">
        <f t="shared" si="133"/>
        <v>3.5174840854881126E-12</v>
      </c>
      <c r="AP40" s="56">
        <f t="shared" si="133"/>
        <v>3.9395821757466857E-12</v>
      </c>
      <c r="AQ40" s="56">
        <f t="shared" ref="AQ40" si="134">+AP40-AQ42</f>
        <v>4.4123320368362877E-12</v>
      </c>
      <c r="AR40" s="56">
        <f t="shared" ref="AR40" si="135">+AQ40-AR42</f>
        <v>4.9418118812566425E-12</v>
      </c>
      <c r="AS40" s="56">
        <f t="shared" ref="AS40" si="136">+AR40-AS42</f>
        <v>5.5348293070074397E-12</v>
      </c>
      <c r="AT40" s="56">
        <f t="shared" ref="AT40" si="137">+AS40-AT42</f>
        <v>6.1990088238483327E-12</v>
      </c>
      <c r="AU40" s="56">
        <f t="shared" ref="AU40" si="138">+AT40-AU42</f>
        <v>6.9428898827101328E-12</v>
      </c>
      <c r="AV40" s="56">
        <f t="shared" ref="AV40" si="139">+AU40-AV42</f>
        <v>7.7760366686353494E-12</v>
      </c>
      <c r="AW40" s="56">
        <f t="shared" ref="AW40" si="140">+AV40-AW42</f>
        <v>8.7091610688715911E-12</v>
      </c>
      <c r="AX40" s="56">
        <f t="shared" ref="AX40" si="141">+AW40-AX42</f>
        <v>9.7542603971361819E-12</v>
      </c>
      <c r="AY40" s="56">
        <f t="shared" ref="AY40" si="142">+AX40-AY42</f>
        <v>1.0924771644792524E-11</v>
      </c>
      <c r="AZ40" s="56">
        <f t="shared" ref="AZ40" si="143">+AY40-AZ42</f>
        <v>1.2235744242167627E-11</v>
      </c>
      <c r="BA40" s="56">
        <f t="shared" ref="BA40" si="144">+AZ40-BA42</f>
        <v>1.3704033551227742E-11</v>
      </c>
    </row>
    <row r="41" spans="2:53" x14ac:dyDescent="0.2">
      <c r="B41" s="57" t="s">
        <v>29</v>
      </c>
      <c r="C41" s="64">
        <f>+G40/((1-(1/(1+$C$9)^$C$8))/$C$9)</f>
        <v>37.384232496026343</v>
      </c>
      <c r="D41" s="44"/>
      <c r="E41" s="44"/>
      <c r="F41" s="44"/>
      <c r="G41" s="44">
        <v>0</v>
      </c>
      <c r="H41" s="44">
        <f>+IF(G40&lt;0.01,0,$C$41)</f>
        <v>37.384232496026343</v>
      </c>
      <c r="I41" s="44">
        <f t="shared" ref="I41:W41" si="145">+IF(H40&lt;0.01,0,$C$41)</f>
        <v>37.384232496026343</v>
      </c>
      <c r="J41" s="44">
        <f t="shared" si="145"/>
        <v>37.384232496026343</v>
      </c>
      <c r="K41" s="44">
        <f t="shared" si="145"/>
        <v>37.384232496026343</v>
      </c>
      <c r="L41" s="44">
        <f t="shared" si="145"/>
        <v>37.384232496026343</v>
      </c>
      <c r="M41" s="44">
        <f t="shared" si="145"/>
        <v>37.384232496026343</v>
      </c>
      <c r="N41" s="44">
        <f t="shared" si="145"/>
        <v>37.384232496026343</v>
      </c>
      <c r="O41" s="56">
        <f t="shared" si="145"/>
        <v>37.384232496026343</v>
      </c>
      <c r="P41" s="56">
        <f t="shared" si="145"/>
        <v>0</v>
      </c>
      <c r="Q41" s="56">
        <f t="shared" si="145"/>
        <v>0</v>
      </c>
      <c r="R41" s="56">
        <f t="shared" si="145"/>
        <v>0</v>
      </c>
      <c r="S41" s="56">
        <f t="shared" si="145"/>
        <v>0</v>
      </c>
      <c r="T41" s="56">
        <f t="shared" si="145"/>
        <v>0</v>
      </c>
      <c r="U41" s="56">
        <f t="shared" si="145"/>
        <v>0</v>
      </c>
      <c r="V41" s="56">
        <f t="shared" si="145"/>
        <v>0</v>
      </c>
      <c r="W41" s="56">
        <f t="shared" si="145"/>
        <v>0</v>
      </c>
      <c r="X41" s="56">
        <f t="shared" ref="X41:AP41" si="146">+IF(W40&lt;0.01,0,$C$41)</f>
        <v>0</v>
      </c>
      <c r="Y41" s="56">
        <f t="shared" si="146"/>
        <v>0</v>
      </c>
      <c r="Z41" s="56">
        <f t="shared" si="146"/>
        <v>0</v>
      </c>
      <c r="AA41" s="56">
        <f t="shared" si="146"/>
        <v>0</v>
      </c>
      <c r="AB41" s="56">
        <f t="shared" si="146"/>
        <v>0</v>
      </c>
      <c r="AC41" s="56">
        <f t="shared" si="146"/>
        <v>0</v>
      </c>
      <c r="AD41" s="56">
        <f t="shared" si="146"/>
        <v>0</v>
      </c>
      <c r="AE41" s="56">
        <f t="shared" si="146"/>
        <v>0</v>
      </c>
      <c r="AF41" s="56">
        <f t="shared" si="146"/>
        <v>0</v>
      </c>
      <c r="AG41" s="56">
        <f t="shared" si="146"/>
        <v>0</v>
      </c>
      <c r="AH41" s="56">
        <f t="shared" si="146"/>
        <v>0</v>
      </c>
      <c r="AI41" s="56">
        <f t="shared" si="146"/>
        <v>0</v>
      </c>
      <c r="AJ41" s="56">
        <f t="shared" si="146"/>
        <v>0</v>
      </c>
      <c r="AK41" s="56">
        <f t="shared" si="146"/>
        <v>0</v>
      </c>
      <c r="AL41" s="56">
        <f t="shared" si="146"/>
        <v>0</v>
      </c>
      <c r="AM41" s="56">
        <f t="shared" si="146"/>
        <v>0</v>
      </c>
      <c r="AN41" s="56">
        <f t="shared" si="146"/>
        <v>0</v>
      </c>
      <c r="AO41" s="56">
        <f t="shared" si="146"/>
        <v>0</v>
      </c>
      <c r="AP41" s="56">
        <f t="shared" si="146"/>
        <v>0</v>
      </c>
      <c r="AQ41" s="56">
        <f t="shared" ref="AQ41" si="147">+IF(AP40&lt;0.01,0,$C$41)</f>
        <v>0</v>
      </c>
      <c r="AR41" s="56">
        <f t="shared" ref="AR41" si="148">+IF(AQ40&lt;0.01,0,$C$41)</f>
        <v>0</v>
      </c>
      <c r="AS41" s="56">
        <f t="shared" ref="AS41" si="149">+IF(AR40&lt;0.01,0,$C$41)</f>
        <v>0</v>
      </c>
      <c r="AT41" s="56">
        <f t="shared" ref="AT41" si="150">+IF(AS40&lt;0.01,0,$C$41)</f>
        <v>0</v>
      </c>
      <c r="AU41" s="56">
        <f t="shared" ref="AU41" si="151">+IF(AT40&lt;0.01,0,$C$41)</f>
        <v>0</v>
      </c>
      <c r="AV41" s="56">
        <f t="shared" ref="AV41" si="152">+IF(AU40&lt;0.01,0,$C$41)</f>
        <v>0</v>
      </c>
      <c r="AW41" s="56">
        <f t="shared" ref="AW41" si="153">+IF(AV40&lt;0.01,0,$C$41)</f>
        <v>0</v>
      </c>
      <c r="AX41" s="56">
        <f t="shared" ref="AX41" si="154">+IF(AW40&lt;0.01,0,$C$41)</f>
        <v>0</v>
      </c>
      <c r="AY41" s="56">
        <f t="shared" ref="AY41" si="155">+IF(AX40&lt;0.01,0,$C$41)</f>
        <v>0</v>
      </c>
      <c r="AZ41" s="56">
        <f t="shared" ref="AZ41" si="156">+IF(AY40&lt;0.01,0,$C$41)</f>
        <v>0</v>
      </c>
      <c r="BA41" s="56">
        <f t="shared" ref="BA41" si="157">+IF(AZ40&lt;0.01,0,$C$41)</f>
        <v>0</v>
      </c>
    </row>
    <row r="42" spans="2:53" x14ac:dyDescent="0.2">
      <c r="B42" s="57" t="s">
        <v>30</v>
      </c>
      <c r="C42" s="65" t="s">
        <v>75</v>
      </c>
      <c r="D42" s="44"/>
      <c r="E42" s="44"/>
      <c r="F42" s="44"/>
      <c r="G42" s="44">
        <v>0</v>
      </c>
      <c r="H42" s="44">
        <f>+H41-H43</f>
        <v>15.098864496026348</v>
      </c>
      <c r="I42" s="44">
        <f t="shared" ref="I42:W42" si="158">+I41-I43</f>
        <v>16.910728235549509</v>
      </c>
      <c r="J42" s="44">
        <f t="shared" si="158"/>
        <v>18.940015623815448</v>
      </c>
      <c r="K42" s="44">
        <f t="shared" si="158"/>
        <v>21.212817498673303</v>
      </c>
      <c r="L42" s="44">
        <f t="shared" si="158"/>
        <v>23.7583555985141</v>
      </c>
      <c r="M42" s="44">
        <f t="shared" si="158"/>
        <v>26.60935827033579</v>
      </c>
      <c r="N42" s="44">
        <f t="shared" si="158"/>
        <v>29.802481262776084</v>
      </c>
      <c r="O42" s="56">
        <f t="shared" si="158"/>
        <v>33.378779014309217</v>
      </c>
      <c r="P42" s="56">
        <f t="shared" si="158"/>
        <v>-2.2168933355715127E-14</v>
      </c>
      <c r="Q42" s="56">
        <f t="shared" si="158"/>
        <v>-2.4829205358400942E-14</v>
      </c>
      <c r="R42" s="56">
        <f t="shared" si="158"/>
        <v>-2.7808710001409056E-14</v>
      </c>
      <c r="S42" s="56">
        <f t="shared" si="158"/>
        <v>-3.1145755201578144E-14</v>
      </c>
      <c r="T42" s="56">
        <f t="shared" si="158"/>
        <v>-3.4883245825767518E-14</v>
      </c>
      <c r="U42" s="56">
        <f t="shared" si="158"/>
        <v>-3.906923532485962E-14</v>
      </c>
      <c r="V42" s="56">
        <f t="shared" si="158"/>
        <v>-4.3757543563842777E-14</v>
      </c>
      <c r="W42" s="56">
        <f t="shared" si="158"/>
        <v>-4.9008448791503904E-14</v>
      </c>
      <c r="X42" s="56">
        <f t="shared" ref="X42:AP42" si="159">+X41-X43</f>
        <v>-5.4889462646484376E-14</v>
      </c>
      <c r="Y42" s="56">
        <f t="shared" si="159"/>
        <v>-6.1476198164062492E-14</v>
      </c>
      <c r="Z42" s="56">
        <f t="shared" si="159"/>
        <v>-6.8853341943749998E-14</v>
      </c>
      <c r="AA42" s="56">
        <f t="shared" si="159"/>
        <v>-7.7115742977000003E-14</v>
      </c>
      <c r="AB42" s="56">
        <f t="shared" si="159"/>
        <v>-8.6369632134239998E-14</v>
      </c>
      <c r="AC42" s="56">
        <f t="shared" si="159"/>
        <v>-9.6733987990348795E-14</v>
      </c>
      <c r="AD42" s="56">
        <f t="shared" si="159"/>
        <v>-1.0834206654919064E-13</v>
      </c>
      <c r="AE42" s="56">
        <f t="shared" si="159"/>
        <v>-1.2134311453509351E-13</v>
      </c>
      <c r="AF42" s="56">
        <f t="shared" si="159"/>
        <v>-1.3590428827930474E-13</v>
      </c>
      <c r="AG42" s="56">
        <f t="shared" si="159"/>
        <v>-1.5221280287282131E-13</v>
      </c>
      <c r="AH42" s="56">
        <f t="shared" si="159"/>
        <v>-1.7047833921755986E-13</v>
      </c>
      <c r="AI42" s="56">
        <f t="shared" si="159"/>
        <v>-1.9093573992366707E-13</v>
      </c>
      <c r="AJ42" s="56">
        <f t="shared" si="159"/>
        <v>-2.1384802871450711E-13</v>
      </c>
      <c r="AK42" s="56">
        <f t="shared" si="159"/>
        <v>-2.3950979216024796E-13</v>
      </c>
      <c r="AL42" s="56">
        <f t="shared" si="159"/>
        <v>-2.6825096721947767E-13</v>
      </c>
      <c r="AM42" s="56">
        <f t="shared" si="159"/>
        <v>-3.0044108328581503E-13</v>
      </c>
      <c r="AN42" s="56">
        <f t="shared" si="159"/>
        <v>-3.3649401328011281E-13</v>
      </c>
      <c r="AO42" s="56">
        <f t="shared" si="159"/>
        <v>-3.7687329487372635E-13</v>
      </c>
      <c r="AP42" s="56">
        <f t="shared" si="159"/>
        <v>-4.2209809025857348E-13</v>
      </c>
      <c r="AQ42" s="56">
        <f t="shared" ref="AQ42:BA42" si="160">+AQ41-AQ43</f>
        <v>-4.7274986108960223E-13</v>
      </c>
      <c r="AR42" s="56">
        <f t="shared" si="160"/>
        <v>-5.2947984442035455E-13</v>
      </c>
      <c r="AS42" s="56">
        <f t="shared" si="160"/>
        <v>-5.9301742575079713E-13</v>
      </c>
      <c r="AT42" s="56">
        <f t="shared" si="160"/>
        <v>-6.6417951684089272E-13</v>
      </c>
      <c r="AU42" s="56">
        <f t="shared" si="160"/>
        <v>-7.4388105886179992E-13</v>
      </c>
      <c r="AV42" s="56">
        <f t="shared" si="160"/>
        <v>-8.3314678592521594E-13</v>
      </c>
      <c r="AW42" s="56">
        <f t="shared" si="160"/>
        <v>-9.3312440023624194E-13</v>
      </c>
      <c r="AX42" s="56">
        <f t="shared" si="160"/>
        <v>-1.0450993282645909E-12</v>
      </c>
      <c r="AY42" s="56">
        <f t="shared" si="160"/>
        <v>-1.1705112476563418E-12</v>
      </c>
      <c r="AZ42" s="56">
        <f t="shared" si="160"/>
        <v>-1.3109725973751028E-12</v>
      </c>
      <c r="BA42" s="56">
        <f t="shared" si="160"/>
        <v>-1.4682893090601153E-12</v>
      </c>
    </row>
    <row r="43" spans="2:53" x14ac:dyDescent="0.2">
      <c r="B43" s="57" t="s">
        <v>3</v>
      </c>
      <c r="C43" s="65" t="s">
        <v>75</v>
      </c>
      <c r="D43" s="44"/>
      <c r="E43" s="44"/>
      <c r="F43" s="44"/>
      <c r="G43" s="44">
        <v>0</v>
      </c>
      <c r="H43" s="44">
        <f>+$C$9*G40</f>
        <v>22.285367999999995</v>
      </c>
      <c r="I43" s="44">
        <f t="shared" ref="I43:W43" si="161">+$C$9*H40</f>
        <v>20.473504260476833</v>
      </c>
      <c r="J43" s="44">
        <f t="shared" si="161"/>
        <v>18.444216872210895</v>
      </c>
      <c r="K43" s="44">
        <f t="shared" si="161"/>
        <v>16.17141499735304</v>
      </c>
      <c r="L43" s="44">
        <f t="shared" si="161"/>
        <v>13.625876897512244</v>
      </c>
      <c r="M43" s="44">
        <f t="shared" si="161"/>
        <v>10.774874225690553</v>
      </c>
      <c r="N43" s="44">
        <f t="shared" si="161"/>
        <v>7.5817512332502579</v>
      </c>
      <c r="O43" s="56">
        <f t="shared" si="161"/>
        <v>4.0054534817171277</v>
      </c>
      <c r="P43" s="56">
        <f t="shared" si="161"/>
        <v>2.2168933355715127E-14</v>
      </c>
      <c r="Q43" s="56">
        <f t="shared" si="161"/>
        <v>2.4829205358400942E-14</v>
      </c>
      <c r="R43" s="56">
        <f t="shared" si="161"/>
        <v>2.7808710001409056E-14</v>
      </c>
      <c r="S43" s="56">
        <f t="shared" si="161"/>
        <v>3.1145755201578144E-14</v>
      </c>
      <c r="T43" s="56">
        <f t="shared" si="161"/>
        <v>3.4883245825767518E-14</v>
      </c>
      <c r="U43" s="56">
        <f t="shared" si="161"/>
        <v>3.906923532485962E-14</v>
      </c>
      <c r="V43" s="56">
        <f t="shared" si="161"/>
        <v>4.3757543563842777E-14</v>
      </c>
      <c r="W43" s="56">
        <f t="shared" si="161"/>
        <v>4.9008448791503904E-14</v>
      </c>
      <c r="X43" s="56">
        <f t="shared" ref="X43:AP43" si="162">+$C$9*W40</f>
        <v>5.4889462646484376E-14</v>
      </c>
      <c r="Y43" s="56">
        <f t="shared" si="162"/>
        <v>6.1476198164062492E-14</v>
      </c>
      <c r="Z43" s="56">
        <f t="shared" si="162"/>
        <v>6.8853341943749998E-14</v>
      </c>
      <c r="AA43" s="56">
        <f t="shared" si="162"/>
        <v>7.7115742977000003E-14</v>
      </c>
      <c r="AB43" s="56">
        <f t="shared" si="162"/>
        <v>8.6369632134239998E-14</v>
      </c>
      <c r="AC43" s="56">
        <f t="shared" si="162"/>
        <v>9.6733987990348795E-14</v>
      </c>
      <c r="AD43" s="56">
        <f t="shared" si="162"/>
        <v>1.0834206654919064E-13</v>
      </c>
      <c r="AE43" s="56">
        <f t="shared" si="162"/>
        <v>1.2134311453509351E-13</v>
      </c>
      <c r="AF43" s="56">
        <f t="shared" si="162"/>
        <v>1.3590428827930474E-13</v>
      </c>
      <c r="AG43" s="56">
        <f t="shared" si="162"/>
        <v>1.5221280287282131E-13</v>
      </c>
      <c r="AH43" s="56">
        <f t="shared" si="162"/>
        <v>1.7047833921755986E-13</v>
      </c>
      <c r="AI43" s="56">
        <f t="shared" si="162"/>
        <v>1.9093573992366707E-13</v>
      </c>
      <c r="AJ43" s="56">
        <f t="shared" si="162"/>
        <v>2.1384802871450711E-13</v>
      </c>
      <c r="AK43" s="56">
        <f t="shared" si="162"/>
        <v>2.3950979216024796E-13</v>
      </c>
      <c r="AL43" s="56">
        <f t="shared" si="162"/>
        <v>2.6825096721947767E-13</v>
      </c>
      <c r="AM43" s="56">
        <f t="shared" si="162"/>
        <v>3.0044108328581503E-13</v>
      </c>
      <c r="AN43" s="56">
        <f t="shared" si="162"/>
        <v>3.3649401328011281E-13</v>
      </c>
      <c r="AO43" s="56">
        <f t="shared" si="162"/>
        <v>3.7687329487372635E-13</v>
      </c>
      <c r="AP43" s="56">
        <f t="shared" si="162"/>
        <v>4.2209809025857348E-13</v>
      </c>
      <c r="AQ43" s="56">
        <f t="shared" ref="AQ43" si="163">+$C$9*AP40</f>
        <v>4.7274986108960223E-13</v>
      </c>
      <c r="AR43" s="56">
        <f t="shared" ref="AR43" si="164">+$C$9*AQ40</f>
        <v>5.2947984442035455E-13</v>
      </c>
      <c r="AS43" s="56">
        <f t="shared" ref="AS43" si="165">+$C$9*AR40</f>
        <v>5.9301742575079713E-13</v>
      </c>
      <c r="AT43" s="56">
        <f t="shared" ref="AT43" si="166">+$C$9*AS40</f>
        <v>6.6417951684089272E-13</v>
      </c>
      <c r="AU43" s="56">
        <f t="shared" ref="AU43" si="167">+$C$9*AT40</f>
        <v>7.4388105886179992E-13</v>
      </c>
      <c r="AV43" s="56">
        <f t="shared" ref="AV43" si="168">+$C$9*AU40</f>
        <v>8.3314678592521594E-13</v>
      </c>
      <c r="AW43" s="56">
        <f t="shared" ref="AW43" si="169">+$C$9*AV40</f>
        <v>9.3312440023624194E-13</v>
      </c>
      <c r="AX43" s="56">
        <f t="shared" ref="AX43" si="170">+$C$9*AW40</f>
        <v>1.0450993282645909E-12</v>
      </c>
      <c r="AY43" s="56">
        <f t="shared" ref="AY43" si="171">+$C$9*AX40</f>
        <v>1.1705112476563418E-12</v>
      </c>
      <c r="AZ43" s="56">
        <f t="shared" ref="AZ43" si="172">+$C$9*AY40</f>
        <v>1.3109725973751028E-12</v>
      </c>
      <c r="BA43" s="56">
        <f t="shared" ref="BA43" si="173">+$C$9*AZ40</f>
        <v>1.4682893090601153E-12</v>
      </c>
    </row>
    <row r="44" spans="2:53" x14ac:dyDescent="0.2">
      <c r="B44" s="57"/>
      <c r="D44" s="44"/>
      <c r="E44" s="44"/>
      <c r="F44" s="44"/>
      <c r="G44" s="44"/>
      <c r="H44" s="44"/>
      <c r="I44" s="44"/>
      <c r="J44" s="44"/>
      <c r="K44" s="44"/>
      <c r="L44" s="44"/>
      <c r="M44" s="44"/>
      <c r="N44" s="44"/>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row>
    <row r="45" spans="2:53" x14ac:dyDescent="0.2">
      <c r="B45" s="46" t="s">
        <v>49</v>
      </c>
      <c r="C45" s="65" t="s">
        <v>75</v>
      </c>
      <c r="D45" s="44"/>
      <c r="E45" s="44"/>
      <c r="F45" s="44"/>
      <c r="G45" s="6"/>
      <c r="H45" s="44">
        <f>H18</f>
        <v>0</v>
      </c>
      <c r="I45" s="44">
        <f t="shared" ref="I45:AP45" si="174">+H45-I47</f>
        <v>0</v>
      </c>
      <c r="J45" s="44">
        <f t="shared" si="174"/>
        <v>0</v>
      </c>
      <c r="K45" s="44">
        <f t="shared" si="174"/>
        <v>0</v>
      </c>
      <c r="L45" s="44">
        <f t="shared" si="174"/>
        <v>0</v>
      </c>
      <c r="M45" s="44">
        <f t="shared" si="174"/>
        <v>0</v>
      </c>
      <c r="N45" s="44">
        <f t="shared" si="174"/>
        <v>0</v>
      </c>
      <c r="O45" s="56">
        <f t="shared" si="174"/>
        <v>0</v>
      </c>
      <c r="P45" s="56">
        <f t="shared" si="174"/>
        <v>0</v>
      </c>
      <c r="Q45" s="56">
        <f t="shared" si="174"/>
        <v>0</v>
      </c>
      <c r="R45" s="56">
        <f t="shared" si="174"/>
        <v>0</v>
      </c>
      <c r="S45" s="56">
        <f t="shared" si="174"/>
        <v>0</v>
      </c>
      <c r="T45" s="56">
        <f t="shared" si="174"/>
        <v>0</v>
      </c>
      <c r="U45" s="56">
        <f t="shared" si="174"/>
        <v>0</v>
      </c>
      <c r="V45" s="56">
        <f t="shared" si="174"/>
        <v>0</v>
      </c>
      <c r="W45" s="56">
        <f t="shared" si="174"/>
        <v>0</v>
      </c>
      <c r="X45" s="56">
        <f t="shared" si="174"/>
        <v>0</v>
      </c>
      <c r="Y45" s="56">
        <f t="shared" si="174"/>
        <v>0</v>
      </c>
      <c r="Z45" s="56">
        <f t="shared" si="174"/>
        <v>0</v>
      </c>
      <c r="AA45" s="56">
        <f t="shared" si="174"/>
        <v>0</v>
      </c>
      <c r="AB45" s="56">
        <f t="shared" si="174"/>
        <v>0</v>
      </c>
      <c r="AC45" s="56">
        <f t="shared" si="174"/>
        <v>0</v>
      </c>
      <c r="AD45" s="56">
        <f t="shared" si="174"/>
        <v>0</v>
      </c>
      <c r="AE45" s="56">
        <f t="shared" si="174"/>
        <v>0</v>
      </c>
      <c r="AF45" s="56">
        <f t="shared" si="174"/>
        <v>0</v>
      </c>
      <c r="AG45" s="56">
        <f t="shared" si="174"/>
        <v>0</v>
      </c>
      <c r="AH45" s="56">
        <f t="shared" si="174"/>
        <v>0</v>
      </c>
      <c r="AI45" s="56">
        <f t="shared" si="174"/>
        <v>0</v>
      </c>
      <c r="AJ45" s="56">
        <f t="shared" si="174"/>
        <v>0</v>
      </c>
      <c r="AK45" s="56">
        <f t="shared" si="174"/>
        <v>0</v>
      </c>
      <c r="AL45" s="56">
        <f t="shared" si="174"/>
        <v>0</v>
      </c>
      <c r="AM45" s="56">
        <f t="shared" si="174"/>
        <v>0</v>
      </c>
      <c r="AN45" s="56">
        <f t="shared" si="174"/>
        <v>0</v>
      </c>
      <c r="AO45" s="56">
        <f t="shared" si="174"/>
        <v>0</v>
      </c>
      <c r="AP45" s="56">
        <f t="shared" si="174"/>
        <v>0</v>
      </c>
      <c r="AQ45" s="56">
        <f t="shared" ref="AQ45" si="175">+AP45-AQ47</f>
        <v>0</v>
      </c>
      <c r="AR45" s="56">
        <f t="shared" ref="AR45" si="176">+AQ45-AR47</f>
        <v>0</v>
      </c>
      <c r="AS45" s="56">
        <f t="shared" ref="AS45" si="177">+AR45-AS47</f>
        <v>0</v>
      </c>
      <c r="AT45" s="56">
        <f t="shared" ref="AT45" si="178">+AS45-AT47</f>
        <v>0</v>
      </c>
      <c r="AU45" s="56">
        <f t="shared" ref="AU45" si="179">+AT45-AU47</f>
        <v>0</v>
      </c>
      <c r="AV45" s="56">
        <f t="shared" ref="AV45" si="180">+AU45-AV47</f>
        <v>0</v>
      </c>
      <c r="AW45" s="56">
        <f t="shared" ref="AW45" si="181">+AV45-AW47</f>
        <v>0</v>
      </c>
      <c r="AX45" s="56">
        <f t="shared" ref="AX45" si="182">+AW45-AX47</f>
        <v>0</v>
      </c>
      <c r="AY45" s="56">
        <f t="shared" ref="AY45" si="183">+AX45-AY47</f>
        <v>0</v>
      </c>
      <c r="AZ45" s="56">
        <f t="shared" ref="AZ45" si="184">+AY45-AZ47</f>
        <v>0</v>
      </c>
      <c r="BA45" s="56">
        <f t="shared" ref="BA45" si="185">+AZ45-BA47</f>
        <v>0</v>
      </c>
    </row>
    <row r="46" spans="2:53" x14ac:dyDescent="0.2">
      <c r="B46" s="57" t="s">
        <v>29</v>
      </c>
      <c r="C46" s="64">
        <f>+H45/((1-(1/(1+$C$9)^$C$8))/$C$9)</f>
        <v>0</v>
      </c>
      <c r="D46" s="44"/>
      <c r="E46" s="44"/>
      <c r="F46" s="44"/>
      <c r="G46" s="6"/>
      <c r="H46" s="44">
        <v>0</v>
      </c>
      <c r="I46" s="44">
        <f>+IF(H45&lt;0.01,0,$C46)</f>
        <v>0</v>
      </c>
      <c r="J46" s="44">
        <f t="shared" ref="J46:AP46" si="186">+IF(I45&lt;0.01,0,$C$46)</f>
        <v>0</v>
      </c>
      <c r="K46" s="44">
        <f t="shared" si="186"/>
        <v>0</v>
      </c>
      <c r="L46" s="44">
        <f t="shared" si="186"/>
        <v>0</v>
      </c>
      <c r="M46" s="44">
        <f t="shared" si="186"/>
        <v>0</v>
      </c>
      <c r="N46" s="44">
        <f t="shared" si="186"/>
        <v>0</v>
      </c>
      <c r="O46" s="56">
        <f t="shared" si="186"/>
        <v>0</v>
      </c>
      <c r="P46" s="56">
        <f t="shared" si="186"/>
        <v>0</v>
      </c>
      <c r="Q46" s="56">
        <f t="shared" si="186"/>
        <v>0</v>
      </c>
      <c r="R46" s="56">
        <f t="shared" si="186"/>
        <v>0</v>
      </c>
      <c r="S46" s="56">
        <f t="shared" si="186"/>
        <v>0</v>
      </c>
      <c r="T46" s="56">
        <f t="shared" si="186"/>
        <v>0</v>
      </c>
      <c r="U46" s="56">
        <f t="shared" si="186"/>
        <v>0</v>
      </c>
      <c r="V46" s="56">
        <f t="shared" si="186"/>
        <v>0</v>
      </c>
      <c r="W46" s="56">
        <f t="shared" si="186"/>
        <v>0</v>
      </c>
      <c r="X46" s="56">
        <f t="shared" si="186"/>
        <v>0</v>
      </c>
      <c r="Y46" s="56">
        <f t="shared" si="186"/>
        <v>0</v>
      </c>
      <c r="Z46" s="56">
        <f t="shared" si="186"/>
        <v>0</v>
      </c>
      <c r="AA46" s="56">
        <f t="shared" si="186"/>
        <v>0</v>
      </c>
      <c r="AB46" s="56">
        <f t="shared" si="186"/>
        <v>0</v>
      </c>
      <c r="AC46" s="56">
        <f t="shared" si="186"/>
        <v>0</v>
      </c>
      <c r="AD46" s="56">
        <f t="shared" si="186"/>
        <v>0</v>
      </c>
      <c r="AE46" s="56">
        <f t="shared" si="186"/>
        <v>0</v>
      </c>
      <c r="AF46" s="56">
        <f t="shared" si="186"/>
        <v>0</v>
      </c>
      <c r="AG46" s="56">
        <f t="shared" si="186"/>
        <v>0</v>
      </c>
      <c r="AH46" s="56">
        <f t="shared" si="186"/>
        <v>0</v>
      </c>
      <c r="AI46" s="56">
        <f t="shared" si="186"/>
        <v>0</v>
      </c>
      <c r="AJ46" s="56">
        <f t="shared" si="186"/>
        <v>0</v>
      </c>
      <c r="AK46" s="56">
        <f t="shared" si="186"/>
        <v>0</v>
      </c>
      <c r="AL46" s="56">
        <f t="shared" si="186"/>
        <v>0</v>
      </c>
      <c r="AM46" s="56">
        <f t="shared" si="186"/>
        <v>0</v>
      </c>
      <c r="AN46" s="56">
        <f t="shared" si="186"/>
        <v>0</v>
      </c>
      <c r="AO46" s="56">
        <f t="shared" si="186"/>
        <v>0</v>
      </c>
      <c r="AP46" s="56">
        <f t="shared" si="186"/>
        <v>0</v>
      </c>
      <c r="AQ46" s="56">
        <f t="shared" ref="AQ46" si="187">+IF(AP45&lt;0.01,0,$C$46)</f>
        <v>0</v>
      </c>
      <c r="AR46" s="56">
        <f t="shared" ref="AR46" si="188">+IF(AQ45&lt;0.01,0,$C$46)</f>
        <v>0</v>
      </c>
      <c r="AS46" s="56">
        <f t="shared" ref="AS46" si="189">+IF(AR45&lt;0.01,0,$C$46)</f>
        <v>0</v>
      </c>
      <c r="AT46" s="56">
        <f t="shared" ref="AT46" si="190">+IF(AS45&lt;0.01,0,$C$46)</f>
        <v>0</v>
      </c>
      <c r="AU46" s="56">
        <f t="shared" ref="AU46" si="191">+IF(AT45&lt;0.01,0,$C$46)</f>
        <v>0</v>
      </c>
      <c r="AV46" s="56">
        <f t="shared" ref="AV46" si="192">+IF(AU45&lt;0.01,0,$C$46)</f>
        <v>0</v>
      </c>
      <c r="AW46" s="56">
        <f t="shared" ref="AW46" si="193">+IF(AV45&lt;0.01,0,$C$46)</f>
        <v>0</v>
      </c>
      <c r="AX46" s="56">
        <f t="shared" ref="AX46" si="194">+IF(AW45&lt;0.01,0,$C$46)</f>
        <v>0</v>
      </c>
      <c r="AY46" s="56">
        <f t="shared" ref="AY46" si="195">+IF(AX45&lt;0.01,0,$C$46)</f>
        <v>0</v>
      </c>
      <c r="AZ46" s="56">
        <f t="shared" ref="AZ46" si="196">+IF(AY45&lt;0.01,0,$C$46)</f>
        <v>0</v>
      </c>
      <c r="BA46" s="56">
        <f t="shared" ref="BA46" si="197">+IF(AZ45&lt;0.01,0,$C$46)</f>
        <v>0</v>
      </c>
    </row>
    <row r="47" spans="2:53" x14ac:dyDescent="0.2">
      <c r="B47" s="57" t="s">
        <v>30</v>
      </c>
      <c r="C47" s="65" t="s">
        <v>75</v>
      </c>
      <c r="D47" s="44"/>
      <c r="E47" s="44"/>
      <c r="F47" s="44"/>
      <c r="G47" s="6"/>
      <c r="H47" s="44">
        <v>0</v>
      </c>
      <c r="I47" s="44">
        <f>+I46-I48</f>
        <v>0</v>
      </c>
      <c r="J47" s="44">
        <f t="shared" ref="J47:AP47" si="198">+J46-J48</f>
        <v>0</v>
      </c>
      <c r="K47" s="44">
        <f t="shared" si="198"/>
        <v>0</v>
      </c>
      <c r="L47" s="44">
        <f t="shared" si="198"/>
        <v>0</v>
      </c>
      <c r="M47" s="44">
        <f t="shared" si="198"/>
        <v>0</v>
      </c>
      <c r="N47" s="44">
        <f t="shared" si="198"/>
        <v>0</v>
      </c>
      <c r="O47" s="56">
        <f t="shared" si="198"/>
        <v>0</v>
      </c>
      <c r="P47" s="56">
        <f t="shared" si="198"/>
        <v>0</v>
      </c>
      <c r="Q47" s="56">
        <f t="shared" si="198"/>
        <v>0</v>
      </c>
      <c r="R47" s="56">
        <f t="shared" si="198"/>
        <v>0</v>
      </c>
      <c r="S47" s="56">
        <f t="shared" si="198"/>
        <v>0</v>
      </c>
      <c r="T47" s="56">
        <f t="shared" si="198"/>
        <v>0</v>
      </c>
      <c r="U47" s="56">
        <f t="shared" si="198"/>
        <v>0</v>
      </c>
      <c r="V47" s="56">
        <f t="shared" si="198"/>
        <v>0</v>
      </c>
      <c r="W47" s="56">
        <f t="shared" si="198"/>
        <v>0</v>
      </c>
      <c r="X47" s="56">
        <f t="shared" si="198"/>
        <v>0</v>
      </c>
      <c r="Y47" s="56">
        <f t="shared" si="198"/>
        <v>0</v>
      </c>
      <c r="Z47" s="56">
        <f t="shared" si="198"/>
        <v>0</v>
      </c>
      <c r="AA47" s="56">
        <f t="shared" si="198"/>
        <v>0</v>
      </c>
      <c r="AB47" s="56">
        <f t="shared" si="198"/>
        <v>0</v>
      </c>
      <c r="AC47" s="56">
        <f t="shared" si="198"/>
        <v>0</v>
      </c>
      <c r="AD47" s="56">
        <f t="shared" si="198"/>
        <v>0</v>
      </c>
      <c r="AE47" s="56">
        <f t="shared" si="198"/>
        <v>0</v>
      </c>
      <c r="AF47" s="56">
        <f t="shared" si="198"/>
        <v>0</v>
      </c>
      <c r="AG47" s="56">
        <f t="shared" si="198"/>
        <v>0</v>
      </c>
      <c r="AH47" s="56">
        <f t="shared" si="198"/>
        <v>0</v>
      </c>
      <c r="AI47" s="56">
        <f t="shared" si="198"/>
        <v>0</v>
      </c>
      <c r="AJ47" s="56">
        <f t="shared" si="198"/>
        <v>0</v>
      </c>
      <c r="AK47" s="56">
        <f t="shared" si="198"/>
        <v>0</v>
      </c>
      <c r="AL47" s="56">
        <f t="shared" si="198"/>
        <v>0</v>
      </c>
      <c r="AM47" s="56">
        <f t="shared" si="198"/>
        <v>0</v>
      </c>
      <c r="AN47" s="56">
        <f t="shared" si="198"/>
        <v>0</v>
      </c>
      <c r="AO47" s="56">
        <f t="shared" si="198"/>
        <v>0</v>
      </c>
      <c r="AP47" s="56">
        <f t="shared" si="198"/>
        <v>0</v>
      </c>
      <c r="AQ47" s="56">
        <f t="shared" ref="AQ47:BA47" si="199">+AQ46-AQ48</f>
        <v>0</v>
      </c>
      <c r="AR47" s="56">
        <f t="shared" si="199"/>
        <v>0</v>
      </c>
      <c r="AS47" s="56">
        <f t="shared" si="199"/>
        <v>0</v>
      </c>
      <c r="AT47" s="56">
        <f t="shared" si="199"/>
        <v>0</v>
      </c>
      <c r="AU47" s="56">
        <f t="shared" si="199"/>
        <v>0</v>
      </c>
      <c r="AV47" s="56">
        <f t="shared" si="199"/>
        <v>0</v>
      </c>
      <c r="AW47" s="56">
        <f t="shared" si="199"/>
        <v>0</v>
      </c>
      <c r="AX47" s="56">
        <f t="shared" si="199"/>
        <v>0</v>
      </c>
      <c r="AY47" s="56">
        <f t="shared" si="199"/>
        <v>0</v>
      </c>
      <c r="AZ47" s="56">
        <f t="shared" si="199"/>
        <v>0</v>
      </c>
      <c r="BA47" s="56">
        <f t="shared" si="199"/>
        <v>0</v>
      </c>
    </row>
    <row r="48" spans="2:53" x14ac:dyDescent="0.2">
      <c r="B48" s="57" t="s">
        <v>3</v>
      </c>
      <c r="C48" s="65" t="s">
        <v>75</v>
      </c>
      <c r="D48" s="44"/>
      <c r="E48" s="44"/>
      <c r="F48" s="44"/>
      <c r="G48" s="6"/>
      <c r="H48" s="44">
        <v>0</v>
      </c>
      <c r="I48" s="44">
        <f t="shared" ref="I48:AP48" si="200">+$C$9*H45</f>
        <v>0</v>
      </c>
      <c r="J48" s="44">
        <f t="shared" si="200"/>
        <v>0</v>
      </c>
      <c r="K48" s="44">
        <f t="shared" si="200"/>
        <v>0</v>
      </c>
      <c r="L48" s="44">
        <f t="shared" si="200"/>
        <v>0</v>
      </c>
      <c r="M48" s="44">
        <f t="shared" si="200"/>
        <v>0</v>
      </c>
      <c r="N48" s="44">
        <f t="shared" si="200"/>
        <v>0</v>
      </c>
      <c r="O48" s="56">
        <f t="shared" si="200"/>
        <v>0</v>
      </c>
      <c r="P48" s="56">
        <f t="shared" si="200"/>
        <v>0</v>
      </c>
      <c r="Q48" s="56">
        <f t="shared" si="200"/>
        <v>0</v>
      </c>
      <c r="R48" s="56">
        <f t="shared" si="200"/>
        <v>0</v>
      </c>
      <c r="S48" s="56">
        <f t="shared" si="200"/>
        <v>0</v>
      </c>
      <c r="T48" s="56">
        <f t="shared" si="200"/>
        <v>0</v>
      </c>
      <c r="U48" s="56">
        <f t="shared" si="200"/>
        <v>0</v>
      </c>
      <c r="V48" s="56">
        <f t="shared" si="200"/>
        <v>0</v>
      </c>
      <c r="W48" s="56">
        <f t="shared" si="200"/>
        <v>0</v>
      </c>
      <c r="X48" s="56">
        <f t="shared" si="200"/>
        <v>0</v>
      </c>
      <c r="Y48" s="56">
        <f t="shared" si="200"/>
        <v>0</v>
      </c>
      <c r="Z48" s="56">
        <f t="shared" si="200"/>
        <v>0</v>
      </c>
      <c r="AA48" s="56">
        <f t="shared" si="200"/>
        <v>0</v>
      </c>
      <c r="AB48" s="56">
        <f t="shared" si="200"/>
        <v>0</v>
      </c>
      <c r="AC48" s="56">
        <f t="shared" si="200"/>
        <v>0</v>
      </c>
      <c r="AD48" s="56">
        <f t="shared" si="200"/>
        <v>0</v>
      </c>
      <c r="AE48" s="56">
        <f t="shared" si="200"/>
        <v>0</v>
      </c>
      <c r="AF48" s="56">
        <f t="shared" si="200"/>
        <v>0</v>
      </c>
      <c r="AG48" s="56">
        <f t="shared" si="200"/>
        <v>0</v>
      </c>
      <c r="AH48" s="56">
        <f t="shared" si="200"/>
        <v>0</v>
      </c>
      <c r="AI48" s="56">
        <f t="shared" si="200"/>
        <v>0</v>
      </c>
      <c r="AJ48" s="56">
        <f t="shared" si="200"/>
        <v>0</v>
      </c>
      <c r="AK48" s="56">
        <f t="shared" si="200"/>
        <v>0</v>
      </c>
      <c r="AL48" s="56">
        <f t="shared" si="200"/>
        <v>0</v>
      </c>
      <c r="AM48" s="56">
        <f t="shared" si="200"/>
        <v>0</v>
      </c>
      <c r="AN48" s="56">
        <f t="shared" si="200"/>
        <v>0</v>
      </c>
      <c r="AO48" s="56">
        <f t="shared" si="200"/>
        <v>0</v>
      </c>
      <c r="AP48" s="56">
        <f t="shared" si="200"/>
        <v>0</v>
      </c>
      <c r="AQ48" s="56">
        <f t="shared" ref="AQ48" si="201">+$C$9*AP45</f>
        <v>0</v>
      </c>
      <c r="AR48" s="56">
        <f t="shared" ref="AR48" si="202">+$C$9*AQ45</f>
        <v>0</v>
      </c>
      <c r="AS48" s="56">
        <f t="shared" ref="AS48" si="203">+$C$9*AR45</f>
        <v>0</v>
      </c>
      <c r="AT48" s="56">
        <f t="shared" ref="AT48" si="204">+$C$9*AS45</f>
        <v>0</v>
      </c>
      <c r="AU48" s="56">
        <f t="shared" ref="AU48" si="205">+$C$9*AT45</f>
        <v>0</v>
      </c>
      <c r="AV48" s="56">
        <f t="shared" ref="AV48" si="206">+$C$9*AU45</f>
        <v>0</v>
      </c>
      <c r="AW48" s="56">
        <f t="shared" ref="AW48" si="207">+$C$9*AV45</f>
        <v>0</v>
      </c>
      <c r="AX48" s="56">
        <f t="shared" ref="AX48" si="208">+$C$9*AW45</f>
        <v>0</v>
      </c>
      <c r="AY48" s="56">
        <f t="shared" ref="AY48" si="209">+$C$9*AX45</f>
        <v>0</v>
      </c>
      <c r="AZ48" s="56">
        <f t="shared" ref="AZ48" si="210">+$C$9*AY45</f>
        <v>0</v>
      </c>
      <c r="BA48" s="56">
        <f t="shared" ref="BA48" si="211">+$C$9*AZ45</f>
        <v>0</v>
      </c>
    </row>
    <row r="49" spans="2:53" x14ac:dyDescent="0.2">
      <c r="B49" s="57"/>
      <c r="D49" s="44"/>
      <c r="E49" s="44"/>
      <c r="F49" s="44"/>
      <c r="G49" s="44"/>
      <c r="H49" s="44"/>
      <c r="I49" s="44"/>
      <c r="J49" s="44"/>
      <c r="K49" s="44"/>
      <c r="L49" s="44"/>
      <c r="M49" s="44"/>
      <c r="N49" s="44"/>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row>
    <row r="50" spans="2:53" x14ac:dyDescent="0.2">
      <c r="B50" s="46" t="s">
        <v>50</v>
      </c>
      <c r="C50" s="65" t="s">
        <v>75</v>
      </c>
      <c r="D50" s="44"/>
      <c r="E50" s="44"/>
      <c r="F50" s="44"/>
      <c r="G50" s="6"/>
      <c r="H50" s="6"/>
      <c r="I50" s="44">
        <f>I18</f>
        <v>0</v>
      </c>
      <c r="J50" s="44">
        <f t="shared" ref="J50:AP50" si="212">+I50-J52</f>
        <v>0</v>
      </c>
      <c r="K50" s="44">
        <f t="shared" si="212"/>
        <v>0</v>
      </c>
      <c r="L50" s="44">
        <f t="shared" si="212"/>
        <v>0</v>
      </c>
      <c r="M50" s="44">
        <f t="shared" si="212"/>
        <v>0</v>
      </c>
      <c r="N50" s="44">
        <f t="shared" si="212"/>
        <v>0</v>
      </c>
      <c r="O50" s="56">
        <f t="shared" si="212"/>
        <v>0</v>
      </c>
      <c r="P50" s="56">
        <f t="shared" si="212"/>
        <v>0</v>
      </c>
      <c r="Q50" s="56">
        <f t="shared" si="212"/>
        <v>0</v>
      </c>
      <c r="R50" s="56">
        <f t="shared" si="212"/>
        <v>0</v>
      </c>
      <c r="S50" s="56">
        <f t="shared" si="212"/>
        <v>0</v>
      </c>
      <c r="T50" s="56">
        <f t="shared" si="212"/>
        <v>0</v>
      </c>
      <c r="U50" s="56">
        <f t="shared" si="212"/>
        <v>0</v>
      </c>
      <c r="V50" s="56">
        <f t="shared" si="212"/>
        <v>0</v>
      </c>
      <c r="W50" s="56">
        <f t="shared" si="212"/>
        <v>0</v>
      </c>
      <c r="X50" s="56">
        <f t="shared" si="212"/>
        <v>0</v>
      </c>
      <c r="Y50" s="56">
        <f t="shared" si="212"/>
        <v>0</v>
      </c>
      <c r="Z50" s="56">
        <f t="shared" si="212"/>
        <v>0</v>
      </c>
      <c r="AA50" s="56">
        <f t="shared" si="212"/>
        <v>0</v>
      </c>
      <c r="AB50" s="56">
        <f t="shared" si="212"/>
        <v>0</v>
      </c>
      <c r="AC50" s="56">
        <f t="shared" si="212"/>
        <v>0</v>
      </c>
      <c r="AD50" s="56">
        <f t="shared" si="212"/>
        <v>0</v>
      </c>
      <c r="AE50" s="56">
        <f t="shared" si="212"/>
        <v>0</v>
      </c>
      <c r="AF50" s="56">
        <f t="shared" si="212"/>
        <v>0</v>
      </c>
      <c r="AG50" s="56">
        <f t="shared" si="212"/>
        <v>0</v>
      </c>
      <c r="AH50" s="56">
        <f t="shared" si="212"/>
        <v>0</v>
      </c>
      <c r="AI50" s="56">
        <f t="shared" si="212"/>
        <v>0</v>
      </c>
      <c r="AJ50" s="56">
        <f t="shared" si="212"/>
        <v>0</v>
      </c>
      <c r="AK50" s="56">
        <f t="shared" si="212"/>
        <v>0</v>
      </c>
      <c r="AL50" s="56">
        <f t="shared" si="212"/>
        <v>0</v>
      </c>
      <c r="AM50" s="56">
        <f t="shared" si="212"/>
        <v>0</v>
      </c>
      <c r="AN50" s="56">
        <f t="shared" si="212"/>
        <v>0</v>
      </c>
      <c r="AO50" s="56">
        <f t="shared" si="212"/>
        <v>0</v>
      </c>
      <c r="AP50" s="56">
        <f t="shared" si="212"/>
        <v>0</v>
      </c>
      <c r="AQ50" s="56">
        <f t="shared" ref="AQ50" si="213">+AP50-AQ52</f>
        <v>0</v>
      </c>
      <c r="AR50" s="56">
        <f t="shared" ref="AR50" si="214">+AQ50-AR52</f>
        <v>0</v>
      </c>
      <c r="AS50" s="56">
        <f t="shared" ref="AS50" si="215">+AR50-AS52</f>
        <v>0</v>
      </c>
      <c r="AT50" s="56">
        <f t="shared" ref="AT50" si="216">+AS50-AT52</f>
        <v>0</v>
      </c>
      <c r="AU50" s="56">
        <f t="shared" ref="AU50" si="217">+AT50-AU52</f>
        <v>0</v>
      </c>
      <c r="AV50" s="56">
        <f t="shared" ref="AV50" si="218">+AU50-AV52</f>
        <v>0</v>
      </c>
      <c r="AW50" s="56">
        <f t="shared" ref="AW50" si="219">+AV50-AW52</f>
        <v>0</v>
      </c>
      <c r="AX50" s="56">
        <f t="shared" ref="AX50" si="220">+AW50-AX52</f>
        <v>0</v>
      </c>
      <c r="AY50" s="56">
        <f t="shared" ref="AY50" si="221">+AX50-AY52</f>
        <v>0</v>
      </c>
      <c r="AZ50" s="56">
        <f t="shared" ref="AZ50" si="222">+AY50-AZ52</f>
        <v>0</v>
      </c>
      <c r="BA50" s="56">
        <f t="shared" ref="BA50" si="223">+AZ50-BA52</f>
        <v>0</v>
      </c>
    </row>
    <row r="51" spans="2:53" x14ac:dyDescent="0.2">
      <c r="B51" s="57" t="s">
        <v>29</v>
      </c>
      <c r="C51" s="64">
        <f>+I50/((1-(1/(1+$C$9)^$C$8))/$C$9)</f>
        <v>0</v>
      </c>
      <c r="D51" s="44"/>
      <c r="E51" s="44"/>
      <c r="F51" s="44"/>
      <c r="G51" s="6"/>
      <c r="H51" s="6"/>
      <c r="I51" s="44">
        <v>0</v>
      </c>
      <c r="J51" s="44">
        <f>+IF(I50&lt;0.01,0,$C$51)</f>
        <v>0</v>
      </c>
      <c r="K51" s="44">
        <f t="shared" ref="K51:AP51" si="224">+IF(J50&lt;0.01,0,$C$51)</f>
        <v>0</v>
      </c>
      <c r="L51" s="44">
        <f t="shared" si="224"/>
        <v>0</v>
      </c>
      <c r="M51" s="44">
        <f t="shared" si="224"/>
        <v>0</v>
      </c>
      <c r="N51" s="44">
        <f t="shared" si="224"/>
        <v>0</v>
      </c>
      <c r="O51" s="56">
        <f t="shared" si="224"/>
        <v>0</v>
      </c>
      <c r="P51" s="56">
        <f t="shared" si="224"/>
        <v>0</v>
      </c>
      <c r="Q51" s="56">
        <f t="shared" si="224"/>
        <v>0</v>
      </c>
      <c r="R51" s="56">
        <f t="shared" si="224"/>
        <v>0</v>
      </c>
      <c r="S51" s="56">
        <f t="shared" si="224"/>
        <v>0</v>
      </c>
      <c r="T51" s="56">
        <f t="shared" si="224"/>
        <v>0</v>
      </c>
      <c r="U51" s="56">
        <f t="shared" si="224"/>
        <v>0</v>
      </c>
      <c r="V51" s="56">
        <f t="shared" si="224"/>
        <v>0</v>
      </c>
      <c r="W51" s="56">
        <f t="shared" si="224"/>
        <v>0</v>
      </c>
      <c r="X51" s="56">
        <f t="shared" si="224"/>
        <v>0</v>
      </c>
      <c r="Y51" s="56">
        <f t="shared" si="224"/>
        <v>0</v>
      </c>
      <c r="Z51" s="56">
        <f t="shared" si="224"/>
        <v>0</v>
      </c>
      <c r="AA51" s="56">
        <f t="shared" si="224"/>
        <v>0</v>
      </c>
      <c r="AB51" s="56">
        <f t="shared" si="224"/>
        <v>0</v>
      </c>
      <c r="AC51" s="56">
        <f t="shared" si="224"/>
        <v>0</v>
      </c>
      <c r="AD51" s="56">
        <f t="shared" si="224"/>
        <v>0</v>
      </c>
      <c r="AE51" s="56">
        <f t="shared" si="224"/>
        <v>0</v>
      </c>
      <c r="AF51" s="56">
        <f t="shared" si="224"/>
        <v>0</v>
      </c>
      <c r="AG51" s="56">
        <f t="shared" si="224"/>
        <v>0</v>
      </c>
      <c r="AH51" s="56">
        <f t="shared" si="224"/>
        <v>0</v>
      </c>
      <c r="AI51" s="56">
        <f t="shared" si="224"/>
        <v>0</v>
      </c>
      <c r="AJ51" s="56">
        <f t="shared" si="224"/>
        <v>0</v>
      </c>
      <c r="AK51" s="56">
        <f t="shared" si="224"/>
        <v>0</v>
      </c>
      <c r="AL51" s="56">
        <f t="shared" si="224"/>
        <v>0</v>
      </c>
      <c r="AM51" s="56">
        <f t="shared" si="224"/>
        <v>0</v>
      </c>
      <c r="AN51" s="56">
        <f t="shared" si="224"/>
        <v>0</v>
      </c>
      <c r="AO51" s="56">
        <f t="shared" si="224"/>
        <v>0</v>
      </c>
      <c r="AP51" s="56">
        <f t="shared" si="224"/>
        <v>0</v>
      </c>
      <c r="AQ51" s="56">
        <f t="shared" ref="AQ51" si="225">+IF(AP50&lt;0.01,0,$C$51)</f>
        <v>0</v>
      </c>
      <c r="AR51" s="56">
        <f t="shared" ref="AR51" si="226">+IF(AQ50&lt;0.01,0,$C$51)</f>
        <v>0</v>
      </c>
      <c r="AS51" s="56">
        <f t="shared" ref="AS51" si="227">+IF(AR50&lt;0.01,0,$C$51)</f>
        <v>0</v>
      </c>
      <c r="AT51" s="56">
        <f t="shared" ref="AT51" si="228">+IF(AS50&lt;0.01,0,$C$51)</f>
        <v>0</v>
      </c>
      <c r="AU51" s="56">
        <f t="shared" ref="AU51" si="229">+IF(AT50&lt;0.01,0,$C$51)</f>
        <v>0</v>
      </c>
      <c r="AV51" s="56">
        <f t="shared" ref="AV51" si="230">+IF(AU50&lt;0.01,0,$C$51)</f>
        <v>0</v>
      </c>
      <c r="AW51" s="56">
        <f t="shared" ref="AW51" si="231">+IF(AV50&lt;0.01,0,$C$51)</f>
        <v>0</v>
      </c>
      <c r="AX51" s="56">
        <f t="shared" ref="AX51" si="232">+IF(AW50&lt;0.01,0,$C$51)</f>
        <v>0</v>
      </c>
      <c r="AY51" s="56">
        <f t="shared" ref="AY51" si="233">+IF(AX50&lt;0.01,0,$C$51)</f>
        <v>0</v>
      </c>
      <c r="AZ51" s="56">
        <f t="shared" ref="AZ51" si="234">+IF(AY50&lt;0.01,0,$C$51)</f>
        <v>0</v>
      </c>
      <c r="BA51" s="56">
        <f t="shared" ref="BA51" si="235">+IF(AZ50&lt;0.01,0,$C$51)</f>
        <v>0</v>
      </c>
    </row>
    <row r="52" spans="2:53" x14ac:dyDescent="0.2">
      <c r="B52" s="57" t="s">
        <v>30</v>
      </c>
      <c r="C52" s="65" t="s">
        <v>75</v>
      </c>
      <c r="D52" s="44"/>
      <c r="E52" s="44"/>
      <c r="F52" s="44"/>
      <c r="G52" s="6"/>
      <c r="H52" s="6"/>
      <c r="I52" s="44">
        <v>0</v>
      </c>
      <c r="J52" s="44">
        <f>+J51-J53</f>
        <v>0</v>
      </c>
      <c r="K52" s="44">
        <f t="shared" ref="K52:AP52" si="236">+K51-K53</f>
        <v>0</v>
      </c>
      <c r="L52" s="44">
        <f t="shared" si="236"/>
        <v>0</v>
      </c>
      <c r="M52" s="44">
        <f t="shared" si="236"/>
        <v>0</v>
      </c>
      <c r="N52" s="44">
        <f t="shared" si="236"/>
        <v>0</v>
      </c>
      <c r="O52" s="56">
        <f t="shared" si="236"/>
        <v>0</v>
      </c>
      <c r="P52" s="56">
        <f t="shared" si="236"/>
        <v>0</v>
      </c>
      <c r="Q52" s="56">
        <f t="shared" si="236"/>
        <v>0</v>
      </c>
      <c r="R52" s="56">
        <f t="shared" si="236"/>
        <v>0</v>
      </c>
      <c r="S52" s="56">
        <f t="shared" si="236"/>
        <v>0</v>
      </c>
      <c r="T52" s="56">
        <f t="shared" si="236"/>
        <v>0</v>
      </c>
      <c r="U52" s="56">
        <f t="shared" si="236"/>
        <v>0</v>
      </c>
      <c r="V52" s="56">
        <f t="shared" si="236"/>
        <v>0</v>
      </c>
      <c r="W52" s="56">
        <f t="shared" si="236"/>
        <v>0</v>
      </c>
      <c r="X52" s="56">
        <f t="shared" si="236"/>
        <v>0</v>
      </c>
      <c r="Y52" s="56">
        <f t="shared" si="236"/>
        <v>0</v>
      </c>
      <c r="Z52" s="56">
        <f t="shared" si="236"/>
        <v>0</v>
      </c>
      <c r="AA52" s="56">
        <f t="shared" si="236"/>
        <v>0</v>
      </c>
      <c r="AB52" s="56">
        <f t="shared" si="236"/>
        <v>0</v>
      </c>
      <c r="AC52" s="56">
        <f t="shared" si="236"/>
        <v>0</v>
      </c>
      <c r="AD52" s="56">
        <f t="shared" si="236"/>
        <v>0</v>
      </c>
      <c r="AE52" s="56">
        <f t="shared" si="236"/>
        <v>0</v>
      </c>
      <c r="AF52" s="56">
        <f t="shared" si="236"/>
        <v>0</v>
      </c>
      <c r="AG52" s="56">
        <f t="shared" si="236"/>
        <v>0</v>
      </c>
      <c r="AH52" s="56">
        <f t="shared" si="236"/>
        <v>0</v>
      </c>
      <c r="AI52" s="56">
        <f t="shared" si="236"/>
        <v>0</v>
      </c>
      <c r="AJ52" s="56">
        <f t="shared" si="236"/>
        <v>0</v>
      </c>
      <c r="AK52" s="56">
        <f t="shared" si="236"/>
        <v>0</v>
      </c>
      <c r="AL52" s="56">
        <f t="shared" si="236"/>
        <v>0</v>
      </c>
      <c r="AM52" s="56">
        <f t="shared" si="236"/>
        <v>0</v>
      </c>
      <c r="AN52" s="56">
        <f t="shared" si="236"/>
        <v>0</v>
      </c>
      <c r="AO52" s="56">
        <f t="shared" si="236"/>
        <v>0</v>
      </c>
      <c r="AP52" s="56">
        <f t="shared" si="236"/>
        <v>0</v>
      </c>
      <c r="AQ52" s="56">
        <f t="shared" ref="AQ52:BA52" si="237">+AQ51-AQ53</f>
        <v>0</v>
      </c>
      <c r="AR52" s="56">
        <f t="shared" si="237"/>
        <v>0</v>
      </c>
      <c r="AS52" s="56">
        <f t="shared" si="237"/>
        <v>0</v>
      </c>
      <c r="AT52" s="56">
        <f t="shared" si="237"/>
        <v>0</v>
      </c>
      <c r="AU52" s="56">
        <f t="shared" si="237"/>
        <v>0</v>
      </c>
      <c r="AV52" s="56">
        <f t="shared" si="237"/>
        <v>0</v>
      </c>
      <c r="AW52" s="56">
        <f t="shared" si="237"/>
        <v>0</v>
      </c>
      <c r="AX52" s="56">
        <f t="shared" si="237"/>
        <v>0</v>
      </c>
      <c r="AY52" s="56">
        <f t="shared" si="237"/>
        <v>0</v>
      </c>
      <c r="AZ52" s="56">
        <f t="shared" si="237"/>
        <v>0</v>
      </c>
      <c r="BA52" s="56">
        <f t="shared" si="237"/>
        <v>0</v>
      </c>
    </row>
    <row r="53" spans="2:53" x14ac:dyDescent="0.2">
      <c r="B53" s="57" t="s">
        <v>3</v>
      </c>
      <c r="C53" s="65" t="s">
        <v>75</v>
      </c>
      <c r="D53" s="44"/>
      <c r="E53" s="44"/>
      <c r="F53" s="44"/>
      <c r="G53" s="6"/>
      <c r="H53" s="6"/>
      <c r="I53" s="44">
        <v>0</v>
      </c>
      <c r="J53" s="44">
        <f t="shared" ref="J53:AP53" si="238">+$C$9*I50</f>
        <v>0</v>
      </c>
      <c r="K53" s="44">
        <f t="shared" si="238"/>
        <v>0</v>
      </c>
      <c r="L53" s="44">
        <f t="shared" si="238"/>
        <v>0</v>
      </c>
      <c r="M53" s="44">
        <f t="shared" si="238"/>
        <v>0</v>
      </c>
      <c r="N53" s="44">
        <f t="shared" si="238"/>
        <v>0</v>
      </c>
      <c r="O53" s="56">
        <f t="shared" si="238"/>
        <v>0</v>
      </c>
      <c r="P53" s="56">
        <f t="shared" si="238"/>
        <v>0</v>
      </c>
      <c r="Q53" s="56">
        <f t="shared" si="238"/>
        <v>0</v>
      </c>
      <c r="R53" s="56">
        <f t="shared" si="238"/>
        <v>0</v>
      </c>
      <c r="S53" s="56">
        <f t="shared" si="238"/>
        <v>0</v>
      </c>
      <c r="T53" s="56">
        <f t="shared" si="238"/>
        <v>0</v>
      </c>
      <c r="U53" s="56">
        <f t="shared" si="238"/>
        <v>0</v>
      </c>
      <c r="V53" s="56">
        <f t="shared" si="238"/>
        <v>0</v>
      </c>
      <c r="W53" s="56">
        <f t="shared" si="238"/>
        <v>0</v>
      </c>
      <c r="X53" s="56">
        <f t="shared" si="238"/>
        <v>0</v>
      </c>
      <c r="Y53" s="56">
        <f t="shared" si="238"/>
        <v>0</v>
      </c>
      <c r="Z53" s="56">
        <f t="shared" si="238"/>
        <v>0</v>
      </c>
      <c r="AA53" s="56">
        <f t="shared" si="238"/>
        <v>0</v>
      </c>
      <c r="AB53" s="56">
        <f t="shared" si="238"/>
        <v>0</v>
      </c>
      <c r="AC53" s="56">
        <f t="shared" si="238"/>
        <v>0</v>
      </c>
      <c r="AD53" s="56">
        <f t="shared" si="238"/>
        <v>0</v>
      </c>
      <c r="AE53" s="56">
        <f t="shared" si="238"/>
        <v>0</v>
      </c>
      <c r="AF53" s="56">
        <f t="shared" si="238"/>
        <v>0</v>
      </c>
      <c r="AG53" s="56">
        <f t="shared" si="238"/>
        <v>0</v>
      </c>
      <c r="AH53" s="56">
        <f t="shared" si="238"/>
        <v>0</v>
      </c>
      <c r="AI53" s="56">
        <f t="shared" si="238"/>
        <v>0</v>
      </c>
      <c r="AJ53" s="56">
        <f t="shared" si="238"/>
        <v>0</v>
      </c>
      <c r="AK53" s="56">
        <f t="shared" si="238"/>
        <v>0</v>
      </c>
      <c r="AL53" s="56">
        <f t="shared" si="238"/>
        <v>0</v>
      </c>
      <c r="AM53" s="56">
        <f t="shared" si="238"/>
        <v>0</v>
      </c>
      <c r="AN53" s="56">
        <f t="shared" si="238"/>
        <v>0</v>
      </c>
      <c r="AO53" s="56">
        <f t="shared" si="238"/>
        <v>0</v>
      </c>
      <c r="AP53" s="56">
        <f t="shared" si="238"/>
        <v>0</v>
      </c>
      <c r="AQ53" s="56">
        <f t="shared" ref="AQ53" si="239">+$C$9*AP50</f>
        <v>0</v>
      </c>
      <c r="AR53" s="56">
        <f t="shared" ref="AR53" si="240">+$C$9*AQ50</f>
        <v>0</v>
      </c>
      <c r="AS53" s="56">
        <f t="shared" ref="AS53" si="241">+$C$9*AR50</f>
        <v>0</v>
      </c>
      <c r="AT53" s="56">
        <f t="shared" ref="AT53" si="242">+$C$9*AS50</f>
        <v>0</v>
      </c>
      <c r="AU53" s="56">
        <f t="shared" ref="AU53" si="243">+$C$9*AT50</f>
        <v>0</v>
      </c>
      <c r="AV53" s="56">
        <f t="shared" ref="AV53" si="244">+$C$9*AU50</f>
        <v>0</v>
      </c>
      <c r="AW53" s="56">
        <f t="shared" ref="AW53" si="245">+$C$9*AV50</f>
        <v>0</v>
      </c>
      <c r="AX53" s="56">
        <f t="shared" ref="AX53" si="246">+$C$9*AW50</f>
        <v>0</v>
      </c>
      <c r="AY53" s="56">
        <f t="shared" ref="AY53" si="247">+$C$9*AX50</f>
        <v>0</v>
      </c>
      <c r="AZ53" s="56">
        <f t="shared" ref="AZ53" si="248">+$C$9*AY50</f>
        <v>0</v>
      </c>
      <c r="BA53" s="56">
        <f t="shared" ref="BA53" si="249">+$C$9*AZ50</f>
        <v>0</v>
      </c>
    </row>
    <row r="54" spans="2:53" x14ac:dyDescent="0.2">
      <c r="B54" s="57"/>
      <c r="D54" s="44"/>
      <c r="E54" s="44"/>
      <c r="F54" s="44"/>
      <c r="G54" s="44"/>
      <c r="H54" s="44"/>
      <c r="I54" s="44"/>
      <c r="J54" s="44"/>
      <c r="K54" s="44"/>
      <c r="L54" s="44"/>
      <c r="M54" s="44"/>
      <c r="N54" s="44"/>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row>
    <row r="55" spans="2:53" x14ac:dyDescent="0.2">
      <c r="B55" s="46" t="s">
        <v>51</v>
      </c>
      <c r="C55" s="65" t="s">
        <v>75</v>
      </c>
      <c r="D55" s="44"/>
      <c r="E55" s="44"/>
      <c r="F55" s="44"/>
      <c r="G55" s="6"/>
      <c r="H55" s="6"/>
      <c r="I55" s="6"/>
      <c r="J55" s="44">
        <f>J18</f>
        <v>0</v>
      </c>
      <c r="K55" s="44">
        <f t="shared" ref="K55:AP55" si="250">+J55-K57</f>
        <v>0</v>
      </c>
      <c r="L55" s="44">
        <f t="shared" si="250"/>
        <v>0</v>
      </c>
      <c r="M55" s="44">
        <f t="shared" si="250"/>
        <v>0</v>
      </c>
      <c r="N55" s="44">
        <f t="shared" si="250"/>
        <v>0</v>
      </c>
      <c r="O55" s="56">
        <f t="shared" si="250"/>
        <v>0</v>
      </c>
      <c r="P55" s="56">
        <f t="shared" si="250"/>
        <v>0</v>
      </c>
      <c r="Q55" s="56">
        <f t="shared" si="250"/>
        <v>0</v>
      </c>
      <c r="R55" s="56">
        <f t="shared" si="250"/>
        <v>0</v>
      </c>
      <c r="S55" s="56">
        <f t="shared" si="250"/>
        <v>0</v>
      </c>
      <c r="T55" s="56">
        <f t="shared" si="250"/>
        <v>0</v>
      </c>
      <c r="U55" s="56">
        <f t="shared" si="250"/>
        <v>0</v>
      </c>
      <c r="V55" s="56">
        <f t="shared" si="250"/>
        <v>0</v>
      </c>
      <c r="W55" s="56">
        <f t="shared" si="250"/>
        <v>0</v>
      </c>
      <c r="X55" s="56">
        <f t="shared" si="250"/>
        <v>0</v>
      </c>
      <c r="Y55" s="56">
        <f t="shared" si="250"/>
        <v>0</v>
      </c>
      <c r="Z55" s="56">
        <f t="shared" si="250"/>
        <v>0</v>
      </c>
      <c r="AA55" s="56">
        <f t="shared" si="250"/>
        <v>0</v>
      </c>
      <c r="AB55" s="56">
        <f t="shared" si="250"/>
        <v>0</v>
      </c>
      <c r="AC55" s="56">
        <f t="shared" si="250"/>
        <v>0</v>
      </c>
      <c r="AD55" s="56">
        <f t="shared" si="250"/>
        <v>0</v>
      </c>
      <c r="AE55" s="56">
        <f t="shared" si="250"/>
        <v>0</v>
      </c>
      <c r="AF55" s="56">
        <f t="shared" si="250"/>
        <v>0</v>
      </c>
      <c r="AG55" s="56">
        <f t="shared" si="250"/>
        <v>0</v>
      </c>
      <c r="AH55" s="56">
        <f t="shared" si="250"/>
        <v>0</v>
      </c>
      <c r="AI55" s="56">
        <f t="shared" si="250"/>
        <v>0</v>
      </c>
      <c r="AJ55" s="56">
        <f t="shared" si="250"/>
        <v>0</v>
      </c>
      <c r="AK55" s="56">
        <f t="shared" si="250"/>
        <v>0</v>
      </c>
      <c r="AL55" s="56">
        <f t="shared" si="250"/>
        <v>0</v>
      </c>
      <c r="AM55" s="56">
        <f t="shared" si="250"/>
        <v>0</v>
      </c>
      <c r="AN55" s="56">
        <f t="shared" si="250"/>
        <v>0</v>
      </c>
      <c r="AO55" s="56">
        <f t="shared" si="250"/>
        <v>0</v>
      </c>
      <c r="AP55" s="56">
        <f t="shared" si="250"/>
        <v>0</v>
      </c>
      <c r="AQ55" s="56">
        <f t="shared" ref="AQ55" si="251">+AP55-AQ57</f>
        <v>0</v>
      </c>
      <c r="AR55" s="56">
        <f t="shared" ref="AR55" si="252">+AQ55-AR57</f>
        <v>0</v>
      </c>
      <c r="AS55" s="56">
        <f t="shared" ref="AS55" si="253">+AR55-AS57</f>
        <v>0</v>
      </c>
      <c r="AT55" s="56">
        <f t="shared" ref="AT55" si="254">+AS55-AT57</f>
        <v>0</v>
      </c>
      <c r="AU55" s="56">
        <f t="shared" ref="AU55" si="255">+AT55-AU57</f>
        <v>0</v>
      </c>
      <c r="AV55" s="56">
        <f t="shared" ref="AV55" si="256">+AU55-AV57</f>
        <v>0</v>
      </c>
      <c r="AW55" s="56">
        <f t="shared" ref="AW55" si="257">+AV55-AW57</f>
        <v>0</v>
      </c>
      <c r="AX55" s="56">
        <f t="shared" ref="AX55" si="258">+AW55-AX57</f>
        <v>0</v>
      </c>
      <c r="AY55" s="56">
        <f t="shared" ref="AY55" si="259">+AX55-AY57</f>
        <v>0</v>
      </c>
      <c r="AZ55" s="56">
        <f t="shared" ref="AZ55" si="260">+AY55-AZ57</f>
        <v>0</v>
      </c>
      <c r="BA55" s="56">
        <f t="shared" ref="BA55" si="261">+AZ55-BA57</f>
        <v>0</v>
      </c>
    </row>
    <row r="56" spans="2:53" x14ac:dyDescent="0.2">
      <c r="B56" s="57" t="s">
        <v>29</v>
      </c>
      <c r="C56" s="64">
        <f>+J55/((1-(1/(1+$C$9)^$C$8))/$C$9)</f>
        <v>0</v>
      </c>
      <c r="D56" s="44"/>
      <c r="E56" s="44"/>
      <c r="F56" s="44"/>
      <c r="G56" s="6"/>
      <c r="H56" s="6"/>
      <c r="I56" s="6"/>
      <c r="J56" s="44">
        <v>0</v>
      </c>
      <c r="K56" s="44">
        <f>+IF(J55&lt;0.01,0,$C$56)</f>
        <v>0</v>
      </c>
      <c r="L56" s="44">
        <f t="shared" ref="L56:AP56" si="262">+IF(K55&lt;0.01,0,$C$56)</f>
        <v>0</v>
      </c>
      <c r="M56" s="44">
        <f t="shared" si="262"/>
        <v>0</v>
      </c>
      <c r="N56" s="44">
        <f t="shared" si="262"/>
        <v>0</v>
      </c>
      <c r="O56" s="56">
        <f t="shared" si="262"/>
        <v>0</v>
      </c>
      <c r="P56" s="56">
        <f t="shared" si="262"/>
        <v>0</v>
      </c>
      <c r="Q56" s="56">
        <f t="shared" si="262"/>
        <v>0</v>
      </c>
      <c r="R56" s="56">
        <f t="shared" si="262"/>
        <v>0</v>
      </c>
      <c r="S56" s="56">
        <f t="shared" si="262"/>
        <v>0</v>
      </c>
      <c r="T56" s="56">
        <f t="shared" si="262"/>
        <v>0</v>
      </c>
      <c r="U56" s="56">
        <f t="shared" si="262"/>
        <v>0</v>
      </c>
      <c r="V56" s="56">
        <f t="shared" si="262"/>
        <v>0</v>
      </c>
      <c r="W56" s="56">
        <f t="shared" si="262"/>
        <v>0</v>
      </c>
      <c r="X56" s="56">
        <f t="shared" si="262"/>
        <v>0</v>
      </c>
      <c r="Y56" s="56">
        <f t="shared" si="262"/>
        <v>0</v>
      </c>
      <c r="Z56" s="56">
        <f t="shared" si="262"/>
        <v>0</v>
      </c>
      <c r="AA56" s="56">
        <f t="shared" si="262"/>
        <v>0</v>
      </c>
      <c r="AB56" s="56">
        <f t="shared" si="262"/>
        <v>0</v>
      </c>
      <c r="AC56" s="56">
        <f t="shared" si="262"/>
        <v>0</v>
      </c>
      <c r="AD56" s="56">
        <f t="shared" si="262"/>
        <v>0</v>
      </c>
      <c r="AE56" s="56">
        <f t="shared" si="262"/>
        <v>0</v>
      </c>
      <c r="AF56" s="56">
        <f t="shared" si="262"/>
        <v>0</v>
      </c>
      <c r="AG56" s="56">
        <f t="shared" si="262"/>
        <v>0</v>
      </c>
      <c r="AH56" s="56">
        <f t="shared" si="262"/>
        <v>0</v>
      </c>
      <c r="AI56" s="56">
        <f t="shared" si="262"/>
        <v>0</v>
      </c>
      <c r="AJ56" s="56">
        <f t="shared" si="262"/>
        <v>0</v>
      </c>
      <c r="AK56" s="56">
        <f t="shared" si="262"/>
        <v>0</v>
      </c>
      <c r="AL56" s="56">
        <f t="shared" si="262"/>
        <v>0</v>
      </c>
      <c r="AM56" s="56">
        <f t="shared" si="262"/>
        <v>0</v>
      </c>
      <c r="AN56" s="56">
        <f t="shared" si="262"/>
        <v>0</v>
      </c>
      <c r="AO56" s="56">
        <f t="shared" si="262"/>
        <v>0</v>
      </c>
      <c r="AP56" s="56">
        <f t="shared" si="262"/>
        <v>0</v>
      </c>
      <c r="AQ56" s="56">
        <f t="shared" ref="AQ56" si="263">+IF(AP55&lt;0.01,0,$C$56)</f>
        <v>0</v>
      </c>
      <c r="AR56" s="56">
        <f t="shared" ref="AR56" si="264">+IF(AQ55&lt;0.01,0,$C$56)</f>
        <v>0</v>
      </c>
      <c r="AS56" s="56">
        <f t="shared" ref="AS56" si="265">+IF(AR55&lt;0.01,0,$C$56)</f>
        <v>0</v>
      </c>
      <c r="AT56" s="56">
        <f t="shared" ref="AT56" si="266">+IF(AS55&lt;0.01,0,$C$56)</f>
        <v>0</v>
      </c>
      <c r="AU56" s="56">
        <f t="shared" ref="AU56" si="267">+IF(AT55&lt;0.01,0,$C$56)</f>
        <v>0</v>
      </c>
      <c r="AV56" s="56">
        <f t="shared" ref="AV56" si="268">+IF(AU55&lt;0.01,0,$C$56)</f>
        <v>0</v>
      </c>
      <c r="AW56" s="56">
        <f t="shared" ref="AW56" si="269">+IF(AV55&lt;0.01,0,$C$56)</f>
        <v>0</v>
      </c>
      <c r="AX56" s="56">
        <f t="shared" ref="AX56" si="270">+IF(AW55&lt;0.01,0,$C$56)</f>
        <v>0</v>
      </c>
      <c r="AY56" s="56">
        <f t="shared" ref="AY56" si="271">+IF(AX55&lt;0.01,0,$C$56)</f>
        <v>0</v>
      </c>
      <c r="AZ56" s="56">
        <f t="shared" ref="AZ56" si="272">+IF(AY55&lt;0.01,0,$C$56)</f>
        <v>0</v>
      </c>
      <c r="BA56" s="56">
        <f t="shared" ref="BA56" si="273">+IF(AZ55&lt;0.01,0,$C$56)</f>
        <v>0</v>
      </c>
    </row>
    <row r="57" spans="2:53" x14ac:dyDescent="0.2">
      <c r="B57" s="57" t="s">
        <v>30</v>
      </c>
      <c r="C57" s="65" t="s">
        <v>75</v>
      </c>
      <c r="D57" s="44"/>
      <c r="E57" s="44"/>
      <c r="F57" s="44"/>
      <c r="G57" s="6"/>
      <c r="H57" s="6"/>
      <c r="I57" s="6"/>
      <c r="J57" s="44">
        <v>0</v>
      </c>
      <c r="K57" s="44">
        <f>+K56-K58</f>
        <v>0</v>
      </c>
      <c r="L57" s="44">
        <f t="shared" ref="L57:AP57" si="274">+L56-L58</f>
        <v>0</v>
      </c>
      <c r="M57" s="44">
        <f t="shared" si="274"/>
        <v>0</v>
      </c>
      <c r="N57" s="44">
        <f t="shared" si="274"/>
        <v>0</v>
      </c>
      <c r="O57" s="56">
        <f t="shared" si="274"/>
        <v>0</v>
      </c>
      <c r="P57" s="56">
        <f t="shared" si="274"/>
        <v>0</v>
      </c>
      <c r="Q57" s="56">
        <f t="shared" si="274"/>
        <v>0</v>
      </c>
      <c r="R57" s="56">
        <f t="shared" si="274"/>
        <v>0</v>
      </c>
      <c r="S57" s="56">
        <f t="shared" si="274"/>
        <v>0</v>
      </c>
      <c r="T57" s="56">
        <f t="shared" si="274"/>
        <v>0</v>
      </c>
      <c r="U57" s="56">
        <f t="shared" si="274"/>
        <v>0</v>
      </c>
      <c r="V57" s="56">
        <f t="shared" si="274"/>
        <v>0</v>
      </c>
      <c r="W57" s="56">
        <f t="shared" si="274"/>
        <v>0</v>
      </c>
      <c r="X57" s="56">
        <f t="shared" si="274"/>
        <v>0</v>
      </c>
      <c r="Y57" s="56">
        <f t="shared" si="274"/>
        <v>0</v>
      </c>
      <c r="Z57" s="56">
        <f t="shared" si="274"/>
        <v>0</v>
      </c>
      <c r="AA57" s="56">
        <f t="shared" si="274"/>
        <v>0</v>
      </c>
      <c r="AB57" s="56">
        <f t="shared" si="274"/>
        <v>0</v>
      </c>
      <c r="AC57" s="56">
        <f t="shared" si="274"/>
        <v>0</v>
      </c>
      <c r="AD57" s="56">
        <f t="shared" si="274"/>
        <v>0</v>
      </c>
      <c r="AE57" s="56">
        <f t="shared" si="274"/>
        <v>0</v>
      </c>
      <c r="AF57" s="56">
        <f t="shared" si="274"/>
        <v>0</v>
      </c>
      <c r="AG57" s="56">
        <f t="shared" si="274"/>
        <v>0</v>
      </c>
      <c r="AH57" s="56">
        <f t="shared" si="274"/>
        <v>0</v>
      </c>
      <c r="AI57" s="56">
        <f t="shared" si="274"/>
        <v>0</v>
      </c>
      <c r="AJ57" s="56">
        <f t="shared" si="274"/>
        <v>0</v>
      </c>
      <c r="AK57" s="56">
        <f t="shared" si="274"/>
        <v>0</v>
      </c>
      <c r="AL57" s="56">
        <f t="shared" si="274"/>
        <v>0</v>
      </c>
      <c r="AM57" s="56">
        <f t="shared" si="274"/>
        <v>0</v>
      </c>
      <c r="AN57" s="56">
        <f t="shared" si="274"/>
        <v>0</v>
      </c>
      <c r="AO57" s="56">
        <f t="shared" si="274"/>
        <v>0</v>
      </c>
      <c r="AP57" s="56">
        <f t="shared" si="274"/>
        <v>0</v>
      </c>
      <c r="AQ57" s="56">
        <f t="shared" ref="AQ57:BA57" si="275">+AQ56-AQ58</f>
        <v>0</v>
      </c>
      <c r="AR57" s="56">
        <f t="shared" si="275"/>
        <v>0</v>
      </c>
      <c r="AS57" s="56">
        <f t="shared" si="275"/>
        <v>0</v>
      </c>
      <c r="AT57" s="56">
        <f t="shared" si="275"/>
        <v>0</v>
      </c>
      <c r="AU57" s="56">
        <f t="shared" si="275"/>
        <v>0</v>
      </c>
      <c r="AV57" s="56">
        <f t="shared" si="275"/>
        <v>0</v>
      </c>
      <c r="AW57" s="56">
        <f t="shared" si="275"/>
        <v>0</v>
      </c>
      <c r="AX57" s="56">
        <f t="shared" si="275"/>
        <v>0</v>
      </c>
      <c r="AY57" s="56">
        <f t="shared" si="275"/>
        <v>0</v>
      </c>
      <c r="AZ57" s="56">
        <f t="shared" si="275"/>
        <v>0</v>
      </c>
      <c r="BA57" s="56">
        <f t="shared" si="275"/>
        <v>0</v>
      </c>
    </row>
    <row r="58" spans="2:53" x14ac:dyDescent="0.2">
      <c r="B58" s="57" t="s">
        <v>3</v>
      </c>
      <c r="C58" s="65" t="s">
        <v>75</v>
      </c>
      <c r="D58" s="44"/>
      <c r="E58" s="44"/>
      <c r="F58" s="44"/>
      <c r="G58" s="6"/>
      <c r="H58" s="6"/>
      <c r="I58" s="6"/>
      <c r="J58" s="44">
        <v>0</v>
      </c>
      <c r="K58" s="44">
        <f t="shared" ref="K58:AP58" si="276">+$C$9*J55</f>
        <v>0</v>
      </c>
      <c r="L58" s="44">
        <f t="shared" si="276"/>
        <v>0</v>
      </c>
      <c r="M58" s="44">
        <f t="shared" si="276"/>
        <v>0</v>
      </c>
      <c r="N58" s="44">
        <f t="shared" si="276"/>
        <v>0</v>
      </c>
      <c r="O58" s="56">
        <f t="shared" si="276"/>
        <v>0</v>
      </c>
      <c r="P58" s="56">
        <f t="shared" si="276"/>
        <v>0</v>
      </c>
      <c r="Q58" s="56">
        <f t="shared" si="276"/>
        <v>0</v>
      </c>
      <c r="R58" s="56">
        <f t="shared" si="276"/>
        <v>0</v>
      </c>
      <c r="S58" s="56">
        <f t="shared" si="276"/>
        <v>0</v>
      </c>
      <c r="T58" s="56">
        <f t="shared" si="276"/>
        <v>0</v>
      </c>
      <c r="U58" s="56">
        <f t="shared" si="276"/>
        <v>0</v>
      </c>
      <c r="V58" s="56">
        <f t="shared" si="276"/>
        <v>0</v>
      </c>
      <c r="W58" s="56">
        <f t="shared" si="276"/>
        <v>0</v>
      </c>
      <c r="X58" s="56">
        <f t="shared" si="276"/>
        <v>0</v>
      </c>
      <c r="Y58" s="56">
        <f t="shared" si="276"/>
        <v>0</v>
      </c>
      <c r="Z58" s="56">
        <f t="shared" si="276"/>
        <v>0</v>
      </c>
      <c r="AA58" s="56">
        <f t="shared" si="276"/>
        <v>0</v>
      </c>
      <c r="AB58" s="56">
        <f t="shared" si="276"/>
        <v>0</v>
      </c>
      <c r="AC58" s="56">
        <f t="shared" si="276"/>
        <v>0</v>
      </c>
      <c r="AD58" s="56">
        <f t="shared" si="276"/>
        <v>0</v>
      </c>
      <c r="AE58" s="56">
        <f t="shared" si="276"/>
        <v>0</v>
      </c>
      <c r="AF58" s="56">
        <f t="shared" si="276"/>
        <v>0</v>
      </c>
      <c r="AG58" s="56">
        <f t="shared" si="276"/>
        <v>0</v>
      </c>
      <c r="AH58" s="56">
        <f t="shared" si="276"/>
        <v>0</v>
      </c>
      <c r="AI58" s="56">
        <f t="shared" si="276"/>
        <v>0</v>
      </c>
      <c r="AJ58" s="56">
        <f t="shared" si="276"/>
        <v>0</v>
      </c>
      <c r="AK58" s="56">
        <f t="shared" si="276"/>
        <v>0</v>
      </c>
      <c r="AL58" s="56">
        <f t="shared" si="276"/>
        <v>0</v>
      </c>
      <c r="AM58" s="56">
        <f t="shared" si="276"/>
        <v>0</v>
      </c>
      <c r="AN58" s="56">
        <f t="shared" si="276"/>
        <v>0</v>
      </c>
      <c r="AO58" s="56">
        <f t="shared" si="276"/>
        <v>0</v>
      </c>
      <c r="AP58" s="56">
        <f t="shared" si="276"/>
        <v>0</v>
      </c>
      <c r="AQ58" s="56">
        <f t="shared" ref="AQ58" si="277">+$C$9*AP55</f>
        <v>0</v>
      </c>
      <c r="AR58" s="56">
        <f t="shared" ref="AR58" si="278">+$C$9*AQ55</f>
        <v>0</v>
      </c>
      <c r="AS58" s="56">
        <f t="shared" ref="AS58" si="279">+$C$9*AR55</f>
        <v>0</v>
      </c>
      <c r="AT58" s="56">
        <f t="shared" ref="AT58" si="280">+$C$9*AS55</f>
        <v>0</v>
      </c>
      <c r="AU58" s="56">
        <f t="shared" ref="AU58" si="281">+$C$9*AT55</f>
        <v>0</v>
      </c>
      <c r="AV58" s="56">
        <f t="shared" ref="AV58" si="282">+$C$9*AU55</f>
        <v>0</v>
      </c>
      <c r="AW58" s="56">
        <f t="shared" ref="AW58" si="283">+$C$9*AV55</f>
        <v>0</v>
      </c>
      <c r="AX58" s="56">
        <f t="shared" ref="AX58" si="284">+$C$9*AW55</f>
        <v>0</v>
      </c>
      <c r="AY58" s="56">
        <f t="shared" ref="AY58" si="285">+$C$9*AX55</f>
        <v>0</v>
      </c>
      <c r="AZ58" s="56">
        <f t="shared" ref="AZ58" si="286">+$C$9*AY55</f>
        <v>0</v>
      </c>
      <c r="BA58" s="56">
        <f t="shared" ref="BA58" si="287">+$C$9*AZ55</f>
        <v>0</v>
      </c>
    </row>
    <row r="59" spans="2:53" x14ac:dyDescent="0.2">
      <c r="B59" s="57"/>
      <c r="D59" s="44"/>
      <c r="E59" s="44"/>
      <c r="F59" s="44"/>
      <c r="G59" s="44"/>
      <c r="H59" s="44"/>
      <c r="I59" s="44"/>
      <c r="J59" s="44"/>
      <c r="K59" s="44"/>
      <c r="L59" s="44"/>
      <c r="M59" s="44"/>
      <c r="N59" s="44"/>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row>
    <row r="60" spans="2:53" x14ac:dyDescent="0.2">
      <c r="B60" s="46" t="s">
        <v>52</v>
      </c>
      <c r="C60" s="65" t="s">
        <v>75</v>
      </c>
      <c r="D60" s="44"/>
      <c r="E60" s="44"/>
      <c r="F60" s="44"/>
      <c r="G60" s="6"/>
      <c r="H60" s="6"/>
      <c r="I60" s="6"/>
      <c r="J60" s="6"/>
      <c r="K60" s="44">
        <f>K18</f>
        <v>0</v>
      </c>
      <c r="L60" s="44">
        <f t="shared" ref="L60:AP60" si="288">+K60-L62</f>
        <v>0</v>
      </c>
      <c r="M60" s="44">
        <f t="shared" si="288"/>
        <v>0</v>
      </c>
      <c r="N60" s="44">
        <f t="shared" si="288"/>
        <v>0</v>
      </c>
      <c r="O60" s="56">
        <f t="shared" si="288"/>
        <v>0</v>
      </c>
      <c r="P60" s="56">
        <f t="shared" si="288"/>
        <v>0</v>
      </c>
      <c r="Q60" s="56">
        <f t="shared" si="288"/>
        <v>0</v>
      </c>
      <c r="R60" s="56">
        <f t="shared" si="288"/>
        <v>0</v>
      </c>
      <c r="S60" s="56">
        <f t="shared" si="288"/>
        <v>0</v>
      </c>
      <c r="T60" s="56">
        <f t="shared" si="288"/>
        <v>0</v>
      </c>
      <c r="U60" s="56">
        <f t="shared" si="288"/>
        <v>0</v>
      </c>
      <c r="V60" s="56">
        <f t="shared" si="288"/>
        <v>0</v>
      </c>
      <c r="W60" s="56">
        <f t="shared" si="288"/>
        <v>0</v>
      </c>
      <c r="X60" s="56">
        <f t="shared" si="288"/>
        <v>0</v>
      </c>
      <c r="Y60" s="56">
        <f t="shared" si="288"/>
        <v>0</v>
      </c>
      <c r="Z60" s="56">
        <f t="shared" si="288"/>
        <v>0</v>
      </c>
      <c r="AA60" s="56">
        <f t="shared" si="288"/>
        <v>0</v>
      </c>
      <c r="AB60" s="56">
        <f t="shared" si="288"/>
        <v>0</v>
      </c>
      <c r="AC60" s="56">
        <f t="shared" si="288"/>
        <v>0</v>
      </c>
      <c r="AD60" s="56">
        <f t="shared" si="288"/>
        <v>0</v>
      </c>
      <c r="AE60" s="56">
        <f t="shared" si="288"/>
        <v>0</v>
      </c>
      <c r="AF60" s="56">
        <f t="shared" si="288"/>
        <v>0</v>
      </c>
      <c r="AG60" s="56">
        <f t="shared" si="288"/>
        <v>0</v>
      </c>
      <c r="AH60" s="56">
        <f t="shared" si="288"/>
        <v>0</v>
      </c>
      <c r="AI60" s="56">
        <f t="shared" si="288"/>
        <v>0</v>
      </c>
      <c r="AJ60" s="56">
        <f t="shared" si="288"/>
        <v>0</v>
      </c>
      <c r="AK60" s="56">
        <f t="shared" si="288"/>
        <v>0</v>
      </c>
      <c r="AL60" s="56">
        <f t="shared" si="288"/>
        <v>0</v>
      </c>
      <c r="AM60" s="56">
        <f t="shared" si="288"/>
        <v>0</v>
      </c>
      <c r="AN60" s="56">
        <f t="shared" si="288"/>
        <v>0</v>
      </c>
      <c r="AO60" s="56">
        <f t="shared" si="288"/>
        <v>0</v>
      </c>
      <c r="AP60" s="56">
        <f t="shared" si="288"/>
        <v>0</v>
      </c>
      <c r="AQ60" s="56">
        <f t="shared" ref="AQ60" si="289">+AP60-AQ62</f>
        <v>0</v>
      </c>
      <c r="AR60" s="56">
        <f t="shared" ref="AR60" si="290">+AQ60-AR62</f>
        <v>0</v>
      </c>
      <c r="AS60" s="56">
        <f t="shared" ref="AS60" si="291">+AR60-AS62</f>
        <v>0</v>
      </c>
      <c r="AT60" s="56">
        <f t="shared" ref="AT60" si="292">+AS60-AT62</f>
        <v>0</v>
      </c>
      <c r="AU60" s="56">
        <f t="shared" ref="AU60" si="293">+AT60-AU62</f>
        <v>0</v>
      </c>
      <c r="AV60" s="56">
        <f t="shared" ref="AV60" si="294">+AU60-AV62</f>
        <v>0</v>
      </c>
      <c r="AW60" s="56">
        <f t="shared" ref="AW60" si="295">+AV60-AW62</f>
        <v>0</v>
      </c>
      <c r="AX60" s="56">
        <f t="shared" ref="AX60" si="296">+AW60-AX62</f>
        <v>0</v>
      </c>
      <c r="AY60" s="56">
        <f t="shared" ref="AY60" si="297">+AX60-AY62</f>
        <v>0</v>
      </c>
      <c r="AZ60" s="56">
        <f t="shared" ref="AZ60" si="298">+AY60-AZ62</f>
        <v>0</v>
      </c>
      <c r="BA60" s="56">
        <f t="shared" ref="BA60" si="299">+AZ60-BA62</f>
        <v>0</v>
      </c>
    </row>
    <row r="61" spans="2:53" x14ac:dyDescent="0.2">
      <c r="B61" s="57" t="s">
        <v>29</v>
      </c>
      <c r="C61" s="64">
        <f>+K60/((1-(1/(1+$C$9)^$C$8))/$C$9)</f>
        <v>0</v>
      </c>
      <c r="D61" s="44"/>
      <c r="E61" s="44"/>
      <c r="F61" s="44"/>
      <c r="G61" s="6"/>
      <c r="H61" s="6"/>
      <c r="I61" s="6"/>
      <c r="J61" s="6"/>
      <c r="K61" s="44">
        <v>0</v>
      </c>
      <c r="L61" s="44">
        <f>+IF(K60&lt;0.01,0,$C$61)</f>
        <v>0</v>
      </c>
      <c r="M61" s="44">
        <f t="shared" ref="M61:AP61" si="300">+IF(L60&lt;0.01,0,$C$61)</f>
        <v>0</v>
      </c>
      <c r="N61" s="44">
        <f t="shared" si="300"/>
        <v>0</v>
      </c>
      <c r="O61" s="56">
        <f t="shared" si="300"/>
        <v>0</v>
      </c>
      <c r="P61" s="56">
        <f t="shared" si="300"/>
        <v>0</v>
      </c>
      <c r="Q61" s="56">
        <f t="shared" si="300"/>
        <v>0</v>
      </c>
      <c r="R61" s="56">
        <f t="shared" si="300"/>
        <v>0</v>
      </c>
      <c r="S61" s="56">
        <f t="shared" si="300"/>
        <v>0</v>
      </c>
      <c r="T61" s="56">
        <f t="shared" si="300"/>
        <v>0</v>
      </c>
      <c r="U61" s="56">
        <f t="shared" si="300"/>
        <v>0</v>
      </c>
      <c r="V61" s="56">
        <f t="shared" si="300"/>
        <v>0</v>
      </c>
      <c r="W61" s="56">
        <f t="shared" si="300"/>
        <v>0</v>
      </c>
      <c r="X61" s="56">
        <f t="shared" si="300"/>
        <v>0</v>
      </c>
      <c r="Y61" s="56">
        <f t="shared" si="300"/>
        <v>0</v>
      </c>
      <c r="Z61" s="56">
        <f t="shared" si="300"/>
        <v>0</v>
      </c>
      <c r="AA61" s="56">
        <f t="shared" si="300"/>
        <v>0</v>
      </c>
      <c r="AB61" s="56">
        <f t="shared" si="300"/>
        <v>0</v>
      </c>
      <c r="AC61" s="56">
        <f t="shared" si="300"/>
        <v>0</v>
      </c>
      <c r="AD61" s="56">
        <f t="shared" si="300"/>
        <v>0</v>
      </c>
      <c r="AE61" s="56">
        <f t="shared" si="300"/>
        <v>0</v>
      </c>
      <c r="AF61" s="56">
        <f t="shared" si="300"/>
        <v>0</v>
      </c>
      <c r="AG61" s="56">
        <f t="shared" si="300"/>
        <v>0</v>
      </c>
      <c r="AH61" s="56">
        <f t="shared" si="300"/>
        <v>0</v>
      </c>
      <c r="AI61" s="56">
        <f t="shared" si="300"/>
        <v>0</v>
      </c>
      <c r="AJ61" s="56">
        <f t="shared" si="300"/>
        <v>0</v>
      </c>
      <c r="AK61" s="56">
        <f t="shared" si="300"/>
        <v>0</v>
      </c>
      <c r="AL61" s="56">
        <f t="shared" si="300"/>
        <v>0</v>
      </c>
      <c r="AM61" s="56">
        <f t="shared" si="300"/>
        <v>0</v>
      </c>
      <c r="AN61" s="56">
        <f t="shared" si="300"/>
        <v>0</v>
      </c>
      <c r="AO61" s="56">
        <f t="shared" si="300"/>
        <v>0</v>
      </c>
      <c r="AP61" s="56">
        <f t="shared" si="300"/>
        <v>0</v>
      </c>
      <c r="AQ61" s="56">
        <f t="shared" ref="AQ61" si="301">+IF(AP60&lt;0.01,0,$C$61)</f>
        <v>0</v>
      </c>
      <c r="AR61" s="56">
        <f t="shared" ref="AR61" si="302">+IF(AQ60&lt;0.01,0,$C$61)</f>
        <v>0</v>
      </c>
      <c r="AS61" s="56">
        <f t="shared" ref="AS61" si="303">+IF(AR60&lt;0.01,0,$C$61)</f>
        <v>0</v>
      </c>
      <c r="AT61" s="56">
        <f t="shared" ref="AT61" si="304">+IF(AS60&lt;0.01,0,$C$61)</f>
        <v>0</v>
      </c>
      <c r="AU61" s="56">
        <f t="shared" ref="AU61" si="305">+IF(AT60&lt;0.01,0,$C$61)</f>
        <v>0</v>
      </c>
      <c r="AV61" s="56">
        <f t="shared" ref="AV61" si="306">+IF(AU60&lt;0.01,0,$C$61)</f>
        <v>0</v>
      </c>
      <c r="AW61" s="56">
        <f t="shared" ref="AW61" si="307">+IF(AV60&lt;0.01,0,$C$61)</f>
        <v>0</v>
      </c>
      <c r="AX61" s="56">
        <f t="shared" ref="AX61" si="308">+IF(AW60&lt;0.01,0,$C$61)</f>
        <v>0</v>
      </c>
      <c r="AY61" s="56">
        <f t="shared" ref="AY61" si="309">+IF(AX60&lt;0.01,0,$C$61)</f>
        <v>0</v>
      </c>
      <c r="AZ61" s="56">
        <f t="shared" ref="AZ61" si="310">+IF(AY60&lt;0.01,0,$C$61)</f>
        <v>0</v>
      </c>
      <c r="BA61" s="56">
        <f t="shared" ref="BA61" si="311">+IF(AZ60&lt;0.01,0,$C$61)</f>
        <v>0</v>
      </c>
    </row>
    <row r="62" spans="2:53" x14ac:dyDescent="0.2">
      <c r="B62" s="57" t="s">
        <v>30</v>
      </c>
      <c r="C62" s="65" t="s">
        <v>75</v>
      </c>
      <c r="D62" s="44"/>
      <c r="E62" s="44"/>
      <c r="F62" s="44"/>
      <c r="G62" s="6"/>
      <c r="H62" s="6"/>
      <c r="I62" s="6"/>
      <c r="J62" s="6"/>
      <c r="K62" s="44">
        <v>0</v>
      </c>
      <c r="L62" s="44">
        <f>+L61-L63</f>
        <v>0</v>
      </c>
      <c r="M62" s="44">
        <f t="shared" ref="M62:AP62" si="312">+M61-M63</f>
        <v>0</v>
      </c>
      <c r="N62" s="44">
        <f t="shared" si="312"/>
        <v>0</v>
      </c>
      <c r="O62" s="56">
        <f t="shared" si="312"/>
        <v>0</v>
      </c>
      <c r="P62" s="56">
        <f t="shared" si="312"/>
        <v>0</v>
      </c>
      <c r="Q62" s="56">
        <f t="shared" si="312"/>
        <v>0</v>
      </c>
      <c r="R62" s="56">
        <f t="shared" si="312"/>
        <v>0</v>
      </c>
      <c r="S62" s="56">
        <f t="shared" si="312"/>
        <v>0</v>
      </c>
      <c r="T62" s="56">
        <f t="shared" si="312"/>
        <v>0</v>
      </c>
      <c r="U62" s="56">
        <f t="shared" si="312"/>
        <v>0</v>
      </c>
      <c r="V62" s="56">
        <f t="shared" si="312"/>
        <v>0</v>
      </c>
      <c r="W62" s="56">
        <f t="shared" si="312"/>
        <v>0</v>
      </c>
      <c r="X62" s="56">
        <f t="shared" si="312"/>
        <v>0</v>
      </c>
      <c r="Y62" s="56">
        <f t="shared" si="312"/>
        <v>0</v>
      </c>
      <c r="Z62" s="56">
        <f t="shared" si="312"/>
        <v>0</v>
      </c>
      <c r="AA62" s="56">
        <f t="shared" si="312"/>
        <v>0</v>
      </c>
      <c r="AB62" s="56">
        <f t="shared" si="312"/>
        <v>0</v>
      </c>
      <c r="AC62" s="56">
        <f t="shared" si="312"/>
        <v>0</v>
      </c>
      <c r="AD62" s="56">
        <f t="shared" si="312"/>
        <v>0</v>
      </c>
      <c r="AE62" s="56">
        <f t="shared" si="312"/>
        <v>0</v>
      </c>
      <c r="AF62" s="56">
        <f t="shared" si="312"/>
        <v>0</v>
      </c>
      <c r="AG62" s="56">
        <f t="shared" si="312"/>
        <v>0</v>
      </c>
      <c r="AH62" s="56">
        <f t="shared" si="312"/>
        <v>0</v>
      </c>
      <c r="AI62" s="56">
        <f t="shared" si="312"/>
        <v>0</v>
      </c>
      <c r="AJ62" s="56">
        <f t="shared" si="312"/>
        <v>0</v>
      </c>
      <c r="AK62" s="56">
        <f t="shared" si="312"/>
        <v>0</v>
      </c>
      <c r="AL62" s="56">
        <f t="shared" si="312"/>
        <v>0</v>
      </c>
      <c r="AM62" s="56">
        <f t="shared" si="312"/>
        <v>0</v>
      </c>
      <c r="AN62" s="56">
        <f t="shared" si="312"/>
        <v>0</v>
      </c>
      <c r="AO62" s="56">
        <f t="shared" si="312"/>
        <v>0</v>
      </c>
      <c r="AP62" s="56">
        <f t="shared" si="312"/>
        <v>0</v>
      </c>
      <c r="AQ62" s="56">
        <f t="shared" ref="AQ62:BA62" si="313">+AQ61-AQ63</f>
        <v>0</v>
      </c>
      <c r="AR62" s="56">
        <f t="shared" si="313"/>
        <v>0</v>
      </c>
      <c r="AS62" s="56">
        <f t="shared" si="313"/>
        <v>0</v>
      </c>
      <c r="AT62" s="56">
        <f t="shared" si="313"/>
        <v>0</v>
      </c>
      <c r="AU62" s="56">
        <f t="shared" si="313"/>
        <v>0</v>
      </c>
      <c r="AV62" s="56">
        <f t="shared" si="313"/>
        <v>0</v>
      </c>
      <c r="AW62" s="56">
        <f t="shared" si="313"/>
        <v>0</v>
      </c>
      <c r="AX62" s="56">
        <f t="shared" si="313"/>
        <v>0</v>
      </c>
      <c r="AY62" s="56">
        <f t="shared" si="313"/>
        <v>0</v>
      </c>
      <c r="AZ62" s="56">
        <f t="shared" si="313"/>
        <v>0</v>
      </c>
      <c r="BA62" s="56">
        <f t="shared" si="313"/>
        <v>0</v>
      </c>
    </row>
    <row r="63" spans="2:53" x14ac:dyDescent="0.2">
      <c r="B63" s="57" t="s">
        <v>3</v>
      </c>
      <c r="C63" s="65" t="s">
        <v>75</v>
      </c>
      <c r="D63" s="44"/>
      <c r="E63" s="44"/>
      <c r="F63" s="44"/>
      <c r="G63" s="6"/>
      <c r="H63" s="6"/>
      <c r="I63" s="6"/>
      <c r="J63" s="6"/>
      <c r="K63" s="44">
        <v>0</v>
      </c>
      <c r="L63" s="44">
        <f t="shared" ref="L63:AP63" si="314">+$C$9*K60</f>
        <v>0</v>
      </c>
      <c r="M63" s="44">
        <f t="shared" si="314"/>
        <v>0</v>
      </c>
      <c r="N63" s="44">
        <f t="shared" si="314"/>
        <v>0</v>
      </c>
      <c r="O63" s="56">
        <f t="shared" si="314"/>
        <v>0</v>
      </c>
      <c r="P63" s="56">
        <f t="shared" si="314"/>
        <v>0</v>
      </c>
      <c r="Q63" s="56">
        <f t="shared" si="314"/>
        <v>0</v>
      </c>
      <c r="R63" s="56">
        <f t="shared" si="314"/>
        <v>0</v>
      </c>
      <c r="S63" s="56">
        <f t="shared" si="314"/>
        <v>0</v>
      </c>
      <c r="T63" s="56">
        <f t="shared" si="314"/>
        <v>0</v>
      </c>
      <c r="U63" s="56">
        <f t="shared" si="314"/>
        <v>0</v>
      </c>
      <c r="V63" s="56">
        <f t="shared" si="314"/>
        <v>0</v>
      </c>
      <c r="W63" s="56">
        <f t="shared" si="314"/>
        <v>0</v>
      </c>
      <c r="X63" s="56">
        <f t="shared" si="314"/>
        <v>0</v>
      </c>
      <c r="Y63" s="56">
        <f t="shared" si="314"/>
        <v>0</v>
      </c>
      <c r="Z63" s="56">
        <f t="shared" si="314"/>
        <v>0</v>
      </c>
      <c r="AA63" s="56">
        <f t="shared" si="314"/>
        <v>0</v>
      </c>
      <c r="AB63" s="56">
        <f t="shared" si="314"/>
        <v>0</v>
      </c>
      <c r="AC63" s="56">
        <f t="shared" si="314"/>
        <v>0</v>
      </c>
      <c r="AD63" s="56">
        <f t="shared" si="314"/>
        <v>0</v>
      </c>
      <c r="AE63" s="56">
        <f t="shared" si="314"/>
        <v>0</v>
      </c>
      <c r="AF63" s="56">
        <f t="shared" si="314"/>
        <v>0</v>
      </c>
      <c r="AG63" s="56">
        <f t="shared" si="314"/>
        <v>0</v>
      </c>
      <c r="AH63" s="56">
        <f t="shared" si="314"/>
        <v>0</v>
      </c>
      <c r="AI63" s="56">
        <f t="shared" si="314"/>
        <v>0</v>
      </c>
      <c r="AJ63" s="56">
        <f t="shared" si="314"/>
        <v>0</v>
      </c>
      <c r="AK63" s="56">
        <f t="shared" si="314"/>
        <v>0</v>
      </c>
      <c r="AL63" s="56">
        <f t="shared" si="314"/>
        <v>0</v>
      </c>
      <c r="AM63" s="56">
        <f t="shared" si="314"/>
        <v>0</v>
      </c>
      <c r="AN63" s="56">
        <f t="shared" si="314"/>
        <v>0</v>
      </c>
      <c r="AO63" s="56">
        <f t="shared" si="314"/>
        <v>0</v>
      </c>
      <c r="AP63" s="56">
        <f t="shared" si="314"/>
        <v>0</v>
      </c>
      <c r="AQ63" s="56">
        <f t="shared" ref="AQ63" si="315">+$C$9*AP60</f>
        <v>0</v>
      </c>
      <c r="AR63" s="56">
        <f t="shared" ref="AR63" si="316">+$C$9*AQ60</f>
        <v>0</v>
      </c>
      <c r="AS63" s="56">
        <f t="shared" ref="AS63" si="317">+$C$9*AR60</f>
        <v>0</v>
      </c>
      <c r="AT63" s="56">
        <f t="shared" ref="AT63" si="318">+$C$9*AS60</f>
        <v>0</v>
      </c>
      <c r="AU63" s="56">
        <f t="shared" ref="AU63" si="319">+$C$9*AT60</f>
        <v>0</v>
      </c>
      <c r="AV63" s="56">
        <f t="shared" ref="AV63" si="320">+$C$9*AU60</f>
        <v>0</v>
      </c>
      <c r="AW63" s="56">
        <f t="shared" ref="AW63" si="321">+$C$9*AV60</f>
        <v>0</v>
      </c>
      <c r="AX63" s="56">
        <f t="shared" ref="AX63" si="322">+$C$9*AW60</f>
        <v>0</v>
      </c>
      <c r="AY63" s="56">
        <f t="shared" ref="AY63" si="323">+$C$9*AX60</f>
        <v>0</v>
      </c>
      <c r="AZ63" s="56">
        <f t="shared" ref="AZ63" si="324">+$C$9*AY60</f>
        <v>0</v>
      </c>
      <c r="BA63" s="56">
        <f t="shared" ref="BA63" si="325">+$C$9*AZ60</f>
        <v>0</v>
      </c>
    </row>
    <row r="64" spans="2:53" x14ac:dyDescent="0.2">
      <c r="B64" s="57"/>
      <c r="D64" s="44"/>
      <c r="E64" s="44"/>
      <c r="F64" s="44"/>
      <c r="G64" s="6"/>
      <c r="H64" s="6"/>
      <c r="I64" s="6"/>
      <c r="J64" s="6"/>
      <c r="K64" s="44"/>
      <c r="L64" s="44"/>
      <c r="M64" s="44"/>
      <c r="N64" s="44"/>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row>
    <row r="65" spans="2:53" x14ac:dyDescent="0.2">
      <c r="B65" s="46" t="s">
        <v>53</v>
      </c>
      <c r="C65" s="65" t="s">
        <v>75</v>
      </c>
      <c r="D65" s="44"/>
      <c r="E65" s="44"/>
      <c r="F65" s="44"/>
      <c r="G65" s="6"/>
      <c r="H65" s="6"/>
      <c r="I65" s="6"/>
      <c r="J65" s="6"/>
      <c r="K65" s="6"/>
      <c r="L65" s="44">
        <f>L18</f>
        <v>0</v>
      </c>
      <c r="M65" s="44">
        <f t="shared" ref="M65:AP65" si="326">+L65-M67</f>
        <v>0</v>
      </c>
      <c r="N65" s="44">
        <f t="shared" si="326"/>
        <v>0</v>
      </c>
      <c r="O65" s="56">
        <f t="shared" si="326"/>
        <v>0</v>
      </c>
      <c r="P65" s="56">
        <f t="shared" si="326"/>
        <v>0</v>
      </c>
      <c r="Q65" s="56">
        <f t="shared" si="326"/>
        <v>0</v>
      </c>
      <c r="R65" s="56">
        <f t="shared" si="326"/>
        <v>0</v>
      </c>
      <c r="S65" s="56">
        <f t="shared" si="326"/>
        <v>0</v>
      </c>
      <c r="T65" s="56">
        <f t="shared" si="326"/>
        <v>0</v>
      </c>
      <c r="U65" s="56">
        <f t="shared" si="326"/>
        <v>0</v>
      </c>
      <c r="V65" s="56">
        <f t="shared" si="326"/>
        <v>0</v>
      </c>
      <c r="W65" s="56">
        <f t="shared" si="326"/>
        <v>0</v>
      </c>
      <c r="X65" s="56">
        <f t="shared" si="326"/>
        <v>0</v>
      </c>
      <c r="Y65" s="56">
        <f t="shared" si="326"/>
        <v>0</v>
      </c>
      <c r="Z65" s="56">
        <f t="shared" si="326"/>
        <v>0</v>
      </c>
      <c r="AA65" s="56">
        <f t="shared" si="326"/>
        <v>0</v>
      </c>
      <c r="AB65" s="56">
        <f t="shared" si="326"/>
        <v>0</v>
      </c>
      <c r="AC65" s="56">
        <f t="shared" si="326"/>
        <v>0</v>
      </c>
      <c r="AD65" s="56">
        <f t="shared" si="326"/>
        <v>0</v>
      </c>
      <c r="AE65" s="56">
        <f t="shared" si="326"/>
        <v>0</v>
      </c>
      <c r="AF65" s="56">
        <f t="shared" si="326"/>
        <v>0</v>
      </c>
      <c r="AG65" s="56">
        <f t="shared" si="326"/>
        <v>0</v>
      </c>
      <c r="AH65" s="56">
        <f t="shared" si="326"/>
        <v>0</v>
      </c>
      <c r="AI65" s="56">
        <f t="shared" si="326"/>
        <v>0</v>
      </c>
      <c r="AJ65" s="56">
        <f t="shared" si="326"/>
        <v>0</v>
      </c>
      <c r="AK65" s="56">
        <f t="shared" si="326"/>
        <v>0</v>
      </c>
      <c r="AL65" s="56">
        <f t="shared" si="326"/>
        <v>0</v>
      </c>
      <c r="AM65" s="56">
        <f t="shared" si="326"/>
        <v>0</v>
      </c>
      <c r="AN65" s="56">
        <f t="shared" si="326"/>
        <v>0</v>
      </c>
      <c r="AO65" s="56">
        <f t="shared" si="326"/>
        <v>0</v>
      </c>
      <c r="AP65" s="56">
        <f t="shared" si="326"/>
        <v>0</v>
      </c>
      <c r="AQ65" s="56">
        <f t="shared" ref="AQ65" si="327">+AP65-AQ67</f>
        <v>0</v>
      </c>
      <c r="AR65" s="56">
        <f t="shared" ref="AR65" si="328">+AQ65-AR67</f>
        <v>0</v>
      </c>
      <c r="AS65" s="56">
        <f t="shared" ref="AS65" si="329">+AR65-AS67</f>
        <v>0</v>
      </c>
      <c r="AT65" s="56">
        <f t="shared" ref="AT65" si="330">+AS65-AT67</f>
        <v>0</v>
      </c>
      <c r="AU65" s="56">
        <f t="shared" ref="AU65" si="331">+AT65-AU67</f>
        <v>0</v>
      </c>
      <c r="AV65" s="56">
        <f t="shared" ref="AV65" si="332">+AU65-AV67</f>
        <v>0</v>
      </c>
      <c r="AW65" s="56">
        <f t="shared" ref="AW65" si="333">+AV65-AW67</f>
        <v>0</v>
      </c>
      <c r="AX65" s="56">
        <f t="shared" ref="AX65" si="334">+AW65-AX67</f>
        <v>0</v>
      </c>
      <c r="AY65" s="56">
        <f t="shared" ref="AY65" si="335">+AX65-AY67</f>
        <v>0</v>
      </c>
      <c r="AZ65" s="56">
        <f t="shared" ref="AZ65" si="336">+AY65-AZ67</f>
        <v>0</v>
      </c>
      <c r="BA65" s="56">
        <f t="shared" ref="BA65" si="337">+AZ65-BA67</f>
        <v>0</v>
      </c>
    </row>
    <row r="66" spans="2:53" x14ac:dyDescent="0.2">
      <c r="B66" s="57" t="s">
        <v>29</v>
      </c>
      <c r="C66" s="64">
        <f>+L65/((1-(1/(1+$C$9)^$C$8))/$C$9)</f>
        <v>0</v>
      </c>
      <c r="D66" s="44"/>
      <c r="E66" s="44"/>
      <c r="F66" s="44"/>
      <c r="G66" s="6"/>
      <c r="H66" s="6"/>
      <c r="I66" s="6"/>
      <c r="J66" s="6"/>
      <c r="K66" s="6"/>
      <c r="L66" s="44">
        <v>0</v>
      </c>
      <c r="M66" s="44">
        <f>+IF(L65&lt;0.01,0,$C$66)</f>
        <v>0</v>
      </c>
      <c r="N66" s="44">
        <f t="shared" ref="N66:AP66" si="338">+IF(M65&lt;0.01,0,$C$66)</f>
        <v>0</v>
      </c>
      <c r="O66" s="56">
        <f t="shared" si="338"/>
        <v>0</v>
      </c>
      <c r="P66" s="56">
        <f t="shared" si="338"/>
        <v>0</v>
      </c>
      <c r="Q66" s="56">
        <f t="shared" si="338"/>
        <v>0</v>
      </c>
      <c r="R66" s="56">
        <f t="shared" si="338"/>
        <v>0</v>
      </c>
      <c r="S66" s="56">
        <f t="shared" si="338"/>
        <v>0</v>
      </c>
      <c r="T66" s="56">
        <f t="shared" si="338"/>
        <v>0</v>
      </c>
      <c r="U66" s="56">
        <f t="shared" si="338"/>
        <v>0</v>
      </c>
      <c r="V66" s="56">
        <f t="shared" si="338"/>
        <v>0</v>
      </c>
      <c r="W66" s="56">
        <f t="shared" si="338"/>
        <v>0</v>
      </c>
      <c r="X66" s="56">
        <f t="shared" si="338"/>
        <v>0</v>
      </c>
      <c r="Y66" s="56">
        <f t="shared" si="338"/>
        <v>0</v>
      </c>
      <c r="Z66" s="56">
        <f t="shared" si="338"/>
        <v>0</v>
      </c>
      <c r="AA66" s="56">
        <f t="shared" si="338"/>
        <v>0</v>
      </c>
      <c r="AB66" s="56">
        <f t="shared" si="338"/>
        <v>0</v>
      </c>
      <c r="AC66" s="56">
        <f t="shared" si="338"/>
        <v>0</v>
      </c>
      <c r="AD66" s="56">
        <f t="shared" si="338"/>
        <v>0</v>
      </c>
      <c r="AE66" s="56">
        <f t="shared" si="338"/>
        <v>0</v>
      </c>
      <c r="AF66" s="56">
        <f t="shared" si="338"/>
        <v>0</v>
      </c>
      <c r="AG66" s="56">
        <f t="shared" si="338"/>
        <v>0</v>
      </c>
      <c r="AH66" s="56">
        <f t="shared" si="338"/>
        <v>0</v>
      </c>
      <c r="AI66" s="56">
        <f t="shared" si="338"/>
        <v>0</v>
      </c>
      <c r="AJ66" s="56">
        <f t="shared" si="338"/>
        <v>0</v>
      </c>
      <c r="AK66" s="56">
        <f t="shared" si="338"/>
        <v>0</v>
      </c>
      <c r="AL66" s="56">
        <f t="shared" si="338"/>
        <v>0</v>
      </c>
      <c r="AM66" s="56">
        <f t="shared" si="338"/>
        <v>0</v>
      </c>
      <c r="AN66" s="56">
        <f t="shared" si="338"/>
        <v>0</v>
      </c>
      <c r="AO66" s="56">
        <f t="shared" si="338"/>
        <v>0</v>
      </c>
      <c r="AP66" s="56">
        <f t="shared" si="338"/>
        <v>0</v>
      </c>
      <c r="AQ66" s="56">
        <f t="shared" ref="AQ66" si="339">+IF(AP65&lt;0.01,0,$C$66)</f>
        <v>0</v>
      </c>
      <c r="AR66" s="56">
        <f t="shared" ref="AR66" si="340">+IF(AQ65&lt;0.01,0,$C$66)</f>
        <v>0</v>
      </c>
      <c r="AS66" s="56">
        <f t="shared" ref="AS66" si="341">+IF(AR65&lt;0.01,0,$C$66)</f>
        <v>0</v>
      </c>
      <c r="AT66" s="56">
        <f t="shared" ref="AT66" si="342">+IF(AS65&lt;0.01,0,$C$66)</f>
        <v>0</v>
      </c>
      <c r="AU66" s="56">
        <f t="shared" ref="AU66" si="343">+IF(AT65&lt;0.01,0,$C$66)</f>
        <v>0</v>
      </c>
      <c r="AV66" s="56">
        <f t="shared" ref="AV66" si="344">+IF(AU65&lt;0.01,0,$C$66)</f>
        <v>0</v>
      </c>
      <c r="AW66" s="56">
        <f t="shared" ref="AW66" si="345">+IF(AV65&lt;0.01,0,$C$66)</f>
        <v>0</v>
      </c>
      <c r="AX66" s="56">
        <f t="shared" ref="AX66" si="346">+IF(AW65&lt;0.01,0,$C$66)</f>
        <v>0</v>
      </c>
      <c r="AY66" s="56">
        <f t="shared" ref="AY66" si="347">+IF(AX65&lt;0.01,0,$C$66)</f>
        <v>0</v>
      </c>
      <c r="AZ66" s="56">
        <f t="shared" ref="AZ66" si="348">+IF(AY65&lt;0.01,0,$C$66)</f>
        <v>0</v>
      </c>
      <c r="BA66" s="56">
        <f t="shared" ref="BA66" si="349">+IF(AZ65&lt;0.01,0,$C$66)</f>
        <v>0</v>
      </c>
    </row>
    <row r="67" spans="2:53" x14ac:dyDescent="0.2">
      <c r="B67" s="57" t="s">
        <v>30</v>
      </c>
      <c r="C67" s="65" t="s">
        <v>75</v>
      </c>
      <c r="D67" s="44"/>
      <c r="E67" s="44"/>
      <c r="F67" s="44"/>
      <c r="G67" s="6"/>
      <c r="H67" s="6"/>
      <c r="I67" s="6"/>
      <c r="J67" s="6"/>
      <c r="K67" s="6"/>
      <c r="L67" s="44">
        <v>0</v>
      </c>
      <c r="M67" s="44">
        <f>+M66-M68</f>
        <v>0</v>
      </c>
      <c r="N67" s="44">
        <f t="shared" ref="N67:AP67" si="350">+N66-N68</f>
        <v>0</v>
      </c>
      <c r="O67" s="56">
        <f t="shared" si="350"/>
        <v>0</v>
      </c>
      <c r="P67" s="56">
        <f t="shared" si="350"/>
        <v>0</v>
      </c>
      <c r="Q67" s="56">
        <f t="shared" si="350"/>
        <v>0</v>
      </c>
      <c r="R67" s="56">
        <f t="shared" si="350"/>
        <v>0</v>
      </c>
      <c r="S67" s="56">
        <f t="shared" si="350"/>
        <v>0</v>
      </c>
      <c r="T67" s="56">
        <f t="shared" si="350"/>
        <v>0</v>
      </c>
      <c r="U67" s="56">
        <f t="shared" si="350"/>
        <v>0</v>
      </c>
      <c r="V67" s="56">
        <f t="shared" si="350"/>
        <v>0</v>
      </c>
      <c r="W67" s="56">
        <f t="shared" si="350"/>
        <v>0</v>
      </c>
      <c r="X67" s="56">
        <f t="shared" si="350"/>
        <v>0</v>
      </c>
      <c r="Y67" s="56">
        <f t="shared" si="350"/>
        <v>0</v>
      </c>
      <c r="Z67" s="56">
        <f t="shared" si="350"/>
        <v>0</v>
      </c>
      <c r="AA67" s="56">
        <f t="shared" si="350"/>
        <v>0</v>
      </c>
      <c r="AB67" s="56">
        <f t="shared" si="350"/>
        <v>0</v>
      </c>
      <c r="AC67" s="56">
        <f t="shared" si="350"/>
        <v>0</v>
      </c>
      <c r="AD67" s="56">
        <f t="shared" si="350"/>
        <v>0</v>
      </c>
      <c r="AE67" s="56">
        <f t="shared" si="350"/>
        <v>0</v>
      </c>
      <c r="AF67" s="56">
        <f t="shared" si="350"/>
        <v>0</v>
      </c>
      <c r="AG67" s="56">
        <f t="shared" si="350"/>
        <v>0</v>
      </c>
      <c r="AH67" s="56">
        <f t="shared" si="350"/>
        <v>0</v>
      </c>
      <c r="AI67" s="56">
        <f t="shared" si="350"/>
        <v>0</v>
      </c>
      <c r="AJ67" s="56">
        <f t="shared" si="350"/>
        <v>0</v>
      </c>
      <c r="AK67" s="56">
        <f t="shared" si="350"/>
        <v>0</v>
      </c>
      <c r="AL67" s="56">
        <f t="shared" si="350"/>
        <v>0</v>
      </c>
      <c r="AM67" s="56">
        <f t="shared" si="350"/>
        <v>0</v>
      </c>
      <c r="AN67" s="56">
        <f t="shared" si="350"/>
        <v>0</v>
      </c>
      <c r="AO67" s="56">
        <f t="shared" si="350"/>
        <v>0</v>
      </c>
      <c r="AP67" s="56">
        <f t="shared" si="350"/>
        <v>0</v>
      </c>
      <c r="AQ67" s="56">
        <f t="shared" ref="AQ67:BA67" si="351">+AQ66-AQ68</f>
        <v>0</v>
      </c>
      <c r="AR67" s="56">
        <f t="shared" si="351"/>
        <v>0</v>
      </c>
      <c r="AS67" s="56">
        <f t="shared" si="351"/>
        <v>0</v>
      </c>
      <c r="AT67" s="56">
        <f t="shared" si="351"/>
        <v>0</v>
      </c>
      <c r="AU67" s="56">
        <f t="shared" si="351"/>
        <v>0</v>
      </c>
      <c r="AV67" s="56">
        <f t="shared" si="351"/>
        <v>0</v>
      </c>
      <c r="AW67" s="56">
        <f t="shared" si="351"/>
        <v>0</v>
      </c>
      <c r="AX67" s="56">
        <f t="shared" si="351"/>
        <v>0</v>
      </c>
      <c r="AY67" s="56">
        <f t="shared" si="351"/>
        <v>0</v>
      </c>
      <c r="AZ67" s="56">
        <f t="shared" si="351"/>
        <v>0</v>
      </c>
      <c r="BA67" s="56">
        <f t="shared" si="351"/>
        <v>0</v>
      </c>
    </row>
    <row r="68" spans="2:53" x14ac:dyDescent="0.2">
      <c r="B68" s="57" t="s">
        <v>3</v>
      </c>
      <c r="C68" s="65" t="s">
        <v>75</v>
      </c>
      <c r="D68" s="44"/>
      <c r="E68" s="44"/>
      <c r="F68" s="44"/>
      <c r="G68" s="6"/>
      <c r="H68" s="6"/>
      <c r="I68" s="6"/>
      <c r="J68" s="6"/>
      <c r="K68" s="6"/>
      <c r="L68" s="44">
        <v>0</v>
      </c>
      <c r="M68" s="44">
        <f t="shared" ref="M68:AP68" si="352">+$C$9*L65</f>
        <v>0</v>
      </c>
      <c r="N68" s="44">
        <f t="shared" si="352"/>
        <v>0</v>
      </c>
      <c r="O68" s="56">
        <f t="shared" si="352"/>
        <v>0</v>
      </c>
      <c r="P68" s="56">
        <f t="shared" si="352"/>
        <v>0</v>
      </c>
      <c r="Q68" s="56">
        <f t="shared" si="352"/>
        <v>0</v>
      </c>
      <c r="R68" s="56">
        <f t="shared" si="352"/>
        <v>0</v>
      </c>
      <c r="S68" s="56">
        <f t="shared" si="352"/>
        <v>0</v>
      </c>
      <c r="T68" s="56">
        <f t="shared" si="352"/>
        <v>0</v>
      </c>
      <c r="U68" s="56">
        <f t="shared" si="352"/>
        <v>0</v>
      </c>
      <c r="V68" s="56">
        <f t="shared" si="352"/>
        <v>0</v>
      </c>
      <c r="W68" s="56">
        <f t="shared" si="352"/>
        <v>0</v>
      </c>
      <c r="X68" s="56">
        <f t="shared" si="352"/>
        <v>0</v>
      </c>
      <c r="Y68" s="56">
        <f t="shared" si="352"/>
        <v>0</v>
      </c>
      <c r="Z68" s="56">
        <f t="shared" si="352"/>
        <v>0</v>
      </c>
      <c r="AA68" s="56">
        <f t="shared" si="352"/>
        <v>0</v>
      </c>
      <c r="AB68" s="56">
        <f t="shared" si="352"/>
        <v>0</v>
      </c>
      <c r="AC68" s="56">
        <f t="shared" si="352"/>
        <v>0</v>
      </c>
      <c r="AD68" s="56">
        <f t="shared" si="352"/>
        <v>0</v>
      </c>
      <c r="AE68" s="56">
        <f t="shared" si="352"/>
        <v>0</v>
      </c>
      <c r="AF68" s="56">
        <f t="shared" si="352"/>
        <v>0</v>
      </c>
      <c r="AG68" s="56">
        <f t="shared" si="352"/>
        <v>0</v>
      </c>
      <c r="AH68" s="56">
        <f t="shared" si="352"/>
        <v>0</v>
      </c>
      <c r="AI68" s="56">
        <f t="shared" si="352"/>
        <v>0</v>
      </c>
      <c r="AJ68" s="56">
        <f t="shared" si="352"/>
        <v>0</v>
      </c>
      <c r="AK68" s="56">
        <f t="shared" si="352"/>
        <v>0</v>
      </c>
      <c r="AL68" s="56">
        <f t="shared" si="352"/>
        <v>0</v>
      </c>
      <c r="AM68" s="56">
        <f t="shared" si="352"/>
        <v>0</v>
      </c>
      <c r="AN68" s="56">
        <f t="shared" si="352"/>
        <v>0</v>
      </c>
      <c r="AO68" s="56">
        <f t="shared" si="352"/>
        <v>0</v>
      </c>
      <c r="AP68" s="56">
        <f t="shared" si="352"/>
        <v>0</v>
      </c>
      <c r="AQ68" s="56">
        <f t="shared" ref="AQ68" si="353">+$C$9*AP65</f>
        <v>0</v>
      </c>
      <c r="AR68" s="56">
        <f t="shared" ref="AR68" si="354">+$C$9*AQ65</f>
        <v>0</v>
      </c>
      <c r="AS68" s="56">
        <f t="shared" ref="AS68" si="355">+$C$9*AR65</f>
        <v>0</v>
      </c>
      <c r="AT68" s="56">
        <f t="shared" ref="AT68" si="356">+$C$9*AS65</f>
        <v>0</v>
      </c>
      <c r="AU68" s="56">
        <f t="shared" ref="AU68" si="357">+$C$9*AT65</f>
        <v>0</v>
      </c>
      <c r="AV68" s="56">
        <f t="shared" ref="AV68" si="358">+$C$9*AU65</f>
        <v>0</v>
      </c>
      <c r="AW68" s="56">
        <f t="shared" ref="AW68" si="359">+$C$9*AV65</f>
        <v>0</v>
      </c>
      <c r="AX68" s="56">
        <f t="shared" ref="AX68" si="360">+$C$9*AW65</f>
        <v>0</v>
      </c>
      <c r="AY68" s="56">
        <f t="shared" ref="AY68" si="361">+$C$9*AX65</f>
        <v>0</v>
      </c>
      <c r="AZ68" s="56">
        <f t="shared" ref="AZ68" si="362">+$C$9*AY65</f>
        <v>0</v>
      </c>
      <c r="BA68" s="56">
        <f t="shared" ref="BA68" si="363">+$C$9*AZ65</f>
        <v>0</v>
      </c>
    </row>
    <row r="69" spans="2:53" x14ac:dyDescent="0.2">
      <c r="B69" s="57"/>
      <c r="D69" s="44"/>
      <c r="E69" s="44"/>
      <c r="F69" s="44"/>
      <c r="G69" s="44"/>
      <c r="H69" s="44"/>
      <c r="I69" s="44"/>
      <c r="J69" s="6"/>
      <c r="K69" s="6"/>
      <c r="L69" s="44"/>
      <c r="M69" s="44"/>
      <c r="N69" s="44"/>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row>
    <row r="70" spans="2:53" x14ac:dyDescent="0.2">
      <c r="B70" s="46" t="s">
        <v>54</v>
      </c>
      <c r="C70" s="65" t="s">
        <v>75</v>
      </c>
      <c r="D70" s="44"/>
      <c r="E70" s="44"/>
      <c r="F70" s="44"/>
      <c r="G70" s="6"/>
      <c r="H70" s="6"/>
      <c r="I70" s="6"/>
      <c r="J70" s="6"/>
      <c r="K70" s="6"/>
      <c r="L70" s="6"/>
      <c r="M70" s="44">
        <f>M18</f>
        <v>0</v>
      </c>
      <c r="N70" s="44">
        <f t="shared" ref="N70:AP70" si="364">+M70-N72</f>
        <v>0</v>
      </c>
      <c r="O70" s="56">
        <f t="shared" si="364"/>
        <v>0</v>
      </c>
      <c r="P70" s="56">
        <f t="shared" si="364"/>
        <v>0</v>
      </c>
      <c r="Q70" s="56">
        <f t="shared" si="364"/>
        <v>0</v>
      </c>
      <c r="R70" s="56">
        <f t="shared" si="364"/>
        <v>0</v>
      </c>
      <c r="S70" s="56">
        <f t="shared" si="364"/>
        <v>0</v>
      </c>
      <c r="T70" s="56">
        <f t="shared" si="364"/>
        <v>0</v>
      </c>
      <c r="U70" s="56">
        <f t="shared" si="364"/>
        <v>0</v>
      </c>
      <c r="V70" s="56">
        <f t="shared" si="364"/>
        <v>0</v>
      </c>
      <c r="W70" s="56">
        <f t="shared" si="364"/>
        <v>0</v>
      </c>
      <c r="X70" s="56">
        <f t="shared" si="364"/>
        <v>0</v>
      </c>
      <c r="Y70" s="56">
        <f t="shared" si="364"/>
        <v>0</v>
      </c>
      <c r="Z70" s="56">
        <f t="shared" si="364"/>
        <v>0</v>
      </c>
      <c r="AA70" s="56">
        <f t="shared" si="364"/>
        <v>0</v>
      </c>
      <c r="AB70" s="56">
        <f t="shared" si="364"/>
        <v>0</v>
      </c>
      <c r="AC70" s="56">
        <f t="shared" si="364"/>
        <v>0</v>
      </c>
      <c r="AD70" s="56">
        <f t="shared" si="364"/>
        <v>0</v>
      </c>
      <c r="AE70" s="56">
        <f t="shared" si="364"/>
        <v>0</v>
      </c>
      <c r="AF70" s="56">
        <f t="shared" si="364"/>
        <v>0</v>
      </c>
      <c r="AG70" s="56">
        <f t="shared" si="364"/>
        <v>0</v>
      </c>
      <c r="AH70" s="56">
        <f t="shared" si="364"/>
        <v>0</v>
      </c>
      <c r="AI70" s="56">
        <f t="shared" si="364"/>
        <v>0</v>
      </c>
      <c r="AJ70" s="56">
        <f t="shared" si="364"/>
        <v>0</v>
      </c>
      <c r="AK70" s="56">
        <f t="shared" si="364"/>
        <v>0</v>
      </c>
      <c r="AL70" s="56">
        <f t="shared" si="364"/>
        <v>0</v>
      </c>
      <c r="AM70" s="56">
        <f t="shared" si="364"/>
        <v>0</v>
      </c>
      <c r="AN70" s="56">
        <f t="shared" si="364"/>
        <v>0</v>
      </c>
      <c r="AO70" s="56">
        <f t="shared" si="364"/>
        <v>0</v>
      </c>
      <c r="AP70" s="56">
        <f t="shared" si="364"/>
        <v>0</v>
      </c>
      <c r="AQ70" s="56">
        <f t="shared" ref="AQ70" si="365">+AP70-AQ72</f>
        <v>0</v>
      </c>
      <c r="AR70" s="56">
        <f t="shared" ref="AR70" si="366">+AQ70-AR72</f>
        <v>0</v>
      </c>
      <c r="AS70" s="56">
        <f t="shared" ref="AS70" si="367">+AR70-AS72</f>
        <v>0</v>
      </c>
      <c r="AT70" s="56">
        <f t="shared" ref="AT70" si="368">+AS70-AT72</f>
        <v>0</v>
      </c>
      <c r="AU70" s="56">
        <f t="shared" ref="AU70" si="369">+AT70-AU72</f>
        <v>0</v>
      </c>
      <c r="AV70" s="56">
        <f t="shared" ref="AV70" si="370">+AU70-AV72</f>
        <v>0</v>
      </c>
      <c r="AW70" s="56">
        <f t="shared" ref="AW70" si="371">+AV70-AW72</f>
        <v>0</v>
      </c>
      <c r="AX70" s="56">
        <f t="shared" ref="AX70" si="372">+AW70-AX72</f>
        <v>0</v>
      </c>
      <c r="AY70" s="56">
        <f t="shared" ref="AY70" si="373">+AX70-AY72</f>
        <v>0</v>
      </c>
      <c r="AZ70" s="56">
        <f t="shared" ref="AZ70" si="374">+AY70-AZ72</f>
        <v>0</v>
      </c>
      <c r="BA70" s="56">
        <f t="shared" ref="BA70" si="375">+AZ70-BA72</f>
        <v>0</v>
      </c>
    </row>
    <row r="71" spans="2:53" x14ac:dyDescent="0.2">
      <c r="B71" s="57" t="s">
        <v>29</v>
      </c>
      <c r="C71" s="64">
        <f>+M70/((1-(1/(1+$C$9)^$C$8))/$C$9)</f>
        <v>0</v>
      </c>
      <c r="D71" s="44"/>
      <c r="E71" s="44"/>
      <c r="F71" s="44"/>
      <c r="G71" s="6"/>
      <c r="H71" s="6"/>
      <c r="I71" s="6"/>
      <c r="J71" s="6"/>
      <c r="K71" s="6"/>
      <c r="L71" s="6"/>
      <c r="M71" s="44">
        <v>0</v>
      </c>
      <c r="N71" s="44">
        <f>+IF(M70&lt;0.01,0,$C$71)</f>
        <v>0</v>
      </c>
      <c r="O71" s="56">
        <f t="shared" ref="O71:AP71" si="376">+IF(N70&lt;0.01,0,$C$71)</f>
        <v>0</v>
      </c>
      <c r="P71" s="56">
        <f t="shared" si="376"/>
        <v>0</v>
      </c>
      <c r="Q71" s="56">
        <f t="shared" si="376"/>
        <v>0</v>
      </c>
      <c r="R71" s="56">
        <f t="shared" si="376"/>
        <v>0</v>
      </c>
      <c r="S71" s="56">
        <f t="shared" si="376"/>
        <v>0</v>
      </c>
      <c r="T71" s="56">
        <f t="shared" si="376"/>
        <v>0</v>
      </c>
      <c r="U71" s="56">
        <f t="shared" si="376"/>
        <v>0</v>
      </c>
      <c r="V71" s="56">
        <f t="shared" si="376"/>
        <v>0</v>
      </c>
      <c r="W71" s="56">
        <f t="shared" si="376"/>
        <v>0</v>
      </c>
      <c r="X71" s="56">
        <f t="shared" si="376"/>
        <v>0</v>
      </c>
      <c r="Y71" s="56">
        <f t="shared" si="376"/>
        <v>0</v>
      </c>
      <c r="Z71" s="56">
        <f t="shared" si="376"/>
        <v>0</v>
      </c>
      <c r="AA71" s="56">
        <f t="shared" si="376"/>
        <v>0</v>
      </c>
      <c r="AB71" s="56">
        <f t="shared" si="376"/>
        <v>0</v>
      </c>
      <c r="AC71" s="56">
        <f t="shared" si="376"/>
        <v>0</v>
      </c>
      <c r="AD71" s="56">
        <f t="shared" si="376"/>
        <v>0</v>
      </c>
      <c r="AE71" s="56">
        <f t="shared" si="376"/>
        <v>0</v>
      </c>
      <c r="AF71" s="56">
        <f t="shared" si="376"/>
        <v>0</v>
      </c>
      <c r="AG71" s="56">
        <f t="shared" si="376"/>
        <v>0</v>
      </c>
      <c r="AH71" s="56">
        <f t="shared" si="376"/>
        <v>0</v>
      </c>
      <c r="AI71" s="56">
        <f t="shared" si="376"/>
        <v>0</v>
      </c>
      <c r="AJ71" s="56">
        <f t="shared" si="376"/>
        <v>0</v>
      </c>
      <c r="AK71" s="56">
        <f t="shared" si="376"/>
        <v>0</v>
      </c>
      <c r="AL71" s="56">
        <f t="shared" si="376"/>
        <v>0</v>
      </c>
      <c r="AM71" s="56">
        <f t="shared" si="376"/>
        <v>0</v>
      </c>
      <c r="AN71" s="56">
        <f t="shared" si="376"/>
        <v>0</v>
      </c>
      <c r="AO71" s="56">
        <f t="shared" si="376"/>
        <v>0</v>
      </c>
      <c r="AP71" s="56">
        <f t="shared" si="376"/>
        <v>0</v>
      </c>
      <c r="AQ71" s="56">
        <f t="shared" ref="AQ71" si="377">+IF(AP70&lt;0.01,0,$C$71)</f>
        <v>0</v>
      </c>
      <c r="AR71" s="56">
        <f t="shared" ref="AR71" si="378">+IF(AQ70&lt;0.01,0,$C$71)</f>
        <v>0</v>
      </c>
      <c r="AS71" s="56">
        <f t="shared" ref="AS71" si="379">+IF(AR70&lt;0.01,0,$C$71)</f>
        <v>0</v>
      </c>
      <c r="AT71" s="56">
        <f t="shared" ref="AT71" si="380">+IF(AS70&lt;0.01,0,$C$71)</f>
        <v>0</v>
      </c>
      <c r="AU71" s="56">
        <f t="shared" ref="AU71" si="381">+IF(AT70&lt;0.01,0,$C$71)</f>
        <v>0</v>
      </c>
      <c r="AV71" s="56">
        <f t="shared" ref="AV71" si="382">+IF(AU70&lt;0.01,0,$C$71)</f>
        <v>0</v>
      </c>
      <c r="AW71" s="56">
        <f t="shared" ref="AW71" si="383">+IF(AV70&lt;0.01,0,$C$71)</f>
        <v>0</v>
      </c>
      <c r="AX71" s="56">
        <f t="shared" ref="AX71" si="384">+IF(AW70&lt;0.01,0,$C$71)</f>
        <v>0</v>
      </c>
      <c r="AY71" s="56">
        <f t="shared" ref="AY71" si="385">+IF(AX70&lt;0.01,0,$C$71)</f>
        <v>0</v>
      </c>
      <c r="AZ71" s="56">
        <f t="shared" ref="AZ71" si="386">+IF(AY70&lt;0.01,0,$C$71)</f>
        <v>0</v>
      </c>
      <c r="BA71" s="56">
        <f t="shared" ref="BA71" si="387">+IF(AZ70&lt;0.01,0,$C$71)</f>
        <v>0</v>
      </c>
    </row>
    <row r="72" spans="2:53" x14ac:dyDescent="0.2">
      <c r="B72" s="57" t="s">
        <v>30</v>
      </c>
      <c r="C72" s="65" t="s">
        <v>75</v>
      </c>
      <c r="D72" s="44"/>
      <c r="E72" s="44"/>
      <c r="F72" s="44"/>
      <c r="G72" s="6"/>
      <c r="H72" s="6"/>
      <c r="I72" s="6"/>
      <c r="J72" s="6"/>
      <c r="K72" s="6"/>
      <c r="L72" s="6"/>
      <c r="M72" s="44">
        <v>0</v>
      </c>
      <c r="N72" s="44">
        <f t="shared" ref="N72:AP72" si="388">+N71-N73</f>
        <v>0</v>
      </c>
      <c r="O72" s="56">
        <f t="shared" si="388"/>
        <v>0</v>
      </c>
      <c r="P72" s="56">
        <f t="shared" si="388"/>
        <v>0</v>
      </c>
      <c r="Q72" s="56">
        <f t="shared" si="388"/>
        <v>0</v>
      </c>
      <c r="R72" s="56">
        <f t="shared" si="388"/>
        <v>0</v>
      </c>
      <c r="S72" s="56">
        <f t="shared" si="388"/>
        <v>0</v>
      </c>
      <c r="T72" s="56">
        <f t="shared" si="388"/>
        <v>0</v>
      </c>
      <c r="U72" s="56">
        <f t="shared" si="388"/>
        <v>0</v>
      </c>
      <c r="V72" s="56">
        <f t="shared" si="388"/>
        <v>0</v>
      </c>
      <c r="W72" s="56">
        <f t="shared" si="388"/>
        <v>0</v>
      </c>
      <c r="X72" s="56">
        <f t="shared" si="388"/>
        <v>0</v>
      </c>
      <c r="Y72" s="56">
        <f t="shared" si="388"/>
        <v>0</v>
      </c>
      <c r="Z72" s="56">
        <f t="shared" si="388"/>
        <v>0</v>
      </c>
      <c r="AA72" s="56">
        <f t="shared" si="388"/>
        <v>0</v>
      </c>
      <c r="AB72" s="56">
        <f t="shared" si="388"/>
        <v>0</v>
      </c>
      <c r="AC72" s="56">
        <f t="shared" si="388"/>
        <v>0</v>
      </c>
      <c r="AD72" s="56">
        <f t="shared" si="388"/>
        <v>0</v>
      </c>
      <c r="AE72" s="56">
        <f t="shared" si="388"/>
        <v>0</v>
      </c>
      <c r="AF72" s="56">
        <f t="shared" si="388"/>
        <v>0</v>
      </c>
      <c r="AG72" s="56">
        <f t="shared" si="388"/>
        <v>0</v>
      </c>
      <c r="AH72" s="56">
        <f t="shared" si="388"/>
        <v>0</v>
      </c>
      <c r="AI72" s="56">
        <f t="shared" si="388"/>
        <v>0</v>
      </c>
      <c r="AJ72" s="56">
        <f t="shared" si="388"/>
        <v>0</v>
      </c>
      <c r="AK72" s="56">
        <f t="shared" si="388"/>
        <v>0</v>
      </c>
      <c r="AL72" s="56">
        <f t="shared" si="388"/>
        <v>0</v>
      </c>
      <c r="AM72" s="56">
        <f t="shared" si="388"/>
        <v>0</v>
      </c>
      <c r="AN72" s="56">
        <f t="shared" si="388"/>
        <v>0</v>
      </c>
      <c r="AO72" s="56">
        <f t="shared" si="388"/>
        <v>0</v>
      </c>
      <c r="AP72" s="56">
        <f t="shared" si="388"/>
        <v>0</v>
      </c>
      <c r="AQ72" s="56">
        <f t="shared" ref="AQ72:BA72" si="389">+AQ71-AQ73</f>
        <v>0</v>
      </c>
      <c r="AR72" s="56">
        <f t="shared" si="389"/>
        <v>0</v>
      </c>
      <c r="AS72" s="56">
        <f t="shared" si="389"/>
        <v>0</v>
      </c>
      <c r="AT72" s="56">
        <f t="shared" si="389"/>
        <v>0</v>
      </c>
      <c r="AU72" s="56">
        <f t="shared" si="389"/>
        <v>0</v>
      </c>
      <c r="AV72" s="56">
        <f t="shared" si="389"/>
        <v>0</v>
      </c>
      <c r="AW72" s="56">
        <f t="shared" si="389"/>
        <v>0</v>
      </c>
      <c r="AX72" s="56">
        <f t="shared" si="389"/>
        <v>0</v>
      </c>
      <c r="AY72" s="56">
        <f t="shared" si="389"/>
        <v>0</v>
      </c>
      <c r="AZ72" s="56">
        <f t="shared" si="389"/>
        <v>0</v>
      </c>
      <c r="BA72" s="56">
        <f t="shared" si="389"/>
        <v>0</v>
      </c>
    </row>
    <row r="73" spans="2:53" x14ac:dyDescent="0.2">
      <c r="B73" s="57" t="s">
        <v>3</v>
      </c>
      <c r="C73" s="65" t="s">
        <v>75</v>
      </c>
      <c r="D73" s="44"/>
      <c r="E73" s="44"/>
      <c r="F73" s="44"/>
      <c r="G73" s="6"/>
      <c r="H73" s="6"/>
      <c r="I73" s="6"/>
      <c r="J73" s="6"/>
      <c r="K73" s="6"/>
      <c r="L73" s="6"/>
      <c r="M73" s="44">
        <v>0</v>
      </c>
      <c r="N73" s="44">
        <f t="shared" ref="N73:AP73" si="390">+$C$9*M70</f>
        <v>0</v>
      </c>
      <c r="O73" s="56">
        <f t="shared" si="390"/>
        <v>0</v>
      </c>
      <c r="P73" s="56">
        <f t="shared" si="390"/>
        <v>0</v>
      </c>
      <c r="Q73" s="56">
        <f t="shared" si="390"/>
        <v>0</v>
      </c>
      <c r="R73" s="56">
        <f t="shared" si="390"/>
        <v>0</v>
      </c>
      <c r="S73" s="56">
        <f t="shared" si="390"/>
        <v>0</v>
      </c>
      <c r="T73" s="56">
        <f t="shared" si="390"/>
        <v>0</v>
      </c>
      <c r="U73" s="56">
        <f t="shared" si="390"/>
        <v>0</v>
      </c>
      <c r="V73" s="56">
        <f t="shared" si="390"/>
        <v>0</v>
      </c>
      <c r="W73" s="56">
        <f t="shared" si="390"/>
        <v>0</v>
      </c>
      <c r="X73" s="56">
        <f t="shared" si="390"/>
        <v>0</v>
      </c>
      <c r="Y73" s="56">
        <f t="shared" si="390"/>
        <v>0</v>
      </c>
      <c r="Z73" s="56">
        <f t="shared" si="390"/>
        <v>0</v>
      </c>
      <c r="AA73" s="56">
        <f t="shared" si="390"/>
        <v>0</v>
      </c>
      <c r="AB73" s="56">
        <f t="shared" si="390"/>
        <v>0</v>
      </c>
      <c r="AC73" s="56">
        <f t="shared" si="390"/>
        <v>0</v>
      </c>
      <c r="AD73" s="56">
        <f t="shared" si="390"/>
        <v>0</v>
      </c>
      <c r="AE73" s="56">
        <f t="shared" si="390"/>
        <v>0</v>
      </c>
      <c r="AF73" s="56">
        <f t="shared" si="390"/>
        <v>0</v>
      </c>
      <c r="AG73" s="56">
        <f t="shared" si="390"/>
        <v>0</v>
      </c>
      <c r="AH73" s="56">
        <f t="shared" si="390"/>
        <v>0</v>
      </c>
      <c r="AI73" s="56">
        <f t="shared" si="390"/>
        <v>0</v>
      </c>
      <c r="AJ73" s="56">
        <f t="shared" si="390"/>
        <v>0</v>
      </c>
      <c r="AK73" s="56">
        <f t="shared" si="390"/>
        <v>0</v>
      </c>
      <c r="AL73" s="56">
        <f t="shared" si="390"/>
        <v>0</v>
      </c>
      <c r="AM73" s="56">
        <f t="shared" si="390"/>
        <v>0</v>
      </c>
      <c r="AN73" s="56">
        <f t="shared" si="390"/>
        <v>0</v>
      </c>
      <c r="AO73" s="56">
        <f t="shared" si="390"/>
        <v>0</v>
      </c>
      <c r="AP73" s="56">
        <f t="shared" si="390"/>
        <v>0</v>
      </c>
      <c r="AQ73" s="56">
        <f t="shared" ref="AQ73" si="391">+$C$9*AP70</f>
        <v>0</v>
      </c>
      <c r="AR73" s="56">
        <f t="shared" ref="AR73" si="392">+$C$9*AQ70</f>
        <v>0</v>
      </c>
      <c r="AS73" s="56">
        <f t="shared" ref="AS73" si="393">+$C$9*AR70</f>
        <v>0</v>
      </c>
      <c r="AT73" s="56">
        <f t="shared" ref="AT73" si="394">+$C$9*AS70</f>
        <v>0</v>
      </c>
      <c r="AU73" s="56">
        <f t="shared" ref="AU73" si="395">+$C$9*AT70</f>
        <v>0</v>
      </c>
      <c r="AV73" s="56">
        <f t="shared" ref="AV73" si="396">+$C$9*AU70</f>
        <v>0</v>
      </c>
      <c r="AW73" s="56">
        <f t="shared" ref="AW73" si="397">+$C$9*AV70</f>
        <v>0</v>
      </c>
      <c r="AX73" s="56">
        <f t="shared" ref="AX73" si="398">+$C$9*AW70</f>
        <v>0</v>
      </c>
      <c r="AY73" s="56">
        <f t="shared" ref="AY73" si="399">+$C$9*AX70</f>
        <v>0</v>
      </c>
      <c r="AZ73" s="56">
        <f t="shared" ref="AZ73" si="400">+$C$9*AY70</f>
        <v>0</v>
      </c>
      <c r="BA73" s="56">
        <f t="shared" ref="BA73" si="401">+$C$9*AZ70</f>
        <v>0</v>
      </c>
    </row>
    <row r="74" spans="2:53" x14ac:dyDescent="0.2">
      <c r="D74" s="6"/>
      <c r="E74" s="6"/>
      <c r="F74" s="6"/>
      <c r="G74" s="6"/>
      <c r="H74" s="6"/>
      <c r="I74" s="6"/>
      <c r="J74" s="6"/>
      <c r="K74" s="6"/>
      <c r="L74" s="6"/>
      <c r="M74" s="6"/>
      <c r="N74" s="6"/>
    </row>
    <row r="75" spans="2:53" x14ac:dyDescent="0.2">
      <c r="B75" s="46" t="s">
        <v>55</v>
      </c>
      <c r="C75" s="65" t="s">
        <v>75</v>
      </c>
      <c r="D75" s="44"/>
      <c r="E75" s="44"/>
      <c r="F75" s="44"/>
      <c r="G75" s="44"/>
      <c r="H75" s="44"/>
      <c r="I75" s="44"/>
      <c r="J75" s="44"/>
      <c r="K75" s="44"/>
      <c r="L75" s="44"/>
      <c r="M75" s="44"/>
      <c r="N75" s="44">
        <f>N18</f>
        <v>0</v>
      </c>
      <c r="O75" s="56">
        <f t="shared" ref="O75" si="402">+N75-O77</f>
        <v>0</v>
      </c>
      <c r="P75" s="56">
        <f t="shared" ref="P75" si="403">+O75-P77</f>
        <v>0</v>
      </c>
      <c r="Q75" s="56">
        <f t="shared" ref="Q75" si="404">+P75-Q77</f>
        <v>0</v>
      </c>
      <c r="R75" s="56">
        <f t="shared" ref="R75" si="405">+Q75-R77</f>
        <v>0</v>
      </c>
      <c r="S75" s="56">
        <f t="shared" ref="S75" si="406">+R75-S77</f>
        <v>0</v>
      </c>
      <c r="T75" s="56">
        <f t="shared" ref="T75" si="407">+S75-T77</f>
        <v>0</v>
      </c>
      <c r="U75" s="56">
        <f t="shared" ref="U75" si="408">+T75-U77</f>
        <v>0</v>
      </c>
      <c r="V75" s="56">
        <f t="shared" ref="V75" si="409">+U75-V77</f>
        <v>0</v>
      </c>
      <c r="W75" s="56">
        <f t="shared" ref="W75" si="410">+V75-W77</f>
        <v>0</v>
      </c>
      <c r="X75" s="56">
        <f t="shared" ref="X75" si="411">+W75-X77</f>
        <v>0</v>
      </c>
      <c r="Y75" s="56">
        <f t="shared" ref="Y75" si="412">+X75-Y77</f>
        <v>0</v>
      </c>
      <c r="Z75" s="56">
        <f t="shared" ref="Z75" si="413">+Y75-Z77</f>
        <v>0</v>
      </c>
      <c r="AA75" s="56">
        <f t="shared" ref="AA75" si="414">+Z75-AA77</f>
        <v>0</v>
      </c>
      <c r="AB75" s="56">
        <f t="shared" ref="AB75" si="415">+AA75-AB77</f>
        <v>0</v>
      </c>
      <c r="AC75" s="56">
        <f t="shared" ref="AC75" si="416">+AB75-AC77</f>
        <v>0</v>
      </c>
      <c r="AD75" s="56">
        <f t="shared" ref="AD75" si="417">+AC75-AD77</f>
        <v>0</v>
      </c>
      <c r="AE75" s="56">
        <f t="shared" ref="AE75" si="418">+AD75-AE77</f>
        <v>0</v>
      </c>
      <c r="AF75" s="56">
        <f t="shared" ref="AF75" si="419">+AE75-AF77</f>
        <v>0</v>
      </c>
      <c r="AG75" s="56">
        <f t="shared" ref="AG75" si="420">+AF75-AG77</f>
        <v>0</v>
      </c>
      <c r="AH75" s="56">
        <f t="shared" ref="AH75" si="421">+AG75-AH77</f>
        <v>0</v>
      </c>
      <c r="AI75" s="56">
        <f t="shared" ref="AI75" si="422">+AH75-AI77</f>
        <v>0</v>
      </c>
      <c r="AJ75" s="56">
        <f t="shared" ref="AJ75" si="423">+AI75-AJ77</f>
        <v>0</v>
      </c>
      <c r="AK75" s="56">
        <f t="shared" ref="AK75" si="424">+AJ75-AK77</f>
        <v>0</v>
      </c>
      <c r="AL75" s="56">
        <f t="shared" ref="AL75" si="425">+AK75-AL77</f>
        <v>0</v>
      </c>
      <c r="AM75" s="56">
        <f t="shared" ref="AM75" si="426">+AL75-AM77</f>
        <v>0</v>
      </c>
      <c r="AN75" s="56">
        <f t="shared" ref="AN75" si="427">+AM75-AN77</f>
        <v>0</v>
      </c>
      <c r="AO75" s="56">
        <f t="shared" ref="AO75" si="428">+AN75-AO77</f>
        <v>0</v>
      </c>
      <c r="AP75" s="56">
        <f t="shared" ref="AP75" si="429">+AO75-AP77</f>
        <v>0</v>
      </c>
      <c r="AQ75" s="56">
        <f t="shared" ref="AQ75" si="430">+AP75-AQ77</f>
        <v>0</v>
      </c>
      <c r="AR75" s="56">
        <f t="shared" ref="AR75" si="431">+AQ75-AR77</f>
        <v>0</v>
      </c>
      <c r="AS75" s="56">
        <f t="shared" ref="AS75" si="432">+AR75-AS77</f>
        <v>0</v>
      </c>
      <c r="AT75" s="56">
        <f t="shared" ref="AT75" si="433">+AS75-AT77</f>
        <v>0</v>
      </c>
      <c r="AU75" s="56">
        <f t="shared" ref="AU75" si="434">+AT75-AU77</f>
        <v>0</v>
      </c>
      <c r="AV75" s="56">
        <f t="shared" ref="AV75" si="435">+AU75-AV77</f>
        <v>0</v>
      </c>
      <c r="AW75" s="56">
        <f t="shared" ref="AW75" si="436">+AV75-AW77</f>
        <v>0</v>
      </c>
      <c r="AX75" s="56">
        <f t="shared" ref="AX75" si="437">+AW75-AX77</f>
        <v>0</v>
      </c>
      <c r="AY75" s="56">
        <f t="shared" ref="AY75" si="438">+AX75-AY77</f>
        <v>0</v>
      </c>
      <c r="AZ75" s="56">
        <f t="shared" ref="AZ75" si="439">+AY75-AZ77</f>
        <v>0</v>
      </c>
      <c r="BA75" s="56">
        <f t="shared" ref="BA75" si="440">+AZ75-BA77</f>
        <v>0</v>
      </c>
    </row>
    <row r="76" spans="2:53" x14ac:dyDescent="0.2">
      <c r="B76" s="57" t="s">
        <v>29</v>
      </c>
      <c r="C76" s="64">
        <f>+N75/((1-(1/(1+$C$9)^$C$8))/$C$9)</f>
        <v>0</v>
      </c>
      <c r="D76" s="44"/>
      <c r="E76" s="44"/>
      <c r="F76" s="44"/>
      <c r="G76" s="44"/>
      <c r="H76" s="44"/>
      <c r="I76" s="44"/>
      <c r="J76" s="44"/>
      <c r="K76" s="44"/>
      <c r="L76" s="44"/>
      <c r="M76" s="44"/>
      <c r="N76" s="44">
        <v>0</v>
      </c>
      <c r="O76" s="56">
        <f>+IF(N75&lt;0.01,0,$C$76)</f>
        <v>0</v>
      </c>
      <c r="P76" s="56">
        <f t="shared" ref="P76:BA76" si="441">+IF(O75&lt;0.01,0,$C$76)</f>
        <v>0</v>
      </c>
      <c r="Q76" s="56">
        <f t="shared" si="441"/>
        <v>0</v>
      </c>
      <c r="R76" s="56">
        <f t="shared" si="441"/>
        <v>0</v>
      </c>
      <c r="S76" s="56">
        <f t="shared" si="441"/>
        <v>0</v>
      </c>
      <c r="T76" s="56">
        <f t="shared" si="441"/>
        <v>0</v>
      </c>
      <c r="U76" s="56">
        <f t="shared" si="441"/>
        <v>0</v>
      </c>
      <c r="V76" s="56">
        <f t="shared" si="441"/>
        <v>0</v>
      </c>
      <c r="W76" s="56">
        <f t="shared" si="441"/>
        <v>0</v>
      </c>
      <c r="X76" s="56">
        <f t="shared" si="441"/>
        <v>0</v>
      </c>
      <c r="Y76" s="56">
        <f t="shared" si="441"/>
        <v>0</v>
      </c>
      <c r="Z76" s="56">
        <f t="shared" si="441"/>
        <v>0</v>
      </c>
      <c r="AA76" s="56">
        <f t="shared" si="441"/>
        <v>0</v>
      </c>
      <c r="AB76" s="56">
        <f t="shared" si="441"/>
        <v>0</v>
      </c>
      <c r="AC76" s="56">
        <f t="shared" si="441"/>
        <v>0</v>
      </c>
      <c r="AD76" s="56">
        <f t="shared" si="441"/>
        <v>0</v>
      </c>
      <c r="AE76" s="56">
        <f t="shared" si="441"/>
        <v>0</v>
      </c>
      <c r="AF76" s="56">
        <f t="shared" si="441"/>
        <v>0</v>
      </c>
      <c r="AG76" s="56">
        <f t="shared" si="441"/>
        <v>0</v>
      </c>
      <c r="AH76" s="56">
        <f t="shared" si="441"/>
        <v>0</v>
      </c>
      <c r="AI76" s="56">
        <f t="shared" si="441"/>
        <v>0</v>
      </c>
      <c r="AJ76" s="56">
        <f t="shared" si="441"/>
        <v>0</v>
      </c>
      <c r="AK76" s="56">
        <f t="shared" si="441"/>
        <v>0</v>
      </c>
      <c r="AL76" s="56">
        <f t="shared" si="441"/>
        <v>0</v>
      </c>
      <c r="AM76" s="56">
        <f t="shared" si="441"/>
        <v>0</v>
      </c>
      <c r="AN76" s="56">
        <f t="shared" si="441"/>
        <v>0</v>
      </c>
      <c r="AO76" s="56">
        <f t="shared" si="441"/>
        <v>0</v>
      </c>
      <c r="AP76" s="56">
        <f t="shared" si="441"/>
        <v>0</v>
      </c>
      <c r="AQ76" s="56">
        <f t="shared" si="441"/>
        <v>0</v>
      </c>
      <c r="AR76" s="56">
        <f t="shared" si="441"/>
        <v>0</v>
      </c>
      <c r="AS76" s="56">
        <f t="shared" si="441"/>
        <v>0</v>
      </c>
      <c r="AT76" s="56">
        <f t="shared" si="441"/>
        <v>0</v>
      </c>
      <c r="AU76" s="56">
        <f t="shared" si="441"/>
        <v>0</v>
      </c>
      <c r="AV76" s="56">
        <f t="shared" si="441"/>
        <v>0</v>
      </c>
      <c r="AW76" s="56">
        <f t="shared" si="441"/>
        <v>0</v>
      </c>
      <c r="AX76" s="56">
        <f t="shared" si="441"/>
        <v>0</v>
      </c>
      <c r="AY76" s="56">
        <f t="shared" si="441"/>
        <v>0</v>
      </c>
      <c r="AZ76" s="56">
        <f t="shared" si="441"/>
        <v>0</v>
      </c>
      <c r="BA76" s="56">
        <f t="shared" si="441"/>
        <v>0</v>
      </c>
    </row>
    <row r="77" spans="2:53" x14ac:dyDescent="0.2">
      <c r="B77" s="57" t="s">
        <v>30</v>
      </c>
      <c r="C77" s="65" t="s">
        <v>75</v>
      </c>
      <c r="D77" s="44"/>
      <c r="E77" s="44"/>
      <c r="F77" s="44"/>
      <c r="G77" s="44"/>
      <c r="H77" s="44"/>
      <c r="I77" s="44"/>
      <c r="J77" s="44"/>
      <c r="K77" s="44"/>
      <c r="L77" s="44"/>
      <c r="M77" s="44"/>
      <c r="N77" s="44">
        <v>0</v>
      </c>
      <c r="O77" s="56">
        <f t="shared" ref="O77:BA77" si="442">+O76-O78</f>
        <v>0</v>
      </c>
      <c r="P77" s="56">
        <f t="shared" si="442"/>
        <v>0</v>
      </c>
      <c r="Q77" s="56">
        <f t="shared" si="442"/>
        <v>0</v>
      </c>
      <c r="R77" s="56">
        <f t="shared" si="442"/>
        <v>0</v>
      </c>
      <c r="S77" s="56">
        <f t="shared" si="442"/>
        <v>0</v>
      </c>
      <c r="T77" s="56">
        <f t="shared" si="442"/>
        <v>0</v>
      </c>
      <c r="U77" s="56">
        <f t="shared" si="442"/>
        <v>0</v>
      </c>
      <c r="V77" s="56">
        <f t="shared" si="442"/>
        <v>0</v>
      </c>
      <c r="W77" s="56">
        <f t="shared" si="442"/>
        <v>0</v>
      </c>
      <c r="X77" s="56">
        <f t="shared" si="442"/>
        <v>0</v>
      </c>
      <c r="Y77" s="56">
        <f t="shared" si="442"/>
        <v>0</v>
      </c>
      <c r="Z77" s="56">
        <f t="shared" si="442"/>
        <v>0</v>
      </c>
      <c r="AA77" s="56">
        <f t="shared" si="442"/>
        <v>0</v>
      </c>
      <c r="AB77" s="56">
        <f t="shared" si="442"/>
        <v>0</v>
      </c>
      <c r="AC77" s="56">
        <f t="shared" si="442"/>
        <v>0</v>
      </c>
      <c r="AD77" s="56">
        <f t="shared" si="442"/>
        <v>0</v>
      </c>
      <c r="AE77" s="56">
        <f t="shared" si="442"/>
        <v>0</v>
      </c>
      <c r="AF77" s="56">
        <f t="shared" si="442"/>
        <v>0</v>
      </c>
      <c r="AG77" s="56">
        <f t="shared" si="442"/>
        <v>0</v>
      </c>
      <c r="AH77" s="56">
        <f t="shared" si="442"/>
        <v>0</v>
      </c>
      <c r="AI77" s="56">
        <f t="shared" si="442"/>
        <v>0</v>
      </c>
      <c r="AJ77" s="56">
        <f t="shared" si="442"/>
        <v>0</v>
      </c>
      <c r="AK77" s="56">
        <f t="shared" si="442"/>
        <v>0</v>
      </c>
      <c r="AL77" s="56">
        <f t="shared" si="442"/>
        <v>0</v>
      </c>
      <c r="AM77" s="56">
        <f t="shared" si="442"/>
        <v>0</v>
      </c>
      <c r="AN77" s="56">
        <f t="shared" si="442"/>
        <v>0</v>
      </c>
      <c r="AO77" s="56">
        <f t="shared" si="442"/>
        <v>0</v>
      </c>
      <c r="AP77" s="56">
        <f t="shared" si="442"/>
        <v>0</v>
      </c>
      <c r="AQ77" s="56">
        <f t="shared" si="442"/>
        <v>0</v>
      </c>
      <c r="AR77" s="56">
        <f t="shared" si="442"/>
        <v>0</v>
      </c>
      <c r="AS77" s="56">
        <f t="shared" si="442"/>
        <v>0</v>
      </c>
      <c r="AT77" s="56">
        <f t="shared" si="442"/>
        <v>0</v>
      </c>
      <c r="AU77" s="56">
        <f t="shared" si="442"/>
        <v>0</v>
      </c>
      <c r="AV77" s="56">
        <f t="shared" si="442"/>
        <v>0</v>
      </c>
      <c r="AW77" s="56">
        <f t="shared" si="442"/>
        <v>0</v>
      </c>
      <c r="AX77" s="56">
        <f t="shared" si="442"/>
        <v>0</v>
      </c>
      <c r="AY77" s="56">
        <f t="shared" si="442"/>
        <v>0</v>
      </c>
      <c r="AZ77" s="56">
        <f t="shared" si="442"/>
        <v>0</v>
      </c>
      <c r="BA77" s="56">
        <f t="shared" si="442"/>
        <v>0</v>
      </c>
    </row>
    <row r="78" spans="2:53" x14ac:dyDescent="0.2">
      <c r="B78" s="57" t="s">
        <v>3</v>
      </c>
      <c r="C78" s="65" t="s">
        <v>75</v>
      </c>
      <c r="D78" s="44"/>
      <c r="E78" s="44"/>
      <c r="F78" s="44"/>
      <c r="G78" s="44"/>
      <c r="H78" s="44"/>
      <c r="I78" s="44"/>
      <c r="J78" s="44"/>
      <c r="K78" s="44"/>
      <c r="L78" s="44"/>
      <c r="M78" s="44"/>
      <c r="N78" s="44">
        <v>0</v>
      </c>
      <c r="O78" s="56">
        <f t="shared" ref="O78" si="443">+$C$9*N75</f>
        <v>0</v>
      </c>
      <c r="P78" s="56">
        <f t="shared" ref="P78" si="444">+$C$9*O75</f>
        <v>0</v>
      </c>
      <c r="Q78" s="56">
        <f t="shared" ref="Q78" si="445">+$C$9*P75</f>
        <v>0</v>
      </c>
      <c r="R78" s="56">
        <f t="shared" ref="R78" si="446">+$C$9*Q75</f>
        <v>0</v>
      </c>
      <c r="S78" s="56">
        <f t="shared" ref="S78" si="447">+$C$9*R75</f>
        <v>0</v>
      </c>
      <c r="T78" s="56">
        <f t="shared" ref="T78" si="448">+$C$9*S75</f>
        <v>0</v>
      </c>
      <c r="U78" s="56">
        <f t="shared" ref="U78" si="449">+$C$9*T75</f>
        <v>0</v>
      </c>
      <c r="V78" s="56">
        <f t="shared" ref="V78" si="450">+$C$9*U75</f>
        <v>0</v>
      </c>
      <c r="W78" s="56">
        <f t="shared" ref="W78" si="451">+$C$9*V75</f>
        <v>0</v>
      </c>
      <c r="X78" s="56">
        <f t="shared" ref="X78" si="452">+$C$9*W75</f>
        <v>0</v>
      </c>
      <c r="Y78" s="56">
        <f t="shared" ref="Y78" si="453">+$C$9*X75</f>
        <v>0</v>
      </c>
      <c r="Z78" s="56">
        <f t="shared" ref="Z78" si="454">+$C$9*Y75</f>
        <v>0</v>
      </c>
      <c r="AA78" s="56">
        <f t="shared" ref="AA78" si="455">+$C$9*Z75</f>
        <v>0</v>
      </c>
      <c r="AB78" s="56">
        <f t="shared" ref="AB78" si="456">+$C$9*AA75</f>
        <v>0</v>
      </c>
      <c r="AC78" s="56">
        <f t="shared" ref="AC78" si="457">+$C$9*AB75</f>
        <v>0</v>
      </c>
      <c r="AD78" s="56">
        <f t="shared" ref="AD78" si="458">+$C$9*AC75</f>
        <v>0</v>
      </c>
      <c r="AE78" s="56">
        <f t="shared" ref="AE78" si="459">+$C$9*AD75</f>
        <v>0</v>
      </c>
      <c r="AF78" s="56">
        <f t="shared" ref="AF78" si="460">+$C$9*AE75</f>
        <v>0</v>
      </c>
      <c r="AG78" s="56">
        <f t="shared" ref="AG78" si="461">+$C$9*AF75</f>
        <v>0</v>
      </c>
      <c r="AH78" s="56">
        <f t="shared" ref="AH78" si="462">+$C$9*AG75</f>
        <v>0</v>
      </c>
      <c r="AI78" s="56">
        <f t="shared" ref="AI78" si="463">+$C$9*AH75</f>
        <v>0</v>
      </c>
      <c r="AJ78" s="56">
        <f t="shared" ref="AJ78" si="464">+$C$9*AI75</f>
        <v>0</v>
      </c>
      <c r="AK78" s="56">
        <f t="shared" ref="AK78" si="465">+$C$9*AJ75</f>
        <v>0</v>
      </c>
      <c r="AL78" s="56">
        <f t="shared" ref="AL78" si="466">+$C$9*AK75</f>
        <v>0</v>
      </c>
      <c r="AM78" s="56">
        <f t="shared" ref="AM78" si="467">+$C$9*AL75</f>
        <v>0</v>
      </c>
      <c r="AN78" s="56">
        <f t="shared" ref="AN78" si="468">+$C$9*AM75</f>
        <v>0</v>
      </c>
      <c r="AO78" s="56">
        <f t="shared" ref="AO78" si="469">+$C$9*AN75</f>
        <v>0</v>
      </c>
      <c r="AP78" s="56">
        <f t="shared" ref="AP78" si="470">+$C$9*AO75</f>
        <v>0</v>
      </c>
      <c r="AQ78" s="56">
        <f t="shared" ref="AQ78" si="471">+$C$9*AP75</f>
        <v>0</v>
      </c>
      <c r="AR78" s="56">
        <f t="shared" ref="AR78" si="472">+$C$9*AQ75</f>
        <v>0</v>
      </c>
      <c r="AS78" s="56">
        <f t="shared" ref="AS78" si="473">+$C$9*AR75</f>
        <v>0</v>
      </c>
      <c r="AT78" s="56">
        <f t="shared" ref="AT78" si="474">+$C$9*AS75</f>
        <v>0</v>
      </c>
      <c r="AU78" s="56">
        <f t="shared" ref="AU78" si="475">+$C$9*AT75</f>
        <v>0</v>
      </c>
      <c r="AV78" s="56">
        <f t="shared" ref="AV78" si="476">+$C$9*AU75</f>
        <v>0</v>
      </c>
      <c r="AW78" s="56">
        <f t="shared" ref="AW78" si="477">+$C$9*AV75</f>
        <v>0</v>
      </c>
      <c r="AX78" s="56">
        <f t="shared" ref="AX78" si="478">+$C$9*AW75</f>
        <v>0</v>
      </c>
      <c r="AY78" s="56">
        <f t="shared" ref="AY78" si="479">+$C$9*AX75</f>
        <v>0</v>
      </c>
      <c r="AZ78" s="56">
        <f t="shared" ref="AZ78" si="480">+$C$9*AY75</f>
        <v>0</v>
      </c>
      <c r="BA78" s="56">
        <f t="shared" ref="BA78" si="481">+$C$9*AZ75</f>
        <v>0</v>
      </c>
    </row>
    <row r="79" spans="2:53" x14ac:dyDescent="0.2">
      <c r="B79" s="57"/>
      <c r="D79" s="44"/>
      <c r="E79" s="44"/>
      <c r="F79" s="44"/>
      <c r="G79" s="44"/>
      <c r="H79" s="44"/>
      <c r="I79" s="44"/>
      <c r="J79" s="44"/>
      <c r="K79" s="44"/>
      <c r="L79" s="44"/>
      <c r="M79" s="44"/>
      <c r="N79" s="44"/>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row>
    <row r="80" spans="2:53" x14ac:dyDescent="0.2">
      <c r="B80" s="46" t="s">
        <v>56</v>
      </c>
      <c r="C80" s="65" t="s">
        <v>75</v>
      </c>
      <c r="D80" s="44"/>
      <c r="E80" s="44"/>
      <c r="F80" s="44"/>
      <c r="G80" s="44"/>
      <c r="H80" s="44"/>
      <c r="I80" s="44"/>
      <c r="J80" s="44"/>
      <c r="K80" s="44"/>
      <c r="L80" s="44"/>
      <c r="M80" s="44"/>
      <c r="N80" s="44"/>
      <c r="O80" s="56">
        <f>O18</f>
        <v>0</v>
      </c>
      <c r="P80" s="56">
        <f t="shared" ref="P80" si="482">+O80-P82</f>
        <v>0</v>
      </c>
      <c r="Q80" s="56">
        <f t="shared" ref="Q80" si="483">+P80-Q82</f>
        <v>0</v>
      </c>
      <c r="R80" s="56">
        <f t="shared" ref="R80" si="484">+Q80-R82</f>
        <v>0</v>
      </c>
      <c r="S80" s="56">
        <f t="shared" ref="S80" si="485">+R80-S82</f>
        <v>0</v>
      </c>
      <c r="T80" s="56">
        <f t="shared" ref="T80" si="486">+S80-T82</f>
        <v>0</v>
      </c>
      <c r="U80" s="56">
        <f t="shared" ref="U80" si="487">+T80-U82</f>
        <v>0</v>
      </c>
      <c r="V80" s="56">
        <f t="shared" ref="V80" si="488">+U80-V82</f>
        <v>0</v>
      </c>
      <c r="W80" s="56">
        <f t="shared" ref="W80" si="489">+V80-W82</f>
        <v>0</v>
      </c>
      <c r="X80" s="56">
        <f t="shared" ref="X80" si="490">+W80-X82</f>
        <v>0</v>
      </c>
      <c r="Y80" s="56">
        <f t="shared" ref="Y80" si="491">+X80-Y82</f>
        <v>0</v>
      </c>
      <c r="Z80" s="56">
        <f t="shared" ref="Z80" si="492">+Y80-Z82</f>
        <v>0</v>
      </c>
      <c r="AA80" s="56">
        <f t="shared" ref="AA80" si="493">+Z80-AA82</f>
        <v>0</v>
      </c>
      <c r="AB80" s="56">
        <f t="shared" ref="AB80" si="494">+AA80-AB82</f>
        <v>0</v>
      </c>
      <c r="AC80" s="56">
        <f t="shared" ref="AC80" si="495">+AB80-AC82</f>
        <v>0</v>
      </c>
      <c r="AD80" s="56">
        <f t="shared" ref="AD80" si="496">+AC80-AD82</f>
        <v>0</v>
      </c>
      <c r="AE80" s="56">
        <f t="shared" ref="AE80" si="497">+AD80-AE82</f>
        <v>0</v>
      </c>
      <c r="AF80" s="56">
        <f t="shared" ref="AF80" si="498">+AE80-AF82</f>
        <v>0</v>
      </c>
      <c r="AG80" s="56">
        <f t="shared" ref="AG80" si="499">+AF80-AG82</f>
        <v>0</v>
      </c>
      <c r="AH80" s="56">
        <f t="shared" ref="AH80" si="500">+AG80-AH82</f>
        <v>0</v>
      </c>
      <c r="AI80" s="56">
        <f t="shared" ref="AI80" si="501">+AH80-AI82</f>
        <v>0</v>
      </c>
      <c r="AJ80" s="56">
        <f t="shared" ref="AJ80" si="502">+AI80-AJ82</f>
        <v>0</v>
      </c>
      <c r="AK80" s="56">
        <f t="shared" ref="AK80" si="503">+AJ80-AK82</f>
        <v>0</v>
      </c>
      <c r="AL80" s="56">
        <f t="shared" ref="AL80" si="504">+AK80-AL82</f>
        <v>0</v>
      </c>
      <c r="AM80" s="56">
        <f t="shared" ref="AM80" si="505">+AL80-AM82</f>
        <v>0</v>
      </c>
      <c r="AN80" s="56">
        <f t="shared" ref="AN80" si="506">+AM80-AN82</f>
        <v>0</v>
      </c>
      <c r="AO80" s="56">
        <f t="shared" ref="AO80" si="507">+AN80-AO82</f>
        <v>0</v>
      </c>
      <c r="AP80" s="56">
        <f t="shared" ref="AP80" si="508">+AO80-AP82</f>
        <v>0</v>
      </c>
      <c r="AQ80" s="56">
        <f t="shared" ref="AQ80" si="509">+AP80-AQ82</f>
        <v>0</v>
      </c>
      <c r="AR80" s="56">
        <f t="shared" ref="AR80" si="510">+AQ80-AR82</f>
        <v>0</v>
      </c>
      <c r="AS80" s="56">
        <f t="shared" ref="AS80" si="511">+AR80-AS82</f>
        <v>0</v>
      </c>
      <c r="AT80" s="56">
        <f t="shared" ref="AT80" si="512">+AS80-AT82</f>
        <v>0</v>
      </c>
      <c r="AU80" s="56">
        <f t="shared" ref="AU80" si="513">+AT80-AU82</f>
        <v>0</v>
      </c>
      <c r="AV80" s="56">
        <f t="shared" ref="AV80" si="514">+AU80-AV82</f>
        <v>0</v>
      </c>
      <c r="AW80" s="56">
        <f t="shared" ref="AW80" si="515">+AV80-AW82</f>
        <v>0</v>
      </c>
      <c r="AX80" s="56">
        <f t="shared" ref="AX80" si="516">+AW80-AX82</f>
        <v>0</v>
      </c>
      <c r="AY80" s="56">
        <f t="shared" ref="AY80" si="517">+AX80-AY82</f>
        <v>0</v>
      </c>
      <c r="AZ80" s="56">
        <f t="shared" ref="AZ80" si="518">+AY80-AZ82</f>
        <v>0</v>
      </c>
      <c r="BA80" s="56">
        <f t="shared" ref="BA80" si="519">+AZ80-BA82</f>
        <v>0</v>
      </c>
    </row>
    <row r="81" spans="2:53" x14ac:dyDescent="0.2">
      <c r="B81" s="57" t="s">
        <v>29</v>
      </c>
      <c r="C81" s="64">
        <f>+O80/((1-(1/(1+$C$9)^$C$8))/$C$9)</f>
        <v>0</v>
      </c>
      <c r="D81" s="44"/>
      <c r="E81" s="44"/>
      <c r="F81" s="44"/>
      <c r="G81" s="44"/>
      <c r="H81" s="44"/>
      <c r="I81" s="44"/>
      <c r="J81" s="44"/>
      <c r="K81" s="44"/>
      <c r="L81" s="44"/>
      <c r="M81" s="44"/>
      <c r="N81" s="44"/>
      <c r="O81" s="56">
        <v>0</v>
      </c>
      <c r="P81" s="56">
        <f>+IF(O80&lt;0.01,0,$C$81)</f>
        <v>0</v>
      </c>
      <c r="Q81" s="56">
        <f t="shared" ref="Q81:BA81" si="520">+IF(P80&lt;0.01,0,$C$81)</f>
        <v>0</v>
      </c>
      <c r="R81" s="56">
        <f t="shared" si="520"/>
        <v>0</v>
      </c>
      <c r="S81" s="56">
        <f t="shared" si="520"/>
        <v>0</v>
      </c>
      <c r="T81" s="56">
        <f t="shared" si="520"/>
        <v>0</v>
      </c>
      <c r="U81" s="56">
        <f t="shared" si="520"/>
        <v>0</v>
      </c>
      <c r="V81" s="56">
        <f t="shared" si="520"/>
        <v>0</v>
      </c>
      <c r="W81" s="56">
        <f t="shared" si="520"/>
        <v>0</v>
      </c>
      <c r="X81" s="56">
        <f t="shared" si="520"/>
        <v>0</v>
      </c>
      <c r="Y81" s="56">
        <f t="shared" si="520"/>
        <v>0</v>
      </c>
      <c r="Z81" s="56">
        <f t="shared" si="520"/>
        <v>0</v>
      </c>
      <c r="AA81" s="56">
        <f t="shared" si="520"/>
        <v>0</v>
      </c>
      <c r="AB81" s="56">
        <f t="shared" si="520"/>
        <v>0</v>
      </c>
      <c r="AC81" s="56">
        <f t="shared" si="520"/>
        <v>0</v>
      </c>
      <c r="AD81" s="56">
        <f t="shared" si="520"/>
        <v>0</v>
      </c>
      <c r="AE81" s="56">
        <f t="shared" si="520"/>
        <v>0</v>
      </c>
      <c r="AF81" s="56">
        <f t="shared" si="520"/>
        <v>0</v>
      </c>
      <c r="AG81" s="56">
        <f t="shared" si="520"/>
        <v>0</v>
      </c>
      <c r="AH81" s="56">
        <f t="shared" si="520"/>
        <v>0</v>
      </c>
      <c r="AI81" s="56">
        <f t="shared" si="520"/>
        <v>0</v>
      </c>
      <c r="AJ81" s="56">
        <f t="shared" si="520"/>
        <v>0</v>
      </c>
      <c r="AK81" s="56">
        <f t="shared" si="520"/>
        <v>0</v>
      </c>
      <c r="AL81" s="56">
        <f t="shared" si="520"/>
        <v>0</v>
      </c>
      <c r="AM81" s="56">
        <f t="shared" si="520"/>
        <v>0</v>
      </c>
      <c r="AN81" s="56">
        <f t="shared" si="520"/>
        <v>0</v>
      </c>
      <c r="AO81" s="56">
        <f t="shared" si="520"/>
        <v>0</v>
      </c>
      <c r="AP81" s="56">
        <f t="shared" si="520"/>
        <v>0</v>
      </c>
      <c r="AQ81" s="56">
        <f t="shared" si="520"/>
        <v>0</v>
      </c>
      <c r="AR81" s="56">
        <f t="shared" si="520"/>
        <v>0</v>
      </c>
      <c r="AS81" s="56">
        <f t="shared" si="520"/>
        <v>0</v>
      </c>
      <c r="AT81" s="56">
        <f t="shared" si="520"/>
        <v>0</v>
      </c>
      <c r="AU81" s="56">
        <f t="shared" si="520"/>
        <v>0</v>
      </c>
      <c r="AV81" s="56">
        <f t="shared" si="520"/>
        <v>0</v>
      </c>
      <c r="AW81" s="56">
        <f t="shared" si="520"/>
        <v>0</v>
      </c>
      <c r="AX81" s="56">
        <f t="shared" si="520"/>
        <v>0</v>
      </c>
      <c r="AY81" s="56">
        <f t="shared" si="520"/>
        <v>0</v>
      </c>
      <c r="AZ81" s="56">
        <f t="shared" si="520"/>
        <v>0</v>
      </c>
      <c r="BA81" s="56">
        <f t="shared" si="520"/>
        <v>0</v>
      </c>
    </row>
    <row r="82" spans="2:53" x14ac:dyDescent="0.2">
      <c r="B82" s="57" t="s">
        <v>30</v>
      </c>
      <c r="C82" s="65" t="s">
        <v>75</v>
      </c>
      <c r="D82" s="44"/>
      <c r="E82" s="44"/>
      <c r="F82" s="44"/>
      <c r="G82" s="44"/>
      <c r="H82" s="44"/>
      <c r="I82" s="44"/>
      <c r="J82" s="44"/>
      <c r="K82" s="44"/>
      <c r="L82" s="44"/>
      <c r="M82" s="44"/>
      <c r="N82" s="44"/>
      <c r="O82" s="56">
        <v>0</v>
      </c>
      <c r="P82" s="56">
        <f t="shared" ref="P82:BA82" si="521">+P81-P83</f>
        <v>0</v>
      </c>
      <c r="Q82" s="56">
        <f t="shared" si="521"/>
        <v>0</v>
      </c>
      <c r="R82" s="56">
        <f t="shared" si="521"/>
        <v>0</v>
      </c>
      <c r="S82" s="56">
        <f t="shared" si="521"/>
        <v>0</v>
      </c>
      <c r="T82" s="56">
        <f t="shared" si="521"/>
        <v>0</v>
      </c>
      <c r="U82" s="56">
        <f t="shared" si="521"/>
        <v>0</v>
      </c>
      <c r="V82" s="56">
        <f t="shared" si="521"/>
        <v>0</v>
      </c>
      <c r="W82" s="56">
        <f t="shared" si="521"/>
        <v>0</v>
      </c>
      <c r="X82" s="56">
        <f t="shared" si="521"/>
        <v>0</v>
      </c>
      <c r="Y82" s="56">
        <f t="shared" si="521"/>
        <v>0</v>
      </c>
      <c r="Z82" s="56">
        <f t="shared" si="521"/>
        <v>0</v>
      </c>
      <c r="AA82" s="56">
        <f t="shared" si="521"/>
        <v>0</v>
      </c>
      <c r="AB82" s="56">
        <f t="shared" si="521"/>
        <v>0</v>
      </c>
      <c r="AC82" s="56">
        <f t="shared" si="521"/>
        <v>0</v>
      </c>
      <c r="AD82" s="56">
        <f t="shared" si="521"/>
        <v>0</v>
      </c>
      <c r="AE82" s="56">
        <f t="shared" si="521"/>
        <v>0</v>
      </c>
      <c r="AF82" s="56">
        <f t="shared" si="521"/>
        <v>0</v>
      </c>
      <c r="AG82" s="56">
        <f t="shared" si="521"/>
        <v>0</v>
      </c>
      <c r="AH82" s="56">
        <f t="shared" si="521"/>
        <v>0</v>
      </c>
      <c r="AI82" s="56">
        <f t="shared" si="521"/>
        <v>0</v>
      </c>
      <c r="AJ82" s="56">
        <f t="shared" si="521"/>
        <v>0</v>
      </c>
      <c r="AK82" s="56">
        <f t="shared" si="521"/>
        <v>0</v>
      </c>
      <c r="AL82" s="56">
        <f t="shared" si="521"/>
        <v>0</v>
      </c>
      <c r="AM82" s="56">
        <f t="shared" si="521"/>
        <v>0</v>
      </c>
      <c r="AN82" s="56">
        <f t="shared" si="521"/>
        <v>0</v>
      </c>
      <c r="AO82" s="56">
        <f t="shared" si="521"/>
        <v>0</v>
      </c>
      <c r="AP82" s="56">
        <f t="shared" si="521"/>
        <v>0</v>
      </c>
      <c r="AQ82" s="56">
        <f t="shared" si="521"/>
        <v>0</v>
      </c>
      <c r="AR82" s="56">
        <f t="shared" si="521"/>
        <v>0</v>
      </c>
      <c r="AS82" s="56">
        <f t="shared" si="521"/>
        <v>0</v>
      </c>
      <c r="AT82" s="56">
        <f t="shared" si="521"/>
        <v>0</v>
      </c>
      <c r="AU82" s="56">
        <f t="shared" si="521"/>
        <v>0</v>
      </c>
      <c r="AV82" s="56">
        <f t="shared" si="521"/>
        <v>0</v>
      </c>
      <c r="AW82" s="56">
        <f t="shared" si="521"/>
        <v>0</v>
      </c>
      <c r="AX82" s="56">
        <f t="shared" si="521"/>
        <v>0</v>
      </c>
      <c r="AY82" s="56">
        <f t="shared" si="521"/>
        <v>0</v>
      </c>
      <c r="AZ82" s="56">
        <f t="shared" si="521"/>
        <v>0</v>
      </c>
      <c r="BA82" s="56">
        <f t="shared" si="521"/>
        <v>0</v>
      </c>
    </row>
    <row r="83" spans="2:53" x14ac:dyDescent="0.2">
      <c r="B83" s="57" t="s">
        <v>3</v>
      </c>
      <c r="C83" s="65" t="s">
        <v>75</v>
      </c>
      <c r="D83" s="44"/>
      <c r="E83" s="44"/>
      <c r="F83" s="44"/>
      <c r="G83" s="44"/>
      <c r="H83" s="44"/>
      <c r="I83" s="44"/>
      <c r="J83" s="44"/>
      <c r="K83" s="44"/>
      <c r="L83" s="44"/>
      <c r="M83" s="44"/>
      <c r="N83" s="44"/>
      <c r="O83" s="56">
        <v>0</v>
      </c>
      <c r="P83" s="56">
        <f t="shared" ref="P83" si="522">+$C$9*O80</f>
        <v>0</v>
      </c>
      <c r="Q83" s="56">
        <f t="shared" ref="Q83" si="523">+$C$9*P80</f>
        <v>0</v>
      </c>
      <c r="R83" s="56">
        <f t="shared" ref="R83" si="524">+$C$9*Q80</f>
        <v>0</v>
      </c>
      <c r="S83" s="56">
        <f t="shared" ref="S83" si="525">+$C$9*R80</f>
        <v>0</v>
      </c>
      <c r="T83" s="56">
        <f t="shared" ref="T83" si="526">+$C$9*S80</f>
        <v>0</v>
      </c>
      <c r="U83" s="56">
        <f t="shared" ref="U83" si="527">+$C$9*T80</f>
        <v>0</v>
      </c>
      <c r="V83" s="56">
        <f t="shared" ref="V83" si="528">+$C$9*U80</f>
        <v>0</v>
      </c>
      <c r="W83" s="56">
        <f t="shared" ref="W83" si="529">+$C$9*V80</f>
        <v>0</v>
      </c>
      <c r="X83" s="56">
        <f t="shared" ref="X83" si="530">+$C$9*W80</f>
        <v>0</v>
      </c>
      <c r="Y83" s="56">
        <f t="shared" ref="Y83" si="531">+$C$9*X80</f>
        <v>0</v>
      </c>
      <c r="Z83" s="56">
        <f t="shared" ref="Z83" si="532">+$C$9*Y80</f>
        <v>0</v>
      </c>
      <c r="AA83" s="56">
        <f t="shared" ref="AA83" si="533">+$C$9*Z80</f>
        <v>0</v>
      </c>
      <c r="AB83" s="56">
        <f t="shared" ref="AB83" si="534">+$C$9*AA80</f>
        <v>0</v>
      </c>
      <c r="AC83" s="56">
        <f t="shared" ref="AC83" si="535">+$C$9*AB80</f>
        <v>0</v>
      </c>
      <c r="AD83" s="56">
        <f t="shared" ref="AD83" si="536">+$C$9*AC80</f>
        <v>0</v>
      </c>
      <c r="AE83" s="56">
        <f t="shared" ref="AE83" si="537">+$C$9*AD80</f>
        <v>0</v>
      </c>
      <c r="AF83" s="56">
        <f t="shared" ref="AF83" si="538">+$C$9*AE80</f>
        <v>0</v>
      </c>
      <c r="AG83" s="56">
        <f t="shared" ref="AG83" si="539">+$C$9*AF80</f>
        <v>0</v>
      </c>
      <c r="AH83" s="56">
        <f t="shared" ref="AH83" si="540">+$C$9*AG80</f>
        <v>0</v>
      </c>
      <c r="AI83" s="56">
        <f t="shared" ref="AI83" si="541">+$C$9*AH80</f>
        <v>0</v>
      </c>
      <c r="AJ83" s="56">
        <f t="shared" ref="AJ83" si="542">+$C$9*AI80</f>
        <v>0</v>
      </c>
      <c r="AK83" s="56">
        <f t="shared" ref="AK83" si="543">+$C$9*AJ80</f>
        <v>0</v>
      </c>
      <c r="AL83" s="56">
        <f t="shared" ref="AL83" si="544">+$C$9*AK80</f>
        <v>0</v>
      </c>
      <c r="AM83" s="56">
        <f t="shared" ref="AM83" si="545">+$C$9*AL80</f>
        <v>0</v>
      </c>
      <c r="AN83" s="56">
        <f t="shared" ref="AN83" si="546">+$C$9*AM80</f>
        <v>0</v>
      </c>
      <c r="AO83" s="56">
        <f t="shared" ref="AO83" si="547">+$C$9*AN80</f>
        <v>0</v>
      </c>
      <c r="AP83" s="56">
        <f t="shared" ref="AP83" si="548">+$C$9*AO80</f>
        <v>0</v>
      </c>
      <c r="AQ83" s="56">
        <f t="shared" ref="AQ83" si="549">+$C$9*AP80</f>
        <v>0</v>
      </c>
      <c r="AR83" s="56">
        <f t="shared" ref="AR83" si="550">+$C$9*AQ80</f>
        <v>0</v>
      </c>
      <c r="AS83" s="56">
        <f t="shared" ref="AS83" si="551">+$C$9*AR80</f>
        <v>0</v>
      </c>
      <c r="AT83" s="56">
        <f t="shared" ref="AT83" si="552">+$C$9*AS80</f>
        <v>0</v>
      </c>
      <c r="AU83" s="56">
        <f t="shared" ref="AU83" si="553">+$C$9*AT80</f>
        <v>0</v>
      </c>
      <c r="AV83" s="56">
        <f t="shared" ref="AV83" si="554">+$C$9*AU80</f>
        <v>0</v>
      </c>
      <c r="AW83" s="56">
        <f t="shared" ref="AW83" si="555">+$C$9*AV80</f>
        <v>0</v>
      </c>
      <c r="AX83" s="56">
        <f t="shared" ref="AX83" si="556">+$C$9*AW80</f>
        <v>0</v>
      </c>
      <c r="AY83" s="56">
        <f t="shared" ref="AY83" si="557">+$C$9*AX80</f>
        <v>0</v>
      </c>
      <c r="AZ83" s="56">
        <f t="shared" ref="AZ83" si="558">+$C$9*AY80</f>
        <v>0</v>
      </c>
      <c r="BA83" s="56">
        <f t="shared" ref="BA83" si="559">+$C$9*AZ80</f>
        <v>0</v>
      </c>
    </row>
    <row r="84" spans="2:53" x14ac:dyDescent="0.2">
      <c r="B84" s="57"/>
      <c r="D84" s="44"/>
      <c r="E84" s="44"/>
      <c r="F84" s="44"/>
      <c r="G84" s="44"/>
      <c r="H84" s="44"/>
      <c r="I84" s="44"/>
      <c r="J84" s="44"/>
      <c r="K84" s="44"/>
      <c r="L84" s="44"/>
      <c r="M84" s="44"/>
      <c r="N84" s="44"/>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row>
    <row r="85" spans="2:53" x14ac:dyDescent="0.2">
      <c r="B85" s="46" t="s">
        <v>57</v>
      </c>
      <c r="C85" s="65" t="s">
        <v>75</v>
      </c>
      <c r="D85" s="44"/>
      <c r="E85" s="44"/>
      <c r="F85" s="44"/>
      <c r="G85" s="44"/>
      <c r="H85" s="44"/>
      <c r="I85" s="44"/>
      <c r="J85" s="44"/>
      <c r="K85" s="44"/>
      <c r="L85" s="44"/>
      <c r="M85" s="44"/>
      <c r="N85" s="44"/>
      <c r="O85" s="56"/>
      <c r="P85" s="56">
        <f>P18</f>
        <v>0</v>
      </c>
      <c r="Q85" s="56">
        <f t="shared" ref="Q85" si="560">+P85-Q87</f>
        <v>0</v>
      </c>
      <c r="R85" s="56">
        <f t="shared" ref="R85" si="561">+Q85-R87</f>
        <v>0</v>
      </c>
      <c r="S85" s="56">
        <f t="shared" ref="S85" si="562">+R85-S87</f>
        <v>0</v>
      </c>
      <c r="T85" s="56">
        <f t="shared" ref="T85" si="563">+S85-T87</f>
        <v>0</v>
      </c>
      <c r="U85" s="56">
        <f t="shared" ref="U85" si="564">+T85-U87</f>
        <v>0</v>
      </c>
      <c r="V85" s="56">
        <f t="shared" ref="V85" si="565">+U85-V87</f>
        <v>0</v>
      </c>
      <c r="W85" s="56">
        <f t="shared" ref="W85" si="566">+V85-W87</f>
        <v>0</v>
      </c>
      <c r="X85" s="56">
        <f t="shared" ref="X85" si="567">+W85-X87</f>
        <v>0</v>
      </c>
      <c r="Y85" s="56">
        <f t="shared" ref="Y85" si="568">+X85-Y87</f>
        <v>0</v>
      </c>
      <c r="Z85" s="56">
        <f t="shared" ref="Z85" si="569">+Y85-Z87</f>
        <v>0</v>
      </c>
      <c r="AA85" s="56">
        <f t="shared" ref="AA85" si="570">+Z85-AA87</f>
        <v>0</v>
      </c>
      <c r="AB85" s="56">
        <f t="shared" ref="AB85" si="571">+AA85-AB87</f>
        <v>0</v>
      </c>
      <c r="AC85" s="56">
        <f t="shared" ref="AC85" si="572">+AB85-AC87</f>
        <v>0</v>
      </c>
      <c r="AD85" s="56">
        <f t="shared" ref="AD85" si="573">+AC85-AD87</f>
        <v>0</v>
      </c>
      <c r="AE85" s="56">
        <f t="shared" ref="AE85" si="574">+AD85-AE87</f>
        <v>0</v>
      </c>
      <c r="AF85" s="56">
        <f t="shared" ref="AF85" si="575">+AE85-AF87</f>
        <v>0</v>
      </c>
      <c r="AG85" s="56">
        <f t="shared" ref="AG85" si="576">+AF85-AG87</f>
        <v>0</v>
      </c>
      <c r="AH85" s="56">
        <f t="shared" ref="AH85" si="577">+AG85-AH87</f>
        <v>0</v>
      </c>
      <c r="AI85" s="56">
        <f t="shared" ref="AI85" si="578">+AH85-AI87</f>
        <v>0</v>
      </c>
      <c r="AJ85" s="56">
        <f t="shared" ref="AJ85" si="579">+AI85-AJ87</f>
        <v>0</v>
      </c>
      <c r="AK85" s="56">
        <f t="shared" ref="AK85" si="580">+AJ85-AK87</f>
        <v>0</v>
      </c>
      <c r="AL85" s="56">
        <f t="shared" ref="AL85" si="581">+AK85-AL87</f>
        <v>0</v>
      </c>
      <c r="AM85" s="56">
        <f t="shared" ref="AM85" si="582">+AL85-AM87</f>
        <v>0</v>
      </c>
      <c r="AN85" s="56">
        <f t="shared" ref="AN85" si="583">+AM85-AN87</f>
        <v>0</v>
      </c>
      <c r="AO85" s="56">
        <f t="shared" ref="AO85" si="584">+AN85-AO87</f>
        <v>0</v>
      </c>
      <c r="AP85" s="56">
        <f t="shared" ref="AP85" si="585">+AO85-AP87</f>
        <v>0</v>
      </c>
      <c r="AQ85" s="56">
        <f t="shared" ref="AQ85" si="586">+AP85-AQ87</f>
        <v>0</v>
      </c>
      <c r="AR85" s="56">
        <f t="shared" ref="AR85" si="587">+AQ85-AR87</f>
        <v>0</v>
      </c>
      <c r="AS85" s="56">
        <f t="shared" ref="AS85" si="588">+AR85-AS87</f>
        <v>0</v>
      </c>
      <c r="AT85" s="56">
        <f t="shared" ref="AT85" si="589">+AS85-AT87</f>
        <v>0</v>
      </c>
      <c r="AU85" s="56">
        <f t="shared" ref="AU85" si="590">+AT85-AU87</f>
        <v>0</v>
      </c>
      <c r="AV85" s="56">
        <f t="shared" ref="AV85" si="591">+AU85-AV87</f>
        <v>0</v>
      </c>
      <c r="AW85" s="56">
        <f t="shared" ref="AW85" si="592">+AV85-AW87</f>
        <v>0</v>
      </c>
      <c r="AX85" s="56">
        <f t="shared" ref="AX85" si="593">+AW85-AX87</f>
        <v>0</v>
      </c>
      <c r="AY85" s="56">
        <f t="shared" ref="AY85" si="594">+AX85-AY87</f>
        <v>0</v>
      </c>
      <c r="AZ85" s="56">
        <f t="shared" ref="AZ85" si="595">+AY85-AZ87</f>
        <v>0</v>
      </c>
      <c r="BA85" s="56">
        <f t="shared" ref="BA85" si="596">+AZ85-BA87</f>
        <v>0</v>
      </c>
    </row>
    <row r="86" spans="2:53" x14ac:dyDescent="0.2">
      <c r="B86" s="57" t="s">
        <v>29</v>
      </c>
      <c r="C86" s="64">
        <f>+P85/((1-(1/(1+$C$9)^$C$8))/$C$9)</f>
        <v>0</v>
      </c>
      <c r="D86" s="44"/>
      <c r="E86" s="44"/>
      <c r="F86" s="44"/>
      <c r="G86" s="44"/>
      <c r="H86" s="44"/>
      <c r="I86" s="44"/>
      <c r="J86" s="44"/>
      <c r="K86" s="44"/>
      <c r="L86" s="44"/>
      <c r="M86" s="44"/>
      <c r="N86" s="44"/>
      <c r="O86" s="56"/>
      <c r="P86" s="56">
        <v>0</v>
      </c>
      <c r="Q86" s="56">
        <f>+IF(P85&lt;0.01,0,$C$86)</f>
        <v>0</v>
      </c>
      <c r="R86" s="56">
        <f t="shared" ref="R86:BA86" si="597">+IF(Q85&lt;0.01,0,$C$86)</f>
        <v>0</v>
      </c>
      <c r="S86" s="56">
        <f t="shared" si="597"/>
        <v>0</v>
      </c>
      <c r="T86" s="56">
        <f t="shared" si="597"/>
        <v>0</v>
      </c>
      <c r="U86" s="56">
        <f t="shared" si="597"/>
        <v>0</v>
      </c>
      <c r="V86" s="56">
        <f t="shared" si="597"/>
        <v>0</v>
      </c>
      <c r="W86" s="56">
        <f t="shared" si="597"/>
        <v>0</v>
      </c>
      <c r="X86" s="56">
        <f t="shared" si="597"/>
        <v>0</v>
      </c>
      <c r="Y86" s="56">
        <f t="shared" si="597"/>
        <v>0</v>
      </c>
      <c r="Z86" s="56">
        <f t="shared" si="597"/>
        <v>0</v>
      </c>
      <c r="AA86" s="56">
        <f t="shared" si="597"/>
        <v>0</v>
      </c>
      <c r="AB86" s="56">
        <f t="shared" si="597"/>
        <v>0</v>
      </c>
      <c r="AC86" s="56">
        <f t="shared" si="597"/>
        <v>0</v>
      </c>
      <c r="AD86" s="56">
        <f t="shared" si="597"/>
        <v>0</v>
      </c>
      <c r="AE86" s="56">
        <f t="shared" si="597"/>
        <v>0</v>
      </c>
      <c r="AF86" s="56">
        <f t="shared" si="597"/>
        <v>0</v>
      </c>
      <c r="AG86" s="56">
        <f t="shared" si="597"/>
        <v>0</v>
      </c>
      <c r="AH86" s="56">
        <f t="shared" si="597"/>
        <v>0</v>
      </c>
      <c r="AI86" s="56">
        <f t="shared" si="597"/>
        <v>0</v>
      </c>
      <c r="AJ86" s="56">
        <f t="shared" si="597"/>
        <v>0</v>
      </c>
      <c r="AK86" s="56">
        <f t="shared" si="597"/>
        <v>0</v>
      </c>
      <c r="AL86" s="56">
        <f t="shared" si="597"/>
        <v>0</v>
      </c>
      <c r="AM86" s="56">
        <f t="shared" si="597"/>
        <v>0</v>
      </c>
      <c r="AN86" s="56">
        <f t="shared" si="597"/>
        <v>0</v>
      </c>
      <c r="AO86" s="56">
        <f t="shared" si="597"/>
        <v>0</v>
      </c>
      <c r="AP86" s="56">
        <f t="shared" si="597"/>
        <v>0</v>
      </c>
      <c r="AQ86" s="56">
        <f t="shared" si="597"/>
        <v>0</v>
      </c>
      <c r="AR86" s="56">
        <f t="shared" si="597"/>
        <v>0</v>
      </c>
      <c r="AS86" s="56">
        <f t="shared" si="597"/>
        <v>0</v>
      </c>
      <c r="AT86" s="56">
        <f t="shared" si="597"/>
        <v>0</v>
      </c>
      <c r="AU86" s="56">
        <f t="shared" si="597"/>
        <v>0</v>
      </c>
      <c r="AV86" s="56">
        <f t="shared" si="597"/>
        <v>0</v>
      </c>
      <c r="AW86" s="56">
        <f t="shared" si="597"/>
        <v>0</v>
      </c>
      <c r="AX86" s="56">
        <f t="shared" si="597"/>
        <v>0</v>
      </c>
      <c r="AY86" s="56">
        <f t="shared" si="597"/>
        <v>0</v>
      </c>
      <c r="AZ86" s="56">
        <f t="shared" si="597"/>
        <v>0</v>
      </c>
      <c r="BA86" s="56">
        <f t="shared" si="597"/>
        <v>0</v>
      </c>
    </row>
    <row r="87" spans="2:53" x14ac:dyDescent="0.2">
      <c r="B87" s="57" t="s">
        <v>30</v>
      </c>
      <c r="C87" s="65" t="s">
        <v>75</v>
      </c>
      <c r="D87" s="44"/>
      <c r="E87" s="44"/>
      <c r="F87" s="44"/>
      <c r="G87" s="44"/>
      <c r="H87" s="44"/>
      <c r="I87" s="44"/>
      <c r="J87" s="44"/>
      <c r="K87" s="44"/>
      <c r="L87" s="44"/>
      <c r="M87" s="44"/>
      <c r="N87" s="44"/>
      <c r="O87" s="56"/>
      <c r="P87" s="56">
        <v>0</v>
      </c>
      <c r="Q87" s="56">
        <f t="shared" ref="Q87:BA87" si="598">+Q86-Q88</f>
        <v>0</v>
      </c>
      <c r="R87" s="56">
        <f t="shared" si="598"/>
        <v>0</v>
      </c>
      <c r="S87" s="56">
        <f t="shared" si="598"/>
        <v>0</v>
      </c>
      <c r="T87" s="56">
        <f t="shared" si="598"/>
        <v>0</v>
      </c>
      <c r="U87" s="56">
        <f t="shared" si="598"/>
        <v>0</v>
      </c>
      <c r="V87" s="56">
        <f t="shared" si="598"/>
        <v>0</v>
      </c>
      <c r="W87" s="56">
        <f t="shared" si="598"/>
        <v>0</v>
      </c>
      <c r="X87" s="56">
        <f t="shared" si="598"/>
        <v>0</v>
      </c>
      <c r="Y87" s="56">
        <f t="shared" si="598"/>
        <v>0</v>
      </c>
      <c r="Z87" s="56">
        <f t="shared" si="598"/>
        <v>0</v>
      </c>
      <c r="AA87" s="56">
        <f t="shared" si="598"/>
        <v>0</v>
      </c>
      <c r="AB87" s="56">
        <f t="shared" si="598"/>
        <v>0</v>
      </c>
      <c r="AC87" s="56">
        <f t="shared" si="598"/>
        <v>0</v>
      </c>
      <c r="AD87" s="56">
        <f t="shared" si="598"/>
        <v>0</v>
      </c>
      <c r="AE87" s="56">
        <f t="shared" si="598"/>
        <v>0</v>
      </c>
      <c r="AF87" s="56">
        <f t="shared" si="598"/>
        <v>0</v>
      </c>
      <c r="AG87" s="56">
        <f t="shared" si="598"/>
        <v>0</v>
      </c>
      <c r="AH87" s="56">
        <f t="shared" si="598"/>
        <v>0</v>
      </c>
      <c r="AI87" s="56">
        <f t="shared" si="598"/>
        <v>0</v>
      </c>
      <c r="AJ87" s="56">
        <f t="shared" si="598"/>
        <v>0</v>
      </c>
      <c r="AK87" s="56">
        <f t="shared" si="598"/>
        <v>0</v>
      </c>
      <c r="AL87" s="56">
        <f t="shared" si="598"/>
        <v>0</v>
      </c>
      <c r="AM87" s="56">
        <f t="shared" si="598"/>
        <v>0</v>
      </c>
      <c r="AN87" s="56">
        <f t="shared" si="598"/>
        <v>0</v>
      </c>
      <c r="AO87" s="56">
        <f t="shared" si="598"/>
        <v>0</v>
      </c>
      <c r="AP87" s="56">
        <f t="shared" si="598"/>
        <v>0</v>
      </c>
      <c r="AQ87" s="56">
        <f t="shared" si="598"/>
        <v>0</v>
      </c>
      <c r="AR87" s="56">
        <f t="shared" si="598"/>
        <v>0</v>
      </c>
      <c r="AS87" s="56">
        <f t="shared" si="598"/>
        <v>0</v>
      </c>
      <c r="AT87" s="56">
        <f t="shared" si="598"/>
        <v>0</v>
      </c>
      <c r="AU87" s="56">
        <f t="shared" si="598"/>
        <v>0</v>
      </c>
      <c r="AV87" s="56">
        <f t="shared" si="598"/>
        <v>0</v>
      </c>
      <c r="AW87" s="56">
        <f t="shared" si="598"/>
        <v>0</v>
      </c>
      <c r="AX87" s="56">
        <f t="shared" si="598"/>
        <v>0</v>
      </c>
      <c r="AY87" s="56">
        <f t="shared" si="598"/>
        <v>0</v>
      </c>
      <c r="AZ87" s="56">
        <f t="shared" si="598"/>
        <v>0</v>
      </c>
      <c r="BA87" s="56">
        <f t="shared" si="598"/>
        <v>0</v>
      </c>
    </row>
    <row r="88" spans="2:53" x14ac:dyDescent="0.2">
      <c r="B88" s="57" t="s">
        <v>3</v>
      </c>
      <c r="C88" s="65" t="s">
        <v>75</v>
      </c>
      <c r="D88" s="44"/>
      <c r="E88" s="44"/>
      <c r="F88" s="44"/>
      <c r="G88" s="44"/>
      <c r="H88" s="44"/>
      <c r="I88" s="44"/>
      <c r="J88" s="44"/>
      <c r="K88" s="44"/>
      <c r="L88" s="44"/>
      <c r="M88" s="44"/>
      <c r="N88" s="44"/>
      <c r="O88" s="56"/>
      <c r="P88" s="56">
        <v>0</v>
      </c>
      <c r="Q88" s="56">
        <f t="shared" ref="Q88" si="599">+$C$9*P85</f>
        <v>0</v>
      </c>
      <c r="R88" s="56">
        <f t="shared" ref="R88" si="600">+$C$9*Q85</f>
        <v>0</v>
      </c>
      <c r="S88" s="56">
        <f t="shared" ref="S88" si="601">+$C$9*R85</f>
        <v>0</v>
      </c>
      <c r="T88" s="56">
        <f t="shared" ref="T88" si="602">+$C$9*S85</f>
        <v>0</v>
      </c>
      <c r="U88" s="56">
        <f t="shared" ref="U88" si="603">+$C$9*T85</f>
        <v>0</v>
      </c>
      <c r="V88" s="56">
        <f t="shared" ref="V88" si="604">+$C$9*U85</f>
        <v>0</v>
      </c>
      <c r="W88" s="56">
        <f t="shared" ref="W88" si="605">+$C$9*V85</f>
        <v>0</v>
      </c>
      <c r="X88" s="56">
        <f t="shared" ref="X88" si="606">+$C$9*W85</f>
        <v>0</v>
      </c>
      <c r="Y88" s="56">
        <f t="shared" ref="Y88" si="607">+$C$9*X85</f>
        <v>0</v>
      </c>
      <c r="Z88" s="56">
        <f t="shared" ref="Z88" si="608">+$C$9*Y85</f>
        <v>0</v>
      </c>
      <c r="AA88" s="56">
        <f t="shared" ref="AA88" si="609">+$C$9*Z85</f>
        <v>0</v>
      </c>
      <c r="AB88" s="56">
        <f t="shared" ref="AB88" si="610">+$C$9*AA85</f>
        <v>0</v>
      </c>
      <c r="AC88" s="56">
        <f t="shared" ref="AC88" si="611">+$C$9*AB85</f>
        <v>0</v>
      </c>
      <c r="AD88" s="56">
        <f t="shared" ref="AD88" si="612">+$C$9*AC85</f>
        <v>0</v>
      </c>
      <c r="AE88" s="56">
        <f t="shared" ref="AE88" si="613">+$C$9*AD85</f>
        <v>0</v>
      </c>
      <c r="AF88" s="56">
        <f t="shared" ref="AF88" si="614">+$C$9*AE85</f>
        <v>0</v>
      </c>
      <c r="AG88" s="56">
        <f t="shared" ref="AG88" si="615">+$C$9*AF85</f>
        <v>0</v>
      </c>
      <c r="AH88" s="56">
        <f t="shared" ref="AH88" si="616">+$C$9*AG85</f>
        <v>0</v>
      </c>
      <c r="AI88" s="56">
        <f t="shared" ref="AI88" si="617">+$C$9*AH85</f>
        <v>0</v>
      </c>
      <c r="AJ88" s="56">
        <f t="shared" ref="AJ88" si="618">+$C$9*AI85</f>
        <v>0</v>
      </c>
      <c r="AK88" s="56">
        <f t="shared" ref="AK88" si="619">+$C$9*AJ85</f>
        <v>0</v>
      </c>
      <c r="AL88" s="56">
        <f t="shared" ref="AL88" si="620">+$C$9*AK85</f>
        <v>0</v>
      </c>
      <c r="AM88" s="56">
        <f t="shared" ref="AM88" si="621">+$C$9*AL85</f>
        <v>0</v>
      </c>
      <c r="AN88" s="56">
        <f t="shared" ref="AN88" si="622">+$C$9*AM85</f>
        <v>0</v>
      </c>
      <c r="AO88" s="56">
        <f t="shared" ref="AO88" si="623">+$C$9*AN85</f>
        <v>0</v>
      </c>
      <c r="AP88" s="56">
        <f t="shared" ref="AP88" si="624">+$C$9*AO85</f>
        <v>0</v>
      </c>
      <c r="AQ88" s="56">
        <f t="shared" ref="AQ88" si="625">+$C$9*AP85</f>
        <v>0</v>
      </c>
      <c r="AR88" s="56">
        <f t="shared" ref="AR88" si="626">+$C$9*AQ85</f>
        <v>0</v>
      </c>
      <c r="AS88" s="56">
        <f t="shared" ref="AS88" si="627">+$C$9*AR85</f>
        <v>0</v>
      </c>
      <c r="AT88" s="56">
        <f t="shared" ref="AT88" si="628">+$C$9*AS85</f>
        <v>0</v>
      </c>
      <c r="AU88" s="56">
        <f t="shared" ref="AU88" si="629">+$C$9*AT85</f>
        <v>0</v>
      </c>
      <c r="AV88" s="56">
        <f t="shared" ref="AV88" si="630">+$C$9*AU85</f>
        <v>0</v>
      </c>
      <c r="AW88" s="56">
        <f t="shared" ref="AW88" si="631">+$C$9*AV85</f>
        <v>0</v>
      </c>
      <c r="AX88" s="56">
        <f t="shared" ref="AX88" si="632">+$C$9*AW85</f>
        <v>0</v>
      </c>
      <c r="AY88" s="56">
        <f t="shared" ref="AY88" si="633">+$C$9*AX85</f>
        <v>0</v>
      </c>
      <c r="AZ88" s="56">
        <f t="shared" ref="AZ88" si="634">+$C$9*AY85</f>
        <v>0</v>
      </c>
      <c r="BA88" s="56">
        <f t="shared" ref="BA88" si="635">+$C$9*AZ85</f>
        <v>0</v>
      </c>
    </row>
    <row r="89" spans="2:53" x14ac:dyDescent="0.2">
      <c r="B89" s="57"/>
      <c r="D89" s="44"/>
      <c r="E89" s="44"/>
      <c r="F89" s="44"/>
      <c r="G89" s="44"/>
      <c r="H89" s="44"/>
      <c r="I89" s="44"/>
      <c r="J89" s="44"/>
      <c r="K89" s="44"/>
      <c r="L89" s="44"/>
      <c r="M89" s="44"/>
      <c r="N89" s="44"/>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row>
    <row r="90" spans="2:53" x14ac:dyDescent="0.2">
      <c r="B90" s="46" t="s">
        <v>58</v>
      </c>
      <c r="C90" s="65" t="s">
        <v>75</v>
      </c>
      <c r="D90" s="44"/>
      <c r="E90" s="44"/>
      <c r="F90" s="44"/>
      <c r="G90" s="44"/>
      <c r="H90" s="44"/>
      <c r="I90" s="44"/>
      <c r="J90" s="44"/>
      <c r="K90" s="44"/>
      <c r="L90" s="44"/>
      <c r="M90" s="44"/>
      <c r="N90" s="44"/>
      <c r="O90" s="56"/>
      <c r="P90" s="56"/>
      <c r="Q90" s="56">
        <f>Q18</f>
        <v>0</v>
      </c>
      <c r="R90" s="56">
        <f t="shared" ref="R90" si="636">+Q90-R92</f>
        <v>0</v>
      </c>
      <c r="S90" s="56">
        <f t="shared" ref="S90" si="637">+R90-S92</f>
        <v>0</v>
      </c>
      <c r="T90" s="56">
        <f t="shared" ref="T90" si="638">+S90-T92</f>
        <v>0</v>
      </c>
      <c r="U90" s="56">
        <f t="shared" ref="U90" si="639">+T90-U92</f>
        <v>0</v>
      </c>
      <c r="V90" s="56">
        <f t="shared" ref="V90" si="640">+U90-V92</f>
        <v>0</v>
      </c>
      <c r="W90" s="56">
        <f t="shared" ref="W90" si="641">+V90-W92</f>
        <v>0</v>
      </c>
      <c r="X90" s="56">
        <f t="shared" ref="X90" si="642">+W90-X92</f>
        <v>0</v>
      </c>
      <c r="Y90" s="56">
        <f t="shared" ref="Y90" si="643">+X90-Y92</f>
        <v>0</v>
      </c>
      <c r="Z90" s="56">
        <f t="shared" ref="Z90" si="644">+Y90-Z92</f>
        <v>0</v>
      </c>
      <c r="AA90" s="56">
        <f t="shared" ref="AA90" si="645">+Z90-AA92</f>
        <v>0</v>
      </c>
      <c r="AB90" s="56">
        <f t="shared" ref="AB90" si="646">+AA90-AB92</f>
        <v>0</v>
      </c>
      <c r="AC90" s="56">
        <f t="shared" ref="AC90" si="647">+AB90-AC92</f>
        <v>0</v>
      </c>
      <c r="AD90" s="56">
        <f t="shared" ref="AD90" si="648">+AC90-AD92</f>
        <v>0</v>
      </c>
      <c r="AE90" s="56">
        <f t="shared" ref="AE90" si="649">+AD90-AE92</f>
        <v>0</v>
      </c>
      <c r="AF90" s="56">
        <f t="shared" ref="AF90" si="650">+AE90-AF92</f>
        <v>0</v>
      </c>
      <c r="AG90" s="56">
        <f t="shared" ref="AG90" si="651">+AF90-AG92</f>
        <v>0</v>
      </c>
      <c r="AH90" s="56">
        <f t="shared" ref="AH90" si="652">+AG90-AH92</f>
        <v>0</v>
      </c>
      <c r="AI90" s="56">
        <f t="shared" ref="AI90" si="653">+AH90-AI92</f>
        <v>0</v>
      </c>
      <c r="AJ90" s="56">
        <f t="shared" ref="AJ90" si="654">+AI90-AJ92</f>
        <v>0</v>
      </c>
      <c r="AK90" s="56">
        <f t="shared" ref="AK90" si="655">+AJ90-AK92</f>
        <v>0</v>
      </c>
      <c r="AL90" s="56">
        <f t="shared" ref="AL90" si="656">+AK90-AL92</f>
        <v>0</v>
      </c>
      <c r="AM90" s="56">
        <f t="shared" ref="AM90" si="657">+AL90-AM92</f>
        <v>0</v>
      </c>
      <c r="AN90" s="56">
        <f t="shared" ref="AN90" si="658">+AM90-AN92</f>
        <v>0</v>
      </c>
      <c r="AO90" s="56">
        <f t="shared" ref="AO90" si="659">+AN90-AO92</f>
        <v>0</v>
      </c>
      <c r="AP90" s="56">
        <f t="shared" ref="AP90" si="660">+AO90-AP92</f>
        <v>0</v>
      </c>
      <c r="AQ90" s="56">
        <f t="shared" ref="AQ90" si="661">+AP90-AQ92</f>
        <v>0</v>
      </c>
      <c r="AR90" s="56">
        <f t="shared" ref="AR90" si="662">+AQ90-AR92</f>
        <v>0</v>
      </c>
      <c r="AS90" s="56">
        <f t="shared" ref="AS90" si="663">+AR90-AS92</f>
        <v>0</v>
      </c>
      <c r="AT90" s="56">
        <f t="shared" ref="AT90" si="664">+AS90-AT92</f>
        <v>0</v>
      </c>
      <c r="AU90" s="56">
        <f t="shared" ref="AU90" si="665">+AT90-AU92</f>
        <v>0</v>
      </c>
      <c r="AV90" s="56">
        <f t="shared" ref="AV90" si="666">+AU90-AV92</f>
        <v>0</v>
      </c>
      <c r="AW90" s="56">
        <f t="shared" ref="AW90" si="667">+AV90-AW92</f>
        <v>0</v>
      </c>
      <c r="AX90" s="56">
        <f t="shared" ref="AX90" si="668">+AW90-AX92</f>
        <v>0</v>
      </c>
      <c r="AY90" s="56">
        <f t="shared" ref="AY90" si="669">+AX90-AY92</f>
        <v>0</v>
      </c>
      <c r="AZ90" s="56">
        <f t="shared" ref="AZ90" si="670">+AY90-AZ92</f>
        <v>0</v>
      </c>
      <c r="BA90" s="56">
        <f t="shared" ref="BA90" si="671">+AZ90-BA92</f>
        <v>0</v>
      </c>
    </row>
    <row r="91" spans="2:53" x14ac:dyDescent="0.2">
      <c r="B91" s="57" t="s">
        <v>29</v>
      </c>
      <c r="C91" s="64">
        <f>+Q90/((1-(1/(1+$C$9)^$C$8))/$C$9)</f>
        <v>0</v>
      </c>
      <c r="D91" s="44"/>
      <c r="E91" s="44"/>
      <c r="F91" s="44"/>
      <c r="G91" s="44"/>
      <c r="H91" s="44"/>
      <c r="I91" s="44"/>
      <c r="J91" s="44"/>
      <c r="K91" s="44"/>
      <c r="L91" s="44"/>
      <c r="M91" s="44"/>
      <c r="N91" s="44"/>
      <c r="O91" s="56"/>
      <c r="P91" s="56"/>
      <c r="Q91" s="56">
        <v>0</v>
      </c>
      <c r="R91" s="56">
        <f>+IF(Q90&lt;0.01,0,$C$91)</f>
        <v>0</v>
      </c>
      <c r="S91" s="56">
        <f t="shared" ref="S91:BA91" si="672">+IF(R90&lt;0.01,0,$C$91)</f>
        <v>0</v>
      </c>
      <c r="T91" s="56">
        <f t="shared" si="672"/>
        <v>0</v>
      </c>
      <c r="U91" s="56">
        <f t="shared" si="672"/>
        <v>0</v>
      </c>
      <c r="V91" s="56">
        <f t="shared" si="672"/>
        <v>0</v>
      </c>
      <c r="W91" s="56">
        <f t="shared" si="672"/>
        <v>0</v>
      </c>
      <c r="X91" s="56">
        <f t="shared" si="672"/>
        <v>0</v>
      </c>
      <c r="Y91" s="56">
        <f t="shared" si="672"/>
        <v>0</v>
      </c>
      <c r="Z91" s="56">
        <f t="shared" si="672"/>
        <v>0</v>
      </c>
      <c r="AA91" s="56">
        <f t="shared" si="672"/>
        <v>0</v>
      </c>
      <c r="AB91" s="56">
        <f t="shared" si="672"/>
        <v>0</v>
      </c>
      <c r="AC91" s="56">
        <f t="shared" si="672"/>
        <v>0</v>
      </c>
      <c r="AD91" s="56">
        <f t="shared" si="672"/>
        <v>0</v>
      </c>
      <c r="AE91" s="56">
        <f t="shared" si="672"/>
        <v>0</v>
      </c>
      <c r="AF91" s="56">
        <f t="shared" si="672"/>
        <v>0</v>
      </c>
      <c r="AG91" s="56">
        <f t="shared" si="672"/>
        <v>0</v>
      </c>
      <c r="AH91" s="56">
        <f t="shared" si="672"/>
        <v>0</v>
      </c>
      <c r="AI91" s="56">
        <f t="shared" si="672"/>
        <v>0</v>
      </c>
      <c r="AJ91" s="56">
        <f t="shared" si="672"/>
        <v>0</v>
      </c>
      <c r="AK91" s="56">
        <f t="shared" si="672"/>
        <v>0</v>
      </c>
      <c r="AL91" s="56">
        <f t="shared" si="672"/>
        <v>0</v>
      </c>
      <c r="AM91" s="56">
        <f t="shared" si="672"/>
        <v>0</v>
      </c>
      <c r="AN91" s="56">
        <f t="shared" si="672"/>
        <v>0</v>
      </c>
      <c r="AO91" s="56">
        <f t="shared" si="672"/>
        <v>0</v>
      </c>
      <c r="AP91" s="56">
        <f t="shared" si="672"/>
        <v>0</v>
      </c>
      <c r="AQ91" s="56">
        <f t="shared" si="672"/>
        <v>0</v>
      </c>
      <c r="AR91" s="56">
        <f t="shared" si="672"/>
        <v>0</v>
      </c>
      <c r="AS91" s="56">
        <f t="shared" si="672"/>
        <v>0</v>
      </c>
      <c r="AT91" s="56">
        <f t="shared" si="672"/>
        <v>0</v>
      </c>
      <c r="AU91" s="56">
        <f t="shared" si="672"/>
        <v>0</v>
      </c>
      <c r="AV91" s="56">
        <f t="shared" si="672"/>
        <v>0</v>
      </c>
      <c r="AW91" s="56">
        <f t="shared" si="672"/>
        <v>0</v>
      </c>
      <c r="AX91" s="56">
        <f t="shared" si="672"/>
        <v>0</v>
      </c>
      <c r="AY91" s="56">
        <f t="shared" si="672"/>
        <v>0</v>
      </c>
      <c r="AZ91" s="56">
        <f t="shared" si="672"/>
        <v>0</v>
      </c>
      <c r="BA91" s="56">
        <f t="shared" si="672"/>
        <v>0</v>
      </c>
    </row>
    <row r="92" spans="2:53" x14ac:dyDescent="0.2">
      <c r="B92" s="57" t="s">
        <v>30</v>
      </c>
      <c r="C92" s="65" t="s">
        <v>75</v>
      </c>
      <c r="D92" s="44"/>
      <c r="E92" s="44"/>
      <c r="F92" s="44"/>
      <c r="G92" s="44"/>
      <c r="H92" s="44"/>
      <c r="I92" s="44"/>
      <c r="J92" s="44"/>
      <c r="K92" s="44"/>
      <c r="L92" s="44"/>
      <c r="M92" s="44"/>
      <c r="N92" s="44"/>
      <c r="O92" s="56"/>
      <c r="P92" s="56"/>
      <c r="Q92" s="56">
        <v>0</v>
      </c>
      <c r="R92" s="56">
        <f t="shared" ref="R92:BA92" si="673">+R91-R93</f>
        <v>0</v>
      </c>
      <c r="S92" s="56">
        <f t="shared" si="673"/>
        <v>0</v>
      </c>
      <c r="T92" s="56">
        <f t="shared" si="673"/>
        <v>0</v>
      </c>
      <c r="U92" s="56">
        <f t="shared" si="673"/>
        <v>0</v>
      </c>
      <c r="V92" s="56">
        <f t="shared" si="673"/>
        <v>0</v>
      </c>
      <c r="W92" s="56">
        <f t="shared" si="673"/>
        <v>0</v>
      </c>
      <c r="X92" s="56">
        <f t="shared" si="673"/>
        <v>0</v>
      </c>
      <c r="Y92" s="56">
        <f t="shared" si="673"/>
        <v>0</v>
      </c>
      <c r="Z92" s="56">
        <f t="shared" si="673"/>
        <v>0</v>
      </c>
      <c r="AA92" s="56">
        <f t="shared" si="673"/>
        <v>0</v>
      </c>
      <c r="AB92" s="56">
        <f t="shared" si="673"/>
        <v>0</v>
      </c>
      <c r="AC92" s="56">
        <f t="shared" si="673"/>
        <v>0</v>
      </c>
      <c r="AD92" s="56">
        <f t="shared" si="673"/>
        <v>0</v>
      </c>
      <c r="AE92" s="56">
        <f t="shared" si="673"/>
        <v>0</v>
      </c>
      <c r="AF92" s="56">
        <f t="shared" si="673"/>
        <v>0</v>
      </c>
      <c r="AG92" s="56">
        <f t="shared" si="673"/>
        <v>0</v>
      </c>
      <c r="AH92" s="56">
        <f t="shared" si="673"/>
        <v>0</v>
      </c>
      <c r="AI92" s="56">
        <f t="shared" si="673"/>
        <v>0</v>
      </c>
      <c r="AJ92" s="56">
        <f t="shared" si="673"/>
        <v>0</v>
      </c>
      <c r="AK92" s="56">
        <f t="shared" si="673"/>
        <v>0</v>
      </c>
      <c r="AL92" s="56">
        <f t="shared" si="673"/>
        <v>0</v>
      </c>
      <c r="AM92" s="56">
        <f t="shared" si="673"/>
        <v>0</v>
      </c>
      <c r="AN92" s="56">
        <f t="shared" si="673"/>
        <v>0</v>
      </c>
      <c r="AO92" s="56">
        <f t="shared" si="673"/>
        <v>0</v>
      </c>
      <c r="AP92" s="56">
        <f t="shared" si="673"/>
        <v>0</v>
      </c>
      <c r="AQ92" s="56">
        <f t="shared" si="673"/>
        <v>0</v>
      </c>
      <c r="AR92" s="56">
        <f t="shared" si="673"/>
        <v>0</v>
      </c>
      <c r="AS92" s="56">
        <f t="shared" si="673"/>
        <v>0</v>
      </c>
      <c r="AT92" s="56">
        <f t="shared" si="673"/>
        <v>0</v>
      </c>
      <c r="AU92" s="56">
        <f t="shared" si="673"/>
        <v>0</v>
      </c>
      <c r="AV92" s="56">
        <f t="shared" si="673"/>
        <v>0</v>
      </c>
      <c r="AW92" s="56">
        <f t="shared" si="673"/>
        <v>0</v>
      </c>
      <c r="AX92" s="56">
        <f t="shared" si="673"/>
        <v>0</v>
      </c>
      <c r="AY92" s="56">
        <f t="shared" si="673"/>
        <v>0</v>
      </c>
      <c r="AZ92" s="56">
        <f t="shared" si="673"/>
        <v>0</v>
      </c>
      <c r="BA92" s="56">
        <f t="shared" si="673"/>
        <v>0</v>
      </c>
    </row>
    <row r="93" spans="2:53" x14ac:dyDescent="0.2">
      <c r="B93" s="57" t="s">
        <v>3</v>
      </c>
      <c r="C93" s="65" t="s">
        <v>75</v>
      </c>
      <c r="D93" s="44"/>
      <c r="E93" s="44"/>
      <c r="F93" s="44"/>
      <c r="G93" s="44"/>
      <c r="H93" s="44"/>
      <c r="I93" s="44"/>
      <c r="J93" s="44"/>
      <c r="K93" s="44"/>
      <c r="L93" s="44"/>
      <c r="M93" s="44"/>
      <c r="N93" s="44"/>
      <c r="O93" s="56"/>
      <c r="P93" s="56"/>
      <c r="Q93" s="56">
        <v>0</v>
      </c>
      <c r="R93" s="56">
        <f t="shared" ref="R93" si="674">+$C$9*Q90</f>
        <v>0</v>
      </c>
      <c r="S93" s="56">
        <f t="shared" ref="S93" si="675">+$C$9*R90</f>
        <v>0</v>
      </c>
      <c r="T93" s="56">
        <f t="shared" ref="T93" si="676">+$C$9*S90</f>
        <v>0</v>
      </c>
      <c r="U93" s="56">
        <f t="shared" ref="U93" si="677">+$C$9*T90</f>
        <v>0</v>
      </c>
      <c r="V93" s="56">
        <f t="shared" ref="V93" si="678">+$C$9*U90</f>
        <v>0</v>
      </c>
      <c r="W93" s="56">
        <f t="shared" ref="W93" si="679">+$C$9*V90</f>
        <v>0</v>
      </c>
      <c r="X93" s="56">
        <f t="shared" ref="X93" si="680">+$C$9*W90</f>
        <v>0</v>
      </c>
      <c r="Y93" s="56">
        <f t="shared" ref="Y93" si="681">+$C$9*X90</f>
        <v>0</v>
      </c>
      <c r="Z93" s="56">
        <f t="shared" ref="Z93" si="682">+$C$9*Y90</f>
        <v>0</v>
      </c>
      <c r="AA93" s="56">
        <f t="shared" ref="AA93" si="683">+$C$9*Z90</f>
        <v>0</v>
      </c>
      <c r="AB93" s="56">
        <f t="shared" ref="AB93" si="684">+$C$9*AA90</f>
        <v>0</v>
      </c>
      <c r="AC93" s="56">
        <f t="shared" ref="AC93" si="685">+$C$9*AB90</f>
        <v>0</v>
      </c>
      <c r="AD93" s="56">
        <f t="shared" ref="AD93" si="686">+$C$9*AC90</f>
        <v>0</v>
      </c>
      <c r="AE93" s="56">
        <f t="shared" ref="AE93" si="687">+$C$9*AD90</f>
        <v>0</v>
      </c>
      <c r="AF93" s="56">
        <f t="shared" ref="AF93" si="688">+$C$9*AE90</f>
        <v>0</v>
      </c>
      <c r="AG93" s="56">
        <f t="shared" ref="AG93" si="689">+$C$9*AF90</f>
        <v>0</v>
      </c>
      <c r="AH93" s="56">
        <f t="shared" ref="AH93" si="690">+$C$9*AG90</f>
        <v>0</v>
      </c>
      <c r="AI93" s="56">
        <f t="shared" ref="AI93" si="691">+$C$9*AH90</f>
        <v>0</v>
      </c>
      <c r="AJ93" s="56">
        <f t="shared" ref="AJ93" si="692">+$C$9*AI90</f>
        <v>0</v>
      </c>
      <c r="AK93" s="56">
        <f t="shared" ref="AK93" si="693">+$C$9*AJ90</f>
        <v>0</v>
      </c>
      <c r="AL93" s="56">
        <f t="shared" ref="AL93" si="694">+$C$9*AK90</f>
        <v>0</v>
      </c>
      <c r="AM93" s="56">
        <f t="shared" ref="AM93" si="695">+$C$9*AL90</f>
        <v>0</v>
      </c>
      <c r="AN93" s="56">
        <f t="shared" ref="AN93" si="696">+$C$9*AM90</f>
        <v>0</v>
      </c>
      <c r="AO93" s="56">
        <f t="shared" ref="AO93" si="697">+$C$9*AN90</f>
        <v>0</v>
      </c>
      <c r="AP93" s="56">
        <f t="shared" ref="AP93" si="698">+$C$9*AO90</f>
        <v>0</v>
      </c>
      <c r="AQ93" s="56">
        <f t="shared" ref="AQ93" si="699">+$C$9*AP90</f>
        <v>0</v>
      </c>
      <c r="AR93" s="56">
        <f t="shared" ref="AR93" si="700">+$C$9*AQ90</f>
        <v>0</v>
      </c>
      <c r="AS93" s="56">
        <f t="shared" ref="AS93" si="701">+$C$9*AR90</f>
        <v>0</v>
      </c>
      <c r="AT93" s="56">
        <f t="shared" ref="AT93" si="702">+$C$9*AS90</f>
        <v>0</v>
      </c>
      <c r="AU93" s="56">
        <f t="shared" ref="AU93" si="703">+$C$9*AT90</f>
        <v>0</v>
      </c>
      <c r="AV93" s="56">
        <f t="shared" ref="AV93" si="704">+$C$9*AU90</f>
        <v>0</v>
      </c>
      <c r="AW93" s="56">
        <f t="shared" ref="AW93" si="705">+$C$9*AV90</f>
        <v>0</v>
      </c>
      <c r="AX93" s="56">
        <f t="shared" ref="AX93" si="706">+$C$9*AW90</f>
        <v>0</v>
      </c>
      <c r="AY93" s="56">
        <f t="shared" ref="AY93" si="707">+$C$9*AX90</f>
        <v>0</v>
      </c>
      <c r="AZ93" s="56">
        <f t="shared" ref="AZ93" si="708">+$C$9*AY90</f>
        <v>0</v>
      </c>
      <c r="BA93" s="56">
        <f t="shared" ref="BA93" si="709">+$C$9*AZ90</f>
        <v>0</v>
      </c>
    </row>
    <row r="94" spans="2:53" x14ac:dyDescent="0.2">
      <c r="B94" s="57"/>
      <c r="D94" s="44"/>
      <c r="E94" s="44"/>
      <c r="F94" s="44"/>
      <c r="G94" s="44"/>
      <c r="H94" s="44"/>
      <c r="I94" s="44"/>
      <c r="J94" s="44"/>
      <c r="K94" s="44"/>
      <c r="L94" s="44"/>
      <c r="M94" s="44"/>
      <c r="N94" s="44"/>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row>
    <row r="95" spans="2:53" x14ac:dyDescent="0.2">
      <c r="B95" s="46" t="s">
        <v>59</v>
      </c>
      <c r="C95" s="65" t="s">
        <v>75</v>
      </c>
      <c r="D95" s="44"/>
      <c r="E95" s="44"/>
      <c r="F95" s="44"/>
      <c r="G95" s="6"/>
      <c r="H95" s="44"/>
      <c r="I95" s="44"/>
      <c r="J95" s="44"/>
      <c r="K95" s="44"/>
      <c r="L95" s="44"/>
      <c r="M95" s="44"/>
      <c r="N95" s="44"/>
      <c r="O95" s="56"/>
      <c r="P95" s="56"/>
      <c r="Q95" s="56"/>
      <c r="R95" s="56">
        <f>R18</f>
        <v>0</v>
      </c>
      <c r="S95" s="56">
        <f t="shared" ref="S95" si="710">+R95-S97</f>
        <v>0</v>
      </c>
      <c r="T95" s="56">
        <f t="shared" ref="T95" si="711">+S95-T97</f>
        <v>0</v>
      </c>
      <c r="U95" s="56">
        <f t="shared" ref="U95" si="712">+T95-U97</f>
        <v>0</v>
      </c>
      <c r="V95" s="56">
        <f t="shared" ref="V95" si="713">+U95-V97</f>
        <v>0</v>
      </c>
      <c r="W95" s="56">
        <f t="shared" ref="W95" si="714">+V95-W97</f>
        <v>0</v>
      </c>
      <c r="X95" s="56">
        <f t="shared" ref="X95" si="715">+W95-X97</f>
        <v>0</v>
      </c>
      <c r="Y95" s="56">
        <f t="shared" ref="Y95" si="716">+X95-Y97</f>
        <v>0</v>
      </c>
      <c r="Z95" s="56">
        <f t="shared" ref="Z95" si="717">+Y95-Z97</f>
        <v>0</v>
      </c>
      <c r="AA95" s="56">
        <f t="shared" ref="AA95" si="718">+Z95-AA97</f>
        <v>0</v>
      </c>
      <c r="AB95" s="56">
        <f t="shared" ref="AB95" si="719">+AA95-AB97</f>
        <v>0</v>
      </c>
      <c r="AC95" s="56">
        <f t="shared" ref="AC95" si="720">+AB95-AC97</f>
        <v>0</v>
      </c>
      <c r="AD95" s="56">
        <f t="shared" ref="AD95" si="721">+AC95-AD97</f>
        <v>0</v>
      </c>
      <c r="AE95" s="56">
        <f t="shared" ref="AE95" si="722">+AD95-AE97</f>
        <v>0</v>
      </c>
      <c r="AF95" s="56">
        <f t="shared" ref="AF95" si="723">+AE95-AF97</f>
        <v>0</v>
      </c>
      <c r="AG95" s="56">
        <f t="shared" ref="AG95" si="724">+AF95-AG97</f>
        <v>0</v>
      </c>
      <c r="AH95" s="56">
        <f t="shared" ref="AH95" si="725">+AG95-AH97</f>
        <v>0</v>
      </c>
      <c r="AI95" s="56">
        <f t="shared" ref="AI95" si="726">+AH95-AI97</f>
        <v>0</v>
      </c>
      <c r="AJ95" s="56">
        <f t="shared" ref="AJ95" si="727">+AI95-AJ97</f>
        <v>0</v>
      </c>
      <c r="AK95" s="56">
        <f t="shared" ref="AK95" si="728">+AJ95-AK97</f>
        <v>0</v>
      </c>
      <c r="AL95" s="56">
        <f t="shared" ref="AL95" si="729">+AK95-AL97</f>
        <v>0</v>
      </c>
      <c r="AM95" s="56">
        <f t="shared" ref="AM95" si="730">+AL95-AM97</f>
        <v>0</v>
      </c>
      <c r="AN95" s="56">
        <f t="shared" ref="AN95" si="731">+AM95-AN97</f>
        <v>0</v>
      </c>
      <c r="AO95" s="56">
        <f t="shared" ref="AO95" si="732">+AN95-AO97</f>
        <v>0</v>
      </c>
      <c r="AP95" s="56">
        <f t="shared" ref="AP95" si="733">+AO95-AP97</f>
        <v>0</v>
      </c>
      <c r="AQ95" s="56">
        <f t="shared" ref="AQ95" si="734">+AP95-AQ97</f>
        <v>0</v>
      </c>
      <c r="AR95" s="56">
        <f t="shared" ref="AR95" si="735">+AQ95-AR97</f>
        <v>0</v>
      </c>
      <c r="AS95" s="56">
        <f t="shared" ref="AS95" si="736">+AR95-AS97</f>
        <v>0</v>
      </c>
      <c r="AT95" s="56">
        <f t="shared" ref="AT95" si="737">+AS95-AT97</f>
        <v>0</v>
      </c>
      <c r="AU95" s="56">
        <f t="shared" ref="AU95" si="738">+AT95-AU97</f>
        <v>0</v>
      </c>
      <c r="AV95" s="56">
        <f t="shared" ref="AV95" si="739">+AU95-AV97</f>
        <v>0</v>
      </c>
      <c r="AW95" s="56">
        <f t="shared" ref="AW95" si="740">+AV95-AW97</f>
        <v>0</v>
      </c>
      <c r="AX95" s="56">
        <f t="shared" ref="AX95" si="741">+AW95-AX97</f>
        <v>0</v>
      </c>
      <c r="AY95" s="56">
        <f t="shared" ref="AY95" si="742">+AX95-AY97</f>
        <v>0</v>
      </c>
      <c r="AZ95" s="56">
        <f t="shared" ref="AZ95" si="743">+AY95-AZ97</f>
        <v>0</v>
      </c>
      <c r="BA95" s="56">
        <f t="shared" ref="BA95" si="744">+AZ95-BA97</f>
        <v>0</v>
      </c>
    </row>
    <row r="96" spans="2:53" x14ac:dyDescent="0.2">
      <c r="B96" s="57" t="s">
        <v>29</v>
      </c>
      <c r="C96" s="64">
        <f>+R95/((1-(1/(1+$C$9)^$C$8))/$C$9)</f>
        <v>0</v>
      </c>
      <c r="D96" s="44"/>
      <c r="E96" s="44"/>
      <c r="F96" s="44"/>
      <c r="G96" s="6"/>
      <c r="H96" s="44"/>
      <c r="I96" s="44"/>
      <c r="J96" s="44"/>
      <c r="K96" s="44"/>
      <c r="L96" s="44"/>
      <c r="M96" s="44"/>
      <c r="N96" s="44"/>
      <c r="O96" s="56"/>
      <c r="P96" s="56"/>
      <c r="Q96" s="56"/>
      <c r="R96" s="56">
        <v>0</v>
      </c>
      <c r="S96" s="56">
        <f>+IF(R95&lt;0.01,0,$C$96)</f>
        <v>0</v>
      </c>
      <c r="T96" s="56">
        <f t="shared" ref="T96:BA96" si="745">+IF(S95&lt;0.01,0,$C$96)</f>
        <v>0</v>
      </c>
      <c r="U96" s="56">
        <f t="shared" si="745"/>
        <v>0</v>
      </c>
      <c r="V96" s="56">
        <f t="shared" si="745"/>
        <v>0</v>
      </c>
      <c r="W96" s="56">
        <f t="shared" si="745"/>
        <v>0</v>
      </c>
      <c r="X96" s="56">
        <f t="shared" si="745"/>
        <v>0</v>
      </c>
      <c r="Y96" s="56">
        <f t="shared" si="745"/>
        <v>0</v>
      </c>
      <c r="Z96" s="56">
        <f t="shared" si="745"/>
        <v>0</v>
      </c>
      <c r="AA96" s="56">
        <f t="shared" si="745"/>
        <v>0</v>
      </c>
      <c r="AB96" s="56">
        <f t="shared" si="745"/>
        <v>0</v>
      </c>
      <c r="AC96" s="56">
        <f t="shared" si="745"/>
        <v>0</v>
      </c>
      <c r="AD96" s="56">
        <f t="shared" si="745"/>
        <v>0</v>
      </c>
      <c r="AE96" s="56">
        <f t="shared" si="745"/>
        <v>0</v>
      </c>
      <c r="AF96" s="56">
        <f t="shared" si="745"/>
        <v>0</v>
      </c>
      <c r="AG96" s="56">
        <f t="shared" si="745"/>
        <v>0</v>
      </c>
      <c r="AH96" s="56">
        <f t="shared" si="745"/>
        <v>0</v>
      </c>
      <c r="AI96" s="56">
        <f t="shared" si="745"/>
        <v>0</v>
      </c>
      <c r="AJ96" s="56">
        <f t="shared" si="745"/>
        <v>0</v>
      </c>
      <c r="AK96" s="56">
        <f t="shared" si="745"/>
        <v>0</v>
      </c>
      <c r="AL96" s="56">
        <f t="shared" si="745"/>
        <v>0</v>
      </c>
      <c r="AM96" s="56">
        <f t="shared" si="745"/>
        <v>0</v>
      </c>
      <c r="AN96" s="56">
        <f t="shared" si="745"/>
        <v>0</v>
      </c>
      <c r="AO96" s="56">
        <f t="shared" si="745"/>
        <v>0</v>
      </c>
      <c r="AP96" s="56">
        <f t="shared" si="745"/>
        <v>0</v>
      </c>
      <c r="AQ96" s="56">
        <f t="shared" si="745"/>
        <v>0</v>
      </c>
      <c r="AR96" s="56">
        <f t="shared" si="745"/>
        <v>0</v>
      </c>
      <c r="AS96" s="56">
        <f t="shared" si="745"/>
        <v>0</v>
      </c>
      <c r="AT96" s="56">
        <f t="shared" si="745"/>
        <v>0</v>
      </c>
      <c r="AU96" s="56">
        <f t="shared" si="745"/>
        <v>0</v>
      </c>
      <c r="AV96" s="56">
        <f t="shared" si="745"/>
        <v>0</v>
      </c>
      <c r="AW96" s="56">
        <f t="shared" si="745"/>
        <v>0</v>
      </c>
      <c r="AX96" s="56">
        <f t="shared" si="745"/>
        <v>0</v>
      </c>
      <c r="AY96" s="56">
        <f t="shared" si="745"/>
        <v>0</v>
      </c>
      <c r="AZ96" s="56">
        <f t="shared" si="745"/>
        <v>0</v>
      </c>
      <c r="BA96" s="56">
        <f t="shared" si="745"/>
        <v>0</v>
      </c>
    </row>
    <row r="97" spans="2:53" x14ac:dyDescent="0.2">
      <c r="B97" s="57" t="s">
        <v>30</v>
      </c>
      <c r="C97" s="65" t="s">
        <v>75</v>
      </c>
      <c r="D97" s="44"/>
      <c r="E97" s="44"/>
      <c r="F97" s="44"/>
      <c r="G97" s="6"/>
      <c r="H97" s="44"/>
      <c r="I97" s="44"/>
      <c r="J97" s="44"/>
      <c r="K97" s="44"/>
      <c r="L97" s="44"/>
      <c r="M97" s="44"/>
      <c r="N97" s="44"/>
      <c r="O97" s="56"/>
      <c r="P97" s="56"/>
      <c r="Q97" s="56"/>
      <c r="R97" s="56">
        <v>0</v>
      </c>
      <c r="S97" s="56">
        <f t="shared" ref="S97:BA97" si="746">+S96-S98</f>
        <v>0</v>
      </c>
      <c r="T97" s="56">
        <f t="shared" si="746"/>
        <v>0</v>
      </c>
      <c r="U97" s="56">
        <f t="shared" si="746"/>
        <v>0</v>
      </c>
      <c r="V97" s="56">
        <f t="shared" si="746"/>
        <v>0</v>
      </c>
      <c r="W97" s="56">
        <f t="shared" si="746"/>
        <v>0</v>
      </c>
      <c r="X97" s="56">
        <f t="shared" si="746"/>
        <v>0</v>
      </c>
      <c r="Y97" s="56">
        <f t="shared" si="746"/>
        <v>0</v>
      </c>
      <c r="Z97" s="56">
        <f t="shared" si="746"/>
        <v>0</v>
      </c>
      <c r="AA97" s="56">
        <f t="shared" si="746"/>
        <v>0</v>
      </c>
      <c r="AB97" s="56">
        <f t="shared" si="746"/>
        <v>0</v>
      </c>
      <c r="AC97" s="56">
        <f t="shared" si="746"/>
        <v>0</v>
      </c>
      <c r="AD97" s="56">
        <f t="shared" si="746"/>
        <v>0</v>
      </c>
      <c r="AE97" s="56">
        <f t="shared" si="746"/>
        <v>0</v>
      </c>
      <c r="AF97" s="56">
        <f t="shared" si="746"/>
        <v>0</v>
      </c>
      <c r="AG97" s="56">
        <f t="shared" si="746"/>
        <v>0</v>
      </c>
      <c r="AH97" s="56">
        <f t="shared" si="746"/>
        <v>0</v>
      </c>
      <c r="AI97" s="56">
        <f t="shared" si="746"/>
        <v>0</v>
      </c>
      <c r="AJ97" s="56">
        <f t="shared" si="746"/>
        <v>0</v>
      </c>
      <c r="AK97" s="56">
        <f t="shared" si="746"/>
        <v>0</v>
      </c>
      <c r="AL97" s="56">
        <f t="shared" si="746"/>
        <v>0</v>
      </c>
      <c r="AM97" s="56">
        <f t="shared" si="746"/>
        <v>0</v>
      </c>
      <c r="AN97" s="56">
        <f t="shared" si="746"/>
        <v>0</v>
      </c>
      <c r="AO97" s="56">
        <f t="shared" si="746"/>
        <v>0</v>
      </c>
      <c r="AP97" s="56">
        <f t="shared" si="746"/>
        <v>0</v>
      </c>
      <c r="AQ97" s="56">
        <f t="shared" si="746"/>
        <v>0</v>
      </c>
      <c r="AR97" s="56">
        <f t="shared" si="746"/>
        <v>0</v>
      </c>
      <c r="AS97" s="56">
        <f t="shared" si="746"/>
        <v>0</v>
      </c>
      <c r="AT97" s="56">
        <f t="shared" si="746"/>
        <v>0</v>
      </c>
      <c r="AU97" s="56">
        <f t="shared" si="746"/>
        <v>0</v>
      </c>
      <c r="AV97" s="56">
        <f t="shared" si="746"/>
        <v>0</v>
      </c>
      <c r="AW97" s="56">
        <f t="shared" si="746"/>
        <v>0</v>
      </c>
      <c r="AX97" s="56">
        <f t="shared" si="746"/>
        <v>0</v>
      </c>
      <c r="AY97" s="56">
        <f t="shared" si="746"/>
        <v>0</v>
      </c>
      <c r="AZ97" s="56">
        <f t="shared" si="746"/>
        <v>0</v>
      </c>
      <c r="BA97" s="56">
        <f t="shared" si="746"/>
        <v>0</v>
      </c>
    </row>
    <row r="98" spans="2:53" x14ac:dyDescent="0.2">
      <c r="B98" s="57" t="s">
        <v>3</v>
      </c>
      <c r="C98" s="65" t="s">
        <v>75</v>
      </c>
      <c r="D98" s="44"/>
      <c r="E98" s="44"/>
      <c r="F98" s="44"/>
      <c r="G98" s="6"/>
      <c r="H98" s="44"/>
      <c r="I98" s="44"/>
      <c r="J98" s="44"/>
      <c r="K98" s="44"/>
      <c r="L98" s="44"/>
      <c r="M98" s="44"/>
      <c r="N98" s="44"/>
      <c r="O98" s="56"/>
      <c r="P98" s="56"/>
      <c r="Q98" s="56"/>
      <c r="R98" s="56">
        <v>0</v>
      </c>
      <c r="S98" s="56">
        <f t="shared" ref="S98" si="747">+$C$9*R95</f>
        <v>0</v>
      </c>
      <c r="T98" s="56">
        <f t="shared" ref="T98" si="748">+$C$9*S95</f>
        <v>0</v>
      </c>
      <c r="U98" s="56">
        <f t="shared" ref="U98" si="749">+$C$9*T95</f>
        <v>0</v>
      </c>
      <c r="V98" s="56">
        <f t="shared" ref="V98" si="750">+$C$9*U95</f>
        <v>0</v>
      </c>
      <c r="W98" s="56">
        <f t="shared" ref="W98" si="751">+$C$9*V95</f>
        <v>0</v>
      </c>
      <c r="X98" s="56">
        <f t="shared" ref="X98" si="752">+$C$9*W95</f>
        <v>0</v>
      </c>
      <c r="Y98" s="56">
        <f t="shared" ref="Y98" si="753">+$C$9*X95</f>
        <v>0</v>
      </c>
      <c r="Z98" s="56">
        <f t="shared" ref="Z98" si="754">+$C$9*Y95</f>
        <v>0</v>
      </c>
      <c r="AA98" s="56">
        <f t="shared" ref="AA98" si="755">+$C$9*Z95</f>
        <v>0</v>
      </c>
      <c r="AB98" s="56">
        <f t="shared" ref="AB98" si="756">+$C$9*AA95</f>
        <v>0</v>
      </c>
      <c r="AC98" s="56">
        <f t="shared" ref="AC98" si="757">+$C$9*AB95</f>
        <v>0</v>
      </c>
      <c r="AD98" s="56">
        <f t="shared" ref="AD98" si="758">+$C$9*AC95</f>
        <v>0</v>
      </c>
      <c r="AE98" s="56">
        <f t="shared" ref="AE98" si="759">+$C$9*AD95</f>
        <v>0</v>
      </c>
      <c r="AF98" s="56">
        <f t="shared" ref="AF98" si="760">+$C$9*AE95</f>
        <v>0</v>
      </c>
      <c r="AG98" s="56">
        <f t="shared" ref="AG98" si="761">+$C$9*AF95</f>
        <v>0</v>
      </c>
      <c r="AH98" s="56">
        <f t="shared" ref="AH98" si="762">+$C$9*AG95</f>
        <v>0</v>
      </c>
      <c r="AI98" s="56">
        <f t="shared" ref="AI98" si="763">+$C$9*AH95</f>
        <v>0</v>
      </c>
      <c r="AJ98" s="56">
        <f t="shared" ref="AJ98" si="764">+$C$9*AI95</f>
        <v>0</v>
      </c>
      <c r="AK98" s="56">
        <f t="shared" ref="AK98" si="765">+$C$9*AJ95</f>
        <v>0</v>
      </c>
      <c r="AL98" s="56">
        <f t="shared" ref="AL98" si="766">+$C$9*AK95</f>
        <v>0</v>
      </c>
      <c r="AM98" s="56">
        <f t="shared" ref="AM98" si="767">+$C$9*AL95</f>
        <v>0</v>
      </c>
      <c r="AN98" s="56">
        <f t="shared" ref="AN98" si="768">+$C$9*AM95</f>
        <v>0</v>
      </c>
      <c r="AO98" s="56">
        <f t="shared" ref="AO98" si="769">+$C$9*AN95</f>
        <v>0</v>
      </c>
      <c r="AP98" s="56">
        <f t="shared" ref="AP98" si="770">+$C$9*AO95</f>
        <v>0</v>
      </c>
      <c r="AQ98" s="56">
        <f t="shared" ref="AQ98" si="771">+$C$9*AP95</f>
        <v>0</v>
      </c>
      <c r="AR98" s="56">
        <f t="shared" ref="AR98" si="772">+$C$9*AQ95</f>
        <v>0</v>
      </c>
      <c r="AS98" s="56">
        <f t="shared" ref="AS98" si="773">+$C$9*AR95</f>
        <v>0</v>
      </c>
      <c r="AT98" s="56">
        <f t="shared" ref="AT98" si="774">+$C$9*AS95</f>
        <v>0</v>
      </c>
      <c r="AU98" s="56">
        <f t="shared" ref="AU98" si="775">+$C$9*AT95</f>
        <v>0</v>
      </c>
      <c r="AV98" s="56">
        <f t="shared" ref="AV98" si="776">+$C$9*AU95</f>
        <v>0</v>
      </c>
      <c r="AW98" s="56">
        <f t="shared" ref="AW98" si="777">+$C$9*AV95</f>
        <v>0</v>
      </c>
      <c r="AX98" s="56">
        <f t="shared" ref="AX98" si="778">+$C$9*AW95</f>
        <v>0</v>
      </c>
      <c r="AY98" s="56">
        <f t="shared" ref="AY98" si="779">+$C$9*AX95</f>
        <v>0</v>
      </c>
      <c r="AZ98" s="56">
        <f t="shared" ref="AZ98" si="780">+$C$9*AY95</f>
        <v>0</v>
      </c>
      <c r="BA98" s="56">
        <f t="shared" ref="BA98" si="781">+$C$9*AZ95</f>
        <v>0</v>
      </c>
    </row>
    <row r="99" spans="2:53" x14ac:dyDescent="0.2">
      <c r="B99" s="57"/>
      <c r="D99" s="44"/>
      <c r="E99" s="44"/>
      <c r="F99" s="44"/>
      <c r="G99" s="44"/>
      <c r="H99" s="44"/>
      <c r="I99" s="44"/>
      <c r="J99" s="44"/>
      <c r="K99" s="44"/>
      <c r="L99" s="44"/>
      <c r="M99" s="44"/>
      <c r="N99" s="44"/>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row>
    <row r="100" spans="2:53" x14ac:dyDescent="0.2">
      <c r="B100" s="46" t="s">
        <v>60</v>
      </c>
      <c r="C100" s="65" t="s">
        <v>75</v>
      </c>
      <c r="D100" s="44"/>
      <c r="E100" s="44"/>
      <c r="F100" s="44"/>
      <c r="G100" s="6"/>
      <c r="H100" s="6"/>
      <c r="I100" s="44"/>
      <c r="J100" s="44"/>
      <c r="K100" s="44"/>
      <c r="L100" s="44"/>
      <c r="M100" s="44"/>
      <c r="N100" s="44"/>
      <c r="O100" s="56"/>
      <c r="P100" s="56"/>
      <c r="Q100" s="56"/>
      <c r="R100" s="56"/>
      <c r="S100" s="56">
        <f>S18</f>
        <v>0</v>
      </c>
      <c r="T100" s="56">
        <f t="shared" ref="T100" si="782">+S100-T102</f>
        <v>0</v>
      </c>
      <c r="U100" s="56">
        <f t="shared" ref="U100" si="783">+T100-U102</f>
        <v>0</v>
      </c>
      <c r="V100" s="56">
        <f t="shared" ref="V100" si="784">+U100-V102</f>
        <v>0</v>
      </c>
      <c r="W100" s="56">
        <f t="shared" ref="W100" si="785">+V100-W102</f>
        <v>0</v>
      </c>
      <c r="X100" s="56">
        <f t="shared" ref="X100" si="786">+W100-X102</f>
        <v>0</v>
      </c>
      <c r="Y100" s="56">
        <f t="shared" ref="Y100" si="787">+X100-Y102</f>
        <v>0</v>
      </c>
      <c r="Z100" s="56">
        <f t="shared" ref="Z100" si="788">+Y100-Z102</f>
        <v>0</v>
      </c>
      <c r="AA100" s="56">
        <f t="shared" ref="AA100" si="789">+Z100-AA102</f>
        <v>0</v>
      </c>
      <c r="AB100" s="56">
        <f t="shared" ref="AB100" si="790">+AA100-AB102</f>
        <v>0</v>
      </c>
      <c r="AC100" s="56">
        <f t="shared" ref="AC100" si="791">+AB100-AC102</f>
        <v>0</v>
      </c>
      <c r="AD100" s="56">
        <f t="shared" ref="AD100" si="792">+AC100-AD102</f>
        <v>0</v>
      </c>
      <c r="AE100" s="56">
        <f t="shared" ref="AE100" si="793">+AD100-AE102</f>
        <v>0</v>
      </c>
      <c r="AF100" s="56">
        <f t="shared" ref="AF100" si="794">+AE100-AF102</f>
        <v>0</v>
      </c>
      <c r="AG100" s="56">
        <f t="shared" ref="AG100" si="795">+AF100-AG102</f>
        <v>0</v>
      </c>
      <c r="AH100" s="56">
        <f t="shared" ref="AH100" si="796">+AG100-AH102</f>
        <v>0</v>
      </c>
      <c r="AI100" s="56">
        <f t="shared" ref="AI100" si="797">+AH100-AI102</f>
        <v>0</v>
      </c>
      <c r="AJ100" s="56">
        <f t="shared" ref="AJ100" si="798">+AI100-AJ102</f>
        <v>0</v>
      </c>
      <c r="AK100" s="56">
        <f t="shared" ref="AK100" si="799">+AJ100-AK102</f>
        <v>0</v>
      </c>
      <c r="AL100" s="56">
        <f t="shared" ref="AL100" si="800">+AK100-AL102</f>
        <v>0</v>
      </c>
      <c r="AM100" s="56">
        <f t="shared" ref="AM100" si="801">+AL100-AM102</f>
        <v>0</v>
      </c>
      <c r="AN100" s="56">
        <f t="shared" ref="AN100" si="802">+AM100-AN102</f>
        <v>0</v>
      </c>
      <c r="AO100" s="56">
        <f t="shared" ref="AO100" si="803">+AN100-AO102</f>
        <v>0</v>
      </c>
      <c r="AP100" s="56">
        <f t="shared" ref="AP100" si="804">+AO100-AP102</f>
        <v>0</v>
      </c>
      <c r="AQ100" s="56">
        <f t="shared" ref="AQ100" si="805">+AP100-AQ102</f>
        <v>0</v>
      </c>
      <c r="AR100" s="56">
        <f t="shared" ref="AR100" si="806">+AQ100-AR102</f>
        <v>0</v>
      </c>
      <c r="AS100" s="56">
        <f t="shared" ref="AS100" si="807">+AR100-AS102</f>
        <v>0</v>
      </c>
      <c r="AT100" s="56">
        <f t="shared" ref="AT100" si="808">+AS100-AT102</f>
        <v>0</v>
      </c>
      <c r="AU100" s="56">
        <f t="shared" ref="AU100" si="809">+AT100-AU102</f>
        <v>0</v>
      </c>
      <c r="AV100" s="56">
        <f t="shared" ref="AV100" si="810">+AU100-AV102</f>
        <v>0</v>
      </c>
      <c r="AW100" s="56">
        <f t="shared" ref="AW100" si="811">+AV100-AW102</f>
        <v>0</v>
      </c>
      <c r="AX100" s="56">
        <f t="shared" ref="AX100" si="812">+AW100-AX102</f>
        <v>0</v>
      </c>
      <c r="AY100" s="56">
        <f t="shared" ref="AY100" si="813">+AX100-AY102</f>
        <v>0</v>
      </c>
      <c r="AZ100" s="56">
        <f t="shared" ref="AZ100" si="814">+AY100-AZ102</f>
        <v>0</v>
      </c>
      <c r="BA100" s="56">
        <f t="shared" ref="BA100" si="815">+AZ100-BA102</f>
        <v>0</v>
      </c>
    </row>
    <row r="101" spans="2:53" x14ac:dyDescent="0.2">
      <c r="B101" s="57" t="s">
        <v>29</v>
      </c>
      <c r="C101" s="64">
        <f>+S100/((1-(1/(1+$C$9)^$C$8))/$C$9)</f>
        <v>0</v>
      </c>
      <c r="D101" s="44"/>
      <c r="E101" s="44"/>
      <c r="F101" s="44"/>
      <c r="G101" s="6"/>
      <c r="H101" s="6"/>
      <c r="I101" s="44"/>
      <c r="J101" s="44"/>
      <c r="K101" s="44"/>
      <c r="L101" s="44"/>
      <c r="M101" s="44"/>
      <c r="N101" s="44"/>
      <c r="O101" s="56"/>
      <c r="P101" s="56"/>
      <c r="Q101" s="56"/>
      <c r="R101" s="56"/>
      <c r="S101" s="56">
        <v>0</v>
      </c>
      <c r="T101" s="56">
        <f>+IF(S100&lt;0.01,0,$C$101)</f>
        <v>0</v>
      </c>
      <c r="U101" s="56">
        <f t="shared" ref="U101:BA101" si="816">+IF(T100&lt;0.01,0,$C$101)</f>
        <v>0</v>
      </c>
      <c r="V101" s="56">
        <f t="shared" si="816"/>
        <v>0</v>
      </c>
      <c r="W101" s="56">
        <f t="shared" si="816"/>
        <v>0</v>
      </c>
      <c r="X101" s="56">
        <f t="shared" si="816"/>
        <v>0</v>
      </c>
      <c r="Y101" s="56">
        <f t="shared" si="816"/>
        <v>0</v>
      </c>
      <c r="Z101" s="56">
        <f t="shared" si="816"/>
        <v>0</v>
      </c>
      <c r="AA101" s="56">
        <f t="shared" si="816"/>
        <v>0</v>
      </c>
      <c r="AB101" s="56">
        <f t="shared" si="816"/>
        <v>0</v>
      </c>
      <c r="AC101" s="56">
        <f t="shared" si="816"/>
        <v>0</v>
      </c>
      <c r="AD101" s="56">
        <f t="shared" si="816"/>
        <v>0</v>
      </c>
      <c r="AE101" s="56">
        <f t="shared" si="816"/>
        <v>0</v>
      </c>
      <c r="AF101" s="56">
        <f t="shared" si="816"/>
        <v>0</v>
      </c>
      <c r="AG101" s="56">
        <f t="shared" si="816"/>
        <v>0</v>
      </c>
      <c r="AH101" s="56">
        <f t="shared" si="816"/>
        <v>0</v>
      </c>
      <c r="AI101" s="56">
        <f t="shared" si="816"/>
        <v>0</v>
      </c>
      <c r="AJ101" s="56">
        <f t="shared" si="816"/>
        <v>0</v>
      </c>
      <c r="AK101" s="56">
        <f t="shared" si="816"/>
        <v>0</v>
      </c>
      <c r="AL101" s="56">
        <f t="shared" si="816"/>
        <v>0</v>
      </c>
      <c r="AM101" s="56">
        <f t="shared" si="816"/>
        <v>0</v>
      </c>
      <c r="AN101" s="56">
        <f t="shared" si="816"/>
        <v>0</v>
      </c>
      <c r="AO101" s="56">
        <f t="shared" si="816"/>
        <v>0</v>
      </c>
      <c r="AP101" s="56">
        <f t="shared" si="816"/>
        <v>0</v>
      </c>
      <c r="AQ101" s="56">
        <f t="shared" si="816"/>
        <v>0</v>
      </c>
      <c r="AR101" s="56">
        <f t="shared" si="816"/>
        <v>0</v>
      </c>
      <c r="AS101" s="56">
        <f t="shared" si="816"/>
        <v>0</v>
      </c>
      <c r="AT101" s="56">
        <f t="shared" si="816"/>
        <v>0</v>
      </c>
      <c r="AU101" s="56">
        <f t="shared" si="816"/>
        <v>0</v>
      </c>
      <c r="AV101" s="56">
        <f t="shared" si="816"/>
        <v>0</v>
      </c>
      <c r="AW101" s="56">
        <f t="shared" si="816"/>
        <v>0</v>
      </c>
      <c r="AX101" s="56">
        <f t="shared" si="816"/>
        <v>0</v>
      </c>
      <c r="AY101" s="56">
        <f t="shared" si="816"/>
        <v>0</v>
      </c>
      <c r="AZ101" s="56">
        <f t="shared" si="816"/>
        <v>0</v>
      </c>
      <c r="BA101" s="56">
        <f t="shared" si="816"/>
        <v>0</v>
      </c>
    </row>
    <row r="102" spans="2:53" x14ac:dyDescent="0.2">
      <c r="B102" s="57" t="s">
        <v>30</v>
      </c>
      <c r="C102" s="65" t="s">
        <v>75</v>
      </c>
      <c r="D102" s="44"/>
      <c r="E102" s="44"/>
      <c r="F102" s="44"/>
      <c r="G102" s="6"/>
      <c r="H102" s="6"/>
      <c r="I102" s="44"/>
      <c r="J102" s="44"/>
      <c r="K102" s="44"/>
      <c r="L102" s="44"/>
      <c r="M102" s="44"/>
      <c r="N102" s="44"/>
      <c r="O102" s="56"/>
      <c r="P102" s="56"/>
      <c r="Q102" s="56"/>
      <c r="R102" s="56"/>
      <c r="S102" s="56">
        <v>0</v>
      </c>
      <c r="T102" s="56">
        <f t="shared" ref="T102:BA102" si="817">+T101-T103</f>
        <v>0</v>
      </c>
      <c r="U102" s="56">
        <f t="shared" si="817"/>
        <v>0</v>
      </c>
      <c r="V102" s="56">
        <f t="shared" si="817"/>
        <v>0</v>
      </c>
      <c r="W102" s="56">
        <f t="shared" si="817"/>
        <v>0</v>
      </c>
      <c r="X102" s="56">
        <f t="shared" si="817"/>
        <v>0</v>
      </c>
      <c r="Y102" s="56">
        <f t="shared" si="817"/>
        <v>0</v>
      </c>
      <c r="Z102" s="56">
        <f t="shared" si="817"/>
        <v>0</v>
      </c>
      <c r="AA102" s="56">
        <f t="shared" si="817"/>
        <v>0</v>
      </c>
      <c r="AB102" s="56">
        <f t="shared" si="817"/>
        <v>0</v>
      </c>
      <c r="AC102" s="56">
        <f t="shared" si="817"/>
        <v>0</v>
      </c>
      <c r="AD102" s="56">
        <f t="shared" si="817"/>
        <v>0</v>
      </c>
      <c r="AE102" s="56">
        <f t="shared" si="817"/>
        <v>0</v>
      </c>
      <c r="AF102" s="56">
        <f t="shared" si="817"/>
        <v>0</v>
      </c>
      <c r="AG102" s="56">
        <f t="shared" si="817"/>
        <v>0</v>
      </c>
      <c r="AH102" s="56">
        <f t="shared" si="817"/>
        <v>0</v>
      </c>
      <c r="AI102" s="56">
        <f t="shared" si="817"/>
        <v>0</v>
      </c>
      <c r="AJ102" s="56">
        <f t="shared" si="817"/>
        <v>0</v>
      </c>
      <c r="AK102" s="56">
        <f t="shared" si="817"/>
        <v>0</v>
      </c>
      <c r="AL102" s="56">
        <f t="shared" si="817"/>
        <v>0</v>
      </c>
      <c r="AM102" s="56">
        <f t="shared" si="817"/>
        <v>0</v>
      </c>
      <c r="AN102" s="56">
        <f t="shared" si="817"/>
        <v>0</v>
      </c>
      <c r="AO102" s="56">
        <f t="shared" si="817"/>
        <v>0</v>
      </c>
      <c r="AP102" s="56">
        <f t="shared" si="817"/>
        <v>0</v>
      </c>
      <c r="AQ102" s="56">
        <f t="shared" si="817"/>
        <v>0</v>
      </c>
      <c r="AR102" s="56">
        <f t="shared" si="817"/>
        <v>0</v>
      </c>
      <c r="AS102" s="56">
        <f t="shared" si="817"/>
        <v>0</v>
      </c>
      <c r="AT102" s="56">
        <f t="shared" si="817"/>
        <v>0</v>
      </c>
      <c r="AU102" s="56">
        <f t="shared" si="817"/>
        <v>0</v>
      </c>
      <c r="AV102" s="56">
        <f t="shared" si="817"/>
        <v>0</v>
      </c>
      <c r="AW102" s="56">
        <f t="shared" si="817"/>
        <v>0</v>
      </c>
      <c r="AX102" s="56">
        <f t="shared" si="817"/>
        <v>0</v>
      </c>
      <c r="AY102" s="56">
        <f t="shared" si="817"/>
        <v>0</v>
      </c>
      <c r="AZ102" s="56">
        <f t="shared" si="817"/>
        <v>0</v>
      </c>
      <c r="BA102" s="56">
        <f t="shared" si="817"/>
        <v>0</v>
      </c>
    </row>
    <row r="103" spans="2:53" x14ac:dyDescent="0.2">
      <c r="B103" s="57" t="s">
        <v>3</v>
      </c>
      <c r="C103" s="65" t="s">
        <v>75</v>
      </c>
      <c r="D103" s="44"/>
      <c r="E103" s="44"/>
      <c r="F103" s="44"/>
      <c r="G103" s="6"/>
      <c r="H103" s="6"/>
      <c r="I103" s="44"/>
      <c r="J103" s="44"/>
      <c r="K103" s="44"/>
      <c r="L103" s="44"/>
      <c r="M103" s="44"/>
      <c r="N103" s="44"/>
      <c r="O103" s="56"/>
      <c r="P103" s="56"/>
      <c r="Q103" s="56"/>
      <c r="R103" s="56"/>
      <c r="S103" s="56">
        <v>0</v>
      </c>
      <c r="T103" s="56">
        <f t="shared" ref="T103" si="818">+$C$9*S100</f>
        <v>0</v>
      </c>
      <c r="U103" s="56">
        <f t="shared" ref="U103" si="819">+$C$9*T100</f>
        <v>0</v>
      </c>
      <c r="V103" s="56">
        <f t="shared" ref="V103" si="820">+$C$9*U100</f>
        <v>0</v>
      </c>
      <c r="W103" s="56">
        <f t="shared" ref="W103" si="821">+$C$9*V100</f>
        <v>0</v>
      </c>
      <c r="X103" s="56">
        <f t="shared" ref="X103" si="822">+$C$9*W100</f>
        <v>0</v>
      </c>
      <c r="Y103" s="56">
        <f t="shared" ref="Y103" si="823">+$C$9*X100</f>
        <v>0</v>
      </c>
      <c r="Z103" s="56">
        <f t="shared" ref="Z103" si="824">+$C$9*Y100</f>
        <v>0</v>
      </c>
      <c r="AA103" s="56">
        <f t="shared" ref="AA103" si="825">+$C$9*Z100</f>
        <v>0</v>
      </c>
      <c r="AB103" s="56">
        <f t="shared" ref="AB103" si="826">+$C$9*AA100</f>
        <v>0</v>
      </c>
      <c r="AC103" s="56">
        <f t="shared" ref="AC103" si="827">+$C$9*AB100</f>
        <v>0</v>
      </c>
      <c r="AD103" s="56">
        <f t="shared" ref="AD103" si="828">+$C$9*AC100</f>
        <v>0</v>
      </c>
      <c r="AE103" s="56">
        <f t="shared" ref="AE103" si="829">+$C$9*AD100</f>
        <v>0</v>
      </c>
      <c r="AF103" s="56">
        <f t="shared" ref="AF103" si="830">+$C$9*AE100</f>
        <v>0</v>
      </c>
      <c r="AG103" s="56">
        <f t="shared" ref="AG103" si="831">+$C$9*AF100</f>
        <v>0</v>
      </c>
      <c r="AH103" s="56">
        <f t="shared" ref="AH103" si="832">+$C$9*AG100</f>
        <v>0</v>
      </c>
      <c r="AI103" s="56">
        <f t="shared" ref="AI103" si="833">+$C$9*AH100</f>
        <v>0</v>
      </c>
      <c r="AJ103" s="56">
        <f t="shared" ref="AJ103" si="834">+$C$9*AI100</f>
        <v>0</v>
      </c>
      <c r="AK103" s="56">
        <f t="shared" ref="AK103" si="835">+$C$9*AJ100</f>
        <v>0</v>
      </c>
      <c r="AL103" s="56">
        <f t="shared" ref="AL103" si="836">+$C$9*AK100</f>
        <v>0</v>
      </c>
      <c r="AM103" s="56">
        <f t="shared" ref="AM103" si="837">+$C$9*AL100</f>
        <v>0</v>
      </c>
      <c r="AN103" s="56">
        <f t="shared" ref="AN103" si="838">+$C$9*AM100</f>
        <v>0</v>
      </c>
      <c r="AO103" s="56">
        <f t="shared" ref="AO103" si="839">+$C$9*AN100</f>
        <v>0</v>
      </c>
      <c r="AP103" s="56">
        <f t="shared" ref="AP103" si="840">+$C$9*AO100</f>
        <v>0</v>
      </c>
      <c r="AQ103" s="56">
        <f t="shared" ref="AQ103" si="841">+$C$9*AP100</f>
        <v>0</v>
      </c>
      <c r="AR103" s="56">
        <f t="shared" ref="AR103" si="842">+$C$9*AQ100</f>
        <v>0</v>
      </c>
      <c r="AS103" s="56">
        <f t="shared" ref="AS103" si="843">+$C$9*AR100</f>
        <v>0</v>
      </c>
      <c r="AT103" s="56">
        <f t="shared" ref="AT103" si="844">+$C$9*AS100</f>
        <v>0</v>
      </c>
      <c r="AU103" s="56">
        <f t="shared" ref="AU103" si="845">+$C$9*AT100</f>
        <v>0</v>
      </c>
      <c r="AV103" s="56">
        <f t="shared" ref="AV103" si="846">+$C$9*AU100</f>
        <v>0</v>
      </c>
      <c r="AW103" s="56">
        <f t="shared" ref="AW103" si="847">+$C$9*AV100</f>
        <v>0</v>
      </c>
      <c r="AX103" s="56">
        <f t="shared" ref="AX103" si="848">+$C$9*AW100</f>
        <v>0</v>
      </c>
      <c r="AY103" s="56">
        <f t="shared" ref="AY103" si="849">+$C$9*AX100</f>
        <v>0</v>
      </c>
      <c r="AZ103" s="56">
        <f t="shared" ref="AZ103" si="850">+$C$9*AY100</f>
        <v>0</v>
      </c>
      <c r="BA103" s="56">
        <f t="shared" ref="BA103" si="851">+$C$9*AZ100</f>
        <v>0</v>
      </c>
    </row>
    <row r="104" spans="2:53" x14ac:dyDescent="0.2">
      <c r="B104" s="57"/>
      <c r="D104" s="44"/>
      <c r="E104" s="44"/>
      <c r="F104" s="44"/>
      <c r="G104" s="44"/>
      <c r="H104" s="44"/>
      <c r="I104" s="44"/>
      <c r="J104" s="44"/>
      <c r="K104" s="44"/>
      <c r="L104" s="44"/>
      <c r="M104" s="44"/>
      <c r="N104" s="44"/>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row>
    <row r="105" spans="2:53" x14ac:dyDescent="0.2">
      <c r="B105" s="46" t="s">
        <v>61</v>
      </c>
      <c r="C105" s="65" t="s">
        <v>75</v>
      </c>
      <c r="D105" s="44"/>
      <c r="E105" s="44"/>
      <c r="F105" s="44"/>
      <c r="G105" s="6"/>
      <c r="H105" s="6"/>
      <c r="I105" s="6"/>
      <c r="J105" s="44"/>
      <c r="K105" s="44"/>
      <c r="L105" s="44"/>
      <c r="M105" s="44"/>
      <c r="N105" s="44"/>
      <c r="O105" s="56"/>
      <c r="P105" s="56"/>
      <c r="Q105" s="56"/>
      <c r="R105" s="56"/>
      <c r="S105" s="56"/>
      <c r="T105" s="56">
        <f>T18</f>
        <v>0</v>
      </c>
      <c r="U105" s="56">
        <f t="shared" ref="U105" si="852">+T105-U107</f>
        <v>0</v>
      </c>
      <c r="V105" s="56">
        <f t="shared" ref="V105" si="853">+U105-V107</f>
        <v>0</v>
      </c>
      <c r="W105" s="56">
        <f t="shared" ref="W105" si="854">+V105-W107</f>
        <v>0</v>
      </c>
      <c r="X105" s="56">
        <f t="shared" ref="X105" si="855">+W105-X107</f>
        <v>0</v>
      </c>
      <c r="Y105" s="56">
        <f t="shared" ref="Y105" si="856">+X105-Y107</f>
        <v>0</v>
      </c>
      <c r="Z105" s="56">
        <f t="shared" ref="Z105" si="857">+Y105-Z107</f>
        <v>0</v>
      </c>
      <c r="AA105" s="56">
        <f t="shared" ref="AA105" si="858">+Z105-AA107</f>
        <v>0</v>
      </c>
      <c r="AB105" s="56">
        <f t="shared" ref="AB105" si="859">+AA105-AB107</f>
        <v>0</v>
      </c>
      <c r="AC105" s="56">
        <f t="shared" ref="AC105" si="860">+AB105-AC107</f>
        <v>0</v>
      </c>
      <c r="AD105" s="56">
        <f t="shared" ref="AD105" si="861">+AC105-AD107</f>
        <v>0</v>
      </c>
      <c r="AE105" s="56">
        <f t="shared" ref="AE105" si="862">+AD105-AE107</f>
        <v>0</v>
      </c>
      <c r="AF105" s="56">
        <f t="shared" ref="AF105" si="863">+AE105-AF107</f>
        <v>0</v>
      </c>
      <c r="AG105" s="56">
        <f t="shared" ref="AG105" si="864">+AF105-AG107</f>
        <v>0</v>
      </c>
      <c r="AH105" s="56">
        <f t="shared" ref="AH105" si="865">+AG105-AH107</f>
        <v>0</v>
      </c>
      <c r="AI105" s="56">
        <f t="shared" ref="AI105" si="866">+AH105-AI107</f>
        <v>0</v>
      </c>
      <c r="AJ105" s="56">
        <f t="shared" ref="AJ105" si="867">+AI105-AJ107</f>
        <v>0</v>
      </c>
      <c r="AK105" s="56">
        <f t="shared" ref="AK105" si="868">+AJ105-AK107</f>
        <v>0</v>
      </c>
      <c r="AL105" s="56">
        <f t="shared" ref="AL105" si="869">+AK105-AL107</f>
        <v>0</v>
      </c>
      <c r="AM105" s="56">
        <f t="shared" ref="AM105" si="870">+AL105-AM107</f>
        <v>0</v>
      </c>
      <c r="AN105" s="56">
        <f t="shared" ref="AN105" si="871">+AM105-AN107</f>
        <v>0</v>
      </c>
      <c r="AO105" s="56">
        <f t="shared" ref="AO105" si="872">+AN105-AO107</f>
        <v>0</v>
      </c>
      <c r="AP105" s="56">
        <f t="shared" ref="AP105" si="873">+AO105-AP107</f>
        <v>0</v>
      </c>
      <c r="AQ105" s="56">
        <f t="shared" ref="AQ105" si="874">+AP105-AQ107</f>
        <v>0</v>
      </c>
      <c r="AR105" s="56">
        <f t="shared" ref="AR105" si="875">+AQ105-AR107</f>
        <v>0</v>
      </c>
      <c r="AS105" s="56">
        <f t="shared" ref="AS105" si="876">+AR105-AS107</f>
        <v>0</v>
      </c>
      <c r="AT105" s="56">
        <f t="shared" ref="AT105" si="877">+AS105-AT107</f>
        <v>0</v>
      </c>
      <c r="AU105" s="56">
        <f t="shared" ref="AU105" si="878">+AT105-AU107</f>
        <v>0</v>
      </c>
      <c r="AV105" s="56">
        <f t="shared" ref="AV105" si="879">+AU105-AV107</f>
        <v>0</v>
      </c>
      <c r="AW105" s="56">
        <f t="shared" ref="AW105" si="880">+AV105-AW107</f>
        <v>0</v>
      </c>
      <c r="AX105" s="56">
        <f t="shared" ref="AX105" si="881">+AW105-AX107</f>
        <v>0</v>
      </c>
      <c r="AY105" s="56">
        <f t="shared" ref="AY105" si="882">+AX105-AY107</f>
        <v>0</v>
      </c>
      <c r="AZ105" s="56">
        <f t="shared" ref="AZ105" si="883">+AY105-AZ107</f>
        <v>0</v>
      </c>
      <c r="BA105" s="56">
        <f t="shared" ref="BA105" si="884">+AZ105-BA107</f>
        <v>0</v>
      </c>
    </row>
    <row r="106" spans="2:53" x14ac:dyDescent="0.2">
      <c r="B106" s="57" t="s">
        <v>29</v>
      </c>
      <c r="C106" s="64">
        <f>+T105/((1-(1/(1+$C$9)^$C$8))/$C$9)</f>
        <v>0</v>
      </c>
      <c r="D106" s="44"/>
      <c r="E106" s="44"/>
      <c r="F106" s="44"/>
      <c r="G106" s="6"/>
      <c r="H106" s="6"/>
      <c r="I106" s="6"/>
      <c r="J106" s="44"/>
      <c r="K106" s="44"/>
      <c r="L106" s="44"/>
      <c r="M106" s="44"/>
      <c r="N106" s="44"/>
      <c r="O106" s="56"/>
      <c r="P106" s="56"/>
      <c r="Q106" s="56"/>
      <c r="R106" s="56"/>
      <c r="S106" s="56"/>
      <c r="T106" s="56">
        <v>0</v>
      </c>
      <c r="U106" s="56">
        <f>+IF(T105&lt;0.01,0,$C$106)</f>
        <v>0</v>
      </c>
      <c r="V106" s="56">
        <f t="shared" ref="V106:BA106" si="885">+IF(U105&lt;0.01,0,$C$106)</f>
        <v>0</v>
      </c>
      <c r="W106" s="56">
        <f t="shared" si="885"/>
        <v>0</v>
      </c>
      <c r="X106" s="56">
        <f t="shared" si="885"/>
        <v>0</v>
      </c>
      <c r="Y106" s="56">
        <f t="shared" si="885"/>
        <v>0</v>
      </c>
      <c r="Z106" s="56">
        <f t="shared" si="885"/>
        <v>0</v>
      </c>
      <c r="AA106" s="56">
        <f t="shared" si="885"/>
        <v>0</v>
      </c>
      <c r="AB106" s="56">
        <f t="shared" si="885"/>
        <v>0</v>
      </c>
      <c r="AC106" s="56">
        <f t="shared" si="885"/>
        <v>0</v>
      </c>
      <c r="AD106" s="56">
        <f t="shared" si="885"/>
        <v>0</v>
      </c>
      <c r="AE106" s="56">
        <f t="shared" si="885"/>
        <v>0</v>
      </c>
      <c r="AF106" s="56">
        <f t="shared" si="885"/>
        <v>0</v>
      </c>
      <c r="AG106" s="56">
        <f t="shared" si="885"/>
        <v>0</v>
      </c>
      <c r="AH106" s="56">
        <f t="shared" si="885"/>
        <v>0</v>
      </c>
      <c r="AI106" s="56">
        <f t="shared" si="885"/>
        <v>0</v>
      </c>
      <c r="AJ106" s="56">
        <f t="shared" si="885"/>
        <v>0</v>
      </c>
      <c r="AK106" s="56">
        <f t="shared" si="885"/>
        <v>0</v>
      </c>
      <c r="AL106" s="56">
        <f t="shared" si="885"/>
        <v>0</v>
      </c>
      <c r="AM106" s="56">
        <f t="shared" si="885"/>
        <v>0</v>
      </c>
      <c r="AN106" s="56">
        <f t="shared" si="885"/>
        <v>0</v>
      </c>
      <c r="AO106" s="56">
        <f t="shared" si="885"/>
        <v>0</v>
      </c>
      <c r="AP106" s="56">
        <f t="shared" si="885"/>
        <v>0</v>
      </c>
      <c r="AQ106" s="56">
        <f t="shared" si="885"/>
        <v>0</v>
      </c>
      <c r="AR106" s="56">
        <f t="shared" si="885"/>
        <v>0</v>
      </c>
      <c r="AS106" s="56">
        <f t="shared" si="885"/>
        <v>0</v>
      </c>
      <c r="AT106" s="56">
        <f t="shared" si="885"/>
        <v>0</v>
      </c>
      <c r="AU106" s="56">
        <f t="shared" si="885"/>
        <v>0</v>
      </c>
      <c r="AV106" s="56">
        <f t="shared" si="885"/>
        <v>0</v>
      </c>
      <c r="AW106" s="56">
        <f t="shared" si="885"/>
        <v>0</v>
      </c>
      <c r="AX106" s="56">
        <f t="shared" si="885"/>
        <v>0</v>
      </c>
      <c r="AY106" s="56">
        <f t="shared" si="885"/>
        <v>0</v>
      </c>
      <c r="AZ106" s="56">
        <f t="shared" si="885"/>
        <v>0</v>
      </c>
      <c r="BA106" s="56">
        <f t="shared" si="885"/>
        <v>0</v>
      </c>
    </row>
    <row r="107" spans="2:53" x14ac:dyDescent="0.2">
      <c r="B107" s="57" t="s">
        <v>30</v>
      </c>
      <c r="C107" s="65" t="s">
        <v>75</v>
      </c>
      <c r="D107" s="44"/>
      <c r="E107" s="44"/>
      <c r="F107" s="44"/>
      <c r="G107" s="6"/>
      <c r="H107" s="6"/>
      <c r="I107" s="6"/>
      <c r="J107" s="44"/>
      <c r="K107" s="44"/>
      <c r="L107" s="44"/>
      <c r="M107" s="44"/>
      <c r="N107" s="44"/>
      <c r="O107" s="56"/>
      <c r="P107" s="56"/>
      <c r="Q107" s="56"/>
      <c r="R107" s="56"/>
      <c r="S107" s="56"/>
      <c r="T107" s="56">
        <v>0</v>
      </c>
      <c r="U107" s="56">
        <f t="shared" ref="U107:BA107" si="886">+U106-U108</f>
        <v>0</v>
      </c>
      <c r="V107" s="56">
        <f t="shared" si="886"/>
        <v>0</v>
      </c>
      <c r="W107" s="56">
        <f t="shared" si="886"/>
        <v>0</v>
      </c>
      <c r="X107" s="56">
        <f t="shared" si="886"/>
        <v>0</v>
      </c>
      <c r="Y107" s="56">
        <f t="shared" si="886"/>
        <v>0</v>
      </c>
      <c r="Z107" s="56">
        <f t="shared" si="886"/>
        <v>0</v>
      </c>
      <c r="AA107" s="56">
        <f t="shared" si="886"/>
        <v>0</v>
      </c>
      <c r="AB107" s="56">
        <f t="shared" si="886"/>
        <v>0</v>
      </c>
      <c r="AC107" s="56">
        <f t="shared" si="886"/>
        <v>0</v>
      </c>
      <c r="AD107" s="56">
        <f t="shared" si="886"/>
        <v>0</v>
      </c>
      <c r="AE107" s="56">
        <f t="shared" si="886"/>
        <v>0</v>
      </c>
      <c r="AF107" s="56">
        <f t="shared" si="886"/>
        <v>0</v>
      </c>
      <c r="AG107" s="56">
        <f t="shared" si="886"/>
        <v>0</v>
      </c>
      <c r="AH107" s="56">
        <f t="shared" si="886"/>
        <v>0</v>
      </c>
      <c r="AI107" s="56">
        <f t="shared" si="886"/>
        <v>0</v>
      </c>
      <c r="AJ107" s="56">
        <f t="shared" si="886"/>
        <v>0</v>
      </c>
      <c r="AK107" s="56">
        <f t="shared" si="886"/>
        <v>0</v>
      </c>
      <c r="AL107" s="56">
        <f t="shared" si="886"/>
        <v>0</v>
      </c>
      <c r="AM107" s="56">
        <f t="shared" si="886"/>
        <v>0</v>
      </c>
      <c r="AN107" s="56">
        <f t="shared" si="886"/>
        <v>0</v>
      </c>
      <c r="AO107" s="56">
        <f t="shared" si="886"/>
        <v>0</v>
      </c>
      <c r="AP107" s="56">
        <f t="shared" si="886"/>
        <v>0</v>
      </c>
      <c r="AQ107" s="56">
        <f t="shared" si="886"/>
        <v>0</v>
      </c>
      <c r="AR107" s="56">
        <f t="shared" si="886"/>
        <v>0</v>
      </c>
      <c r="AS107" s="56">
        <f t="shared" si="886"/>
        <v>0</v>
      </c>
      <c r="AT107" s="56">
        <f t="shared" si="886"/>
        <v>0</v>
      </c>
      <c r="AU107" s="56">
        <f t="shared" si="886"/>
        <v>0</v>
      </c>
      <c r="AV107" s="56">
        <f t="shared" si="886"/>
        <v>0</v>
      </c>
      <c r="AW107" s="56">
        <f t="shared" si="886"/>
        <v>0</v>
      </c>
      <c r="AX107" s="56">
        <f t="shared" si="886"/>
        <v>0</v>
      </c>
      <c r="AY107" s="56">
        <f t="shared" si="886"/>
        <v>0</v>
      </c>
      <c r="AZ107" s="56">
        <f t="shared" si="886"/>
        <v>0</v>
      </c>
      <c r="BA107" s="56">
        <f t="shared" si="886"/>
        <v>0</v>
      </c>
    </row>
    <row r="108" spans="2:53" x14ac:dyDescent="0.2">
      <c r="B108" s="57" t="s">
        <v>3</v>
      </c>
      <c r="C108" s="65" t="s">
        <v>75</v>
      </c>
      <c r="D108" s="44"/>
      <c r="E108" s="44"/>
      <c r="F108" s="44"/>
      <c r="G108" s="6"/>
      <c r="H108" s="6"/>
      <c r="I108" s="6"/>
      <c r="J108" s="44"/>
      <c r="K108" s="44"/>
      <c r="L108" s="44"/>
      <c r="M108" s="44"/>
      <c r="N108" s="44"/>
      <c r="O108" s="56"/>
      <c r="P108" s="56"/>
      <c r="Q108" s="56"/>
      <c r="R108" s="56"/>
      <c r="S108" s="56"/>
      <c r="T108" s="56">
        <v>0</v>
      </c>
      <c r="U108" s="56">
        <f t="shared" ref="U108" si="887">+$C$9*T105</f>
        <v>0</v>
      </c>
      <c r="V108" s="56">
        <f t="shared" ref="V108" si="888">+$C$9*U105</f>
        <v>0</v>
      </c>
      <c r="W108" s="56">
        <f t="shared" ref="W108" si="889">+$C$9*V105</f>
        <v>0</v>
      </c>
      <c r="X108" s="56">
        <f t="shared" ref="X108" si="890">+$C$9*W105</f>
        <v>0</v>
      </c>
      <c r="Y108" s="56">
        <f t="shared" ref="Y108" si="891">+$C$9*X105</f>
        <v>0</v>
      </c>
      <c r="Z108" s="56">
        <f t="shared" ref="Z108" si="892">+$C$9*Y105</f>
        <v>0</v>
      </c>
      <c r="AA108" s="56">
        <f t="shared" ref="AA108" si="893">+$C$9*Z105</f>
        <v>0</v>
      </c>
      <c r="AB108" s="56">
        <f t="shared" ref="AB108" si="894">+$C$9*AA105</f>
        <v>0</v>
      </c>
      <c r="AC108" s="56">
        <f t="shared" ref="AC108" si="895">+$C$9*AB105</f>
        <v>0</v>
      </c>
      <c r="AD108" s="56">
        <f t="shared" ref="AD108" si="896">+$C$9*AC105</f>
        <v>0</v>
      </c>
      <c r="AE108" s="56">
        <f t="shared" ref="AE108" si="897">+$C$9*AD105</f>
        <v>0</v>
      </c>
      <c r="AF108" s="56">
        <f t="shared" ref="AF108" si="898">+$C$9*AE105</f>
        <v>0</v>
      </c>
      <c r="AG108" s="56">
        <f t="shared" ref="AG108" si="899">+$C$9*AF105</f>
        <v>0</v>
      </c>
      <c r="AH108" s="56">
        <f t="shared" ref="AH108" si="900">+$C$9*AG105</f>
        <v>0</v>
      </c>
      <c r="AI108" s="56">
        <f t="shared" ref="AI108" si="901">+$C$9*AH105</f>
        <v>0</v>
      </c>
      <c r="AJ108" s="56">
        <f t="shared" ref="AJ108" si="902">+$C$9*AI105</f>
        <v>0</v>
      </c>
      <c r="AK108" s="56">
        <f t="shared" ref="AK108" si="903">+$C$9*AJ105</f>
        <v>0</v>
      </c>
      <c r="AL108" s="56">
        <f t="shared" ref="AL108" si="904">+$C$9*AK105</f>
        <v>0</v>
      </c>
      <c r="AM108" s="56">
        <f t="shared" ref="AM108" si="905">+$C$9*AL105</f>
        <v>0</v>
      </c>
      <c r="AN108" s="56">
        <f t="shared" ref="AN108" si="906">+$C$9*AM105</f>
        <v>0</v>
      </c>
      <c r="AO108" s="56">
        <f t="shared" ref="AO108" si="907">+$C$9*AN105</f>
        <v>0</v>
      </c>
      <c r="AP108" s="56">
        <f t="shared" ref="AP108" si="908">+$C$9*AO105</f>
        <v>0</v>
      </c>
      <c r="AQ108" s="56">
        <f t="shared" ref="AQ108" si="909">+$C$9*AP105</f>
        <v>0</v>
      </c>
      <c r="AR108" s="56">
        <f t="shared" ref="AR108" si="910">+$C$9*AQ105</f>
        <v>0</v>
      </c>
      <c r="AS108" s="56">
        <f t="shared" ref="AS108" si="911">+$C$9*AR105</f>
        <v>0</v>
      </c>
      <c r="AT108" s="56">
        <f t="shared" ref="AT108" si="912">+$C$9*AS105</f>
        <v>0</v>
      </c>
      <c r="AU108" s="56">
        <f t="shared" ref="AU108" si="913">+$C$9*AT105</f>
        <v>0</v>
      </c>
      <c r="AV108" s="56">
        <f t="shared" ref="AV108" si="914">+$C$9*AU105</f>
        <v>0</v>
      </c>
      <c r="AW108" s="56">
        <f t="shared" ref="AW108" si="915">+$C$9*AV105</f>
        <v>0</v>
      </c>
      <c r="AX108" s="56">
        <f t="shared" ref="AX108" si="916">+$C$9*AW105</f>
        <v>0</v>
      </c>
      <c r="AY108" s="56">
        <f t="shared" ref="AY108" si="917">+$C$9*AX105</f>
        <v>0</v>
      </c>
      <c r="AZ108" s="56">
        <f t="shared" ref="AZ108" si="918">+$C$9*AY105</f>
        <v>0</v>
      </c>
      <c r="BA108" s="56">
        <f t="shared" ref="BA108" si="919">+$C$9*AZ105</f>
        <v>0</v>
      </c>
    </row>
    <row r="109" spans="2:53" x14ac:dyDescent="0.2">
      <c r="B109" s="57"/>
      <c r="D109" s="44"/>
      <c r="E109" s="44"/>
      <c r="F109" s="44"/>
      <c r="G109" s="44"/>
      <c r="H109" s="44"/>
      <c r="I109" s="44"/>
      <c r="J109" s="44"/>
      <c r="K109" s="44"/>
      <c r="L109" s="44"/>
      <c r="M109" s="44"/>
      <c r="N109" s="44"/>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2:53" x14ac:dyDescent="0.2">
      <c r="B110" s="46" t="s">
        <v>62</v>
      </c>
      <c r="C110" s="65" t="s">
        <v>75</v>
      </c>
      <c r="D110" s="44"/>
      <c r="E110" s="44"/>
      <c r="F110" s="44"/>
      <c r="G110" s="6"/>
      <c r="H110" s="6"/>
      <c r="I110" s="6"/>
      <c r="J110" s="6"/>
      <c r="K110" s="44"/>
      <c r="L110" s="44"/>
      <c r="M110" s="44"/>
      <c r="N110" s="44"/>
      <c r="O110" s="56"/>
      <c r="P110" s="56"/>
      <c r="Q110" s="56"/>
      <c r="R110" s="56"/>
      <c r="S110" s="56"/>
      <c r="T110" s="56"/>
      <c r="U110" s="56">
        <f>U18</f>
        <v>0</v>
      </c>
      <c r="V110" s="56">
        <f t="shared" ref="V110" si="920">+U110-V112</f>
        <v>0</v>
      </c>
      <c r="W110" s="56">
        <f t="shared" ref="W110" si="921">+V110-W112</f>
        <v>0</v>
      </c>
      <c r="X110" s="56">
        <f t="shared" ref="X110" si="922">+W110-X112</f>
        <v>0</v>
      </c>
      <c r="Y110" s="56">
        <f t="shared" ref="Y110" si="923">+X110-Y112</f>
        <v>0</v>
      </c>
      <c r="Z110" s="56">
        <f t="shared" ref="Z110" si="924">+Y110-Z112</f>
        <v>0</v>
      </c>
      <c r="AA110" s="56">
        <f t="shared" ref="AA110" si="925">+Z110-AA112</f>
        <v>0</v>
      </c>
      <c r="AB110" s="56">
        <f t="shared" ref="AB110" si="926">+AA110-AB112</f>
        <v>0</v>
      </c>
      <c r="AC110" s="56">
        <f t="shared" ref="AC110" si="927">+AB110-AC112</f>
        <v>0</v>
      </c>
      <c r="AD110" s="56">
        <f t="shared" ref="AD110" si="928">+AC110-AD112</f>
        <v>0</v>
      </c>
      <c r="AE110" s="56">
        <f t="shared" ref="AE110" si="929">+AD110-AE112</f>
        <v>0</v>
      </c>
      <c r="AF110" s="56">
        <f t="shared" ref="AF110" si="930">+AE110-AF112</f>
        <v>0</v>
      </c>
      <c r="AG110" s="56">
        <f t="shared" ref="AG110" si="931">+AF110-AG112</f>
        <v>0</v>
      </c>
      <c r="AH110" s="56">
        <f t="shared" ref="AH110" si="932">+AG110-AH112</f>
        <v>0</v>
      </c>
      <c r="AI110" s="56">
        <f t="shared" ref="AI110" si="933">+AH110-AI112</f>
        <v>0</v>
      </c>
      <c r="AJ110" s="56">
        <f t="shared" ref="AJ110" si="934">+AI110-AJ112</f>
        <v>0</v>
      </c>
      <c r="AK110" s="56">
        <f t="shared" ref="AK110" si="935">+AJ110-AK112</f>
        <v>0</v>
      </c>
      <c r="AL110" s="56">
        <f t="shared" ref="AL110" si="936">+AK110-AL112</f>
        <v>0</v>
      </c>
      <c r="AM110" s="56">
        <f t="shared" ref="AM110" si="937">+AL110-AM112</f>
        <v>0</v>
      </c>
      <c r="AN110" s="56">
        <f t="shared" ref="AN110" si="938">+AM110-AN112</f>
        <v>0</v>
      </c>
      <c r="AO110" s="56">
        <f t="shared" ref="AO110" si="939">+AN110-AO112</f>
        <v>0</v>
      </c>
      <c r="AP110" s="56">
        <f t="shared" ref="AP110" si="940">+AO110-AP112</f>
        <v>0</v>
      </c>
      <c r="AQ110" s="56">
        <f t="shared" ref="AQ110" si="941">+AP110-AQ112</f>
        <v>0</v>
      </c>
      <c r="AR110" s="56">
        <f t="shared" ref="AR110" si="942">+AQ110-AR112</f>
        <v>0</v>
      </c>
      <c r="AS110" s="56">
        <f t="shared" ref="AS110" si="943">+AR110-AS112</f>
        <v>0</v>
      </c>
      <c r="AT110" s="56">
        <f t="shared" ref="AT110" si="944">+AS110-AT112</f>
        <v>0</v>
      </c>
      <c r="AU110" s="56">
        <f t="shared" ref="AU110" si="945">+AT110-AU112</f>
        <v>0</v>
      </c>
      <c r="AV110" s="56">
        <f t="shared" ref="AV110" si="946">+AU110-AV112</f>
        <v>0</v>
      </c>
      <c r="AW110" s="56">
        <f t="shared" ref="AW110" si="947">+AV110-AW112</f>
        <v>0</v>
      </c>
      <c r="AX110" s="56">
        <f t="shared" ref="AX110" si="948">+AW110-AX112</f>
        <v>0</v>
      </c>
      <c r="AY110" s="56">
        <f t="shared" ref="AY110" si="949">+AX110-AY112</f>
        <v>0</v>
      </c>
      <c r="AZ110" s="56">
        <f t="shared" ref="AZ110" si="950">+AY110-AZ112</f>
        <v>0</v>
      </c>
      <c r="BA110" s="56">
        <f t="shared" ref="BA110" si="951">+AZ110-BA112</f>
        <v>0</v>
      </c>
    </row>
    <row r="111" spans="2:53" x14ac:dyDescent="0.2">
      <c r="B111" s="57" t="s">
        <v>29</v>
      </c>
      <c r="C111" s="64">
        <f>+U110/((1-(1/(1+$C$9)^$C$8))/$C$9)</f>
        <v>0</v>
      </c>
      <c r="D111" s="44"/>
      <c r="E111" s="44"/>
      <c r="F111" s="44"/>
      <c r="G111" s="6"/>
      <c r="H111" s="6"/>
      <c r="I111" s="6"/>
      <c r="J111" s="6"/>
      <c r="K111" s="44"/>
      <c r="L111" s="44"/>
      <c r="M111" s="44"/>
      <c r="N111" s="44"/>
      <c r="O111" s="56"/>
      <c r="P111" s="56"/>
      <c r="Q111" s="56"/>
      <c r="R111" s="56"/>
      <c r="S111" s="56"/>
      <c r="T111" s="56"/>
      <c r="U111" s="56">
        <v>0</v>
      </c>
      <c r="V111" s="56">
        <f>+IF(U110&lt;0.01,0,$C$111)</f>
        <v>0</v>
      </c>
      <c r="W111" s="56">
        <f t="shared" ref="W111:BA111" si="952">+IF(V110&lt;0.01,0,$C$111)</f>
        <v>0</v>
      </c>
      <c r="X111" s="56">
        <f t="shared" si="952"/>
        <v>0</v>
      </c>
      <c r="Y111" s="56">
        <f t="shared" si="952"/>
        <v>0</v>
      </c>
      <c r="Z111" s="56">
        <f t="shared" si="952"/>
        <v>0</v>
      </c>
      <c r="AA111" s="56">
        <f t="shared" si="952"/>
        <v>0</v>
      </c>
      <c r="AB111" s="56">
        <f t="shared" si="952"/>
        <v>0</v>
      </c>
      <c r="AC111" s="56">
        <f t="shared" si="952"/>
        <v>0</v>
      </c>
      <c r="AD111" s="56">
        <f t="shared" si="952"/>
        <v>0</v>
      </c>
      <c r="AE111" s="56">
        <f t="shared" si="952"/>
        <v>0</v>
      </c>
      <c r="AF111" s="56">
        <f t="shared" si="952"/>
        <v>0</v>
      </c>
      <c r="AG111" s="56">
        <f t="shared" si="952"/>
        <v>0</v>
      </c>
      <c r="AH111" s="56">
        <f t="shared" si="952"/>
        <v>0</v>
      </c>
      <c r="AI111" s="56">
        <f t="shared" si="952"/>
        <v>0</v>
      </c>
      <c r="AJ111" s="56">
        <f t="shared" si="952"/>
        <v>0</v>
      </c>
      <c r="AK111" s="56">
        <f t="shared" si="952"/>
        <v>0</v>
      </c>
      <c r="AL111" s="56">
        <f t="shared" si="952"/>
        <v>0</v>
      </c>
      <c r="AM111" s="56">
        <f t="shared" si="952"/>
        <v>0</v>
      </c>
      <c r="AN111" s="56">
        <f t="shared" si="952"/>
        <v>0</v>
      </c>
      <c r="AO111" s="56">
        <f t="shared" si="952"/>
        <v>0</v>
      </c>
      <c r="AP111" s="56">
        <f t="shared" si="952"/>
        <v>0</v>
      </c>
      <c r="AQ111" s="56">
        <f t="shared" si="952"/>
        <v>0</v>
      </c>
      <c r="AR111" s="56">
        <f t="shared" si="952"/>
        <v>0</v>
      </c>
      <c r="AS111" s="56">
        <f t="shared" si="952"/>
        <v>0</v>
      </c>
      <c r="AT111" s="56">
        <f t="shared" si="952"/>
        <v>0</v>
      </c>
      <c r="AU111" s="56">
        <f t="shared" si="952"/>
        <v>0</v>
      </c>
      <c r="AV111" s="56">
        <f t="shared" si="952"/>
        <v>0</v>
      </c>
      <c r="AW111" s="56">
        <f t="shared" si="952"/>
        <v>0</v>
      </c>
      <c r="AX111" s="56">
        <f t="shared" si="952"/>
        <v>0</v>
      </c>
      <c r="AY111" s="56">
        <f t="shared" si="952"/>
        <v>0</v>
      </c>
      <c r="AZ111" s="56">
        <f t="shared" si="952"/>
        <v>0</v>
      </c>
      <c r="BA111" s="56">
        <f t="shared" si="952"/>
        <v>0</v>
      </c>
    </row>
    <row r="112" spans="2:53" x14ac:dyDescent="0.2">
      <c r="B112" s="57" t="s">
        <v>30</v>
      </c>
      <c r="C112" s="65" t="s">
        <v>75</v>
      </c>
      <c r="D112" s="44"/>
      <c r="E112" s="44"/>
      <c r="F112" s="44"/>
      <c r="G112" s="6"/>
      <c r="H112" s="6"/>
      <c r="I112" s="6"/>
      <c r="J112" s="6"/>
      <c r="K112" s="44"/>
      <c r="L112" s="44"/>
      <c r="M112" s="44"/>
      <c r="N112" s="44"/>
      <c r="O112" s="56"/>
      <c r="P112" s="56"/>
      <c r="Q112" s="56"/>
      <c r="R112" s="56"/>
      <c r="S112" s="56"/>
      <c r="T112" s="56"/>
      <c r="U112" s="56">
        <v>0</v>
      </c>
      <c r="V112" s="56">
        <f t="shared" ref="V112:BA112" si="953">+V111-V113</f>
        <v>0</v>
      </c>
      <c r="W112" s="56">
        <f t="shared" si="953"/>
        <v>0</v>
      </c>
      <c r="X112" s="56">
        <f t="shared" si="953"/>
        <v>0</v>
      </c>
      <c r="Y112" s="56">
        <f t="shared" si="953"/>
        <v>0</v>
      </c>
      <c r="Z112" s="56">
        <f t="shared" si="953"/>
        <v>0</v>
      </c>
      <c r="AA112" s="56">
        <f t="shared" si="953"/>
        <v>0</v>
      </c>
      <c r="AB112" s="56">
        <f t="shared" si="953"/>
        <v>0</v>
      </c>
      <c r="AC112" s="56">
        <f t="shared" si="953"/>
        <v>0</v>
      </c>
      <c r="AD112" s="56">
        <f t="shared" si="953"/>
        <v>0</v>
      </c>
      <c r="AE112" s="56">
        <f t="shared" si="953"/>
        <v>0</v>
      </c>
      <c r="AF112" s="56">
        <f t="shared" si="953"/>
        <v>0</v>
      </c>
      <c r="AG112" s="56">
        <f t="shared" si="953"/>
        <v>0</v>
      </c>
      <c r="AH112" s="56">
        <f t="shared" si="953"/>
        <v>0</v>
      </c>
      <c r="AI112" s="56">
        <f t="shared" si="953"/>
        <v>0</v>
      </c>
      <c r="AJ112" s="56">
        <f t="shared" si="953"/>
        <v>0</v>
      </c>
      <c r="AK112" s="56">
        <f t="shared" si="953"/>
        <v>0</v>
      </c>
      <c r="AL112" s="56">
        <f t="shared" si="953"/>
        <v>0</v>
      </c>
      <c r="AM112" s="56">
        <f t="shared" si="953"/>
        <v>0</v>
      </c>
      <c r="AN112" s="56">
        <f t="shared" si="953"/>
        <v>0</v>
      </c>
      <c r="AO112" s="56">
        <f t="shared" si="953"/>
        <v>0</v>
      </c>
      <c r="AP112" s="56">
        <f t="shared" si="953"/>
        <v>0</v>
      </c>
      <c r="AQ112" s="56">
        <f t="shared" si="953"/>
        <v>0</v>
      </c>
      <c r="AR112" s="56">
        <f t="shared" si="953"/>
        <v>0</v>
      </c>
      <c r="AS112" s="56">
        <f t="shared" si="953"/>
        <v>0</v>
      </c>
      <c r="AT112" s="56">
        <f t="shared" si="953"/>
        <v>0</v>
      </c>
      <c r="AU112" s="56">
        <f t="shared" si="953"/>
        <v>0</v>
      </c>
      <c r="AV112" s="56">
        <f t="shared" si="953"/>
        <v>0</v>
      </c>
      <c r="AW112" s="56">
        <f t="shared" si="953"/>
        <v>0</v>
      </c>
      <c r="AX112" s="56">
        <f t="shared" si="953"/>
        <v>0</v>
      </c>
      <c r="AY112" s="56">
        <f t="shared" si="953"/>
        <v>0</v>
      </c>
      <c r="AZ112" s="56">
        <f t="shared" si="953"/>
        <v>0</v>
      </c>
      <c r="BA112" s="56">
        <f t="shared" si="953"/>
        <v>0</v>
      </c>
    </row>
    <row r="113" spans="2:53" x14ac:dyDescent="0.2">
      <c r="B113" s="57" t="s">
        <v>3</v>
      </c>
      <c r="C113" s="65" t="s">
        <v>75</v>
      </c>
      <c r="D113" s="44"/>
      <c r="E113" s="44"/>
      <c r="F113" s="44"/>
      <c r="G113" s="6"/>
      <c r="H113" s="6"/>
      <c r="I113" s="6"/>
      <c r="J113" s="6"/>
      <c r="K113" s="44"/>
      <c r="L113" s="44"/>
      <c r="M113" s="44"/>
      <c r="N113" s="44"/>
      <c r="O113" s="56"/>
      <c r="P113" s="56"/>
      <c r="Q113" s="56"/>
      <c r="R113" s="56"/>
      <c r="S113" s="56"/>
      <c r="T113" s="56"/>
      <c r="U113" s="56">
        <v>0</v>
      </c>
      <c r="V113" s="56">
        <f t="shared" ref="V113" si="954">+$C$9*U110</f>
        <v>0</v>
      </c>
      <c r="W113" s="56">
        <f t="shared" ref="W113" si="955">+$C$9*V110</f>
        <v>0</v>
      </c>
      <c r="X113" s="56">
        <f t="shared" ref="X113" si="956">+$C$9*W110</f>
        <v>0</v>
      </c>
      <c r="Y113" s="56">
        <f t="shared" ref="Y113" si="957">+$C$9*X110</f>
        <v>0</v>
      </c>
      <c r="Z113" s="56">
        <f t="shared" ref="Z113" si="958">+$C$9*Y110</f>
        <v>0</v>
      </c>
      <c r="AA113" s="56">
        <f t="shared" ref="AA113" si="959">+$C$9*Z110</f>
        <v>0</v>
      </c>
      <c r="AB113" s="56">
        <f t="shared" ref="AB113" si="960">+$C$9*AA110</f>
        <v>0</v>
      </c>
      <c r="AC113" s="56">
        <f t="shared" ref="AC113" si="961">+$C$9*AB110</f>
        <v>0</v>
      </c>
      <c r="AD113" s="56">
        <f t="shared" ref="AD113" si="962">+$C$9*AC110</f>
        <v>0</v>
      </c>
      <c r="AE113" s="56">
        <f t="shared" ref="AE113" si="963">+$C$9*AD110</f>
        <v>0</v>
      </c>
      <c r="AF113" s="56">
        <f t="shared" ref="AF113" si="964">+$C$9*AE110</f>
        <v>0</v>
      </c>
      <c r="AG113" s="56">
        <f t="shared" ref="AG113" si="965">+$C$9*AF110</f>
        <v>0</v>
      </c>
      <c r="AH113" s="56">
        <f t="shared" ref="AH113" si="966">+$C$9*AG110</f>
        <v>0</v>
      </c>
      <c r="AI113" s="56">
        <f t="shared" ref="AI113" si="967">+$C$9*AH110</f>
        <v>0</v>
      </c>
      <c r="AJ113" s="56">
        <f t="shared" ref="AJ113" si="968">+$C$9*AI110</f>
        <v>0</v>
      </c>
      <c r="AK113" s="56">
        <f t="shared" ref="AK113" si="969">+$C$9*AJ110</f>
        <v>0</v>
      </c>
      <c r="AL113" s="56">
        <f t="shared" ref="AL113" si="970">+$C$9*AK110</f>
        <v>0</v>
      </c>
      <c r="AM113" s="56">
        <f t="shared" ref="AM113" si="971">+$C$9*AL110</f>
        <v>0</v>
      </c>
      <c r="AN113" s="56">
        <f t="shared" ref="AN113" si="972">+$C$9*AM110</f>
        <v>0</v>
      </c>
      <c r="AO113" s="56">
        <f t="shared" ref="AO113" si="973">+$C$9*AN110</f>
        <v>0</v>
      </c>
      <c r="AP113" s="56">
        <f t="shared" ref="AP113" si="974">+$C$9*AO110</f>
        <v>0</v>
      </c>
      <c r="AQ113" s="56">
        <f t="shared" ref="AQ113" si="975">+$C$9*AP110</f>
        <v>0</v>
      </c>
      <c r="AR113" s="56">
        <f t="shared" ref="AR113" si="976">+$C$9*AQ110</f>
        <v>0</v>
      </c>
      <c r="AS113" s="56">
        <f t="shared" ref="AS113" si="977">+$C$9*AR110</f>
        <v>0</v>
      </c>
      <c r="AT113" s="56">
        <f t="shared" ref="AT113" si="978">+$C$9*AS110</f>
        <v>0</v>
      </c>
      <c r="AU113" s="56">
        <f t="shared" ref="AU113" si="979">+$C$9*AT110</f>
        <v>0</v>
      </c>
      <c r="AV113" s="56">
        <f t="shared" ref="AV113" si="980">+$C$9*AU110</f>
        <v>0</v>
      </c>
      <c r="AW113" s="56">
        <f t="shared" ref="AW113" si="981">+$C$9*AV110</f>
        <v>0</v>
      </c>
      <c r="AX113" s="56">
        <f t="shared" ref="AX113" si="982">+$C$9*AW110</f>
        <v>0</v>
      </c>
      <c r="AY113" s="56">
        <f t="shared" ref="AY113" si="983">+$C$9*AX110</f>
        <v>0</v>
      </c>
      <c r="AZ113" s="56">
        <f t="shared" ref="AZ113" si="984">+$C$9*AY110</f>
        <v>0</v>
      </c>
      <c r="BA113" s="56">
        <f t="shared" ref="BA113" si="985">+$C$9*AZ110</f>
        <v>0</v>
      </c>
    </row>
    <row r="114" spans="2:53" x14ac:dyDescent="0.2">
      <c r="B114" s="57"/>
      <c r="D114" s="44"/>
      <c r="E114" s="44"/>
      <c r="F114" s="44"/>
      <c r="G114" s="6"/>
      <c r="H114" s="6"/>
      <c r="I114" s="6"/>
      <c r="J114" s="6"/>
      <c r="K114" s="44"/>
      <c r="L114" s="44"/>
      <c r="M114" s="44"/>
      <c r="N114" s="44"/>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2:53" x14ac:dyDescent="0.2">
      <c r="B115" s="46" t="s">
        <v>63</v>
      </c>
      <c r="C115" s="65" t="s">
        <v>75</v>
      </c>
      <c r="D115" s="44"/>
      <c r="E115" s="44"/>
      <c r="F115" s="44"/>
      <c r="G115" s="6"/>
      <c r="H115" s="6"/>
      <c r="I115" s="6"/>
      <c r="J115" s="6"/>
      <c r="K115" s="6"/>
      <c r="L115" s="44"/>
      <c r="M115" s="44"/>
      <c r="N115" s="44"/>
      <c r="O115" s="56"/>
      <c r="P115" s="56"/>
      <c r="Q115" s="56"/>
      <c r="R115" s="56"/>
      <c r="S115" s="56"/>
      <c r="T115" s="56"/>
      <c r="U115" s="56"/>
      <c r="V115" s="56">
        <f>V18</f>
        <v>0</v>
      </c>
      <c r="W115" s="56">
        <f t="shared" ref="W115" si="986">+V115-W117</f>
        <v>0</v>
      </c>
      <c r="X115" s="56">
        <f t="shared" ref="X115" si="987">+W115-X117</f>
        <v>0</v>
      </c>
      <c r="Y115" s="56">
        <f t="shared" ref="Y115" si="988">+X115-Y117</f>
        <v>0</v>
      </c>
      <c r="Z115" s="56">
        <f t="shared" ref="Z115" si="989">+Y115-Z117</f>
        <v>0</v>
      </c>
      <c r="AA115" s="56">
        <f t="shared" ref="AA115" si="990">+Z115-AA117</f>
        <v>0</v>
      </c>
      <c r="AB115" s="56">
        <f t="shared" ref="AB115" si="991">+AA115-AB117</f>
        <v>0</v>
      </c>
      <c r="AC115" s="56">
        <f t="shared" ref="AC115" si="992">+AB115-AC117</f>
        <v>0</v>
      </c>
      <c r="AD115" s="56">
        <f t="shared" ref="AD115" si="993">+AC115-AD117</f>
        <v>0</v>
      </c>
      <c r="AE115" s="56">
        <f t="shared" ref="AE115" si="994">+AD115-AE117</f>
        <v>0</v>
      </c>
      <c r="AF115" s="56">
        <f t="shared" ref="AF115" si="995">+AE115-AF117</f>
        <v>0</v>
      </c>
      <c r="AG115" s="56">
        <f t="shared" ref="AG115" si="996">+AF115-AG117</f>
        <v>0</v>
      </c>
      <c r="AH115" s="56">
        <f t="shared" ref="AH115" si="997">+AG115-AH117</f>
        <v>0</v>
      </c>
      <c r="AI115" s="56">
        <f t="shared" ref="AI115" si="998">+AH115-AI117</f>
        <v>0</v>
      </c>
      <c r="AJ115" s="56">
        <f t="shared" ref="AJ115" si="999">+AI115-AJ117</f>
        <v>0</v>
      </c>
      <c r="AK115" s="56">
        <f t="shared" ref="AK115" si="1000">+AJ115-AK117</f>
        <v>0</v>
      </c>
      <c r="AL115" s="56">
        <f t="shared" ref="AL115" si="1001">+AK115-AL117</f>
        <v>0</v>
      </c>
      <c r="AM115" s="56">
        <f t="shared" ref="AM115" si="1002">+AL115-AM117</f>
        <v>0</v>
      </c>
      <c r="AN115" s="56">
        <f t="shared" ref="AN115" si="1003">+AM115-AN117</f>
        <v>0</v>
      </c>
      <c r="AO115" s="56">
        <f t="shared" ref="AO115" si="1004">+AN115-AO117</f>
        <v>0</v>
      </c>
      <c r="AP115" s="56">
        <f t="shared" ref="AP115" si="1005">+AO115-AP117</f>
        <v>0</v>
      </c>
      <c r="AQ115" s="56">
        <f t="shared" ref="AQ115" si="1006">+AP115-AQ117</f>
        <v>0</v>
      </c>
      <c r="AR115" s="56">
        <f t="shared" ref="AR115" si="1007">+AQ115-AR117</f>
        <v>0</v>
      </c>
      <c r="AS115" s="56">
        <f t="shared" ref="AS115" si="1008">+AR115-AS117</f>
        <v>0</v>
      </c>
      <c r="AT115" s="56">
        <f t="shared" ref="AT115" si="1009">+AS115-AT117</f>
        <v>0</v>
      </c>
      <c r="AU115" s="56">
        <f t="shared" ref="AU115" si="1010">+AT115-AU117</f>
        <v>0</v>
      </c>
      <c r="AV115" s="56">
        <f t="shared" ref="AV115" si="1011">+AU115-AV117</f>
        <v>0</v>
      </c>
      <c r="AW115" s="56">
        <f t="shared" ref="AW115" si="1012">+AV115-AW117</f>
        <v>0</v>
      </c>
      <c r="AX115" s="56">
        <f t="shared" ref="AX115" si="1013">+AW115-AX117</f>
        <v>0</v>
      </c>
      <c r="AY115" s="56">
        <f t="shared" ref="AY115" si="1014">+AX115-AY117</f>
        <v>0</v>
      </c>
      <c r="AZ115" s="56">
        <f t="shared" ref="AZ115" si="1015">+AY115-AZ117</f>
        <v>0</v>
      </c>
      <c r="BA115" s="56">
        <f t="shared" ref="BA115" si="1016">+AZ115-BA117</f>
        <v>0</v>
      </c>
    </row>
    <row r="116" spans="2:53" x14ac:dyDescent="0.2">
      <c r="B116" s="57" t="s">
        <v>29</v>
      </c>
      <c r="C116" s="64">
        <f>+V115/((1-(1/(1+$C$9)^$C$8))/$C$9)</f>
        <v>0</v>
      </c>
      <c r="D116" s="44"/>
      <c r="E116" s="44"/>
      <c r="F116" s="44"/>
      <c r="G116" s="6"/>
      <c r="H116" s="6"/>
      <c r="I116" s="6"/>
      <c r="J116" s="6"/>
      <c r="K116" s="6"/>
      <c r="L116" s="44"/>
      <c r="M116" s="44"/>
      <c r="N116" s="44"/>
      <c r="O116" s="56"/>
      <c r="P116" s="56"/>
      <c r="Q116" s="56"/>
      <c r="R116" s="56"/>
      <c r="S116" s="56"/>
      <c r="T116" s="56"/>
      <c r="U116" s="56"/>
      <c r="V116" s="56">
        <v>0</v>
      </c>
      <c r="W116" s="56">
        <f>+IF(V115&lt;0.01,0,$C$116)</f>
        <v>0</v>
      </c>
      <c r="X116" s="56">
        <f t="shared" ref="X116:BA116" si="1017">+IF(W115&lt;0.01,0,$C$116)</f>
        <v>0</v>
      </c>
      <c r="Y116" s="56">
        <f t="shared" si="1017"/>
        <v>0</v>
      </c>
      <c r="Z116" s="56">
        <f t="shared" si="1017"/>
        <v>0</v>
      </c>
      <c r="AA116" s="56">
        <f t="shared" si="1017"/>
        <v>0</v>
      </c>
      <c r="AB116" s="56">
        <f t="shared" si="1017"/>
        <v>0</v>
      </c>
      <c r="AC116" s="56">
        <f t="shared" si="1017"/>
        <v>0</v>
      </c>
      <c r="AD116" s="56">
        <f t="shared" si="1017"/>
        <v>0</v>
      </c>
      <c r="AE116" s="56">
        <f t="shared" si="1017"/>
        <v>0</v>
      </c>
      <c r="AF116" s="56">
        <f t="shared" si="1017"/>
        <v>0</v>
      </c>
      <c r="AG116" s="56">
        <f t="shared" si="1017"/>
        <v>0</v>
      </c>
      <c r="AH116" s="56">
        <f t="shared" si="1017"/>
        <v>0</v>
      </c>
      <c r="AI116" s="56">
        <f t="shared" si="1017"/>
        <v>0</v>
      </c>
      <c r="AJ116" s="56">
        <f t="shared" si="1017"/>
        <v>0</v>
      </c>
      <c r="AK116" s="56">
        <f t="shared" si="1017"/>
        <v>0</v>
      </c>
      <c r="AL116" s="56">
        <f t="shared" si="1017"/>
        <v>0</v>
      </c>
      <c r="AM116" s="56">
        <f t="shared" si="1017"/>
        <v>0</v>
      </c>
      <c r="AN116" s="56">
        <f t="shared" si="1017"/>
        <v>0</v>
      </c>
      <c r="AO116" s="56">
        <f t="shared" si="1017"/>
        <v>0</v>
      </c>
      <c r="AP116" s="56">
        <f t="shared" si="1017"/>
        <v>0</v>
      </c>
      <c r="AQ116" s="56">
        <f t="shared" si="1017"/>
        <v>0</v>
      </c>
      <c r="AR116" s="56">
        <f t="shared" si="1017"/>
        <v>0</v>
      </c>
      <c r="AS116" s="56">
        <f t="shared" si="1017"/>
        <v>0</v>
      </c>
      <c r="AT116" s="56">
        <f t="shared" si="1017"/>
        <v>0</v>
      </c>
      <c r="AU116" s="56">
        <f t="shared" si="1017"/>
        <v>0</v>
      </c>
      <c r="AV116" s="56">
        <f t="shared" si="1017"/>
        <v>0</v>
      </c>
      <c r="AW116" s="56">
        <f t="shared" si="1017"/>
        <v>0</v>
      </c>
      <c r="AX116" s="56">
        <f t="shared" si="1017"/>
        <v>0</v>
      </c>
      <c r="AY116" s="56">
        <f t="shared" si="1017"/>
        <v>0</v>
      </c>
      <c r="AZ116" s="56">
        <f t="shared" si="1017"/>
        <v>0</v>
      </c>
      <c r="BA116" s="56">
        <f t="shared" si="1017"/>
        <v>0</v>
      </c>
    </row>
    <row r="117" spans="2:53" x14ac:dyDescent="0.2">
      <c r="B117" s="57" t="s">
        <v>30</v>
      </c>
      <c r="C117" s="65" t="s">
        <v>75</v>
      </c>
      <c r="D117" s="44"/>
      <c r="E117" s="44"/>
      <c r="F117" s="44"/>
      <c r="G117" s="6"/>
      <c r="H117" s="6"/>
      <c r="I117" s="6"/>
      <c r="J117" s="6"/>
      <c r="K117" s="6"/>
      <c r="L117" s="44"/>
      <c r="M117" s="44"/>
      <c r="N117" s="44"/>
      <c r="O117" s="56"/>
      <c r="P117" s="56"/>
      <c r="Q117" s="56"/>
      <c r="R117" s="56"/>
      <c r="S117" s="56"/>
      <c r="T117" s="56"/>
      <c r="U117" s="56"/>
      <c r="V117" s="56">
        <v>0</v>
      </c>
      <c r="W117" s="56">
        <f t="shared" ref="W117:BA117" si="1018">+W116-W118</f>
        <v>0</v>
      </c>
      <c r="X117" s="56">
        <f t="shared" si="1018"/>
        <v>0</v>
      </c>
      <c r="Y117" s="56">
        <f t="shared" si="1018"/>
        <v>0</v>
      </c>
      <c r="Z117" s="56">
        <f t="shared" si="1018"/>
        <v>0</v>
      </c>
      <c r="AA117" s="56">
        <f t="shared" si="1018"/>
        <v>0</v>
      </c>
      <c r="AB117" s="56">
        <f t="shared" si="1018"/>
        <v>0</v>
      </c>
      <c r="AC117" s="56">
        <f t="shared" si="1018"/>
        <v>0</v>
      </c>
      <c r="AD117" s="56">
        <f t="shared" si="1018"/>
        <v>0</v>
      </c>
      <c r="AE117" s="56">
        <f t="shared" si="1018"/>
        <v>0</v>
      </c>
      <c r="AF117" s="56">
        <f t="shared" si="1018"/>
        <v>0</v>
      </c>
      <c r="AG117" s="56">
        <f t="shared" si="1018"/>
        <v>0</v>
      </c>
      <c r="AH117" s="56">
        <f t="shared" si="1018"/>
        <v>0</v>
      </c>
      <c r="AI117" s="56">
        <f t="shared" si="1018"/>
        <v>0</v>
      </c>
      <c r="AJ117" s="56">
        <f t="shared" si="1018"/>
        <v>0</v>
      </c>
      <c r="AK117" s="56">
        <f t="shared" si="1018"/>
        <v>0</v>
      </c>
      <c r="AL117" s="56">
        <f t="shared" si="1018"/>
        <v>0</v>
      </c>
      <c r="AM117" s="56">
        <f t="shared" si="1018"/>
        <v>0</v>
      </c>
      <c r="AN117" s="56">
        <f t="shared" si="1018"/>
        <v>0</v>
      </c>
      <c r="AO117" s="56">
        <f t="shared" si="1018"/>
        <v>0</v>
      </c>
      <c r="AP117" s="56">
        <f t="shared" si="1018"/>
        <v>0</v>
      </c>
      <c r="AQ117" s="56">
        <f t="shared" si="1018"/>
        <v>0</v>
      </c>
      <c r="AR117" s="56">
        <f t="shared" si="1018"/>
        <v>0</v>
      </c>
      <c r="AS117" s="56">
        <f t="shared" si="1018"/>
        <v>0</v>
      </c>
      <c r="AT117" s="56">
        <f t="shared" si="1018"/>
        <v>0</v>
      </c>
      <c r="AU117" s="56">
        <f t="shared" si="1018"/>
        <v>0</v>
      </c>
      <c r="AV117" s="56">
        <f t="shared" si="1018"/>
        <v>0</v>
      </c>
      <c r="AW117" s="56">
        <f t="shared" si="1018"/>
        <v>0</v>
      </c>
      <c r="AX117" s="56">
        <f t="shared" si="1018"/>
        <v>0</v>
      </c>
      <c r="AY117" s="56">
        <f t="shared" si="1018"/>
        <v>0</v>
      </c>
      <c r="AZ117" s="56">
        <f t="shared" si="1018"/>
        <v>0</v>
      </c>
      <c r="BA117" s="56">
        <f t="shared" si="1018"/>
        <v>0</v>
      </c>
    </row>
    <row r="118" spans="2:53" x14ac:dyDescent="0.2">
      <c r="B118" s="57" t="s">
        <v>3</v>
      </c>
      <c r="C118" s="65" t="s">
        <v>75</v>
      </c>
      <c r="D118" s="44"/>
      <c r="E118" s="44"/>
      <c r="F118" s="44"/>
      <c r="G118" s="6"/>
      <c r="H118" s="6"/>
      <c r="I118" s="6"/>
      <c r="J118" s="6"/>
      <c r="K118" s="6"/>
      <c r="L118" s="44"/>
      <c r="M118" s="44"/>
      <c r="N118" s="44"/>
      <c r="O118" s="56"/>
      <c r="P118" s="56"/>
      <c r="Q118" s="56"/>
      <c r="R118" s="56"/>
      <c r="S118" s="56"/>
      <c r="T118" s="56"/>
      <c r="U118" s="56"/>
      <c r="V118" s="56">
        <v>0</v>
      </c>
      <c r="W118" s="56">
        <f t="shared" ref="W118" si="1019">+$C$9*V115</f>
        <v>0</v>
      </c>
      <c r="X118" s="56">
        <f t="shared" ref="X118" si="1020">+$C$9*W115</f>
        <v>0</v>
      </c>
      <c r="Y118" s="56">
        <f t="shared" ref="Y118" si="1021">+$C$9*X115</f>
        <v>0</v>
      </c>
      <c r="Z118" s="56">
        <f t="shared" ref="Z118" si="1022">+$C$9*Y115</f>
        <v>0</v>
      </c>
      <c r="AA118" s="56">
        <f t="shared" ref="AA118" si="1023">+$C$9*Z115</f>
        <v>0</v>
      </c>
      <c r="AB118" s="56">
        <f t="shared" ref="AB118" si="1024">+$C$9*AA115</f>
        <v>0</v>
      </c>
      <c r="AC118" s="56">
        <f t="shared" ref="AC118" si="1025">+$C$9*AB115</f>
        <v>0</v>
      </c>
      <c r="AD118" s="56">
        <f t="shared" ref="AD118" si="1026">+$C$9*AC115</f>
        <v>0</v>
      </c>
      <c r="AE118" s="56">
        <f t="shared" ref="AE118" si="1027">+$C$9*AD115</f>
        <v>0</v>
      </c>
      <c r="AF118" s="56">
        <f t="shared" ref="AF118" si="1028">+$C$9*AE115</f>
        <v>0</v>
      </c>
      <c r="AG118" s="56">
        <f t="shared" ref="AG118" si="1029">+$C$9*AF115</f>
        <v>0</v>
      </c>
      <c r="AH118" s="56">
        <f t="shared" ref="AH118" si="1030">+$C$9*AG115</f>
        <v>0</v>
      </c>
      <c r="AI118" s="56">
        <f t="shared" ref="AI118" si="1031">+$C$9*AH115</f>
        <v>0</v>
      </c>
      <c r="AJ118" s="56">
        <f t="shared" ref="AJ118" si="1032">+$C$9*AI115</f>
        <v>0</v>
      </c>
      <c r="AK118" s="56">
        <f t="shared" ref="AK118" si="1033">+$C$9*AJ115</f>
        <v>0</v>
      </c>
      <c r="AL118" s="56">
        <f t="shared" ref="AL118" si="1034">+$C$9*AK115</f>
        <v>0</v>
      </c>
      <c r="AM118" s="56">
        <f t="shared" ref="AM118" si="1035">+$C$9*AL115</f>
        <v>0</v>
      </c>
      <c r="AN118" s="56">
        <f t="shared" ref="AN118" si="1036">+$C$9*AM115</f>
        <v>0</v>
      </c>
      <c r="AO118" s="56">
        <f t="shared" ref="AO118" si="1037">+$C$9*AN115</f>
        <v>0</v>
      </c>
      <c r="AP118" s="56">
        <f t="shared" ref="AP118" si="1038">+$C$9*AO115</f>
        <v>0</v>
      </c>
      <c r="AQ118" s="56">
        <f t="shared" ref="AQ118" si="1039">+$C$9*AP115</f>
        <v>0</v>
      </c>
      <c r="AR118" s="56">
        <f t="shared" ref="AR118" si="1040">+$C$9*AQ115</f>
        <v>0</v>
      </c>
      <c r="AS118" s="56">
        <f t="shared" ref="AS118" si="1041">+$C$9*AR115</f>
        <v>0</v>
      </c>
      <c r="AT118" s="56">
        <f t="shared" ref="AT118" si="1042">+$C$9*AS115</f>
        <v>0</v>
      </c>
      <c r="AU118" s="56">
        <f t="shared" ref="AU118" si="1043">+$C$9*AT115</f>
        <v>0</v>
      </c>
      <c r="AV118" s="56">
        <f t="shared" ref="AV118" si="1044">+$C$9*AU115</f>
        <v>0</v>
      </c>
      <c r="AW118" s="56">
        <f t="shared" ref="AW118" si="1045">+$C$9*AV115</f>
        <v>0</v>
      </c>
      <c r="AX118" s="56">
        <f t="shared" ref="AX118" si="1046">+$C$9*AW115</f>
        <v>0</v>
      </c>
      <c r="AY118" s="56">
        <f t="shared" ref="AY118" si="1047">+$C$9*AX115</f>
        <v>0</v>
      </c>
      <c r="AZ118" s="56">
        <f t="shared" ref="AZ118" si="1048">+$C$9*AY115</f>
        <v>0</v>
      </c>
      <c r="BA118" s="56">
        <f t="shared" ref="BA118" si="1049">+$C$9*AZ115</f>
        <v>0</v>
      </c>
    </row>
    <row r="119" spans="2:53" x14ac:dyDescent="0.2">
      <c r="B119" s="57"/>
      <c r="D119" s="44"/>
      <c r="E119" s="44"/>
      <c r="F119" s="44"/>
      <c r="G119" s="44"/>
      <c r="H119" s="44"/>
      <c r="I119" s="44"/>
      <c r="J119" s="6"/>
      <c r="K119" s="6"/>
      <c r="L119" s="44"/>
      <c r="M119" s="44"/>
      <c r="N119" s="44"/>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2:53" x14ac:dyDescent="0.2">
      <c r="B120" s="46" t="s">
        <v>64</v>
      </c>
      <c r="C120" s="65" t="s">
        <v>75</v>
      </c>
      <c r="D120" s="44"/>
      <c r="E120" s="44"/>
      <c r="F120" s="44"/>
      <c r="G120" s="6"/>
      <c r="H120" s="6"/>
      <c r="I120" s="6"/>
      <c r="J120" s="6"/>
      <c r="K120" s="6"/>
      <c r="L120" s="6"/>
      <c r="M120" s="44"/>
      <c r="N120" s="44"/>
      <c r="O120" s="56"/>
      <c r="P120" s="56"/>
      <c r="Q120" s="56"/>
      <c r="R120" s="56"/>
      <c r="S120" s="56"/>
      <c r="T120" s="56"/>
      <c r="U120" s="56"/>
      <c r="V120" s="56"/>
      <c r="W120" s="56">
        <f>W18</f>
        <v>0</v>
      </c>
      <c r="X120" s="56">
        <f t="shared" ref="X120" si="1050">+W120-X122</f>
        <v>0</v>
      </c>
      <c r="Y120" s="56">
        <f t="shared" ref="Y120" si="1051">+X120-Y122</f>
        <v>0</v>
      </c>
      <c r="Z120" s="56">
        <f t="shared" ref="Z120" si="1052">+Y120-Z122</f>
        <v>0</v>
      </c>
      <c r="AA120" s="56">
        <f t="shared" ref="AA120" si="1053">+Z120-AA122</f>
        <v>0</v>
      </c>
      <c r="AB120" s="56">
        <f t="shared" ref="AB120" si="1054">+AA120-AB122</f>
        <v>0</v>
      </c>
      <c r="AC120" s="56">
        <f t="shared" ref="AC120" si="1055">+AB120-AC122</f>
        <v>0</v>
      </c>
      <c r="AD120" s="56">
        <f t="shared" ref="AD120" si="1056">+AC120-AD122</f>
        <v>0</v>
      </c>
      <c r="AE120" s="56">
        <f t="shared" ref="AE120" si="1057">+AD120-AE122</f>
        <v>0</v>
      </c>
      <c r="AF120" s="56">
        <f t="shared" ref="AF120" si="1058">+AE120-AF122</f>
        <v>0</v>
      </c>
      <c r="AG120" s="56">
        <f t="shared" ref="AG120" si="1059">+AF120-AG122</f>
        <v>0</v>
      </c>
      <c r="AH120" s="56">
        <f t="shared" ref="AH120" si="1060">+AG120-AH122</f>
        <v>0</v>
      </c>
      <c r="AI120" s="56">
        <f t="shared" ref="AI120" si="1061">+AH120-AI122</f>
        <v>0</v>
      </c>
      <c r="AJ120" s="56">
        <f t="shared" ref="AJ120" si="1062">+AI120-AJ122</f>
        <v>0</v>
      </c>
      <c r="AK120" s="56">
        <f t="shared" ref="AK120" si="1063">+AJ120-AK122</f>
        <v>0</v>
      </c>
      <c r="AL120" s="56">
        <f t="shared" ref="AL120" si="1064">+AK120-AL122</f>
        <v>0</v>
      </c>
      <c r="AM120" s="56">
        <f t="shared" ref="AM120" si="1065">+AL120-AM122</f>
        <v>0</v>
      </c>
      <c r="AN120" s="56">
        <f t="shared" ref="AN120" si="1066">+AM120-AN122</f>
        <v>0</v>
      </c>
      <c r="AO120" s="56">
        <f t="shared" ref="AO120" si="1067">+AN120-AO122</f>
        <v>0</v>
      </c>
      <c r="AP120" s="56">
        <f t="shared" ref="AP120" si="1068">+AO120-AP122</f>
        <v>0</v>
      </c>
      <c r="AQ120" s="56">
        <f t="shared" ref="AQ120" si="1069">+AP120-AQ122</f>
        <v>0</v>
      </c>
      <c r="AR120" s="56">
        <f t="shared" ref="AR120" si="1070">+AQ120-AR122</f>
        <v>0</v>
      </c>
      <c r="AS120" s="56">
        <f t="shared" ref="AS120" si="1071">+AR120-AS122</f>
        <v>0</v>
      </c>
      <c r="AT120" s="56">
        <f t="shared" ref="AT120" si="1072">+AS120-AT122</f>
        <v>0</v>
      </c>
      <c r="AU120" s="56">
        <f t="shared" ref="AU120" si="1073">+AT120-AU122</f>
        <v>0</v>
      </c>
      <c r="AV120" s="56">
        <f t="shared" ref="AV120" si="1074">+AU120-AV122</f>
        <v>0</v>
      </c>
      <c r="AW120" s="56">
        <f t="shared" ref="AW120" si="1075">+AV120-AW122</f>
        <v>0</v>
      </c>
      <c r="AX120" s="56">
        <f t="shared" ref="AX120" si="1076">+AW120-AX122</f>
        <v>0</v>
      </c>
      <c r="AY120" s="56">
        <f t="shared" ref="AY120" si="1077">+AX120-AY122</f>
        <v>0</v>
      </c>
      <c r="AZ120" s="56">
        <f t="shared" ref="AZ120" si="1078">+AY120-AZ122</f>
        <v>0</v>
      </c>
      <c r="BA120" s="56">
        <f t="shared" ref="BA120" si="1079">+AZ120-BA122</f>
        <v>0</v>
      </c>
    </row>
    <row r="121" spans="2:53" x14ac:dyDescent="0.2">
      <c r="B121" s="57" t="s">
        <v>29</v>
      </c>
      <c r="C121" s="64">
        <f>+W120/((1-(1/(1+$C$9)^$C$8))/$C$9)</f>
        <v>0</v>
      </c>
      <c r="D121" s="44"/>
      <c r="E121" s="44"/>
      <c r="F121" s="44"/>
      <c r="G121" s="6"/>
      <c r="H121" s="6"/>
      <c r="I121" s="6"/>
      <c r="J121" s="6"/>
      <c r="K121" s="6"/>
      <c r="L121" s="6"/>
      <c r="M121" s="44"/>
      <c r="N121" s="44"/>
      <c r="O121" s="56"/>
      <c r="P121" s="56"/>
      <c r="Q121" s="56"/>
      <c r="R121" s="56"/>
      <c r="S121" s="56"/>
      <c r="T121" s="56"/>
      <c r="U121" s="56"/>
      <c r="V121" s="56"/>
      <c r="W121" s="56">
        <v>0</v>
      </c>
      <c r="X121" s="56">
        <f>+IF(W120&lt;0.01,0,$C$121)</f>
        <v>0</v>
      </c>
      <c r="Y121" s="56">
        <f t="shared" ref="Y121:BA121" si="1080">+IF(X120&lt;0.01,0,$C$121)</f>
        <v>0</v>
      </c>
      <c r="Z121" s="56">
        <f t="shared" si="1080"/>
        <v>0</v>
      </c>
      <c r="AA121" s="56">
        <f t="shared" si="1080"/>
        <v>0</v>
      </c>
      <c r="AB121" s="56">
        <f t="shared" si="1080"/>
        <v>0</v>
      </c>
      <c r="AC121" s="56">
        <f t="shared" si="1080"/>
        <v>0</v>
      </c>
      <c r="AD121" s="56">
        <f t="shared" si="1080"/>
        <v>0</v>
      </c>
      <c r="AE121" s="56">
        <f t="shared" si="1080"/>
        <v>0</v>
      </c>
      <c r="AF121" s="56">
        <f t="shared" si="1080"/>
        <v>0</v>
      </c>
      <c r="AG121" s="56">
        <f t="shared" si="1080"/>
        <v>0</v>
      </c>
      <c r="AH121" s="56">
        <f t="shared" si="1080"/>
        <v>0</v>
      </c>
      <c r="AI121" s="56">
        <f t="shared" si="1080"/>
        <v>0</v>
      </c>
      <c r="AJ121" s="56">
        <f t="shared" si="1080"/>
        <v>0</v>
      </c>
      <c r="AK121" s="56">
        <f t="shared" si="1080"/>
        <v>0</v>
      </c>
      <c r="AL121" s="56">
        <f t="shared" si="1080"/>
        <v>0</v>
      </c>
      <c r="AM121" s="56">
        <f t="shared" si="1080"/>
        <v>0</v>
      </c>
      <c r="AN121" s="56">
        <f t="shared" si="1080"/>
        <v>0</v>
      </c>
      <c r="AO121" s="56">
        <f t="shared" si="1080"/>
        <v>0</v>
      </c>
      <c r="AP121" s="56">
        <f t="shared" si="1080"/>
        <v>0</v>
      </c>
      <c r="AQ121" s="56">
        <f t="shared" si="1080"/>
        <v>0</v>
      </c>
      <c r="AR121" s="56">
        <f t="shared" si="1080"/>
        <v>0</v>
      </c>
      <c r="AS121" s="56">
        <f t="shared" si="1080"/>
        <v>0</v>
      </c>
      <c r="AT121" s="56">
        <f t="shared" si="1080"/>
        <v>0</v>
      </c>
      <c r="AU121" s="56">
        <f t="shared" si="1080"/>
        <v>0</v>
      </c>
      <c r="AV121" s="56">
        <f t="shared" si="1080"/>
        <v>0</v>
      </c>
      <c r="AW121" s="56">
        <f t="shared" si="1080"/>
        <v>0</v>
      </c>
      <c r="AX121" s="56">
        <f t="shared" si="1080"/>
        <v>0</v>
      </c>
      <c r="AY121" s="56">
        <f t="shared" si="1080"/>
        <v>0</v>
      </c>
      <c r="AZ121" s="56">
        <f t="shared" si="1080"/>
        <v>0</v>
      </c>
      <c r="BA121" s="56">
        <f t="shared" si="1080"/>
        <v>0</v>
      </c>
    </row>
    <row r="122" spans="2:53" x14ac:dyDescent="0.2">
      <c r="B122" s="57" t="s">
        <v>30</v>
      </c>
      <c r="C122" s="65" t="s">
        <v>75</v>
      </c>
      <c r="D122" s="44"/>
      <c r="E122" s="44"/>
      <c r="F122" s="44"/>
      <c r="G122" s="6"/>
      <c r="H122" s="6"/>
      <c r="I122" s="6"/>
      <c r="J122" s="6"/>
      <c r="K122" s="6"/>
      <c r="L122" s="6"/>
      <c r="M122" s="44"/>
      <c r="N122" s="44"/>
      <c r="O122" s="56"/>
      <c r="P122" s="56"/>
      <c r="Q122" s="56"/>
      <c r="R122" s="56"/>
      <c r="S122" s="56"/>
      <c r="T122" s="56"/>
      <c r="U122" s="56"/>
      <c r="V122" s="56"/>
      <c r="W122" s="56">
        <v>0</v>
      </c>
      <c r="X122" s="56">
        <f t="shared" ref="X122:BA122" si="1081">+X121-X123</f>
        <v>0</v>
      </c>
      <c r="Y122" s="56">
        <f t="shared" si="1081"/>
        <v>0</v>
      </c>
      <c r="Z122" s="56">
        <f t="shared" si="1081"/>
        <v>0</v>
      </c>
      <c r="AA122" s="56">
        <f t="shared" si="1081"/>
        <v>0</v>
      </c>
      <c r="AB122" s="56">
        <f t="shared" si="1081"/>
        <v>0</v>
      </c>
      <c r="AC122" s="56">
        <f t="shared" si="1081"/>
        <v>0</v>
      </c>
      <c r="AD122" s="56">
        <f t="shared" si="1081"/>
        <v>0</v>
      </c>
      <c r="AE122" s="56">
        <f t="shared" si="1081"/>
        <v>0</v>
      </c>
      <c r="AF122" s="56">
        <f t="shared" si="1081"/>
        <v>0</v>
      </c>
      <c r="AG122" s="56">
        <f t="shared" si="1081"/>
        <v>0</v>
      </c>
      <c r="AH122" s="56">
        <f t="shared" si="1081"/>
        <v>0</v>
      </c>
      <c r="AI122" s="56">
        <f t="shared" si="1081"/>
        <v>0</v>
      </c>
      <c r="AJ122" s="56">
        <f t="shared" si="1081"/>
        <v>0</v>
      </c>
      <c r="AK122" s="56">
        <f t="shared" si="1081"/>
        <v>0</v>
      </c>
      <c r="AL122" s="56">
        <f t="shared" si="1081"/>
        <v>0</v>
      </c>
      <c r="AM122" s="56">
        <f t="shared" si="1081"/>
        <v>0</v>
      </c>
      <c r="AN122" s="56">
        <f t="shared" si="1081"/>
        <v>0</v>
      </c>
      <c r="AO122" s="56">
        <f t="shared" si="1081"/>
        <v>0</v>
      </c>
      <c r="AP122" s="56">
        <f t="shared" si="1081"/>
        <v>0</v>
      </c>
      <c r="AQ122" s="56">
        <f t="shared" si="1081"/>
        <v>0</v>
      </c>
      <c r="AR122" s="56">
        <f t="shared" si="1081"/>
        <v>0</v>
      </c>
      <c r="AS122" s="56">
        <f t="shared" si="1081"/>
        <v>0</v>
      </c>
      <c r="AT122" s="56">
        <f t="shared" si="1081"/>
        <v>0</v>
      </c>
      <c r="AU122" s="56">
        <f t="shared" si="1081"/>
        <v>0</v>
      </c>
      <c r="AV122" s="56">
        <f t="shared" si="1081"/>
        <v>0</v>
      </c>
      <c r="AW122" s="56">
        <f t="shared" si="1081"/>
        <v>0</v>
      </c>
      <c r="AX122" s="56">
        <f t="shared" si="1081"/>
        <v>0</v>
      </c>
      <c r="AY122" s="56">
        <f t="shared" si="1081"/>
        <v>0</v>
      </c>
      <c r="AZ122" s="56">
        <f t="shared" si="1081"/>
        <v>0</v>
      </c>
      <c r="BA122" s="56">
        <f t="shared" si="1081"/>
        <v>0</v>
      </c>
    </row>
    <row r="123" spans="2:53" x14ac:dyDescent="0.2">
      <c r="B123" s="57" t="s">
        <v>3</v>
      </c>
      <c r="C123" s="65" t="s">
        <v>75</v>
      </c>
      <c r="D123" s="44"/>
      <c r="E123" s="44"/>
      <c r="F123" s="44"/>
      <c r="G123" s="6"/>
      <c r="H123" s="6"/>
      <c r="I123" s="6"/>
      <c r="J123" s="6"/>
      <c r="K123" s="6"/>
      <c r="L123" s="6"/>
      <c r="M123" s="44"/>
      <c r="N123" s="44"/>
      <c r="O123" s="56"/>
      <c r="P123" s="56"/>
      <c r="Q123" s="56"/>
      <c r="R123" s="56"/>
      <c r="S123" s="56"/>
      <c r="T123" s="56"/>
      <c r="U123" s="56"/>
      <c r="V123" s="56"/>
      <c r="W123" s="56">
        <v>0</v>
      </c>
      <c r="X123" s="56">
        <f t="shared" ref="X123" si="1082">+$C$9*W120</f>
        <v>0</v>
      </c>
      <c r="Y123" s="56">
        <f t="shared" ref="Y123" si="1083">+$C$9*X120</f>
        <v>0</v>
      </c>
      <c r="Z123" s="56">
        <f t="shared" ref="Z123" si="1084">+$C$9*Y120</f>
        <v>0</v>
      </c>
      <c r="AA123" s="56">
        <f t="shared" ref="AA123" si="1085">+$C$9*Z120</f>
        <v>0</v>
      </c>
      <c r="AB123" s="56">
        <f t="shared" ref="AB123" si="1086">+$C$9*AA120</f>
        <v>0</v>
      </c>
      <c r="AC123" s="56">
        <f t="shared" ref="AC123" si="1087">+$C$9*AB120</f>
        <v>0</v>
      </c>
      <c r="AD123" s="56">
        <f t="shared" ref="AD123" si="1088">+$C$9*AC120</f>
        <v>0</v>
      </c>
      <c r="AE123" s="56">
        <f t="shared" ref="AE123" si="1089">+$C$9*AD120</f>
        <v>0</v>
      </c>
      <c r="AF123" s="56">
        <f t="shared" ref="AF123" si="1090">+$C$9*AE120</f>
        <v>0</v>
      </c>
      <c r="AG123" s="56">
        <f t="shared" ref="AG123" si="1091">+$C$9*AF120</f>
        <v>0</v>
      </c>
      <c r="AH123" s="56">
        <f t="shared" ref="AH123" si="1092">+$C$9*AG120</f>
        <v>0</v>
      </c>
      <c r="AI123" s="56">
        <f t="shared" ref="AI123" si="1093">+$C$9*AH120</f>
        <v>0</v>
      </c>
      <c r="AJ123" s="56">
        <f t="shared" ref="AJ123" si="1094">+$C$9*AI120</f>
        <v>0</v>
      </c>
      <c r="AK123" s="56">
        <f t="shared" ref="AK123" si="1095">+$C$9*AJ120</f>
        <v>0</v>
      </c>
      <c r="AL123" s="56">
        <f t="shared" ref="AL123" si="1096">+$C$9*AK120</f>
        <v>0</v>
      </c>
      <c r="AM123" s="56">
        <f t="shared" ref="AM123" si="1097">+$C$9*AL120</f>
        <v>0</v>
      </c>
      <c r="AN123" s="56">
        <f t="shared" ref="AN123" si="1098">+$C$9*AM120</f>
        <v>0</v>
      </c>
      <c r="AO123" s="56">
        <f t="shared" ref="AO123" si="1099">+$C$9*AN120</f>
        <v>0</v>
      </c>
      <c r="AP123" s="56">
        <f t="shared" ref="AP123" si="1100">+$C$9*AO120</f>
        <v>0</v>
      </c>
      <c r="AQ123" s="56">
        <f t="shared" ref="AQ123" si="1101">+$C$9*AP120</f>
        <v>0</v>
      </c>
      <c r="AR123" s="56">
        <f t="shared" ref="AR123" si="1102">+$C$9*AQ120</f>
        <v>0</v>
      </c>
      <c r="AS123" s="56">
        <f t="shared" ref="AS123" si="1103">+$C$9*AR120</f>
        <v>0</v>
      </c>
      <c r="AT123" s="56">
        <f t="shared" ref="AT123" si="1104">+$C$9*AS120</f>
        <v>0</v>
      </c>
      <c r="AU123" s="56">
        <f t="shared" ref="AU123" si="1105">+$C$9*AT120</f>
        <v>0</v>
      </c>
      <c r="AV123" s="56">
        <f t="shared" ref="AV123" si="1106">+$C$9*AU120</f>
        <v>0</v>
      </c>
      <c r="AW123" s="56">
        <f t="shared" ref="AW123" si="1107">+$C$9*AV120</f>
        <v>0</v>
      </c>
      <c r="AX123" s="56">
        <f t="shared" ref="AX123" si="1108">+$C$9*AW120</f>
        <v>0</v>
      </c>
      <c r="AY123" s="56">
        <f t="shared" ref="AY123" si="1109">+$C$9*AX120</f>
        <v>0</v>
      </c>
      <c r="AZ123" s="56">
        <f t="shared" ref="AZ123" si="1110">+$C$9*AY120</f>
        <v>0</v>
      </c>
      <c r="BA123" s="56">
        <f t="shared" ref="BA123" si="1111">+$C$9*AZ120</f>
        <v>0</v>
      </c>
    </row>
    <row r="124" spans="2:53" x14ac:dyDescent="0.2">
      <c r="B124" s="57"/>
      <c r="C124" s="65"/>
      <c r="D124" s="44"/>
      <c r="E124" s="44"/>
      <c r="F124" s="44"/>
      <c r="G124" s="6"/>
      <c r="H124" s="6"/>
      <c r="I124" s="6"/>
      <c r="J124" s="6"/>
      <c r="K124" s="6"/>
      <c r="L124" s="6"/>
      <c r="M124" s="44"/>
      <c r="N124" s="44"/>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2:53" x14ac:dyDescent="0.2">
      <c r="B125" s="46" t="s">
        <v>65</v>
      </c>
      <c r="C125" s="65" t="s">
        <v>75</v>
      </c>
      <c r="D125" s="44"/>
      <c r="E125" s="44"/>
      <c r="F125" s="44"/>
      <c r="G125" s="44"/>
      <c r="H125" s="44"/>
      <c r="I125" s="44"/>
      <c r="J125" s="44"/>
      <c r="K125" s="44"/>
      <c r="L125" s="44"/>
      <c r="M125" s="44"/>
      <c r="N125" s="44"/>
      <c r="O125" s="56"/>
      <c r="P125" s="56"/>
      <c r="Q125" s="56"/>
      <c r="R125" s="56"/>
      <c r="S125" s="56"/>
      <c r="T125" s="56"/>
      <c r="U125" s="56"/>
      <c r="V125" s="56"/>
      <c r="W125" s="56"/>
      <c r="X125" s="56">
        <f>X18</f>
        <v>0</v>
      </c>
      <c r="Y125" s="56">
        <f t="shared" ref="Y125" si="1112">+X125-Y127</f>
        <v>0</v>
      </c>
      <c r="Z125" s="56">
        <f t="shared" ref="Z125" si="1113">+Y125-Z127</f>
        <v>0</v>
      </c>
      <c r="AA125" s="56">
        <f t="shared" ref="AA125" si="1114">+Z125-AA127</f>
        <v>0</v>
      </c>
      <c r="AB125" s="56">
        <f t="shared" ref="AB125" si="1115">+AA125-AB127</f>
        <v>0</v>
      </c>
      <c r="AC125" s="56">
        <f t="shared" ref="AC125" si="1116">+AB125-AC127</f>
        <v>0</v>
      </c>
      <c r="AD125" s="56">
        <f t="shared" ref="AD125" si="1117">+AC125-AD127</f>
        <v>0</v>
      </c>
      <c r="AE125" s="56">
        <f t="shared" ref="AE125" si="1118">+AD125-AE127</f>
        <v>0</v>
      </c>
      <c r="AF125" s="56">
        <f t="shared" ref="AF125" si="1119">+AE125-AF127</f>
        <v>0</v>
      </c>
      <c r="AG125" s="56">
        <f t="shared" ref="AG125" si="1120">+AF125-AG127</f>
        <v>0</v>
      </c>
      <c r="AH125" s="56">
        <f t="shared" ref="AH125" si="1121">+AG125-AH127</f>
        <v>0</v>
      </c>
      <c r="AI125" s="56">
        <f t="shared" ref="AI125" si="1122">+AH125-AI127</f>
        <v>0</v>
      </c>
      <c r="AJ125" s="56">
        <f t="shared" ref="AJ125" si="1123">+AI125-AJ127</f>
        <v>0</v>
      </c>
      <c r="AK125" s="56">
        <f t="shared" ref="AK125" si="1124">+AJ125-AK127</f>
        <v>0</v>
      </c>
      <c r="AL125" s="56">
        <f t="shared" ref="AL125" si="1125">+AK125-AL127</f>
        <v>0</v>
      </c>
      <c r="AM125" s="56">
        <f t="shared" ref="AM125" si="1126">+AL125-AM127</f>
        <v>0</v>
      </c>
      <c r="AN125" s="56">
        <f t="shared" ref="AN125" si="1127">+AM125-AN127</f>
        <v>0</v>
      </c>
      <c r="AO125" s="56">
        <f t="shared" ref="AO125" si="1128">+AN125-AO127</f>
        <v>0</v>
      </c>
      <c r="AP125" s="56">
        <f t="shared" ref="AP125" si="1129">+AO125-AP127</f>
        <v>0</v>
      </c>
      <c r="AQ125" s="56">
        <f t="shared" ref="AQ125" si="1130">+AP125-AQ127</f>
        <v>0</v>
      </c>
      <c r="AR125" s="56">
        <f t="shared" ref="AR125" si="1131">+AQ125-AR127</f>
        <v>0</v>
      </c>
      <c r="AS125" s="56">
        <f t="shared" ref="AS125" si="1132">+AR125-AS127</f>
        <v>0</v>
      </c>
      <c r="AT125" s="56">
        <f t="shared" ref="AT125" si="1133">+AS125-AT127</f>
        <v>0</v>
      </c>
      <c r="AU125" s="56">
        <f t="shared" ref="AU125" si="1134">+AT125-AU127</f>
        <v>0</v>
      </c>
      <c r="AV125" s="56">
        <f t="shared" ref="AV125" si="1135">+AU125-AV127</f>
        <v>0</v>
      </c>
      <c r="AW125" s="56">
        <f t="shared" ref="AW125" si="1136">+AV125-AW127</f>
        <v>0</v>
      </c>
      <c r="AX125" s="56">
        <f t="shared" ref="AX125" si="1137">+AW125-AX127</f>
        <v>0</v>
      </c>
      <c r="AY125" s="56">
        <f t="shared" ref="AY125" si="1138">+AX125-AY127</f>
        <v>0</v>
      </c>
      <c r="AZ125" s="56">
        <f t="shared" ref="AZ125" si="1139">+AY125-AZ127</f>
        <v>0</v>
      </c>
      <c r="BA125" s="56">
        <f t="shared" ref="BA125" si="1140">+AZ125-BA127</f>
        <v>0</v>
      </c>
    </row>
    <row r="126" spans="2:53" x14ac:dyDescent="0.2">
      <c r="B126" s="57" t="s">
        <v>29</v>
      </c>
      <c r="C126" s="64">
        <f>+X125/((1-(1/(1+$C$9)^$C$8))/$C$9)</f>
        <v>0</v>
      </c>
      <c r="D126" s="44"/>
      <c r="E126" s="44"/>
      <c r="F126" s="44"/>
      <c r="G126" s="44"/>
      <c r="H126" s="44"/>
      <c r="I126" s="44"/>
      <c r="J126" s="44"/>
      <c r="K126" s="44"/>
      <c r="L126" s="44"/>
      <c r="M126" s="44"/>
      <c r="N126" s="44"/>
      <c r="O126" s="56"/>
      <c r="P126" s="56"/>
      <c r="Q126" s="56"/>
      <c r="R126" s="56"/>
      <c r="S126" s="56"/>
      <c r="T126" s="56"/>
      <c r="U126" s="56"/>
      <c r="V126" s="56"/>
      <c r="W126" s="56"/>
      <c r="X126" s="56">
        <v>0</v>
      </c>
      <c r="Y126" s="56">
        <f>+IF(X125&lt;0.01,0,$C$126)</f>
        <v>0</v>
      </c>
      <c r="Z126" s="56">
        <f t="shared" ref="Z126:BA126" si="1141">+IF(Y125&lt;0.01,0,$C$126)</f>
        <v>0</v>
      </c>
      <c r="AA126" s="56">
        <f t="shared" si="1141"/>
        <v>0</v>
      </c>
      <c r="AB126" s="56">
        <f t="shared" si="1141"/>
        <v>0</v>
      </c>
      <c r="AC126" s="56">
        <f t="shared" si="1141"/>
        <v>0</v>
      </c>
      <c r="AD126" s="56">
        <f t="shared" si="1141"/>
        <v>0</v>
      </c>
      <c r="AE126" s="56">
        <f t="shared" si="1141"/>
        <v>0</v>
      </c>
      <c r="AF126" s="56">
        <f t="shared" si="1141"/>
        <v>0</v>
      </c>
      <c r="AG126" s="56">
        <f t="shared" si="1141"/>
        <v>0</v>
      </c>
      <c r="AH126" s="56">
        <f t="shared" si="1141"/>
        <v>0</v>
      </c>
      <c r="AI126" s="56">
        <f t="shared" si="1141"/>
        <v>0</v>
      </c>
      <c r="AJ126" s="56">
        <f t="shared" si="1141"/>
        <v>0</v>
      </c>
      <c r="AK126" s="56">
        <f t="shared" si="1141"/>
        <v>0</v>
      </c>
      <c r="AL126" s="56">
        <f t="shared" si="1141"/>
        <v>0</v>
      </c>
      <c r="AM126" s="56">
        <f t="shared" si="1141"/>
        <v>0</v>
      </c>
      <c r="AN126" s="56">
        <f t="shared" si="1141"/>
        <v>0</v>
      </c>
      <c r="AO126" s="56">
        <f t="shared" si="1141"/>
        <v>0</v>
      </c>
      <c r="AP126" s="56">
        <f t="shared" si="1141"/>
        <v>0</v>
      </c>
      <c r="AQ126" s="56">
        <f t="shared" si="1141"/>
        <v>0</v>
      </c>
      <c r="AR126" s="56">
        <f t="shared" si="1141"/>
        <v>0</v>
      </c>
      <c r="AS126" s="56">
        <f t="shared" si="1141"/>
        <v>0</v>
      </c>
      <c r="AT126" s="56">
        <f t="shared" si="1141"/>
        <v>0</v>
      </c>
      <c r="AU126" s="56">
        <f t="shared" si="1141"/>
        <v>0</v>
      </c>
      <c r="AV126" s="56">
        <f t="shared" si="1141"/>
        <v>0</v>
      </c>
      <c r="AW126" s="56">
        <f t="shared" si="1141"/>
        <v>0</v>
      </c>
      <c r="AX126" s="56">
        <f t="shared" si="1141"/>
        <v>0</v>
      </c>
      <c r="AY126" s="56">
        <f t="shared" si="1141"/>
        <v>0</v>
      </c>
      <c r="AZ126" s="56">
        <f t="shared" si="1141"/>
        <v>0</v>
      </c>
      <c r="BA126" s="56">
        <f t="shared" si="1141"/>
        <v>0</v>
      </c>
    </row>
    <row r="127" spans="2:53" x14ac:dyDescent="0.2">
      <c r="B127" s="57" t="s">
        <v>30</v>
      </c>
      <c r="C127" s="65" t="s">
        <v>75</v>
      </c>
      <c r="D127" s="44"/>
      <c r="E127" s="44"/>
      <c r="F127" s="44"/>
      <c r="G127" s="44"/>
      <c r="H127" s="44"/>
      <c r="I127" s="44"/>
      <c r="J127" s="44"/>
      <c r="K127" s="44"/>
      <c r="L127" s="44"/>
      <c r="M127" s="44"/>
      <c r="N127" s="44"/>
      <c r="O127" s="56"/>
      <c r="P127" s="56"/>
      <c r="Q127" s="56"/>
      <c r="R127" s="56"/>
      <c r="S127" s="56"/>
      <c r="T127" s="56"/>
      <c r="U127" s="56"/>
      <c r="V127" s="56"/>
      <c r="W127" s="56"/>
      <c r="X127" s="56">
        <v>0</v>
      </c>
      <c r="Y127" s="56">
        <f t="shared" ref="Y127:BA127" si="1142">+Y126-Y128</f>
        <v>0</v>
      </c>
      <c r="Z127" s="56">
        <f t="shared" si="1142"/>
        <v>0</v>
      </c>
      <c r="AA127" s="56">
        <f t="shared" si="1142"/>
        <v>0</v>
      </c>
      <c r="AB127" s="56">
        <f t="shared" si="1142"/>
        <v>0</v>
      </c>
      <c r="AC127" s="56">
        <f t="shared" si="1142"/>
        <v>0</v>
      </c>
      <c r="AD127" s="56">
        <f t="shared" si="1142"/>
        <v>0</v>
      </c>
      <c r="AE127" s="56">
        <f t="shared" si="1142"/>
        <v>0</v>
      </c>
      <c r="AF127" s="56">
        <f t="shared" si="1142"/>
        <v>0</v>
      </c>
      <c r="AG127" s="56">
        <f t="shared" si="1142"/>
        <v>0</v>
      </c>
      <c r="AH127" s="56">
        <f t="shared" si="1142"/>
        <v>0</v>
      </c>
      <c r="AI127" s="56">
        <f t="shared" si="1142"/>
        <v>0</v>
      </c>
      <c r="AJ127" s="56">
        <f t="shared" si="1142"/>
        <v>0</v>
      </c>
      <c r="AK127" s="56">
        <f t="shared" si="1142"/>
        <v>0</v>
      </c>
      <c r="AL127" s="56">
        <f t="shared" si="1142"/>
        <v>0</v>
      </c>
      <c r="AM127" s="56">
        <f t="shared" si="1142"/>
        <v>0</v>
      </c>
      <c r="AN127" s="56">
        <f t="shared" si="1142"/>
        <v>0</v>
      </c>
      <c r="AO127" s="56">
        <f t="shared" si="1142"/>
        <v>0</v>
      </c>
      <c r="AP127" s="56">
        <f t="shared" si="1142"/>
        <v>0</v>
      </c>
      <c r="AQ127" s="56">
        <f t="shared" si="1142"/>
        <v>0</v>
      </c>
      <c r="AR127" s="56">
        <f t="shared" si="1142"/>
        <v>0</v>
      </c>
      <c r="AS127" s="56">
        <f t="shared" si="1142"/>
        <v>0</v>
      </c>
      <c r="AT127" s="56">
        <f t="shared" si="1142"/>
        <v>0</v>
      </c>
      <c r="AU127" s="56">
        <f t="shared" si="1142"/>
        <v>0</v>
      </c>
      <c r="AV127" s="56">
        <f t="shared" si="1142"/>
        <v>0</v>
      </c>
      <c r="AW127" s="56">
        <f t="shared" si="1142"/>
        <v>0</v>
      </c>
      <c r="AX127" s="56">
        <f t="shared" si="1142"/>
        <v>0</v>
      </c>
      <c r="AY127" s="56">
        <f t="shared" si="1142"/>
        <v>0</v>
      </c>
      <c r="AZ127" s="56">
        <f t="shared" si="1142"/>
        <v>0</v>
      </c>
      <c r="BA127" s="56">
        <f t="shared" si="1142"/>
        <v>0</v>
      </c>
    </row>
    <row r="128" spans="2:53" x14ac:dyDescent="0.2">
      <c r="B128" s="57" t="s">
        <v>3</v>
      </c>
      <c r="C128" s="65" t="s">
        <v>75</v>
      </c>
      <c r="D128" s="44"/>
      <c r="E128" s="44"/>
      <c r="F128" s="44"/>
      <c r="G128" s="44"/>
      <c r="H128" s="44"/>
      <c r="I128" s="44"/>
      <c r="J128" s="44"/>
      <c r="K128" s="44"/>
      <c r="L128" s="44"/>
      <c r="M128" s="44"/>
      <c r="N128" s="44"/>
      <c r="O128" s="56"/>
      <c r="P128" s="56"/>
      <c r="Q128" s="56"/>
      <c r="R128" s="56"/>
      <c r="S128" s="56"/>
      <c r="T128" s="56"/>
      <c r="U128" s="56"/>
      <c r="V128" s="56"/>
      <c r="W128" s="56"/>
      <c r="X128" s="56">
        <v>0</v>
      </c>
      <c r="Y128" s="56">
        <f t="shared" ref="Y128" si="1143">+$C$9*X125</f>
        <v>0</v>
      </c>
      <c r="Z128" s="56">
        <f t="shared" ref="Z128" si="1144">+$C$9*Y125</f>
        <v>0</v>
      </c>
      <c r="AA128" s="56">
        <f t="shared" ref="AA128" si="1145">+$C$9*Z125</f>
        <v>0</v>
      </c>
      <c r="AB128" s="56">
        <f t="shared" ref="AB128" si="1146">+$C$9*AA125</f>
        <v>0</v>
      </c>
      <c r="AC128" s="56">
        <f t="shared" ref="AC128" si="1147">+$C$9*AB125</f>
        <v>0</v>
      </c>
      <c r="AD128" s="56">
        <f t="shared" ref="AD128" si="1148">+$C$9*AC125</f>
        <v>0</v>
      </c>
      <c r="AE128" s="56">
        <f t="shared" ref="AE128" si="1149">+$C$9*AD125</f>
        <v>0</v>
      </c>
      <c r="AF128" s="56">
        <f t="shared" ref="AF128" si="1150">+$C$9*AE125</f>
        <v>0</v>
      </c>
      <c r="AG128" s="56">
        <f t="shared" ref="AG128" si="1151">+$C$9*AF125</f>
        <v>0</v>
      </c>
      <c r="AH128" s="56">
        <f t="shared" ref="AH128" si="1152">+$C$9*AG125</f>
        <v>0</v>
      </c>
      <c r="AI128" s="56">
        <f t="shared" ref="AI128" si="1153">+$C$9*AH125</f>
        <v>0</v>
      </c>
      <c r="AJ128" s="56">
        <f t="shared" ref="AJ128" si="1154">+$C$9*AI125</f>
        <v>0</v>
      </c>
      <c r="AK128" s="56">
        <f t="shared" ref="AK128" si="1155">+$C$9*AJ125</f>
        <v>0</v>
      </c>
      <c r="AL128" s="56">
        <f t="shared" ref="AL128" si="1156">+$C$9*AK125</f>
        <v>0</v>
      </c>
      <c r="AM128" s="56">
        <f t="shared" ref="AM128" si="1157">+$C$9*AL125</f>
        <v>0</v>
      </c>
      <c r="AN128" s="56">
        <f t="shared" ref="AN128" si="1158">+$C$9*AM125</f>
        <v>0</v>
      </c>
      <c r="AO128" s="56">
        <f t="shared" ref="AO128" si="1159">+$C$9*AN125</f>
        <v>0</v>
      </c>
      <c r="AP128" s="56">
        <f t="shared" ref="AP128" si="1160">+$C$9*AO125</f>
        <v>0</v>
      </c>
      <c r="AQ128" s="56">
        <f t="shared" ref="AQ128" si="1161">+$C$9*AP125</f>
        <v>0</v>
      </c>
      <c r="AR128" s="56">
        <f t="shared" ref="AR128" si="1162">+$C$9*AQ125</f>
        <v>0</v>
      </c>
      <c r="AS128" s="56">
        <f t="shared" ref="AS128" si="1163">+$C$9*AR125</f>
        <v>0</v>
      </c>
      <c r="AT128" s="56">
        <f t="shared" ref="AT128" si="1164">+$C$9*AS125</f>
        <v>0</v>
      </c>
      <c r="AU128" s="56">
        <f t="shared" ref="AU128" si="1165">+$C$9*AT125</f>
        <v>0</v>
      </c>
      <c r="AV128" s="56">
        <f t="shared" ref="AV128" si="1166">+$C$9*AU125</f>
        <v>0</v>
      </c>
      <c r="AW128" s="56">
        <f t="shared" ref="AW128" si="1167">+$C$9*AV125</f>
        <v>0</v>
      </c>
      <c r="AX128" s="56">
        <f t="shared" ref="AX128" si="1168">+$C$9*AW125</f>
        <v>0</v>
      </c>
      <c r="AY128" s="56">
        <f t="shared" ref="AY128" si="1169">+$C$9*AX125</f>
        <v>0</v>
      </c>
      <c r="AZ128" s="56">
        <f t="shared" ref="AZ128" si="1170">+$C$9*AY125</f>
        <v>0</v>
      </c>
      <c r="BA128" s="56">
        <f t="shared" ref="BA128" si="1171">+$C$9*AZ125</f>
        <v>0</v>
      </c>
    </row>
    <row r="129" spans="2:53" x14ac:dyDescent="0.2">
      <c r="B129" s="57"/>
      <c r="D129" s="44"/>
      <c r="E129" s="44"/>
      <c r="F129" s="44"/>
      <c r="G129" s="44"/>
      <c r="H129" s="44"/>
      <c r="I129" s="44"/>
      <c r="J129" s="44"/>
      <c r="K129" s="44"/>
      <c r="L129" s="44"/>
      <c r="M129" s="44"/>
      <c r="N129" s="44"/>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2:53" x14ac:dyDescent="0.2">
      <c r="B130" s="46" t="s">
        <v>66</v>
      </c>
      <c r="C130" s="65" t="s">
        <v>75</v>
      </c>
      <c r="D130" s="44"/>
      <c r="E130" s="44"/>
      <c r="F130" s="44"/>
      <c r="G130" s="44"/>
      <c r="H130" s="44"/>
      <c r="I130" s="44"/>
      <c r="J130" s="44"/>
      <c r="K130" s="44"/>
      <c r="L130" s="44"/>
      <c r="M130" s="44"/>
      <c r="N130" s="44"/>
      <c r="O130" s="56"/>
      <c r="P130" s="56"/>
      <c r="Q130" s="56"/>
      <c r="R130" s="56"/>
      <c r="S130" s="56"/>
      <c r="T130" s="56"/>
      <c r="U130" s="56"/>
      <c r="V130" s="56"/>
      <c r="W130" s="56"/>
      <c r="X130" s="56"/>
      <c r="Y130" s="56">
        <f>Y18</f>
        <v>0</v>
      </c>
      <c r="Z130" s="56">
        <f t="shared" ref="Z130" si="1172">+Y130-Z132</f>
        <v>0</v>
      </c>
      <c r="AA130" s="56">
        <f t="shared" ref="AA130" si="1173">+Z130-AA132</f>
        <v>0</v>
      </c>
      <c r="AB130" s="56">
        <f t="shared" ref="AB130" si="1174">+AA130-AB132</f>
        <v>0</v>
      </c>
      <c r="AC130" s="56">
        <f t="shared" ref="AC130" si="1175">+AB130-AC132</f>
        <v>0</v>
      </c>
      <c r="AD130" s="56">
        <f t="shared" ref="AD130" si="1176">+AC130-AD132</f>
        <v>0</v>
      </c>
      <c r="AE130" s="56">
        <f t="shared" ref="AE130" si="1177">+AD130-AE132</f>
        <v>0</v>
      </c>
      <c r="AF130" s="56">
        <f t="shared" ref="AF130" si="1178">+AE130-AF132</f>
        <v>0</v>
      </c>
      <c r="AG130" s="56">
        <f t="shared" ref="AG130" si="1179">+AF130-AG132</f>
        <v>0</v>
      </c>
      <c r="AH130" s="56">
        <f t="shared" ref="AH130" si="1180">+AG130-AH132</f>
        <v>0</v>
      </c>
      <c r="AI130" s="56">
        <f t="shared" ref="AI130" si="1181">+AH130-AI132</f>
        <v>0</v>
      </c>
      <c r="AJ130" s="56">
        <f t="shared" ref="AJ130" si="1182">+AI130-AJ132</f>
        <v>0</v>
      </c>
      <c r="AK130" s="56">
        <f t="shared" ref="AK130" si="1183">+AJ130-AK132</f>
        <v>0</v>
      </c>
      <c r="AL130" s="56">
        <f t="shared" ref="AL130" si="1184">+AK130-AL132</f>
        <v>0</v>
      </c>
      <c r="AM130" s="56">
        <f t="shared" ref="AM130" si="1185">+AL130-AM132</f>
        <v>0</v>
      </c>
      <c r="AN130" s="56">
        <f t="shared" ref="AN130" si="1186">+AM130-AN132</f>
        <v>0</v>
      </c>
      <c r="AO130" s="56">
        <f t="shared" ref="AO130" si="1187">+AN130-AO132</f>
        <v>0</v>
      </c>
      <c r="AP130" s="56">
        <f t="shared" ref="AP130" si="1188">+AO130-AP132</f>
        <v>0</v>
      </c>
      <c r="AQ130" s="56">
        <f t="shared" ref="AQ130" si="1189">+AP130-AQ132</f>
        <v>0</v>
      </c>
      <c r="AR130" s="56">
        <f t="shared" ref="AR130" si="1190">+AQ130-AR132</f>
        <v>0</v>
      </c>
      <c r="AS130" s="56">
        <f t="shared" ref="AS130" si="1191">+AR130-AS132</f>
        <v>0</v>
      </c>
      <c r="AT130" s="56">
        <f t="shared" ref="AT130" si="1192">+AS130-AT132</f>
        <v>0</v>
      </c>
      <c r="AU130" s="56">
        <f t="shared" ref="AU130" si="1193">+AT130-AU132</f>
        <v>0</v>
      </c>
      <c r="AV130" s="56">
        <f t="shared" ref="AV130" si="1194">+AU130-AV132</f>
        <v>0</v>
      </c>
      <c r="AW130" s="56">
        <f t="shared" ref="AW130" si="1195">+AV130-AW132</f>
        <v>0</v>
      </c>
      <c r="AX130" s="56">
        <f t="shared" ref="AX130" si="1196">+AW130-AX132</f>
        <v>0</v>
      </c>
      <c r="AY130" s="56">
        <f t="shared" ref="AY130" si="1197">+AX130-AY132</f>
        <v>0</v>
      </c>
      <c r="AZ130" s="56">
        <f t="shared" ref="AZ130" si="1198">+AY130-AZ132</f>
        <v>0</v>
      </c>
      <c r="BA130" s="56">
        <f t="shared" ref="BA130" si="1199">+AZ130-BA132</f>
        <v>0</v>
      </c>
    </row>
    <row r="131" spans="2:53" x14ac:dyDescent="0.2">
      <c r="B131" s="57" t="s">
        <v>29</v>
      </c>
      <c r="C131" s="64">
        <f>+Y130/((1-(1/(1+$C$9)^$C$8))/$C$9)</f>
        <v>0</v>
      </c>
      <c r="D131" s="44"/>
      <c r="E131" s="44"/>
      <c r="F131" s="44"/>
      <c r="G131" s="44"/>
      <c r="H131" s="44"/>
      <c r="I131" s="44"/>
      <c r="J131" s="44"/>
      <c r="K131" s="44"/>
      <c r="L131" s="44"/>
      <c r="M131" s="44"/>
      <c r="N131" s="44"/>
      <c r="O131" s="56"/>
      <c r="P131" s="56"/>
      <c r="Q131" s="56"/>
      <c r="R131" s="56"/>
      <c r="S131" s="56"/>
      <c r="T131" s="56"/>
      <c r="U131" s="56"/>
      <c r="V131" s="56"/>
      <c r="W131" s="56"/>
      <c r="X131" s="56"/>
      <c r="Y131" s="56">
        <v>0</v>
      </c>
      <c r="Z131" s="56">
        <f>+IF(Y130&lt;0.01,0,$C$131)</f>
        <v>0</v>
      </c>
      <c r="AA131" s="56">
        <f t="shared" ref="AA131:BA131" si="1200">+IF(Z130&lt;0.01,0,$C$131)</f>
        <v>0</v>
      </c>
      <c r="AB131" s="56">
        <f t="shared" si="1200"/>
        <v>0</v>
      </c>
      <c r="AC131" s="56">
        <f t="shared" si="1200"/>
        <v>0</v>
      </c>
      <c r="AD131" s="56">
        <f t="shared" si="1200"/>
        <v>0</v>
      </c>
      <c r="AE131" s="56">
        <f t="shared" si="1200"/>
        <v>0</v>
      </c>
      <c r="AF131" s="56">
        <f t="shared" si="1200"/>
        <v>0</v>
      </c>
      <c r="AG131" s="56">
        <f t="shared" si="1200"/>
        <v>0</v>
      </c>
      <c r="AH131" s="56">
        <f t="shared" si="1200"/>
        <v>0</v>
      </c>
      <c r="AI131" s="56">
        <f t="shared" si="1200"/>
        <v>0</v>
      </c>
      <c r="AJ131" s="56">
        <f t="shared" si="1200"/>
        <v>0</v>
      </c>
      <c r="AK131" s="56">
        <f t="shared" si="1200"/>
        <v>0</v>
      </c>
      <c r="AL131" s="56">
        <f t="shared" si="1200"/>
        <v>0</v>
      </c>
      <c r="AM131" s="56">
        <f t="shared" si="1200"/>
        <v>0</v>
      </c>
      <c r="AN131" s="56">
        <f t="shared" si="1200"/>
        <v>0</v>
      </c>
      <c r="AO131" s="56">
        <f t="shared" si="1200"/>
        <v>0</v>
      </c>
      <c r="AP131" s="56">
        <f t="shared" si="1200"/>
        <v>0</v>
      </c>
      <c r="AQ131" s="56">
        <f t="shared" si="1200"/>
        <v>0</v>
      </c>
      <c r="AR131" s="56">
        <f t="shared" si="1200"/>
        <v>0</v>
      </c>
      <c r="AS131" s="56">
        <f t="shared" si="1200"/>
        <v>0</v>
      </c>
      <c r="AT131" s="56">
        <f t="shared" si="1200"/>
        <v>0</v>
      </c>
      <c r="AU131" s="56">
        <f t="shared" si="1200"/>
        <v>0</v>
      </c>
      <c r="AV131" s="56">
        <f t="shared" si="1200"/>
        <v>0</v>
      </c>
      <c r="AW131" s="56">
        <f t="shared" si="1200"/>
        <v>0</v>
      </c>
      <c r="AX131" s="56">
        <f t="shared" si="1200"/>
        <v>0</v>
      </c>
      <c r="AY131" s="56">
        <f t="shared" si="1200"/>
        <v>0</v>
      </c>
      <c r="AZ131" s="56">
        <f t="shared" si="1200"/>
        <v>0</v>
      </c>
      <c r="BA131" s="56">
        <f t="shared" si="1200"/>
        <v>0</v>
      </c>
    </row>
    <row r="132" spans="2:53" x14ac:dyDescent="0.2">
      <c r="B132" s="57" t="s">
        <v>30</v>
      </c>
      <c r="C132" s="65" t="s">
        <v>75</v>
      </c>
      <c r="D132" s="44"/>
      <c r="E132" s="44"/>
      <c r="F132" s="44"/>
      <c r="G132" s="44"/>
      <c r="H132" s="44"/>
      <c r="I132" s="44"/>
      <c r="J132" s="44"/>
      <c r="K132" s="44"/>
      <c r="L132" s="44"/>
      <c r="M132" s="44"/>
      <c r="N132" s="44"/>
      <c r="O132" s="56"/>
      <c r="P132" s="56"/>
      <c r="Q132" s="56"/>
      <c r="R132" s="56"/>
      <c r="S132" s="56"/>
      <c r="T132" s="56"/>
      <c r="U132" s="56"/>
      <c r="V132" s="56"/>
      <c r="W132" s="56"/>
      <c r="X132" s="56"/>
      <c r="Y132" s="56">
        <v>0</v>
      </c>
      <c r="Z132" s="56">
        <f t="shared" ref="Z132:BA132" si="1201">+Z131-Z133</f>
        <v>0</v>
      </c>
      <c r="AA132" s="56">
        <f t="shared" si="1201"/>
        <v>0</v>
      </c>
      <c r="AB132" s="56">
        <f t="shared" si="1201"/>
        <v>0</v>
      </c>
      <c r="AC132" s="56">
        <f t="shared" si="1201"/>
        <v>0</v>
      </c>
      <c r="AD132" s="56">
        <f t="shared" si="1201"/>
        <v>0</v>
      </c>
      <c r="AE132" s="56">
        <f t="shared" si="1201"/>
        <v>0</v>
      </c>
      <c r="AF132" s="56">
        <f t="shared" si="1201"/>
        <v>0</v>
      </c>
      <c r="AG132" s="56">
        <f t="shared" si="1201"/>
        <v>0</v>
      </c>
      <c r="AH132" s="56">
        <f t="shared" si="1201"/>
        <v>0</v>
      </c>
      <c r="AI132" s="56">
        <f t="shared" si="1201"/>
        <v>0</v>
      </c>
      <c r="AJ132" s="56">
        <f t="shared" si="1201"/>
        <v>0</v>
      </c>
      <c r="AK132" s="56">
        <f t="shared" si="1201"/>
        <v>0</v>
      </c>
      <c r="AL132" s="56">
        <f t="shared" si="1201"/>
        <v>0</v>
      </c>
      <c r="AM132" s="56">
        <f t="shared" si="1201"/>
        <v>0</v>
      </c>
      <c r="AN132" s="56">
        <f t="shared" si="1201"/>
        <v>0</v>
      </c>
      <c r="AO132" s="56">
        <f t="shared" si="1201"/>
        <v>0</v>
      </c>
      <c r="AP132" s="56">
        <f t="shared" si="1201"/>
        <v>0</v>
      </c>
      <c r="AQ132" s="56">
        <f t="shared" si="1201"/>
        <v>0</v>
      </c>
      <c r="AR132" s="56">
        <f t="shared" si="1201"/>
        <v>0</v>
      </c>
      <c r="AS132" s="56">
        <f t="shared" si="1201"/>
        <v>0</v>
      </c>
      <c r="AT132" s="56">
        <f t="shared" si="1201"/>
        <v>0</v>
      </c>
      <c r="AU132" s="56">
        <f t="shared" si="1201"/>
        <v>0</v>
      </c>
      <c r="AV132" s="56">
        <f t="shared" si="1201"/>
        <v>0</v>
      </c>
      <c r="AW132" s="56">
        <f t="shared" si="1201"/>
        <v>0</v>
      </c>
      <c r="AX132" s="56">
        <f t="shared" si="1201"/>
        <v>0</v>
      </c>
      <c r="AY132" s="56">
        <f t="shared" si="1201"/>
        <v>0</v>
      </c>
      <c r="AZ132" s="56">
        <f t="shared" si="1201"/>
        <v>0</v>
      </c>
      <c r="BA132" s="56">
        <f t="shared" si="1201"/>
        <v>0</v>
      </c>
    </row>
    <row r="133" spans="2:53" x14ac:dyDescent="0.2">
      <c r="B133" s="57" t="s">
        <v>3</v>
      </c>
      <c r="C133" s="65" t="s">
        <v>75</v>
      </c>
      <c r="D133" s="44"/>
      <c r="E133" s="44"/>
      <c r="F133" s="44"/>
      <c r="G133" s="44"/>
      <c r="H133" s="44"/>
      <c r="I133" s="44"/>
      <c r="J133" s="44"/>
      <c r="K133" s="44"/>
      <c r="L133" s="44"/>
      <c r="M133" s="44"/>
      <c r="N133" s="44"/>
      <c r="O133" s="56"/>
      <c r="P133" s="56"/>
      <c r="Q133" s="56"/>
      <c r="R133" s="56"/>
      <c r="S133" s="56"/>
      <c r="T133" s="56"/>
      <c r="U133" s="56"/>
      <c r="V133" s="56"/>
      <c r="W133" s="56"/>
      <c r="X133" s="56"/>
      <c r="Y133" s="56">
        <v>0</v>
      </c>
      <c r="Z133" s="56">
        <f t="shared" ref="Z133" si="1202">+$C$9*Y130</f>
        <v>0</v>
      </c>
      <c r="AA133" s="56">
        <f t="shared" ref="AA133" si="1203">+$C$9*Z130</f>
        <v>0</v>
      </c>
      <c r="AB133" s="56">
        <f t="shared" ref="AB133" si="1204">+$C$9*AA130</f>
        <v>0</v>
      </c>
      <c r="AC133" s="56">
        <f t="shared" ref="AC133" si="1205">+$C$9*AB130</f>
        <v>0</v>
      </c>
      <c r="AD133" s="56">
        <f t="shared" ref="AD133" si="1206">+$C$9*AC130</f>
        <v>0</v>
      </c>
      <c r="AE133" s="56">
        <f t="shared" ref="AE133" si="1207">+$C$9*AD130</f>
        <v>0</v>
      </c>
      <c r="AF133" s="56">
        <f t="shared" ref="AF133" si="1208">+$C$9*AE130</f>
        <v>0</v>
      </c>
      <c r="AG133" s="56">
        <f t="shared" ref="AG133" si="1209">+$C$9*AF130</f>
        <v>0</v>
      </c>
      <c r="AH133" s="56">
        <f t="shared" ref="AH133" si="1210">+$C$9*AG130</f>
        <v>0</v>
      </c>
      <c r="AI133" s="56">
        <f t="shared" ref="AI133" si="1211">+$C$9*AH130</f>
        <v>0</v>
      </c>
      <c r="AJ133" s="56">
        <f t="shared" ref="AJ133" si="1212">+$C$9*AI130</f>
        <v>0</v>
      </c>
      <c r="AK133" s="56">
        <f t="shared" ref="AK133" si="1213">+$C$9*AJ130</f>
        <v>0</v>
      </c>
      <c r="AL133" s="56">
        <f t="shared" ref="AL133" si="1214">+$C$9*AK130</f>
        <v>0</v>
      </c>
      <c r="AM133" s="56">
        <f t="shared" ref="AM133" si="1215">+$C$9*AL130</f>
        <v>0</v>
      </c>
      <c r="AN133" s="56">
        <f t="shared" ref="AN133" si="1216">+$C$9*AM130</f>
        <v>0</v>
      </c>
      <c r="AO133" s="56">
        <f t="shared" ref="AO133" si="1217">+$C$9*AN130</f>
        <v>0</v>
      </c>
      <c r="AP133" s="56">
        <f t="shared" ref="AP133" si="1218">+$C$9*AO130</f>
        <v>0</v>
      </c>
      <c r="AQ133" s="56">
        <f t="shared" ref="AQ133" si="1219">+$C$9*AP130</f>
        <v>0</v>
      </c>
      <c r="AR133" s="56">
        <f t="shared" ref="AR133" si="1220">+$C$9*AQ130</f>
        <v>0</v>
      </c>
      <c r="AS133" s="56">
        <f t="shared" ref="AS133" si="1221">+$C$9*AR130</f>
        <v>0</v>
      </c>
      <c r="AT133" s="56">
        <f t="shared" ref="AT133" si="1222">+$C$9*AS130</f>
        <v>0</v>
      </c>
      <c r="AU133" s="56">
        <f t="shared" ref="AU133" si="1223">+$C$9*AT130</f>
        <v>0</v>
      </c>
      <c r="AV133" s="56">
        <f t="shared" ref="AV133" si="1224">+$C$9*AU130</f>
        <v>0</v>
      </c>
      <c r="AW133" s="56">
        <f t="shared" ref="AW133" si="1225">+$C$9*AV130</f>
        <v>0</v>
      </c>
      <c r="AX133" s="56">
        <f t="shared" ref="AX133" si="1226">+$C$9*AW130</f>
        <v>0</v>
      </c>
      <c r="AY133" s="56">
        <f t="shared" ref="AY133" si="1227">+$C$9*AX130</f>
        <v>0</v>
      </c>
      <c r="AZ133" s="56">
        <f t="shared" ref="AZ133" si="1228">+$C$9*AY130</f>
        <v>0</v>
      </c>
      <c r="BA133" s="56">
        <f t="shared" ref="BA133" si="1229">+$C$9*AZ130</f>
        <v>0</v>
      </c>
    </row>
    <row r="134" spans="2:53" x14ac:dyDescent="0.2">
      <c r="B134" s="57"/>
      <c r="D134" s="44"/>
      <c r="E134" s="44"/>
      <c r="F134" s="44"/>
      <c r="G134" s="44"/>
      <c r="H134" s="44"/>
      <c r="I134" s="44"/>
      <c r="J134" s="44"/>
      <c r="K134" s="44"/>
      <c r="L134" s="44"/>
      <c r="M134" s="44"/>
      <c r="N134" s="44"/>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2:53" x14ac:dyDescent="0.2">
      <c r="B135" s="46" t="s">
        <v>67</v>
      </c>
      <c r="C135" s="65" t="s">
        <v>75</v>
      </c>
      <c r="D135" s="44"/>
      <c r="E135" s="44"/>
      <c r="F135" s="44"/>
      <c r="G135" s="44"/>
      <c r="H135" s="44"/>
      <c r="I135" s="44"/>
      <c r="J135" s="44"/>
      <c r="K135" s="44"/>
      <c r="L135" s="44"/>
      <c r="M135" s="44"/>
      <c r="N135" s="44"/>
      <c r="O135" s="56"/>
      <c r="P135" s="56"/>
      <c r="Q135" s="56"/>
      <c r="R135" s="56"/>
      <c r="S135" s="56"/>
      <c r="T135" s="56"/>
      <c r="U135" s="56"/>
      <c r="V135" s="56"/>
      <c r="W135" s="56"/>
      <c r="X135" s="56"/>
      <c r="Y135" s="56"/>
      <c r="Z135" s="56">
        <f>Z18</f>
        <v>0</v>
      </c>
      <c r="AA135" s="56">
        <f t="shared" ref="AA135" si="1230">+Z135-AA137</f>
        <v>0</v>
      </c>
      <c r="AB135" s="56">
        <f t="shared" ref="AB135" si="1231">+AA135-AB137</f>
        <v>0</v>
      </c>
      <c r="AC135" s="56">
        <f t="shared" ref="AC135" si="1232">+AB135-AC137</f>
        <v>0</v>
      </c>
      <c r="AD135" s="56">
        <f t="shared" ref="AD135" si="1233">+AC135-AD137</f>
        <v>0</v>
      </c>
      <c r="AE135" s="56">
        <f t="shared" ref="AE135" si="1234">+AD135-AE137</f>
        <v>0</v>
      </c>
      <c r="AF135" s="56">
        <f t="shared" ref="AF135" si="1235">+AE135-AF137</f>
        <v>0</v>
      </c>
      <c r="AG135" s="56">
        <f t="shared" ref="AG135" si="1236">+AF135-AG137</f>
        <v>0</v>
      </c>
      <c r="AH135" s="56">
        <f t="shared" ref="AH135" si="1237">+AG135-AH137</f>
        <v>0</v>
      </c>
      <c r="AI135" s="56">
        <f t="shared" ref="AI135" si="1238">+AH135-AI137</f>
        <v>0</v>
      </c>
      <c r="AJ135" s="56">
        <f t="shared" ref="AJ135" si="1239">+AI135-AJ137</f>
        <v>0</v>
      </c>
      <c r="AK135" s="56">
        <f t="shared" ref="AK135" si="1240">+AJ135-AK137</f>
        <v>0</v>
      </c>
      <c r="AL135" s="56">
        <f t="shared" ref="AL135" si="1241">+AK135-AL137</f>
        <v>0</v>
      </c>
      <c r="AM135" s="56">
        <f t="shared" ref="AM135" si="1242">+AL135-AM137</f>
        <v>0</v>
      </c>
      <c r="AN135" s="56">
        <f t="shared" ref="AN135" si="1243">+AM135-AN137</f>
        <v>0</v>
      </c>
      <c r="AO135" s="56">
        <f t="shared" ref="AO135" si="1244">+AN135-AO137</f>
        <v>0</v>
      </c>
      <c r="AP135" s="56">
        <f t="shared" ref="AP135" si="1245">+AO135-AP137</f>
        <v>0</v>
      </c>
      <c r="AQ135" s="56">
        <f t="shared" ref="AQ135" si="1246">+AP135-AQ137</f>
        <v>0</v>
      </c>
      <c r="AR135" s="56">
        <f t="shared" ref="AR135" si="1247">+AQ135-AR137</f>
        <v>0</v>
      </c>
      <c r="AS135" s="56">
        <f t="shared" ref="AS135" si="1248">+AR135-AS137</f>
        <v>0</v>
      </c>
      <c r="AT135" s="56">
        <f t="shared" ref="AT135" si="1249">+AS135-AT137</f>
        <v>0</v>
      </c>
      <c r="AU135" s="56">
        <f t="shared" ref="AU135" si="1250">+AT135-AU137</f>
        <v>0</v>
      </c>
      <c r="AV135" s="56">
        <f t="shared" ref="AV135" si="1251">+AU135-AV137</f>
        <v>0</v>
      </c>
      <c r="AW135" s="56">
        <f t="shared" ref="AW135" si="1252">+AV135-AW137</f>
        <v>0</v>
      </c>
      <c r="AX135" s="56">
        <f t="shared" ref="AX135" si="1253">+AW135-AX137</f>
        <v>0</v>
      </c>
      <c r="AY135" s="56">
        <f t="shared" ref="AY135" si="1254">+AX135-AY137</f>
        <v>0</v>
      </c>
      <c r="AZ135" s="56">
        <f t="shared" ref="AZ135" si="1255">+AY135-AZ137</f>
        <v>0</v>
      </c>
      <c r="BA135" s="56">
        <f t="shared" ref="BA135" si="1256">+AZ135-BA137</f>
        <v>0</v>
      </c>
    </row>
    <row r="136" spans="2:53" x14ac:dyDescent="0.2">
      <c r="B136" s="57" t="s">
        <v>29</v>
      </c>
      <c r="C136" s="64">
        <f>+Z135/((1-(1/(1+$C$9)^$C$8))/$C$9)</f>
        <v>0</v>
      </c>
      <c r="D136" s="44"/>
      <c r="E136" s="44"/>
      <c r="F136" s="44"/>
      <c r="G136" s="44"/>
      <c r="H136" s="44"/>
      <c r="I136" s="44"/>
      <c r="J136" s="44"/>
      <c r="K136" s="44"/>
      <c r="L136" s="44"/>
      <c r="M136" s="44"/>
      <c r="N136" s="44"/>
      <c r="O136" s="56"/>
      <c r="P136" s="56"/>
      <c r="Q136" s="56"/>
      <c r="R136" s="56"/>
      <c r="S136" s="56"/>
      <c r="T136" s="56"/>
      <c r="U136" s="56"/>
      <c r="V136" s="56"/>
      <c r="W136" s="56"/>
      <c r="X136" s="56"/>
      <c r="Y136" s="56"/>
      <c r="Z136" s="56">
        <v>0</v>
      </c>
      <c r="AA136" s="56">
        <f>+IF(Z135&lt;0.01,0,$C$136)</f>
        <v>0</v>
      </c>
      <c r="AB136" s="56">
        <f t="shared" ref="AB136:BA136" si="1257">+IF(AA135&lt;0.01,0,$C$136)</f>
        <v>0</v>
      </c>
      <c r="AC136" s="56">
        <f t="shared" si="1257"/>
        <v>0</v>
      </c>
      <c r="AD136" s="56">
        <f t="shared" si="1257"/>
        <v>0</v>
      </c>
      <c r="AE136" s="56">
        <f t="shared" si="1257"/>
        <v>0</v>
      </c>
      <c r="AF136" s="56">
        <f t="shared" si="1257"/>
        <v>0</v>
      </c>
      <c r="AG136" s="56">
        <f t="shared" si="1257"/>
        <v>0</v>
      </c>
      <c r="AH136" s="56">
        <f t="shared" si="1257"/>
        <v>0</v>
      </c>
      <c r="AI136" s="56">
        <f t="shared" si="1257"/>
        <v>0</v>
      </c>
      <c r="AJ136" s="56">
        <f t="shared" si="1257"/>
        <v>0</v>
      </c>
      <c r="AK136" s="56">
        <f t="shared" si="1257"/>
        <v>0</v>
      </c>
      <c r="AL136" s="56">
        <f t="shared" si="1257"/>
        <v>0</v>
      </c>
      <c r="AM136" s="56">
        <f t="shared" si="1257"/>
        <v>0</v>
      </c>
      <c r="AN136" s="56">
        <f t="shared" si="1257"/>
        <v>0</v>
      </c>
      <c r="AO136" s="56">
        <f t="shared" si="1257"/>
        <v>0</v>
      </c>
      <c r="AP136" s="56">
        <f t="shared" si="1257"/>
        <v>0</v>
      </c>
      <c r="AQ136" s="56">
        <f t="shared" si="1257"/>
        <v>0</v>
      </c>
      <c r="AR136" s="56">
        <f t="shared" si="1257"/>
        <v>0</v>
      </c>
      <c r="AS136" s="56">
        <f t="shared" si="1257"/>
        <v>0</v>
      </c>
      <c r="AT136" s="56">
        <f t="shared" si="1257"/>
        <v>0</v>
      </c>
      <c r="AU136" s="56">
        <f t="shared" si="1257"/>
        <v>0</v>
      </c>
      <c r="AV136" s="56">
        <f t="shared" si="1257"/>
        <v>0</v>
      </c>
      <c r="AW136" s="56">
        <f t="shared" si="1257"/>
        <v>0</v>
      </c>
      <c r="AX136" s="56">
        <f t="shared" si="1257"/>
        <v>0</v>
      </c>
      <c r="AY136" s="56">
        <f t="shared" si="1257"/>
        <v>0</v>
      </c>
      <c r="AZ136" s="56">
        <f t="shared" si="1257"/>
        <v>0</v>
      </c>
      <c r="BA136" s="56">
        <f t="shared" si="1257"/>
        <v>0</v>
      </c>
    </row>
    <row r="137" spans="2:53" x14ac:dyDescent="0.2">
      <c r="B137" s="57" t="s">
        <v>30</v>
      </c>
      <c r="C137" s="65" t="s">
        <v>75</v>
      </c>
      <c r="D137" s="44"/>
      <c r="E137" s="44"/>
      <c r="F137" s="44"/>
      <c r="G137" s="44"/>
      <c r="H137" s="44"/>
      <c r="I137" s="44"/>
      <c r="J137" s="44"/>
      <c r="K137" s="44"/>
      <c r="L137" s="44"/>
      <c r="M137" s="44"/>
      <c r="N137" s="44"/>
      <c r="O137" s="56"/>
      <c r="P137" s="56"/>
      <c r="Q137" s="56"/>
      <c r="R137" s="56"/>
      <c r="S137" s="56"/>
      <c r="T137" s="56"/>
      <c r="U137" s="56"/>
      <c r="V137" s="56"/>
      <c r="W137" s="56"/>
      <c r="X137" s="56"/>
      <c r="Y137" s="56"/>
      <c r="Z137" s="56">
        <v>0</v>
      </c>
      <c r="AA137" s="56">
        <f t="shared" ref="AA137:BA137" si="1258">+AA136-AA138</f>
        <v>0</v>
      </c>
      <c r="AB137" s="56">
        <f t="shared" si="1258"/>
        <v>0</v>
      </c>
      <c r="AC137" s="56">
        <f t="shared" si="1258"/>
        <v>0</v>
      </c>
      <c r="AD137" s="56">
        <f t="shared" si="1258"/>
        <v>0</v>
      </c>
      <c r="AE137" s="56">
        <f t="shared" si="1258"/>
        <v>0</v>
      </c>
      <c r="AF137" s="56">
        <f t="shared" si="1258"/>
        <v>0</v>
      </c>
      <c r="AG137" s="56">
        <f t="shared" si="1258"/>
        <v>0</v>
      </c>
      <c r="AH137" s="56">
        <f t="shared" si="1258"/>
        <v>0</v>
      </c>
      <c r="AI137" s="56">
        <f t="shared" si="1258"/>
        <v>0</v>
      </c>
      <c r="AJ137" s="56">
        <f t="shared" si="1258"/>
        <v>0</v>
      </c>
      <c r="AK137" s="56">
        <f t="shared" si="1258"/>
        <v>0</v>
      </c>
      <c r="AL137" s="56">
        <f t="shared" si="1258"/>
        <v>0</v>
      </c>
      <c r="AM137" s="56">
        <f t="shared" si="1258"/>
        <v>0</v>
      </c>
      <c r="AN137" s="56">
        <f t="shared" si="1258"/>
        <v>0</v>
      </c>
      <c r="AO137" s="56">
        <f t="shared" si="1258"/>
        <v>0</v>
      </c>
      <c r="AP137" s="56">
        <f t="shared" si="1258"/>
        <v>0</v>
      </c>
      <c r="AQ137" s="56">
        <f t="shared" si="1258"/>
        <v>0</v>
      </c>
      <c r="AR137" s="56">
        <f t="shared" si="1258"/>
        <v>0</v>
      </c>
      <c r="AS137" s="56">
        <f t="shared" si="1258"/>
        <v>0</v>
      </c>
      <c r="AT137" s="56">
        <f t="shared" si="1258"/>
        <v>0</v>
      </c>
      <c r="AU137" s="56">
        <f t="shared" si="1258"/>
        <v>0</v>
      </c>
      <c r="AV137" s="56">
        <f t="shared" si="1258"/>
        <v>0</v>
      </c>
      <c r="AW137" s="56">
        <f t="shared" si="1258"/>
        <v>0</v>
      </c>
      <c r="AX137" s="56">
        <f t="shared" si="1258"/>
        <v>0</v>
      </c>
      <c r="AY137" s="56">
        <f t="shared" si="1258"/>
        <v>0</v>
      </c>
      <c r="AZ137" s="56">
        <f t="shared" si="1258"/>
        <v>0</v>
      </c>
      <c r="BA137" s="56">
        <f t="shared" si="1258"/>
        <v>0</v>
      </c>
    </row>
    <row r="138" spans="2:53" x14ac:dyDescent="0.2">
      <c r="B138" s="57" t="s">
        <v>3</v>
      </c>
      <c r="C138" s="65" t="s">
        <v>75</v>
      </c>
      <c r="D138" s="44"/>
      <c r="E138" s="44"/>
      <c r="F138" s="44"/>
      <c r="G138" s="44"/>
      <c r="H138" s="44"/>
      <c r="I138" s="44"/>
      <c r="J138" s="44"/>
      <c r="K138" s="44"/>
      <c r="L138" s="44"/>
      <c r="M138" s="44"/>
      <c r="N138" s="44"/>
      <c r="O138" s="56"/>
      <c r="P138" s="56"/>
      <c r="Q138" s="56"/>
      <c r="R138" s="56"/>
      <c r="S138" s="56"/>
      <c r="T138" s="56"/>
      <c r="U138" s="56"/>
      <c r="V138" s="56"/>
      <c r="W138" s="56"/>
      <c r="X138" s="56"/>
      <c r="Y138" s="56"/>
      <c r="Z138" s="56">
        <v>0</v>
      </c>
      <c r="AA138" s="56">
        <f t="shared" ref="AA138" si="1259">+$C$9*Z135</f>
        <v>0</v>
      </c>
      <c r="AB138" s="56">
        <f t="shared" ref="AB138" si="1260">+$C$9*AA135</f>
        <v>0</v>
      </c>
      <c r="AC138" s="56">
        <f t="shared" ref="AC138" si="1261">+$C$9*AB135</f>
        <v>0</v>
      </c>
      <c r="AD138" s="56">
        <f t="shared" ref="AD138" si="1262">+$C$9*AC135</f>
        <v>0</v>
      </c>
      <c r="AE138" s="56">
        <f t="shared" ref="AE138" si="1263">+$C$9*AD135</f>
        <v>0</v>
      </c>
      <c r="AF138" s="56">
        <f t="shared" ref="AF138" si="1264">+$C$9*AE135</f>
        <v>0</v>
      </c>
      <c r="AG138" s="56">
        <f t="shared" ref="AG138" si="1265">+$C$9*AF135</f>
        <v>0</v>
      </c>
      <c r="AH138" s="56">
        <f t="shared" ref="AH138" si="1266">+$C$9*AG135</f>
        <v>0</v>
      </c>
      <c r="AI138" s="56">
        <f t="shared" ref="AI138" si="1267">+$C$9*AH135</f>
        <v>0</v>
      </c>
      <c r="AJ138" s="56">
        <f t="shared" ref="AJ138" si="1268">+$C$9*AI135</f>
        <v>0</v>
      </c>
      <c r="AK138" s="56">
        <f t="shared" ref="AK138" si="1269">+$C$9*AJ135</f>
        <v>0</v>
      </c>
      <c r="AL138" s="56">
        <f t="shared" ref="AL138" si="1270">+$C$9*AK135</f>
        <v>0</v>
      </c>
      <c r="AM138" s="56">
        <f t="shared" ref="AM138" si="1271">+$C$9*AL135</f>
        <v>0</v>
      </c>
      <c r="AN138" s="56">
        <f t="shared" ref="AN138" si="1272">+$C$9*AM135</f>
        <v>0</v>
      </c>
      <c r="AO138" s="56">
        <f t="shared" ref="AO138" si="1273">+$C$9*AN135</f>
        <v>0</v>
      </c>
      <c r="AP138" s="56">
        <f t="shared" ref="AP138" si="1274">+$C$9*AO135</f>
        <v>0</v>
      </c>
      <c r="AQ138" s="56">
        <f t="shared" ref="AQ138" si="1275">+$C$9*AP135</f>
        <v>0</v>
      </c>
      <c r="AR138" s="56">
        <f t="shared" ref="AR138" si="1276">+$C$9*AQ135</f>
        <v>0</v>
      </c>
      <c r="AS138" s="56">
        <f t="shared" ref="AS138" si="1277">+$C$9*AR135</f>
        <v>0</v>
      </c>
      <c r="AT138" s="56">
        <f t="shared" ref="AT138" si="1278">+$C$9*AS135</f>
        <v>0</v>
      </c>
      <c r="AU138" s="56">
        <f t="shared" ref="AU138" si="1279">+$C$9*AT135</f>
        <v>0</v>
      </c>
      <c r="AV138" s="56">
        <f t="shared" ref="AV138" si="1280">+$C$9*AU135</f>
        <v>0</v>
      </c>
      <c r="AW138" s="56">
        <f t="shared" ref="AW138" si="1281">+$C$9*AV135</f>
        <v>0</v>
      </c>
      <c r="AX138" s="56">
        <f t="shared" ref="AX138" si="1282">+$C$9*AW135</f>
        <v>0</v>
      </c>
      <c r="AY138" s="56">
        <f t="shared" ref="AY138" si="1283">+$C$9*AX135</f>
        <v>0</v>
      </c>
      <c r="AZ138" s="56">
        <f t="shared" ref="AZ138" si="1284">+$C$9*AY135</f>
        <v>0</v>
      </c>
      <c r="BA138" s="56">
        <f t="shared" ref="BA138" si="1285">+$C$9*AZ135</f>
        <v>0</v>
      </c>
    </row>
    <row r="139" spans="2:53" x14ac:dyDescent="0.2">
      <c r="B139" s="57"/>
      <c r="D139" s="44"/>
      <c r="E139" s="44"/>
      <c r="F139" s="44"/>
      <c r="G139" s="44"/>
      <c r="H139" s="44"/>
      <c r="I139" s="44"/>
      <c r="J139" s="44"/>
      <c r="K139" s="44"/>
      <c r="L139" s="44"/>
      <c r="M139" s="44"/>
      <c r="N139" s="44"/>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row r="140" spans="2:53" x14ac:dyDescent="0.2">
      <c r="B140" s="46" t="s">
        <v>68</v>
      </c>
      <c r="C140" s="65" t="s">
        <v>75</v>
      </c>
      <c r="D140" s="44"/>
      <c r="E140" s="44"/>
      <c r="F140" s="44"/>
      <c r="G140" s="44"/>
      <c r="H140" s="44"/>
      <c r="I140" s="44"/>
      <c r="J140" s="44"/>
      <c r="K140" s="44"/>
      <c r="L140" s="44"/>
      <c r="M140" s="44"/>
      <c r="N140" s="44"/>
      <c r="O140" s="56"/>
      <c r="P140" s="56"/>
      <c r="Q140" s="56"/>
      <c r="R140" s="56"/>
      <c r="S140" s="56"/>
      <c r="T140" s="56"/>
      <c r="U140" s="56"/>
      <c r="V140" s="56"/>
      <c r="W140" s="56"/>
      <c r="X140" s="56"/>
      <c r="Y140" s="56"/>
      <c r="Z140" s="56"/>
      <c r="AA140" s="56">
        <f>AA18</f>
        <v>0</v>
      </c>
      <c r="AB140" s="56">
        <f t="shared" ref="AB140" si="1286">+AA140-AB142</f>
        <v>0</v>
      </c>
      <c r="AC140" s="56">
        <f t="shared" ref="AC140" si="1287">+AB140-AC142</f>
        <v>0</v>
      </c>
      <c r="AD140" s="56">
        <f t="shared" ref="AD140" si="1288">+AC140-AD142</f>
        <v>0</v>
      </c>
      <c r="AE140" s="56">
        <f t="shared" ref="AE140" si="1289">+AD140-AE142</f>
        <v>0</v>
      </c>
      <c r="AF140" s="56">
        <f t="shared" ref="AF140" si="1290">+AE140-AF142</f>
        <v>0</v>
      </c>
      <c r="AG140" s="56">
        <f t="shared" ref="AG140" si="1291">+AF140-AG142</f>
        <v>0</v>
      </c>
      <c r="AH140" s="56">
        <f t="shared" ref="AH140" si="1292">+AG140-AH142</f>
        <v>0</v>
      </c>
      <c r="AI140" s="56">
        <f t="shared" ref="AI140" si="1293">+AH140-AI142</f>
        <v>0</v>
      </c>
      <c r="AJ140" s="56">
        <f t="shared" ref="AJ140" si="1294">+AI140-AJ142</f>
        <v>0</v>
      </c>
      <c r="AK140" s="56">
        <f t="shared" ref="AK140" si="1295">+AJ140-AK142</f>
        <v>0</v>
      </c>
      <c r="AL140" s="56">
        <f t="shared" ref="AL140" si="1296">+AK140-AL142</f>
        <v>0</v>
      </c>
      <c r="AM140" s="56">
        <f t="shared" ref="AM140" si="1297">+AL140-AM142</f>
        <v>0</v>
      </c>
      <c r="AN140" s="56">
        <f t="shared" ref="AN140" si="1298">+AM140-AN142</f>
        <v>0</v>
      </c>
      <c r="AO140" s="56">
        <f t="shared" ref="AO140" si="1299">+AN140-AO142</f>
        <v>0</v>
      </c>
      <c r="AP140" s="56">
        <f t="shared" ref="AP140" si="1300">+AO140-AP142</f>
        <v>0</v>
      </c>
      <c r="AQ140" s="56">
        <f t="shared" ref="AQ140" si="1301">+AP140-AQ142</f>
        <v>0</v>
      </c>
      <c r="AR140" s="56">
        <f t="shared" ref="AR140" si="1302">+AQ140-AR142</f>
        <v>0</v>
      </c>
      <c r="AS140" s="56">
        <f t="shared" ref="AS140" si="1303">+AR140-AS142</f>
        <v>0</v>
      </c>
      <c r="AT140" s="56">
        <f t="shared" ref="AT140" si="1304">+AS140-AT142</f>
        <v>0</v>
      </c>
      <c r="AU140" s="56">
        <f t="shared" ref="AU140" si="1305">+AT140-AU142</f>
        <v>0</v>
      </c>
      <c r="AV140" s="56">
        <f t="shared" ref="AV140" si="1306">+AU140-AV142</f>
        <v>0</v>
      </c>
      <c r="AW140" s="56">
        <f t="shared" ref="AW140" si="1307">+AV140-AW142</f>
        <v>0</v>
      </c>
      <c r="AX140" s="56">
        <f t="shared" ref="AX140" si="1308">+AW140-AX142</f>
        <v>0</v>
      </c>
      <c r="AY140" s="56">
        <f t="shared" ref="AY140" si="1309">+AX140-AY142</f>
        <v>0</v>
      </c>
      <c r="AZ140" s="56">
        <f t="shared" ref="AZ140" si="1310">+AY140-AZ142</f>
        <v>0</v>
      </c>
      <c r="BA140" s="56">
        <f t="shared" ref="BA140" si="1311">+AZ140-BA142</f>
        <v>0</v>
      </c>
    </row>
    <row r="141" spans="2:53" x14ac:dyDescent="0.2">
      <c r="B141" s="57" t="s">
        <v>29</v>
      </c>
      <c r="C141" s="64">
        <f>+AA140/((1-(1/(1+$C$9)^$C$8))/$C$9)</f>
        <v>0</v>
      </c>
      <c r="D141" s="44"/>
      <c r="E141" s="44"/>
      <c r="F141" s="44"/>
      <c r="G141" s="44"/>
      <c r="H141" s="44"/>
      <c r="I141" s="44"/>
      <c r="J141" s="44"/>
      <c r="K141" s="44"/>
      <c r="L141" s="44"/>
      <c r="M141" s="44"/>
      <c r="N141" s="44"/>
      <c r="O141" s="56"/>
      <c r="P141" s="56"/>
      <c r="Q141" s="56"/>
      <c r="R141" s="56"/>
      <c r="S141" s="56"/>
      <c r="T141" s="56"/>
      <c r="U141" s="56"/>
      <c r="V141" s="56"/>
      <c r="W141" s="56"/>
      <c r="X141" s="56"/>
      <c r="Y141" s="56"/>
      <c r="Z141" s="56"/>
      <c r="AA141" s="56">
        <v>0</v>
      </c>
      <c r="AB141" s="56">
        <f>+IF(AA140&lt;0.01,0,$C$141)</f>
        <v>0</v>
      </c>
      <c r="AC141" s="56">
        <f t="shared" ref="AC141:BA141" si="1312">+IF(AB140&lt;0.01,0,$C$141)</f>
        <v>0</v>
      </c>
      <c r="AD141" s="56">
        <f t="shared" si="1312"/>
        <v>0</v>
      </c>
      <c r="AE141" s="56">
        <f t="shared" si="1312"/>
        <v>0</v>
      </c>
      <c r="AF141" s="56">
        <f t="shared" si="1312"/>
        <v>0</v>
      </c>
      <c r="AG141" s="56">
        <f t="shared" si="1312"/>
        <v>0</v>
      </c>
      <c r="AH141" s="56">
        <f t="shared" si="1312"/>
        <v>0</v>
      </c>
      <c r="AI141" s="56">
        <f t="shared" si="1312"/>
        <v>0</v>
      </c>
      <c r="AJ141" s="56">
        <f t="shared" si="1312"/>
        <v>0</v>
      </c>
      <c r="AK141" s="56">
        <f t="shared" si="1312"/>
        <v>0</v>
      </c>
      <c r="AL141" s="56">
        <f t="shared" si="1312"/>
        <v>0</v>
      </c>
      <c r="AM141" s="56">
        <f t="shared" si="1312"/>
        <v>0</v>
      </c>
      <c r="AN141" s="56">
        <f t="shared" si="1312"/>
        <v>0</v>
      </c>
      <c r="AO141" s="56">
        <f t="shared" si="1312"/>
        <v>0</v>
      </c>
      <c r="AP141" s="56">
        <f t="shared" si="1312"/>
        <v>0</v>
      </c>
      <c r="AQ141" s="56">
        <f t="shared" si="1312"/>
        <v>0</v>
      </c>
      <c r="AR141" s="56">
        <f t="shared" si="1312"/>
        <v>0</v>
      </c>
      <c r="AS141" s="56">
        <f t="shared" si="1312"/>
        <v>0</v>
      </c>
      <c r="AT141" s="56">
        <f t="shared" si="1312"/>
        <v>0</v>
      </c>
      <c r="AU141" s="56">
        <f t="shared" si="1312"/>
        <v>0</v>
      </c>
      <c r="AV141" s="56">
        <f t="shared" si="1312"/>
        <v>0</v>
      </c>
      <c r="AW141" s="56">
        <f t="shared" si="1312"/>
        <v>0</v>
      </c>
      <c r="AX141" s="56">
        <f t="shared" si="1312"/>
        <v>0</v>
      </c>
      <c r="AY141" s="56">
        <f t="shared" si="1312"/>
        <v>0</v>
      </c>
      <c r="AZ141" s="56">
        <f t="shared" si="1312"/>
        <v>0</v>
      </c>
      <c r="BA141" s="56">
        <f t="shared" si="1312"/>
        <v>0</v>
      </c>
    </row>
    <row r="142" spans="2:53" x14ac:dyDescent="0.2">
      <c r="B142" s="57" t="s">
        <v>30</v>
      </c>
      <c r="C142" s="65" t="s">
        <v>75</v>
      </c>
      <c r="D142" s="44"/>
      <c r="E142" s="44"/>
      <c r="F142" s="44"/>
      <c r="G142" s="44"/>
      <c r="H142" s="44"/>
      <c r="I142" s="44"/>
      <c r="J142" s="44"/>
      <c r="K142" s="44"/>
      <c r="L142" s="44"/>
      <c r="M142" s="44"/>
      <c r="N142" s="44"/>
      <c r="O142" s="56"/>
      <c r="P142" s="56"/>
      <c r="Q142" s="56"/>
      <c r="R142" s="56"/>
      <c r="S142" s="56"/>
      <c r="T142" s="56"/>
      <c r="U142" s="56"/>
      <c r="V142" s="56"/>
      <c r="W142" s="56"/>
      <c r="X142" s="56"/>
      <c r="Y142" s="56"/>
      <c r="Z142" s="56"/>
      <c r="AA142" s="56">
        <v>0</v>
      </c>
      <c r="AB142" s="56">
        <f t="shared" ref="AB142:BA142" si="1313">+AB141-AB143</f>
        <v>0</v>
      </c>
      <c r="AC142" s="56">
        <f t="shared" si="1313"/>
        <v>0</v>
      </c>
      <c r="AD142" s="56">
        <f t="shared" si="1313"/>
        <v>0</v>
      </c>
      <c r="AE142" s="56">
        <f t="shared" si="1313"/>
        <v>0</v>
      </c>
      <c r="AF142" s="56">
        <f t="shared" si="1313"/>
        <v>0</v>
      </c>
      <c r="AG142" s="56">
        <f t="shared" si="1313"/>
        <v>0</v>
      </c>
      <c r="AH142" s="56">
        <f t="shared" si="1313"/>
        <v>0</v>
      </c>
      <c r="AI142" s="56">
        <f t="shared" si="1313"/>
        <v>0</v>
      </c>
      <c r="AJ142" s="56">
        <f t="shared" si="1313"/>
        <v>0</v>
      </c>
      <c r="AK142" s="56">
        <f t="shared" si="1313"/>
        <v>0</v>
      </c>
      <c r="AL142" s="56">
        <f t="shared" si="1313"/>
        <v>0</v>
      </c>
      <c r="AM142" s="56">
        <f t="shared" si="1313"/>
        <v>0</v>
      </c>
      <c r="AN142" s="56">
        <f t="shared" si="1313"/>
        <v>0</v>
      </c>
      <c r="AO142" s="56">
        <f t="shared" si="1313"/>
        <v>0</v>
      </c>
      <c r="AP142" s="56">
        <f t="shared" si="1313"/>
        <v>0</v>
      </c>
      <c r="AQ142" s="56">
        <f t="shared" si="1313"/>
        <v>0</v>
      </c>
      <c r="AR142" s="56">
        <f t="shared" si="1313"/>
        <v>0</v>
      </c>
      <c r="AS142" s="56">
        <f t="shared" si="1313"/>
        <v>0</v>
      </c>
      <c r="AT142" s="56">
        <f t="shared" si="1313"/>
        <v>0</v>
      </c>
      <c r="AU142" s="56">
        <f t="shared" si="1313"/>
        <v>0</v>
      </c>
      <c r="AV142" s="56">
        <f t="shared" si="1313"/>
        <v>0</v>
      </c>
      <c r="AW142" s="56">
        <f t="shared" si="1313"/>
        <v>0</v>
      </c>
      <c r="AX142" s="56">
        <f t="shared" si="1313"/>
        <v>0</v>
      </c>
      <c r="AY142" s="56">
        <f t="shared" si="1313"/>
        <v>0</v>
      </c>
      <c r="AZ142" s="56">
        <f t="shared" si="1313"/>
        <v>0</v>
      </c>
      <c r="BA142" s="56">
        <f t="shared" si="1313"/>
        <v>0</v>
      </c>
    </row>
    <row r="143" spans="2:53" x14ac:dyDescent="0.2">
      <c r="B143" s="57" t="s">
        <v>3</v>
      </c>
      <c r="C143" s="65" t="s">
        <v>75</v>
      </c>
      <c r="D143" s="44"/>
      <c r="E143" s="44"/>
      <c r="F143" s="44"/>
      <c r="G143" s="44"/>
      <c r="H143" s="44"/>
      <c r="I143" s="44"/>
      <c r="J143" s="44"/>
      <c r="K143" s="44"/>
      <c r="L143" s="44"/>
      <c r="M143" s="44"/>
      <c r="N143" s="44"/>
      <c r="O143" s="56"/>
      <c r="P143" s="56"/>
      <c r="Q143" s="56"/>
      <c r="R143" s="56"/>
      <c r="S143" s="56"/>
      <c r="T143" s="56"/>
      <c r="U143" s="56"/>
      <c r="V143" s="56"/>
      <c r="W143" s="56"/>
      <c r="X143" s="56"/>
      <c r="Y143" s="56"/>
      <c r="Z143" s="56"/>
      <c r="AA143" s="56">
        <v>0</v>
      </c>
      <c r="AB143" s="56">
        <f t="shared" ref="AB143" si="1314">+$C$9*AA140</f>
        <v>0</v>
      </c>
      <c r="AC143" s="56">
        <f t="shared" ref="AC143" si="1315">+$C$9*AB140</f>
        <v>0</v>
      </c>
      <c r="AD143" s="56">
        <f t="shared" ref="AD143" si="1316">+$C$9*AC140</f>
        <v>0</v>
      </c>
      <c r="AE143" s="56">
        <f t="shared" ref="AE143" si="1317">+$C$9*AD140</f>
        <v>0</v>
      </c>
      <c r="AF143" s="56">
        <f t="shared" ref="AF143" si="1318">+$C$9*AE140</f>
        <v>0</v>
      </c>
      <c r="AG143" s="56">
        <f t="shared" ref="AG143" si="1319">+$C$9*AF140</f>
        <v>0</v>
      </c>
      <c r="AH143" s="56">
        <f t="shared" ref="AH143" si="1320">+$C$9*AG140</f>
        <v>0</v>
      </c>
      <c r="AI143" s="56">
        <f t="shared" ref="AI143" si="1321">+$C$9*AH140</f>
        <v>0</v>
      </c>
      <c r="AJ143" s="56">
        <f t="shared" ref="AJ143" si="1322">+$C$9*AI140</f>
        <v>0</v>
      </c>
      <c r="AK143" s="56">
        <f t="shared" ref="AK143" si="1323">+$C$9*AJ140</f>
        <v>0</v>
      </c>
      <c r="AL143" s="56">
        <f t="shared" ref="AL143" si="1324">+$C$9*AK140</f>
        <v>0</v>
      </c>
      <c r="AM143" s="56">
        <f t="shared" ref="AM143" si="1325">+$C$9*AL140</f>
        <v>0</v>
      </c>
      <c r="AN143" s="56">
        <f t="shared" ref="AN143" si="1326">+$C$9*AM140</f>
        <v>0</v>
      </c>
      <c r="AO143" s="56">
        <f t="shared" ref="AO143" si="1327">+$C$9*AN140</f>
        <v>0</v>
      </c>
      <c r="AP143" s="56">
        <f t="shared" ref="AP143" si="1328">+$C$9*AO140</f>
        <v>0</v>
      </c>
      <c r="AQ143" s="56">
        <f t="shared" ref="AQ143" si="1329">+$C$9*AP140</f>
        <v>0</v>
      </c>
      <c r="AR143" s="56">
        <f t="shared" ref="AR143" si="1330">+$C$9*AQ140</f>
        <v>0</v>
      </c>
      <c r="AS143" s="56">
        <f t="shared" ref="AS143" si="1331">+$C$9*AR140</f>
        <v>0</v>
      </c>
      <c r="AT143" s="56">
        <f t="shared" ref="AT143" si="1332">+$C$9*AS140</f>
        <v>0</v>
      </c>
      <c r="AU143" s="56">
        <f t="shared" ref="AU143" si="1333">+$C$9*AT140</f>
        <v>0</v>
      </c>
      <c r="AV143" s="56">
        <f t="shared" ref="AV143" si="1334">+$C$9*AU140</f>
        <v>0</v>
      </c>
      <c r="AW143" s="56">
        <f t="shared" ref="AW143" si="1335">+$C$9*AV140</f>
        <v>0</v>
      </c>
      <c r="AX143" s="56">
        <f t="shared" ref="AX143" si="1336">+$C$9*AW140</f>
        <v>0</v>
      </c>
      <c r="AY143" s="56">
        <f t="shared" ref="AY143" si="1337">+$C$9*AX140</f>
        <v>0</v>
      </c>
      <c r="AZ143" s="56">
        <f t="shared" ref="AZ143" si="1338">+$C$9*AY140</f>
        <v>0</v>
      </c>
      <c r="BA143" s="56">
        <f t="shared" ref="BA143" si="1339">+$C$9*AZ140</f>
        <v>0</v>
      </c>
    </row>
    <row r="144" spans="2:53" x14ac:dyDescent="0.2">
      <c r="B144" s="57"/>
      <c r="D144" s="44"/>
      <c r="E144" s="44"/>
      <c r="F144" s="44"/>
      <c r="G144" s="44"/>
      <c r="H144" s="44"/>
      <c r="I144" s="44"/>
      <c r="J144" s="44"/>
      <c r="K144" s="44"/>
      <c r="L144" s="44"/>
      <c r="M144" s="44"/>
      <c r="N144" s="44"/>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row>
    <row r="145" spans="2:53" x14ac:dyDescent="0.2">
      <c r="B145" s="46" t="s">
        <v>69</v>
      </c>
      <c r="C145" s="65" t="s">
        <v>75</v>
      </c>
      <c r="D145" s="44"/>
      <c r="E145" s="44"/>
      <c r="F145" s="44"/>
      <c r="G145" s="6"/>
      <c r="H145" s="44"/>
      <c r="I145" s="44"/>
      <c r="J145" s="44"/>
      <c r="K145" s="44"/>
      <c r="L145" s="44"/>
      <c r="M145" s="44"/>
      <c r="N145" s="44"/>
      <c r="O145" s="56"/>
      <c r="P145" s="56"/>
      <c r="Q145" s="56"/>
      <c r="R145" s="56"/>
      <c r="S145" s="56"/>
      <c r="T145" s="56"/>
      <c r="U145" s="56"/>
      <c r="V145" s="56"/>
      <c r="W145" s="56"/>
      <c r="X145" s="56"/>
      <c r="Y145" s="56"/>
      <c r="Z145" s="56"/>
      <c r="AA145" s="56"/>
      <c r="AB145" s="56">
        <f>AB18</f>
        <v>0</v>
      </c>
      <c r="AC145" s="56">
        <f t="shared" ref="AC145" si="1340">+AB145-AC147</f>
        <v>0</v>
      </c>
      <c r="AD145" s="56">
        <f t="shared" ref="AD145" si="1341">+AC145-AD147</f>
        <v>0</v>
      </c>
      <c r="AE145" s="56">
        <f t="shared" ref="AE145" si="1342">+AD145-AE147</f>
        <v>0</v>
      </c>
      <c r="AF145" s="56">
        <f t="shared" ref="AF145" si="1343">+AE145-AF147</f>
        <v>0</v>
      </c>
      <c r="AG145" s="56">
        <f t="shared" ref="AG145" si="1344">+AF145-AG147</f>
        <v>0</v>
      </c>
      <c r="AH145" s="56">
        <f t="shared" ref="AH145" si="1345">+AG145-AH147</f>
        <v>0</v>
      </c>
      <c r="AI145" s="56">
        <f t="shared" ref="AI145" si="1346">+AH145-AI147</f>
        <v>0</v>
      </c>
      <c r="AJ145" s="56">
        <f t="shared" ref="AJ145" si="1347">+AI145-AJ147</f>
        <v>0</v>
      </c>
      <c r="AK145" s="56">
        <f t="shared" ref="AK145" si="1348">+AJ145-AK147</f>
        <v>0</v>
      </c>
      <c r="AL145" s="56">
        <f t="shared" ref="AL145" si="1349">+AK145-AL147</f>
        <v>0</v>
      </c>
      <c r="AM145" s="56">
        <f t="shared" ref="AM145" si="1350">+AL145-AM147</f>
        <v>0</v>
      </c>
      <c r="AN145" s="56">
        <f t="shared" ref="AN145" si="1351">+AM145-AN147</f>
        <v>0</v>
      </c>
      <c r="AO145" s="56">
        <f t="shared" ref="AO145" si="1352">+AN145-AO147</f>
        <v>0</v>
      </c>
      <c r="AP145" s="56">
        <f t="shared" ref="AP145" si="1353">+AO145-AP147</f>
        <v>0</v>
      </c>
      <c r="AQ145" s="56">
        <f t="shared" ref="AQ145" si="1354">+AP145-AQ147</f>
        <v>0</v>
      </c>
      <c r="AR145" s="56">
        <f t="shared" ref="AR145" si="1355">+AQ145-AR147</f>
        <v>0</v>
      </c>
      <c r="AS145" s="56">
        <f t="shared" ref="AS145" si="1356">+AR145-AS147</f>
        <v>0</v>
      </c>
      <c r="AT145" s="56">
        <f t="shared" ref="AT145" si="1357">+AS145-AT147</f>
        <v>0</v>
      </c>
      <c r="AU145" s="56">
        <f t="shared" ref="AU145" si="1358">+AT145-AU147</f>
        <v>0</v>
      </c>
      <c r="AV145" s="56">
        <f t="shared" ref="AV145" si="1359">+AU145-AV147</f>
        <v>0</v>
      </c>
      <c r="AW145" s="56">
        <f t="shared" ref="AW145" si="1360">+AV145-AW147</f>
        <v>0</v>
      </c>
      <c r="AX145" s="56">
        <f t="shared" ref="AX145" si="1361">+AW145-AX147</f>
        <v>0</v>
      </c>
      <c r="AY145" s="56">
        <f t="shared" ref="AY145" si="1362">+AX145-AY147</f>
        <v>0</v>
      </c>
      <c r="AZ145" s="56">
        <f t="shared" ref="AZ145" si="1363">+AY145-AZ147</f>
        <v>0</v>
      </c>
      <c r="BA145" s="56">
        <f t="shared" ref="BA145" si="1364">+AZ145-BA147</f>
        <v>0</v>
      </c>
    </row>
    <row r="146" spans="2:53" x14ac:dyDescent="0.2">
      <c r="B146" s="57" t="s">
        <v>29</v>
      </c>
      <c r="C146" s="64">
        <f>+AB145/((1-(1/(1+$C$9)^$C$8))/$C$9)</f>
        <v>0</v>
      </c>
      <c r="D146" s="44"/>
      <c r="E146" s="44"/>
      <c r="F146" s="44"/>
      <c r="G146" s="6"/>
      <c r="H146" s="44"/>
      <c r="I146" s="44"/>
      <c r="J146" s="44"/>
      <c r="K146" s="44"/>
      <c r="L146" s="44"/>
      <c r="M146" s="44"/>
      <c r="N146" s="44"/>
      <c r="O146" s="56"/>
      <c r="P146" s="56"/>
      <c r="Q146" s="56"/>
      <c r="R146" s="56"/>
      <c r="S146" s="56"/>
      <c r="T146" s="56"/>
      <c r="U146" s="56"/>
      <c r="V146" s="56"/>
      <c r="W146" s="56"/>
      <c r="X146" s="56"/>
      <c r="Y146" s="56"/>
      <c r="Z146" s="56"/>
      <c r="AA146" s="56"/>
      <c r="AB146" s="56">
        <v>0</v>
      </c>
      <c r="AC146" s="56">
        <f>+IF(AB145&lt;0.01,0,$C$146)</f>
        <v>0</v>
      </c>
      <c r="AD146" s="56">
        <f t="shared" ref="AD146:BA146" si="1365">+IF(AC145&lt;0.01,0,$C$146)</f>
        <v>0</v>
      </c>
      <c r="AE146" s="56">
        <f t="shared" si="1365"/>
        <v>0</v>
      </c>
      <c r="AF146" s="56">
        <f t="shared" si="1365"/>
        <v>0</v>
      </c>
      <c r="AG146" s="56">
        <f t="shared" si="1365"/>
        <v>0</v>
      </c>
      <c r="AH146" s="56">
        <f t="shared" si="1365"/>
        <v>0</v>
      </c>
      <c r="AI146" s="56">
        <f t="shared" si="1365"/>
        <v>0</v>
      </c>
      <c r="AJ146" s="56">
        <f t="shared" si="1365"/>
        <v>0</v>
      </c>
      <c r="AK146" s="56">
        <f t="shared" si="1365"/>
        <v>0</v>
      </c>
      <c r="AL146" s="56">
        <f t="shared" si="1365"/>
        <v>0</v>
      </c>
      <c r="AM146" s="56">
        <f t="shared" si="1365"/>
        <v>0</v>
      </c>
      <c r="AN146" s="56">
        <f t="shared" si="1365"/>
        <v>0</v>
      </c>
      <c r="AO146" s="56">
        <f t="shared" si="1365"/>
        <v>0</v>
      </c>
      <c r="AP146" s="56">
        <f t="shared" si="1365"/>
        <v>0</v>
      </c>
      <c r="AQ146" s="56">
        <f t="shared" si="1365"/>
        <v>0</v>
      </c>
      <c r="AR146" s="56">
        <f t="shared" si="1365"/>
        <v>0</v>
      </c>
      <c r="AS146" s="56">
        <f t="shared" si="1365"/>
        <v>0</v>
      </c>
      <c r="AT146" s="56">
        <f t="shared" si="1365"/>
        <v>0</v>
      </c>
      <c r="AU146" s="56">
        <f t="shared" si="1365"/>
        <v>0</v>
      </c>
      <c r="AV146" s="56">
        <f t="shared" si="1365"/>
        <v>0</v>
      </c>
      <c r="AW146" s="56">
        <f t="shared" si="1365"/>
        <v>0</v>
      </c>
      <c r="AX146" s="56">
        <f t="shared" si="1365"/>
        <v>0</v>
      </c>
      <c r="AY146" s="56">
        <f t="shared" si="1365"/>
        <v>0</v>
      </c>
      <c r="AZ146" s="56">
        <f t="shared" si="1365"/>
        <v>0</v>
      </c>
      <c r="BA146" s="56">
        <f t="shared" si="1365"/>
        <v>0</v>
      </c>
    </row>
    <row r="147" spans="2:53" x14ac:dyDescent="0.2">
      <c r="B147" s="57" t="s">
        <v>30</v>
      </c>
      <c r="C147" s="65" t="s">
        <v>75</v>
      </c>
      <c r="D147" s="44"/>
      <c r="E147" s="44"/>
      <c r="F147" s="44"/>
      <c r="G147" s="6"/>
      <c r="H147" s="44"/>
      <c r="I147" s="44"/>
      <c r="J147" s="44"/>
      <c r="K147" s="44"/>
      <c r="L147" s="44"/>
      <c r="M147" s="44"/>
      <c r="N147" s="44"/>
      <c r="O147" s="56"/>
      <c r="P147" s="56"/>
      <c r="Q147" s="56"/>
      <c r="R147" s="56"/>
      <c r="S147" s="56"/>
      <c r="T147" s="56"/>
      <c r="U147" s="56"/>
      <c r="V147" s="56"/>
      <c r="W147" s="56"/>
      <c r="X147" s="56"/>
      <c r="Y147" s="56"/>
      <c r="Z147" s="56"/>
      <c r="AA147" s="56"/>
      <c r="AB147" s="56">
        <v>0</v>
      </c>
      <c r="AC147" s="56">
        <f t="shared" ref="AC147:BA147" si="1366">+AC146-AC148</f>
        <v>0</v>
      </c>
      <c r="AD147" s="56">
        <f t="shared" si="1366"/>
        <v>0</v>
      </c>
      <c r="AE147" s="56">
        <f t="shared" si="1366"/>
        <v>0</v>
      </c>
      <c r="AF147" s="56">
        <f t="shared" si="1366"/>
        <v>0</v>
      </c>
      <c r="AG147" s="56">
        <f t="shared" si="1366"/>
        <v>0</v>
      </c>
      <c r="AH147" s="56">
        <f t="shared" si="1366"/>
        <v>0</v>
      </c>
      <c r="AI147" s="56">
        <f t="shared" si="1366"/>
        <v>0</v>
      </c>
      <c r="AJ147" s="56">
        <f t="shared" si="1366"/>
        <v>0</v>
      </c>
      <c r="AK147" s="56">
        <f t="shared" si="1366"/>
        <v>0</v>
      </c>
      <c r="AL147" s="56">
        <f t="shared" si="1366"/>
        <v>0</v>
      </c>
      <c r="AM147" s="56">
        <f t="shared" si="1366"/>
        <v>0</v>
      </c>
      <c r="AN147" s="56">
        <f t="shared" si="1366"/>
        <v>0</v>
      </c>
      <c r="AO147" s="56">
        <f t="shared" si="1366"/>
        <v>0</v>
      </c>
      <c r="AP147" s="56">
        <f t="shared" si="1366"/>
        <v>0</v>
      </c>
      <c r="AQ147" s="56">
        <f t="shared" si="1366"/>
        <v>0</v>
      </c>
      <c r="AR147" s="56">
        <f t="shared" si="1366"/>
        <v>0</v>
      </c>
      <c r="AS147" s="56">
        <f t="shared" si="1366"/>
        <v>0</v>
      </c>
      <c r="AT147" s="56">
        <f t="shared" si="1366"/>
        <v>0</v>
      </c>
      <c r="AU147" s="56">
        <f t="shared" si="1366"/>
        <v>0</v>
      </c>
      <c r="AV147" s="56">
        <f t="shared" si="1366"/>
        <v>0</v>
      </c>
      <c r="AW147" s="56">
        <f t="shared" si="1366"/>
        <v>0</v>
      </c>
      <c r="AX147" s="56">
        <f t="shared" si="1366"/>
        <v>0</v>
      </c>
      <c r="AY147" s="56">
        <f t="shared" si="1366"/>
        <v>0</v>
      </c>
      <c r="AZ147" s="56">
        <f t="shared" si="1366"/>
        <v>0</v>
      </c>
      <c r="BA147" s="56">
        <f t="shared" si="1366"/>
        <v>0</v>
      </c>
    </row>
    <row r="148" spans="2:53" x14ac:dyDescent="0.2">
      <c r="B148" s="57" t="s">
        <v>3</v>
      </c>
      <c r="C148" s="65" t="s">
        <v>75</v>
      </c>
      <c r="D148" s="44"/>
      <c r="E148" s="44"/>
      <c r="F148" s="44"/>
      <c r="G148" s="6"/>
      <c r="H148" s="44"/>
      <c r="I148" s="44"/>
      <c r="J148" s="44"/>
      <c r="K148" s="44"/>
      <c r="L148" s="44"/>
      <c r="M148" s="44"/>
      <c r="N148" s="44"/>
      <c r="O148" s="56"/>
      <c r="P148" s="56"/>
      <c r="Q148" s="56"/>
      <c r="R148" s="56"/>
      <c r="S148" s="56"/>
      <c r="T148" s="56"/>
      <c r="U148" s="56"/>
      <c r="V148" s="56"/>
      <c r="W148" s="56"/>
      <c r="X148" s="56"/>
      <c r="Y148" s="56"/>
      <c r="Z148" s="56"/>
      <c r="AA148" s="56"/>
      <c r="AB148" s="56">
        <v>0</v>
      </c>
      <c r="AC148" s="56">
        <f t="shared" ref="AC148" si="1367">+$C$9*AB145</f>
        <v>0</v>
      </c>
      <c r="AD148" s="56">
        <f t="shared" ref="AD148" si="1368">+$C$9*AC145</f>
        <v>0</v>
      </c>
      <c r="AE148" s="56">
        <f t="shared" ref="AE148" si="1369">+$C$9*AD145</f>
        <v>0</v>
      </c>
      <c r="AF148" s="56">
        <f t="shared" ref="AF148" si="1370">+$C$9*AE145</f>
        <v>0</v>
      </c>
      <c r="AG148" s="56">
        <f t="shared" ref="AG148" si="1371">+$C$9*AF145</f>
        <v>0</v>
      </c>
      <c r="AH148" s="56">
        <f t="shared" ref="AH148" si="1372">+$C$9*AG145</f>
        <v>0</v>
      </c>
      <c r="AI148" s="56">
        <f t="shared" ref="AI148" si="1373">+$C$9*AH145</f>
        <v>0</v>
      </c>
      <c r="AJ148" s="56">
        <f t="shared" ref="AJ148" si="1374">+$C$9*AI145</f>
        <v>0</v>
      </c>
      <c r="AK148" s="56">
        <f t="shared" ref="AK148" si="1375">+$C$9*AJ145</f>
        <v>0</v>
      </c>
      <c r="AL148" s="56">
        <f t="shared" ref="AL148" si="1376">+$C$9*AK145</f>
        <v>0</v>
      </c>
      <c r="AM148" s="56">
        <f t="shared" ref="AM148" si="1377">+$C$9*AL145</f>
        <v>0</v>
      </c>
      <c r="AN148" s="56">
        <f t="shared" ref="AN148" si="1378">+$C$9*AM145</f>
        <v>0</v>
      </c>
      <c r="AO148" s="56">
        <f t="shared" ref="AO148" si="1379">+$C$9*AN145</f>
        <v>0</v>
      </c>
      <c r="AP148" s="56">
        <f t="shared" ref="AP148" si="1380">+$C$9*AO145</f>
        <v>0</v>
      </c>
      <c r="AQ148" s="56">
        <f t="shared" ref="AQ148" si="1381">+$C$9*AP145</f>
        <v>0</v>
      </c>
      <c r="AR148" s="56">
        <f t="shared" ref="AR148" si="1382">+$C$9*AQ145</f>
        <v>0</v>
      </c>
      <c r="AS148" s="56">
        <f t="shared" ref="AS148" si="1383">+$C$9*AR145</f>
        <v>0</v>
      </c>
      <c r="AT148" s="56">
        <f t="shared" ref="AT148" si="1384">+$C$9*AS145</f>
        <v>0</v>
      </c>
      <c r="AU148" s="56">
        <f t="shared" ref="AU148" si="1385">+$C$9*AT145</f>
        <v>0</v>
      </c>
      <c r="AV148" s="56">
        <f t="shared" ref="AV148" si="1386">+$C$9*AU145</f>
        <v>0</v>
      </c>
      <c r="AW148" s="56">
        <f t="shared" ref="AW148" si="1387">+$C$9*AV145</f>
        <v>0</v>
      </c>
      <c r="AX148" s="56">
        <f t="shared" ref="AX148" si="1388">+$C$9*AW145</f>
        <v>0</v>
      </c>
      <c r="AY148" s="56">
        <f t="shared" ref="AY148" si="1389">+$C$9*AX145</f>
        <v>0</v>
      </c>
      <c r="AZ148" s="56">
        <f t="shared" ref="AZ148" si="1390">+$C$9*AY145</f>
        <v>0</v>
      </c>
      <c r="BA148" s="56">
        <f t="shared" ref="BA148" si="1391">+$C$9*AZ145</f>
        <v>0</v>
      </c>
    </row>
    <row r="149" spans="2:53" x14ac:dyDescent="0.2">
      <c r="B149" s="57"/>
      <c r="D149" s="44"/>
      <c r="E149" s="44"/>
      <c r="F149" s="44"/>
      <c r="G149" s="44"/>
      <c r="H149" s="44"/>
      <c r="I149" s="44"/>
      <c r="J149" s="44"/>
      <c r="K149" s="44"/>
      <c r="L149" s="44"/>
      <c r="M149" s="44"/>
      <c r="N149" s="44"/>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row>
    <row r="150" spans="2:53" x14ac:dyDescent="0.2">
      <c r="B150" s="46" t="s">
        <v>70</v>
      </c>
      <c r="C150" s="65" t="s">
        <v>75</v>
      </c>
      <c r="D150" s="44"/>
      <c r="E150" s="44"/>
      <c r="F150" s="44"/>
      <c r="G150" s="6"/>
      <c r="H150" s="6"/>
      <c r="I150" s="44"/>
      <c r="J150" s="44"/>
      <c r="K150" s="44"/>
      <c r="L150" s="44"/>
      <c r="M150" s="44"/>
      <c r="N150" s="44"/>
      <c r="O150" s="56"/>
      <c r="P150" s="56"/>
      <c r="Q150" s="56"/>
      <c r="R150" s="56"/>
      <c r="S150" s="56"/>
      <c r="T150" s="56"/>
      <c r="U150" s="56"/>
      <c r="V150" s="56"/>
      <c r="W150" s="56"/>
      <c r="X150" s="56"/>
      <c r="Y150" s="56"/>
      <c r="Z150" s="56"/>
      <c r="AA150" s="56"/>
      <c r="AB150" s="56"/>
      <c r="AC150" s="56">
        <f>AC18</f>
        <v>0</v>
      </c>
      <c r="AD150" s="56">
        <f t="shared" ref="AD150" si="1392">+AC150-AD152</f>
        <v>0</v>
      </c>
      <c r="AE150" s="56">
        <f t="shared" ref="AE150" si="1393">+AD150-AE152</f>
        <v>0</v>
      </c>
      <c r="AF150" s="56">
        <f t="shared" ref="AF150" si="1394">+AE150-AF152</f>
        <v>0</v>
      </c>
      <c r="AG150" s="56">
        <f t="shared" ref="AG150" si="1395">+AF150-AG152</f>
        <v>0</v>
      </c>
      <c r="AH150" s="56">
        <f t="shared" ref="AH150" si="1396">+AG150-AH152</f>
        <v>0</v>
      </c>
      <c r="AI150" s="56">
        <f t="shared" ref="AI150" si="1397">+AH150-AI152</f>
        <v>0</v>
      </c>
      <c r="AJ150" s="56">
        <f t="shared" ref="AJ150" si="1398">+AI150-AJ152</f>
        <v>0</v>
      </c>
      <c r="AK150" s="56">
        <f t="shared" ref="AK150" si="1399">+AJ150-AK152</f>
        <v>0</v>
      </c>
      <c r="AL150" s="56">
        <f t="shared" ref="AL150" si="1400">+AK150-AL152</f>
        <v>0</v>
      </c>
      <c r="AM150" s="56">
        <f t="shared" ref="AM150" si="1401">+AL150-AM152</f>
        <v>0</v>
      </c>
      <c r="AN150" s="56">
        <f t="shared" ref="AN150" si="1402">+AM150-AN152</f>
        <v>0</v>
      </c>
      <c r="AO150" s="56">
        <f t="shared" ref="AO150" si="1403">+AN150-AO152</f>
        <v>0</v>
      </c>
      <c r="AP150" s="56">
        <f t="shared" ref="AP150" si="1404">+AO150-AP152</f>
        <v>0</v>
      </c>
      <c r="AQ150" s="56">
        <f t="shared" ref="AQ150" si="1405">+AP150-AQ152</f>
        <v>0</v>
      </c>
      <c r="AR150" s="56">
        <f t="shared" ref="AR150" si="1406">+AQ150-AR152</f>
        <v>0</v>
      </c>
      <c r="AS150" s="56">
        <f t="shared" ref="AS150" si="1407">+AR150-AS152</f>
        <v>0</v>
      </c>
      <c r="AT150" s="56">
        <f t="shared" ref="AT150" si="1408">+AS150-AT152</f>
        <v>0</v>
      </c>
      <c r="AU150" s="56">
        <f t="shared" ref="AU150" si="1409">+AT150-AU152</f>
        <v>0</v>
      </c>
      <c r="AV150" s="56">
        <f t="shared" ref="AV150" si="1410">+AU150-AV152</f>
        <v>0</v>
      </c>
      <c r="AW150" s="56">
        <f t="shared" ref="AW150" si="1411">+AV150-AW152</f>
        <v>0</v>
      </c>
      <c r="AX150" s="56">
        <f t="shared" ref="AX150" si="1412">+AW150-AX152</f>
        <v>0</v>
      </c>
      <c r="AY150" s="56">
        <f t="shared" ref="AY150" si="1413">+AX150-AY152</f>
        <v>0</v>
      </c>
      <c r="AZ150" s="56">
        <f t="shared" ref="AZ150" si="1414">+AY150-AZ152</f>
        <v>0</v>
      </c>
      <c r="BA150" s="56">
        <f t="shared" ref="BA150" si="1415">+AZ150-BA152</f>
        <v>0</v>
      </c>
    </row>
    <row r="151" spans="2:53" x14ac:dyDescent="0.2">
      <c r="B151" s="57" t="s">
        <v>29</v>
      </c>
      <c r="C151" s="64">
        <f>+AC150/((1-(1/(1+$C$9)^$C$8))/$C$9)</f>
        <v>0</v>
      </c>
      <c r="D151" s="44"/>
      <c r="E151" s="44"/>
      <c r="F151" s="44"/>
      <c r="G151" s="6"/>
      <c r="H151" s="6"/>
      <c r="I151" s="44"/>
      <c r="J151" s="44"/>
      <c r="K151" s="44"/>
      <c r="L151" s="44"/>
      <c r="M151" s="44"/>
      <c r="N151" s="44"/>
      <c r="O151" s="56"/>
      <c r="P151" s="56"/>
      <c r="Q151" s="56"/>
      <c r="R151" s="56"/>
      <c r="S151" s="56"/>
      <c r="T151" s="56"/>
      <c r="U151" s="56"/>
      <c r="V151" s="56"/>
      <c r="W151" s="56"/>
      <c r="X151" s="56"/>
      <c r="Y151" s="56"/>
      <c r="Z151" s="56"/>
      <c r="AA151" s="56"/>
      <c r="AB151" s="56"/>
      <c r="AC151" s="56">
        <v>0</v>
      </c>
      <c r="AD151" s="56">
        <f>+IF(AC150&lt;0.01,0,$C$151)</f>
        <v>0</v>
      </c>
      <c r="AE151" s="56">
        <f t="shared" ref="AE151:BA151" si="1416">+IF(AD150&lt;0.01,0,$C$151)</f>
        <v>0</v>
      </c>
      <c r="AF151" s="56">
        <f t="shared" si="1416"/>
        <v>0</v>
      </c>
      <c r="AG151" s="56">
        <f t="shared" si="1416"/>
        <v>0</v>
      </c>
      <c r="AH151" s="56">
        <f t="shared" si="1416"/>
        <v>0</v>
      </c>
      <c r="AI151" s="56">
        <f t="shared" si="1416"/>
        <v>0</v>
      </c>
      <c r="AJ151" s="56">
        <f t="shared" si="1416"/>
        <v>0</v>
      </c>
      <c r="AK151" s="56">
        <f t="shared" si="1416"/>
        <v>0</v>
      </c>
      <c r="AL151" s="56">
        <f t="shared" si="1416"/>
        <v>0</v>
      </c>
      <c r="AM151" s="56">
        <f t="shared" si="1416"/>
        <v>0</v>
      </c>
      <c r="AN151" s="56">
        <f t="shared" si="1416"/>
        <v>0</v>
      </c>
      <c r="AO151" s="56">
        <f t="shared" si="1416"/>
        <v>0</v>
      </c>
      <c r="AP151" s="56">
        <f t="shared" si="1416"/>
        <v>0</v>
      </c>
      <c r="AQ151" s="56">
        <f t="shared" si="1416"/>
        <v>0</v>
      </c>
      <c r="AR151" s="56">
        <f t="shared" si="1416"/>
        <v>0</v>
      </c>
      <c r="AS151" s="56">
        <f t="shared" si="1416"/>
        <v>0</v>
      </c>
      <c r="AT151" s="56">
        <f t="shared" si="1416"/>
        <v>0</v>
      </c>
      <c r="AU151" s="56">
        <f t="shared" si="1416"/>
        <v>0</v>
      </c>
      <c r="AV151" s="56">
        <f t="shared" si="1416"/>
        <v>0</v>
      </c>
      <c r="AW151" s="56">
        <f t="shared" si="1416"/>
        <v>0</v>
      </c>
      <c r="AX151" s="56">
        <f t="shared" si="1416"/>
        <v>0</v>
      </c>
      <c r="AY151" s="56">
        <f t="shared" si="1416"/>
        <v>0</v>
      </c>
      <c r="AZ151" s="56">
        <f t="shared" si="1416"/>
        <v>0</v>
      </c>
      <c r="BA151" s="56">
        <f t="shared" si="1416"/>
        <v>0</v>
      </c>
    </row>
    <row r="152" spans="2:53" x14ac:dyDescent="0.2">
      <c r="B152" s="57" t="s">
        <v>30</v>
      </c>
      <c r="C152" s="65" t="s">
        <v>75</v>
      </c>
      <c r="D152" s="44"/>
      <c r="E152" s="44"/>
      <c r="F152" s="44"/>
      <c r="G152" s="6"/>
      <c r="H152" s="6"/>
      <c r="I152" s="44"/>
      <c r="J152" s="44"/>
      <c r="K152" s="44"/>
      <c r="L152" s="44"/>
      <c r="M152" s="44"/>
      <c r="N152" s="44"/>
      <c r="O152" s="56"/>
      <c r="P152" s="56"/>
      <c r="Q152" s="56"/>
      <c r="R152" s="56"/>
      <c r="S152" s="56"/>
      <c r="T152" s="56"/>
      <c r="U152" s="56"/>
      <c r="V152" s="56"/>
      <c r="W152" s="56"/>
      <c r="X152" s="56"/>
      <c r="Y152" s="56"/>
      <c r="Z152" s="56"/>
      <c r="AA152" s="56"/>
      <c r="AB152" s="56"/>
      <c r="AC152" s="56">
        <v>0</v>
      </c>
      <c r="AD152" s="56">
        <f t="shared" ref="AD152:BA152" si="1417">+AD151-AD153</f>
        <v>0</v>
      </c>
      <c r="AE152" s="56">
        <f t="shared" si="1417"/>
        <v>0</v>
      </c>
      <c r="AF152" s="56">
        <f t="shared" si="1417"/>
        <v>0</v>
      </c>
      <c r="AG152" s="56">
        <f t="shared" si="1417"/>
        <v>0</v>
      </c>
      <c r="AH152" s="56">
        <f t="shared" si="1417"/>
        <v>0</v>
      </c>
      <c r="AI152" s="56">
        <f t="shared" si="1417"/>
        <v>0</v>
      </c>
      <c r="AJ152" s="56">
        <f t="shared" si="1417"/>
        <v>0</v>
      </c>
      <c r="AK152" s="56">
        <f t="shared" si="1417"/>
        <v>0</v>
      </c>
      <c r="AL152" s="56">
        <f t="shared" si="1417"/>
        <v>0</v>
      </c>
      <c r="AM152" s="56">
        <f t="shared" si="1417"/>
        <v>0</v>
      </c>
      <c r="AN152" s="56">
        <f t="shared" si="1417"/>
        <v>0</v>
      </c>
      <c r="AO152" s="56">
        <f t="shared" si="1417"/>
        <v>0</v>
      </c>
      <c r="AP152" s="56">
        <f t="shared" si="1417"/>
        <v>0</v>
      </c>
      <c r="AQ152" s="56">
        <f t="shared" si="1417"/>
        <v>0</v>
      </c>
      <c r="AR152" s="56">
        <f t="shared" si="1417"/>
        <v>0</v>
      </c>
      <c r="AS152" s="56">
        <f t="shared" si="1417"/>
        <v>0</v>
      </c>
      <c r="AT152" s="56">
        <f t="shared" si="1417"/>
        <v>0</v>
      </c>
      <c r="AU152" s="56">
        <f t="shared" si="1417"/>
        <v>0</v>
      </c>
      <c r="AV152" s="56">
        <f t="shared" si="1417"/>
        <v>0</v>
      </c>
      <c r="AW152" s="56">
        <f t="shared" si="1417"/>
        <v>0</v>
      </c>
      <c r="AX152" s="56">
        <f t="shared" si="1417"/>
        <v>0</v>
      </c>
      <c r="AY152" s="56">
        <f t="shared" si="1417"/>
        <v>0</v>
      </c>
      <c r="AZ152" s="56">
        <f t="shared" si="1417"/>
        <v>0</v>
      </c>
      <c r="BA152" s="56">
        <f t="shared" si="1417"/>
        <v>0</v>
      </c>
    </row>
    <row r="153" spans="2:53" x14ac:dyDescent="0.2">
      <c r="B153" s="57" t="s">
        <v>3</v>
      </c>
      <c r="C153" s="65" t="s">
        <v>75</v>
      </c>
      <c r="D153" s="44"/>
      <c r="E153" s="44"/>
      <c r="F153" s="44"/>
      <c r="G153" s="6"/>
      <c r="H153" s="6"/>
      <c r="I153" s="44"/>
      <c r="J153" s="44"/>
      <c r="K153" s="44"/>
      <c r="L153" s="44"/>
      <c r="M153" s="44"/>
      <c r="N153" s="44"/>
      <c r="O153" s="56"/>
      <c r="P153" s="56"/>
      <c r="Q153" s="56"/>
      <c r="R153" s="56"/>
      <c r="S153" s="56"/>
      <c r="T153" s="56"/>
      <c r="U153" s="56"/>
      <c r="V153" s="56"/>
      <c r="W153" s="56"/>
      <c r="X153" s="56"/>
      <c r="Y153" s="56"/>
      <c r="Z153" s="56"/>
      <c r="AA153" s="56"/>
      <c r="AB153" s="56"/>
      <c r="AC153" s="56">
        <v>0</v>
      </c>
      <c r="AD153" s="56">
        <f t="shared" ref="AD153" si="1418">+$C$9*AC150</f>
        <v>0</v>
      </c>
      <c r="AE153" s="56">
        <f t="shared" ref="AE153" si="1419">+$C$9*AD150</f>
        <v>0</v>
      </c>
      <c r="AF153" s="56">
        <f t="shared" ref="AF153" si="1420">+$C$9*AE150</f>
        <v>0</v>
      </c>
      <c r="AG153" s="56">
        <f t="shared" ref="AG153" si="1421">+$C$9*AF150</f>
        <v>0</v>
      </c>
      <c r="AH153" s="56">
        <f t="shared" ref="AH153" si="1422">+$C$9*AG150</f>
        <v>0</v>
      </c>
      <c r="AI153" s="56">
        <f t="shared" ref="AI153" si="1423">+$C$9*AH150</f>
        <v>0</v>
      </c>
      <c r="AJ153" s="56">
        <f t="shared" ref="AJ153" si="1424">+$C$9*AI150</f>
        <v>0</v>
      </c>
      <c r="AK153" s="56">
        <f t="shared" ref="AK153" si="1425">+$C$9*AJ150</f>
        <v>0</v>
      </c>
      <c r="AL153" s="56">
        <f t="shared" ref="AL153" si="1426">+$C$9*AK150</f>
        <v>0</v>
      </c>
      <c r="AM153" s="56">
        <f t="shared" ref="AM153" si="1427">+$C$9*AL150</f>
        <v>0</v>
      </c>
      <c r="AN153" s="56">
        <f t="shared" ref="AN153" si="1428">+$C$9*AM150</f>
        <v>0</v>
      </c>
      <c r="AO153" s="56">
        <f t="shared" ref="AO153" si="1429">+$C$9*AN150</f>
        <v>0</v>
      </c>
      <c r="AP153" s="56">
        <f t="shared" ref="AP153" si="1430">+$C$9*AO150</f>
        <v>0</v>
      </c>
      <c r="AQ153" s="56">
        <f t="shared" ref="AQ153" si="1431">+$C$9*AP150</f>
        <v>0</v>
      </c>
      <c r="AR153" s="56">
        <f t="shared" ref="AR153" si="1432">+$C$9*AQ150</f>
        <v>0</v>
      </c>
      <c r="AS153" s="56">
        <f t="shared" ref="AS153" si="1433">+$C$9*AR150</f>
        <v>0</v>
      </c>
      <c r="AT153" s="56">
        <f t="shared" ref="AT153" si="1434">+$C$9*AS150</f>
        <v>0</v>
      </c>
      <c r="AU153" s="56">
        <f t="shared" ref="AU153" si="1435">+$C$9*AT150</f>
        <v>0</v>
      </c>
      <c r="AV153" s="56">
        <f t="shared" ref="AV153" si="1436">+$C$9*AU150</f>
        <v>0</v>
      </c>
      <c r="AW153" s="56">
        <f t="shared" ref="AW153" si="1437">+$C$9*AV150</f>
        <v>0</v>
      </c>
      <c r="AX153" s="56">
        <f t="shared" ref="AX153" si="1438">+$C$9*AW150</f>
        <v>0</v>
      </c>
      <c r="AY153" s="56">
        <f t="shared" ref="AY153" si="1439">+$C$9*AX150</f>
        <v>0</v>
      </c>
      <c r="AZ153" s="56">
        <f t="shared" ref="AZ153" si="1440">+$C$9*AY150</f>
        <v>0</v>
      </c>
      <c r="BA153" s="56">
        <f t="shared" ref="BA153" si="1441">+$C$9*AZ150</f>
        <v>0</v>
      </c>
    </row>
    <row r="154" spans="2:53" x14ac:dyDescent="0.2">
      <c r="B154" s="57"/>
      <c r="D154" s="44"/>
      <c r="E154" s="44"/>
      <c r="F154" s="44"/>
      <c r="G154" s="44"/>
      <c r="H154" s="44"/>
      <c r="I154" s="44"/>
      <c r="J154" s="44"/>
      <c r="K154" s="44"/>
      <c r="L154" s="44"/>
      <c r="M154" s="44"/>
      <c r="N154" s="44"/>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row>
    <row r="155" spans="2:53" x14ac:dyDescent="0.2">
      <c r="B155" s="46" t="s">
        <v>71</v>
      </c>
      <c r="C155" s="65" t="s">
        <v>75</v>
      </c>
      <c r="D155" s="44"/>
      <c r="E155" s="44"/>
      <c r="F155" s="44"/>
      <c r="G155" s="6"/>
      <c r="H155" s="6"/>
      <c r="I155" s="6"/>
      <c r="J155" s="44"/>
      <c r="K155" s="44"/>
      <c r="L155" s="44"/>
      <c r="M155" s="44"/>
      <c r="N155" s="44"/>
      <c r="O155" s="56"/>
      <c r="P155" s="56"/>
      <c r="Q155" s="56"/>
      <c r="R155" s="56"/>
      <c r="S155" s="56"/>
      <c r="T155" s="56"/>
      <c r="U155" s="56"/>
      <c r="V155" s="56"/>
      <c r="W155" s="56"/>
      <c r="X155" s="56"/>
      <c r="Y155" s="56"/>
      <c r="Z155" s="56"/>
      <c r="AA155" s="56"/>
      <c r="AB155" s="56"/>
      <c r="AC155" s="56"/>
      <c r="AD155" s="56">
        <f>AD18</f>
        <v>0</v>
      </c>
      <c r="AE155" s="56">
        <f t="shared" ref="AE155" si="1442">+AD155-AE157</f>
        <v>0</v>
      </c>
      <c r="AF155" s="56">
        <f t="shared" ref="AF155" si="1443">+AE155-AF157</f>
        <v>0</v>
      </c>
      <c r="AG155" s="56">
        <f t="shared" ref="AG155" si="1444">+AF155-AG157</f>
        <v>0</v>
      </c>
      <c r="AH155" s="56">
        <f t="shared" ref="AH155" si="1445">+AG155-AH157</f>
        <v>0</v>
      </c>
      <c r="AI155" s="56">
        <f t="shared" ref="AI155" si="1446">+AH155-AI157</f>
        <v>0</v>
      </c>
      <c r="AJ155" s="56">
        <f t="shared" ref="AJ155" si="1447">+AI155-AJ157</f>
        <v>0</v>
      </c>
      <c r="AK155" s="56">
        <f t="shared" ref="AK155" si="1448">+AJ155-AK157</f>
        <v>0</v>
      </c>
      <c r="AL155" s="56">
        <f t="shared" ref="AL155" si="1449">+AK155-AL157</f>
        <v>0</v>
      </c>
      <c r="AM155" s="56">
        <f t="shared" ref="AM155" si="1450">+AL155-AM157</f>
        <v>0</v>
      </c>
      <c r="AN155" s="56">
        <f t="shared" ref="AN155" si="1451">+AM155-AN157</f>
        <v>0</v>
      </c>
      <c r="AO155" s="56">
        <f t="shared" ref="AO155" si="1452">+AN155-AO157</f>
        <v>0</v>
      </c>
      <c r="AP155" s="56">
        <f t="shared" ref="AP155" si="1453">+AO155-AP157</f>
        <v>0</v>
      </c>
      <c r="AQ155" s="56">
        <f t="shared" ref="AQ155" si="1454">+AP155-AQ157</f>
        <v>0</v>
      </c>
      <c r="AR155" s="56">
        <f t="shared" ref="AR155" si="1455">+AQ155-AR157</f>
        <v>0</v>
      </c>
      <c r="AS155" s="56">
        <f t="shared" ref="AS155" si="1456">+AR155-AS157</f>
        <v>0</v>
      </c>
      <c r="AT155" s="56">
        <f t="shared" ref="AT155" si="1457">+AS155-AT157</f>
        <v>0</v>
      </c>
      <c r="AU155" s="56">
        <f t="shared" ref="AU155" si="1458">+AT155-AU157</f>
        <v>0</v>
      </c>
      <c r="AV155" s="56">
        <f t="shared" ref="AV155" si="1459">+AU155-AV157</f>
        <v>0</v>
      </c>
      <c r="AW155" s="56">
        <f t="shared" ref="AW155" si="1460">+AV155-AW157</f>
        <v>0</v>
      </c>
      <c r="AX155" s="56">
        <f t="shared" ref="AX155" si="1461">+AW155-AX157</f>
        <v>0</v>
      </c>
      <c r="AY155" s="56">
        <f t="shared" ref="AY155" si="1462">+AX155-AY157</f>
        <v>0</v>
      </c>
      <c r="AZ155" s="56">
        <f t="shared" ref="AZ155" si="1463">+AY155-AZ157</f>
        <v>0</v>
      </c>
      <c r="BA155" s="56">
        <f t="shared" ref="BA155" si="1464">+AZ155-BA157</f>
        <v>0</v>
      </c>
    </row>
    <row r="156" spans="2:53" x14ac:dyDescent="0.2">
      <c r="B156" s="57" t="s">
        <v>29</v>
      </c>
      <c r="C156" s="64">
        <f>+AD155/((1-(1/(1+$C$9)^$C$8))/$C$9)</f>
        <v>0</v>
      </c>
      <c r="D156" s="44"/>
      <c r="E156" s="44"/>
      <c r="F156" s="44"/>
      <c r="G156" s="6"/>
      <c r="H156" s="6"/>
      <c r="I156" s="6"/>
      <c r="J156" s="44"/>
      <c r="K156" s="44"/>
      <c r="L156" s="44"/>
      <c r="M156" s="44"/>
      <c r="N156" s="44"/>
      <c r="O156" s="56"/>
      <c r="P156" s="56"/>
      <c r="Q156" s="56"/>
      <c r="R156" s="56"/>
      <c r="S156" s="56"/>
      <c r="T156" s="56"/>
      <c r="U156" s="56"/>
      <c r="V156" s="56"/>
      <c r="W156" s="56"/>
      <c r="X156" s="56"/>
      <c r="Y156" s="56"/>
      <c r="Z156" s="56"/>
      <c r="AA156" s="56"/>
      <c r="AB156" s="56"/>
      <c r="AC156" s="56"/>
      <c r="AD156" s="56">
        <v>0</v>
      </c>
      <c r="AE156" s="56">
        <f>+IF(AD155&lt;0.01,0,$C$156)</f>
        <v>0</v>
      </c>
      <c r="AF156" s="56">
        <f t="shared" ref="AF156:BA156" si="1465">+IF(AE155&lt;0.01,0,$C$156)</f>
        <v>0</v>
      </c>
      <c r="AG156" s="56">
        <f t="shared" si="1465"/>
        <v>0</v>
      </c>
      <c r="AH156" s="56">
        <f t="shared" si="1465"/>
        <v>0</v>
      </c>
      <c r="AI156" s="56">
        <f t="shared" si="1465"/>
        <v>0</v>
      </c>
      <c r="AJ156" s="56">
        <f t="shared" si="1465"/>
        <v>0</v>
      </c>
      <c r="AK156" s="56">
        <f t="shared" si="1465"/>
        <v>0</v>
      </c>
      <c r="AL156" s="56">
        <f t="shared" si="1465"/>
        <v>0</v>
      </c>
      <c r="AM156" s="56">
        <f t="shared" si="1465"/>
        <v>0</v>
      </c>
      <c r="AN156" s="56">
        <f t="shared" si="1465"/>
        <v>0</v>
      </c>
      <c r="AO156" s="56">
        <f t="shared" si="1465"/>
        <v>0</v>
      </c>
      <c r="AP156" s="56">
        <f t="shared" si="1465"/>
        <v>0</v>
      </c>
      <c r="AQ156" s="56">
        <f t="shared" si="1465"/>
        <v>0</v>
      </c>
      <c r="AR156" s="56">
        <f t="shared" si="1465"/>
        <v>0</v>
      </c>
      <c r="AS156" s="56">
        <f t="shared" si="1465"/>
        <v>0</v>
      </c>
      <c r="AT156" s="56">
        <f t="shared" si="1465"/>
        <v>0</v>
      </c>
      <c r="AU156" s="56">
        <f t="shared" si="1465"/>
        <v>0</v>
      </c>
      <c r="AV156" s="56">
        <f t="shared" si="1465"/>
        <v>0</v>
      </c>
      <c r="AW156" s="56">
        <f t="shared" si="1465"/>
        <v>0</v>
      </c>
      <c r="AX156" s="56">
        <f t="shared" si="1465"/>
        <v>0</v>
      </c>
      <c r="AY156" s="56">
        <f t="shared" si="1465"/>
        <v>0</v>
      </c>
      <c r="AZ156" s="56">
        <f t="shared" si="1465"/>
        <v>0</v>
      </c>
      <c r="BA156" s="56">
        <f t="shared" si="1465"/>
        <v>0</v>
      </c>
    </row>
    <row r="157" spans="2:53" x14ac:dyDescent="0.2">
      <c r="B157" s="57" t="s">
        <v>30</v>
      </c>
      <c r="C157" s="65" t="s">
        <v>75</v>
      </c>
      <c r="D157" s="44"/>
      <c r="E157" s="44"/>
      <c r="F157" s="44"/>
      <c r="G157" s="6"/>
      <c r="H157" s="6"/>
      <c r="I157" s="6"/>
      <c r="J157" s="44"/>
      <c r="K157" s="44"/>
      <c r="L157" s="44"/>
      <c r="M157" s="44"/>
      <c r="N157" s="44"/>
      <c r="O157" s="56"/>
      <c r="P157" s="56"/>
      <c r="Q157" s="56"/>
      <c r="R157" s="56"/>
      <c r="S157" s="56"/>
      <c r="T157" s="56"/>
      <c r="U157" s="56"/>
      <c r="V157" s="56"/>
      <c r="W157" s="56"/>
      <c r="X157" s="56"/>
      <c r="Y157" s="56"/>
      <c r="Z157" s="56"/>
      <c r="AA157" s="56"/>
      <c r="AB157" s="56"/>
      <c r="AC157" s="56"/>
      <c r="AD157" s="56">
        <v>0</v>
      </c>
      <c r="AE157" s="56">
        <f t="shared" ref="AE157:BA157" si="1466">+AE156-AE158</f>
        <v>0</v>
      </c>
      <c r="AF157" s="56">
        <f t="shared" si="1466"/>
        <v>0</v>
      </c>
      <c r="AG157" s="56">
        <f t="shared" si="1466"/>
        <v>0</v>
      </c>
      <c r="AH157" s="56">
        <f t="shared" si="1466"/>
        <v>0</v>
      </c>
      <c r="AI157" s="56">
        <f t="shared" si="1466"/>
        <v>0</v>
      </c>
      <c r="AJ157" s="56">
        <f t="shared" si="1466"/>
        <v>0</v>
      </c>
      <c r="AK157" s="56">
        <f t="shared" si="1466"/>
        <v>0</v>
      </c>
      <c r="AL157" s="56">
        <f t="shared" si="1466"/>
        <v>0</v>
      </c>
      <c r="AM157" s="56">
        <f t="shared" si="1466"/>
        <v>0</v>
      </c>
      <c r="AN157" s="56">
        <f t="shared" si="1466"/>
        <v>0</v>
      </c>
      <c r="AO157" s="56">
        <f t="shared" si="1466"/>
        <v>0</v>
      </c>
      <c r="AP157" s="56">
        <f t="shared" si="1466"/>
        <v>0</v>
      </c>
      <c r="AQ157" s="56">
        <f t="shared" si="1466"/>
        <v>0</v>
      </c>
      <c r="AR157" s="56">
        <f t="shared" si="1466"/>
        <v>0</v>
      </c>
      <c r="AS157" s="56">
        <f t="shared" si="1466"/>
        <v>0</v>
      </c>
      <c r="AT157" s="56">
        <f t="shared" si="1466"/>
        <v>0</v>
      </c>
      <c r="AU157" s="56">
        <f t="shared" si="1466"/>
        <v>0</v>
      </c>
      <c r="AV157" s="56">
        <f t="shared" si="1466"/>
        <v>0</v>
      </c>
      <c r="AW157" s="56">
        <f t="shared" si="1466"/>
        <v>0</v>
      </c>
      <c r="AX157" s="56">
        <f t="shared" si="1466"/>
        <v>0</v>
      </c>
      <c r="AY157" s="56">
        <f t="shared" si="1466"/>
        <v>0</v>
      </c>
      <c r="AZ157" s="56">
        <f t="shared" si="1466"/>
        <v>0</v>
      </c>
      <c r="BA157" s="56">
        <f t="shared" si="1466"/>
        <v>0</v>
      </c>
    </row>
    <row r="158" spans="2:53" x14ac:dyDescent="0.2">
      <c r="B158" s="57" t="s">
        <v>3</v>
      </c>
      <c r="C158" s="65" t="s">
        <v>75</v>
      </c>
      <c r="D158" s="44"/>
      <c r="E158" s="44"/>
      <c r="F158" s="44"/>
      <c r="G158" s="6"/>
      <c r="H158" s="6"/>
      <c r="I158" s="6"/>
      <c r="J158" s="44"/>
      <c r="K158" s="44"/>
      <c r="L158" s="44"/>
      <c r="M158" s="44"/>
      <c r="N158" s="44"/>
      <c r="O158" s="56"/>
      <c r="P158" s="56"/>
      <c r="Q158" s="56"/>
      <c r="R158" s="56"/>
      <c r="S158" s="56"/>
      <c r="T158" s="56"/>
      <c r="U158" s="56"/>
      <c r="V158" s="56"/>
      <c r="W158" s="56"/>
      <c r="X158" s="56"/>
      <c r="Y158" s="56"/>
      <c r="Z158" s="56"/>
      <c r="AA158" s="56"/>
      <c r="AB158" s="56"/>
      <c r="AC158" s="56"/>
      <c r="AD158" s="56">
        <v>0</v>
      </c>
      <c r="AE158" s="56">
        <f t="shared" ref="AE158" si="1467">+$C$9*AD155</f>
        <v>0</v>
      </c>
      <c r="AF158" s="56">
        <f t="shared" ref="AF158" si="1468">+$C$9*AE155</f>
        <v>0</v>
      </c>
      <c r="AG158" s="56">
        <f t="shared" ref="AG158" si="1469">+$C$9*AF155</f>
        <v>0</v>
      </c>
      <c r="AH158" s="56">
        <f t="shared" ref="AH158" si="1470">+$C$9*AG155</f>
        <v>0</v>
      </c>
      <c r="AI158" s="56">
        <f t="shared" ref="AI158" si="1471">+$C$9*AH155</f>
        <v>0</v>
      </c>
      <c r="AJ158" s="56">
        <f t="shared" ref="AJ158" si="1472">+$C$9*AI155</f>
        <v>0</v>
      </c>
      <c r="AK158" s="56">
        <f t="shared" ref="AK158" si="1473">+$C$9*AJ155</f>
        <v>0</v>
      </c>
      <c r="AL158" s="56">
        <f t="shared" ref="AL158" si="1474">+$C$9*AK155</f>
        <v>0</v>
      </c>
      <c r="AM158" s="56">
        <f t="shared" ref="AM158" si="1475">+$C$9*AL155</f>
        <v>0</v>
      </c>
      <c r="AN158" s="56">
        <f t="shared" ref="AN158" si="1476">+$C$9*AM155</f>
        <v>0</v>
      </c>
      <c r="AO158" s="56">
        <f t="shared" ref="AO158" si="1477">+$C$9*AN155</f>
        <v>0</v>
      </c>
      <c r="AP158" s="56">
        <f t="shared" ref="AP158" si="1478">+$C$9*AO155</f>
        <v>0</v>
      </c>
      <c r="AQ158" s="56">
        <f t="shared" ref="AQ158" si="1479">+$C$9*AP155</f>
        <v>0</v>
      </c>
      <c r="AR158" s="56">
        <f t="shared" ref="AR158" si="1480">+$C$9*AQ155</f>
        <v>0</v>
      </c>
      <c r="AS158" s="56">
        <f t="shared" ref="AS158" si="1481">+$C$9*AR155</f>
        <v>0</v>
      </c>
      <c r="AT158" s="56">
        <f t="shared" ref="AT158" si="1482">+$C$9*AS155</f>
        <v>0</v>
      </c>
      <c r="AU158" s="56">
        <f t="shared" ref="AU158" si="1483">+$C$9*AT155</f>
        <v>0</v>
      </c>
      <c r="AV158" s="56">
        <f t="shared" ref="AV158" si="1484">+$C$9*AU155</f>
        <v>0</v>
      </c>
      <c r="AW158" s="56">
        <f t="shared" ref="AW158" si="1485">+$C$9*AV155</f>
        <v>0</v>
      </c>
      <c r="AX158" s="56">
        <f t="shared" ref="AX158" si="1486">+$C$9*AW155</f>
        <v>0</v>
      </c>
      <c r="AY158" s="56">
        <f t="shared" ref="AY158" si="1487">+$C$9*AX155</f>
        <v>0</v>
      </c>
      <c r="AZ158" s="56">
        <f t="shared" ref="AZ158" si="1488">+$C$9*AY155</f>
        <v>0</v>
      </c>
      <c r="BA158" s="56">
        <f t="shared" ref="BA158" si="1489">+$C$9*AZ155</f>
        <v>0</v>
      </c>
    </row>
    <row r="159" spans="2:53" x14ac:dyDescent="0.2">
      <c r="B159" s="57"/>
      <c r="D159" s="44"/>
      <c r="E159" s="44"/>
      <c r="F159" s="44"/>
      <c r="G159" s="44"/>
      <c r="H159" s="44"/>
      <c r="I159" s="44"/>
      <c r="J159" s="44"/>
      <c r="K159" s="44"/>
      <c r="L159" s="44"/>
      <c r="M159" s="44"/>
      <c r="N159" s="44"/>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row>
    <row r="160" spans="2:53" x14ac:dyDescent="0.2">
      <c r="B160" s="46" t="s">
        <v>72</v>
      </c>
      <c r="C160" s="65" t="s">
        <v>75</v>
      </c>
      <c r="D160" s="44"/>
      <c r="E160" s="44"/>
      <c r="F160" s="44"/>
      <c r="G160" s="6"/>
      <c r="H160" s="6"/>
      <c r="I160" s="6"/>
      <c r="J160" s="6"/>
      <c r="K160" s="44"/>
      <c r="L160" s="44"/>
      <c r="M160" s="44"/>
      <c r="N160" s="44"/>
      <c r="O160" s="56"/>
      <c r="P160" s="56"/>
      <c r="Q160" s="56"/>
      <c r="R160" s="56"/>
      <c r="S160" s="56"/>
      <c r="T160" s="56"/>
      <c r="U160" s="56"/>
      <c r="V160" s="56"/>
      <c r="W160" s="56"/>
      <c r="X160" s="56"/>
      <c r="Y160" s="56"/>
      <c r="Z160" s="56"/>
      <c r="AA160" s="56"/>
      <c r="AB160" s="56"/>
      <c r="AC160" s="56"/>
      <c r="AD160" s="56"/>
      <c r="AE160" s="56">
        <f>AE18</f>
        <v>0</v>
      </c>
      <c r="AF160" s="56">
        <f t="shared" ref="AF160" si="1490">+AE160-AF162</f>
        <v>0</v>
      </c>
      <c r="AG160" s="56">
        <f t="shared" ref="AG160" si="1491">+AF160-AG162</f>
        <v>0</v>
      </c>
      <c r="AH160" s="56">
        <f t="shared" ref="AH160" si="1492">+AG160-AH162</f>
        <v>0</v>
      </c>
      <c r="AI160" s="56">
        <f t="shared" ref="AI160" si="1493">+AH160-AI162</f>
        <v>0</v>
      </c>
      <c r="AJ160" s="56">
        <f t="shared" ref="AJ160" si="1494">+AI160-AJ162</f>
        <v>0</v>
      </c>
      <c r="AK160" s="56">
        <f t="shared" ref="AK160" si="1495">+AJ160-AK162</f>
        <v>0</v>
      </c>
      <c r="AL160" s="56">
        <f t="shared" ref="AL160" si="1496">+AK160-AL162</f>
        <v>0</v>
      </c>
      <c r="AM160" s="56">
        <f t="shared" ref="AM160" si="1497">+AL160-AM162</f>
        <v>0</v>
      </c>
      <c r="AN160" s="56">
        <f t="shared" ref="AN160" si="1498">+AM160-AN162</f>
        <v>0</v>
      </c>
      <c r="AO160" s="56">
        <f t="shared" ref="AO160" si="1499">+AN160-AO162</f>
        <v>0</v>
      </c>
      <c r="AP160" s="56">
        <f t="shared" ref="AP160" si="1500">+AO160-AP162</f>
        <v>0</v>
      </c>
      <c r="AQ160" s="56">
        <f t="shared" ref="AQ160" si="1501">+AP160-AQ162</f>
        <v>0</v>
      </c>
      <c r="AR160" s="56">
        <f t="shared" ref="AR160" si="1502">+AQ160-AR162</f>
        <v>0</v>
      </c>
      <c r="AS160" s="56">
        <f t="shared" ref="AS160" si="1503">+AR160-AS162</f>
        <v>0</v>
      </c>
      <c r="AT160" s="56">
        <f t="shared" ref="AT160" si="1504">+AS160-AT162</f>
        <v>0</v>
      </c>
      <c r="AU160" s="56">
        <f t="shared" ref="AU160" si="1505">+AT160-AU162</f>
        <v>0</v>
      </c>
      <c r="AV160" s="56">
        <f t="shared" ref="AV160" si="1506">+AU160-AV162</f>
        <v>0</v>
      </c>
      <c r="AW160" s="56">
        <f t="shared" ref="AW160" si="1507">+AV160-AW162</f>
        <v>0</v>
      </c>
      <c r="AX160" s="56">
        <f t="shared" ref="AX160" si="1508">+AW160-AX162</f>
        <v>0</v>
      </c>
      <c r="AY160" s="56">
        <f t="shared" ref="AY160" si="1509">+AX160-AY162</f>
        <v>0</v>
      </c>
      <c r="AZ160" s="56">
        <f t="shared" ref="AZ160" si="1510">+AY160-AZ162</f>
        <v>0</v>
      </c>
      <c r="BA160" s="56">
        <f t="shared" ref="BA160" si="1511">+AZ160-BA162</f>
        <v>0</v>
      </c>
    </row>
    <row r="161" spans="2:53" x14ac:dyDescent="0.2">
      <c r="B161" s="57" t="s">
        <v>29</v>
      </c>
      <c r="C161" s="64">
        <f>+AE160/((1-(1/(1+$C$9)^$C$8))/$C$9)</f>
        <v>0</v>
      </c>
      <c r="D161" s="44"/>
      <c r="E161" s="44"/>
      <c r="F161" s="44"/>
      <c r="G161" s="6"/>
      <c r="H161" s="6"/>
      <c r="I161" s="6"/>
      <c r="J161" s="6"/>
      <c r="K161" s="44"/>
      <c r="L161" s="44"/>
      <c r="M161" s="44"/>
      <c r="N161" s="44"/>
      <c r="O161" s="56"/>
      <c r="P161" s="56"/>
      <c r="Q161" s="56"/>
      <c r="R161" s="56"/>
      <c r="S161" s="56"/>
      <c r="T161" s="56"/>
      <c r="U161" s="56"/>
      <c r="V161" s="56"/>
      <c r="W161" s="56"/>
      <c r="X161" s="56"/>
      <c r="Y161" s="56"/>
      <c r="Z161" s="56"/>
      <c r="AA161" s="56"/>
      <c r="AB161" s="56"/>
      <c r="AC161" s="56"/>
      <c r="AD161" s="56"/>
      <c r="AE161" s="56">
        <v>0</v>
      </c>
      <c r="AF161" s="56">
        <f>+IF(AE160&lt;0.01,0,$C$161)</f>
        <v>0</v>
      </c>
      <c r="AG161" s="56">
        <f t="shared" ref="AG161:BA161" si="1512">+IF(AF160&lt;0.01,0,$C$161)</f>
        <v>0</v>
      </c>
      <c r="AH161" s="56">
        <f t="shared" si="1512"/>
        <v>0</v>
      </c>
      <c r="AI161" s="56">
        <f t="shared" si="1512"/>
        <v>0</v>
      </c>
      <c r="AJ161" s="56">
        <f t="shared" si="1512"/>
        <v>0</v>
      </c>
      <c r="AK161" s="56">
        <f t="shared" si="1512"/>
        <v>0</v>
      </c>
      <c r="AL161" s="56">
        <f t="shared" si="1512"/>
        <v>0</v>
      </c>
      <c r="AM161" s="56">
        <f t="shared" si="1512"/>
        <v>0</v>
      </c>
      <c r="AN161" s="56">
        <f t="shared" si="1512"/>
        <v>0</v>
      </c>
      <c r="AO161" s="56">
        <f t="shared" si="1512"/>
        <v>0</v>
      </c>
      <c r="AP161" s="56">
        <f t="shared" si="1512"/>
        <v>0</v>
      </c>
      <c r="AQ161" s="56">
        <f t="shared" si="1512"/>
        <v>0</v>
      </c>
      <c r="AR161" s="56">
        <f t="shared" si="1512"/>
        <v>0</v>
      </c>
      <c r="AS161" s="56">
        <f t="shared" si="1512"/>
        <v>0</v>
      </c>
      <c r="AT161" s="56">
        <f t="shared" si="1512"/>
        <v>0</v>
      </c>
      <c r="AU161" s="56">
        <f t="shared" si="1512"/>
        <v>0</v>
      </c>
      <c r="AV161" s="56">
        <f t="shared" si="1512"/>
        <v>0</v>
      </c>
      <c r="AW161" s="56">
        <f t="shared" si="1512"/>
        <v>0</v>
      </c>
      <c r="AX161" s="56">
        <f t="shared" si="1512"/>
        <v>0</v>
      </c>
      <c r="AY161" s="56">
        <f t="shared" si="1512"/>
        <v>0</v>
      </c>
      <c r="AZ161" s="56">
        <f t="shared" si="1512"/>
        <v>0</v>
      </c>
      <c r="BA161" s="56">
        <f t="shared" si="1512"/>
        <v>0</v>
      </c>
    </row>
    <row r="162" spans="2:53" x14ac:dyDescent="0.2">
      <c r="B162" s="57" t="s">
        <v>30</v>
      </c>
      <c r="C162" s="65" t="s">
        <v>75</v>
      </c>
      <c r="D162" s="44"/>
      <c r="E162" s="44"/>
      <c r="F162" s="44"/>
      <c r="G162" s="6"/>
      <c r="H162" s="6"/>
      <c r="I162" s="6"/>
      <c r="J162" s="6"/>
      <c r="K162" s="44"/>
      <c r="L162" s="44"/>
      <c r="M162" s="44"/>
      <c r="N162" s="44"/>
      <c r="O162" s="56"/>
      <c r="P162" s="56"/>
      <c r="Q162" s="56"/>
      <c r="R162" s="56"/>
      <c r="S162" s="56"/>
      <c r="T162" s="56"/>
      <c r="U162" s="56"/>
      <c r="V162" s="56"/>
      <c r="W162" s="56"/>
      <c r="X162" s="56"/>
      <c r="Y162" s="56"/>
      <c r="Z162" s="56"/>
      <c r="AA162" s="56"/>
      <c r="AB162" s="56"/>
      <c r="AC162" s="56"/>
      <c r="AD162" s="56"/>
      <c r="AE162" s="56">
        <v>0</v>
      </c>
      <c r="AF162" s="56">
        <f t="shared" ref="AF162:BA162" si="1513">+AF161-AF163</f>
        <v>0</v>
      </c>
      <c r="AG162" s="56">
        <f t="shared" si="1513"/>
        <v>0</v>
      </c>
      <c r="AH162" s="56">
        <f t="shared" si="1513"/>
        <v>0</v>
      </c>
      <c r="AI162" s="56">
        <f t="shared" si="1513"/>
        <v>0</v>
      </c>
      <c r="AJ162" s="56">
        <f t="shared" si="1513"/>
        <v>0</v>
      </c>
      <c r="AK162" s="56">
        <f t="shared" si="1513"/>
        <v>0</v>
      </c>
      <c r="AL162" s="56">
        <f t="shared" si="1513"/>
        <v>0</v>
      </c>
      <c r="AM162" s="56">
        <f t="shared" si="1513"/>
        <v>0</v>
      </c>
      <c r="AN162" s="56">
        <f t="shared" si="1513"/>
        <v>0</v>
      </c>
      <c r="AO162" s="56">
        <f t="shared" si="1513"/>
        <v>0</v>
      </c>
      <c r="AP162" s="56">
        <f t="shared" si="1513"/>
        <v>0</v>
      </c>
      <c r="AQ162" s="56">
        <f t="shared" si="1513"/>
        <v>0</v>
      </c>
      <c r="AR162" s="56">
        <f t="shared" si="1513"/>
        <v>0</v>
      </c>
      <c r="AS162" s="56">
        <f t="shared" si="1513"/>
        <v>0</v>
      </c>
      <c r="AT162" s="56">
        <f t="shared" si="1513"/>
        <v>0</v>
      </c>
      <c r="AU162" s="56">
        <f t="shared" si="1513"/>
        <v>0</v>
      </c>
      <c r="AV162" s="56">
        <f t="shared" si="1513"/>
        <v>0</v>
      </c>
      <c r="AW162" s="56">
        <f t="shared" si="1513"/>
        <v>0</v>
      </c>
      <c r="AX162" s="56">
        <f t="shared" si="1513"/>
        <v>0</v>
      </c>
      <c r="AY162" s="56">
        <f t="shared" si="1513"/>
        <v>0</v>
      </c>
      <c r="AZ162" s="56">
        <f t="shared" si="1513"/>
        <v>0</v>
      </c>
      <c r="BA162" s="56">
        <f t="shared" si="1513"/>
        <v>0</v>
      </c>
    </row>
    <row r="163" spans="2:53" x14ac:dyDescent="0.2">
      <c r="B163" s="57" t="s">
        <v>3</v>
      </c>
      <c r="C163" s="65" t="s">
        <v>75</v>
      </c>
      <c r="D163" s="44"/>
      <c r="E163" s="44"/>
      <c r="F163" s="44"/>
      <c r="G163" s="6"/>
      <c r="H163" s="6"/>
      <c r="I163" s="6"/>
      <c r="J163" s="6"/>
      <c r="K163" s="44"/>
      <c r="L163" s="44"/>
      <c r="M163" s="44"/>
      <c r="N163" s="44"/>
      <c r="O163" s="56"/>
      <c r="P163" s="56"/>
      <c r="Q163" s="56"/>
      <c r="R163" s="56"/>
      <c r="S163" s="56"/>
      <c r="T163" s="56"/>
      <c r="U163" s="56"/>
      <c r="V163" s="56"/>
      <c r="W163" s="56"/>
      <c r="X163" s="56"/>
      <c r="Y163" s="56"/>
      <c r="Z163" s="56"/>
      <c r="AA163" s="56"/>
      <c r="AB163" s="56"/>
      <c r="AC163" s="56"/>
      <c r="AD163" s="56"/>
      <c r="AE163" s="56">
        <v>0</v>
      </c>
      <c r="AF163" s="56">
        <f t="shared" ref="AF163" si="1514">+$C$9*AE160</f>
        <v>0</v>
      </c>
      <c r="AG163" s="56">
        <f t="shared" ref="AG163" si="1515">+$C$9*AF160</f>
        <v>0</v>
      </c>
      <c r="AH163" s="56">
        <f t="shared" ref="AH163" si="1516">+$C$9*AG160</f>
        <v>0</v>
      </c>
      <c r="AI163" s="56">
        <f t="shared" ref="AI163" si="1517">+$C$9*AH160</f>
        <v>0</v>
      </c>
      <c r="AJ163" s="56">
        <f t="shared" ref="AJ163" si="1518">+$C$9*AI160</f>
        <v>0</v>
      </c>
      <c r="AK163" s="56">
        <f t="shared" ref="AK163" si="1519">+$C$9*AJ160</f>
        <v>0</v>
      </c>
      <c r="AL163" s="56">
        <f t="shared" ref="AL163" si="1520">+$C$9*AK160</f>
        <v>0</v>
      </c>
      <c r="AM163" s="56">
        <f t="shared" ref="AM163" si="1521">+$C$9*AL160</f>
        <v>0</v>
      </c>
      <c r="AN163" s="56">
        <f t="shared" ref="AN163" si="1522">+$C$9*AM160</f>
        <v>0</v>
      </c>
      <c r="AO163" s="56">
        <f t="shared" ref="AO163" si="1523">+$C$9*AN160</f>
        <v>0</v>
      </c>
      <c r="AP163" s="56">
        <f t="shared" ref="AP163" si="1524">+$C$9*AO160</f>
        <v>0</v>
      </c>
      <c r="AQ163" s="56">
        <f t="shared" ref="AQ163" si="1525">+$C$9*AP160</f>
        <v>0</v>
      </c>
      <c r="AR163" s="56">
        <f t="shared" ref="AR163" si="1526">+$C$9*AQ160</f>
        <v>0</v>
      </c>
      <c r="AS163" s="56">
        <f t="shared" ref="AS163" si="1527">+$C$9*AR160</f>
        <v>0</v>
      </c>
      <c r="AT163" s="56">
        <f t="shared" ref="AT163" si="1528">+$C$9*AS160</f>
        <v>0</v>
      </c>
      <c r="AU163" s="56">
        <f t="shared" ref="AU163" si="1529">+$C$9*AT160</f>
        <v>0</v>
      </c>
      <c r="AV163" s="56">
        <f t="shared" ref="AV163" si="1530">+$C$9*AU160</f>
        <v>0</v>
      </c>
      <c r="AW163" s="56">
        <f t="shared" ref="AW163" si="1531">+$C$9*AV160</f>
        <v>0</v>
      </c>
      <c r="AX163" s="56">
        <f t="shared" ref="AX163" si="1532">+$C$9*AW160</f>
        <v>0</v>
      </c>
      <c r="AY163" s="56">
        <f t="shared" ref="AY163" si="1533">+$C$9*AX160</f>
        <v>0</v>
      </c>
      <c r="AZ163" s="56">
        <f t="shared" ref="AZ163" si="1534">+$C$9*AY160</f>
        <v>0</v>
      </c>
      <c r="BA163" s="56">
        <f t="shared" ref="BA163" si="1535">+$C$9*AZ160</f>
        <v>0</v>
      </c>
    </row>
    <row r="164" spans="2:53" x14ac:dyDescent="0.2">
      <c r="B164" s="57"/>
      <c r="D164" s="44"/>
      <c r="E164" s="44"/>
      <c r="F164" s="44"/>
      <c r="G164" s="6"/>
      <c r="H164" s="6"/>
      <c r="I164" s="6"/>
      <c r="J164" s="6"/>
      <c r="K164" s="44"/>
      <c r="L164" s="44"/>
      <c r="M164" s="44"/>
      <c r="N164" s="44"/>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row>
    <row r="165" spans="2:53" x14ac:dyDescent="0.2">
      <c r="B165" s="46" t="s">
        <v>73</v>
      </c>
      <c r="C165" s="65" t="s">
        <v>75</v>
      </c>
      <c r="D165" s="44"/>
      <c r="E165" s="44"/>
      <c r="F165" s="44"/>
      <c r="G165" s="6"/>
      <c r="H165" s="6"/>
      <c r="I165" s="6"/>
      <c r="J165" s="6"/>
      <c r="K165" s="6"/>
      <c r="L165" s="44"/>
      <c r="M165" s="44"/>
      <c r="N165" s="44"/>
      <c r="O165" s="56"/>
      <c r="P165" s="56"/>
      <c r="Q165" s="56"/>
      <c r="R165" s="56"/>
      <c r="S165" s="56"/>
      <c r="T165" s="56"/>
      <c r="U165" s="56"/>
      <c r="V165" s="56"/>
      <c r="W165" s="56"/>
      <c r="X165" s="56"/>
      <c r="Y165" s="56"/>
      <c r="Z165" s="56"/>
      <c r="AA165" s="56"/>
      <c r="AB165" s="56"/>
      <c r="AC165" s="56"/>
      <c r="AD165" s="56"/>
      <c r="AE165" s="56"/>
      <c r="AF165" s="56">
        <f>AF18</f>
        <v>0</v>
      </c>
      <c r="AG165" s="56">
        <f t="shared" ref="AG165" si="1536">+AF165-AG167</f>
        <v>0</v>
      </c>
      <c r="AH165" s="56">
        <f t="shared" ref="AH165" si="1537">+AG165-AH167</f>
        <v>0</v>
      </c>
      <c r="AI165" s="56">
        <f t="shared" ref="AI165" si="1538">+AH165-AI167</f>
        <v>0</v>
      </c>
      <c r="AJ165" s="56">
        <f t="shared" ref="AJ165" si="1539">+AI165-AJ167</f>
        <v>0</v>
      </c>
      <c r="AK165" s="56">
        <f t="shared" ref="AK165" si="1540">+AJ165-AK167</f>
        <v>0</v>
      </c>
      <c r="AL165" s="56">
        <f t="shared" ref="AL165" si="1541">+AK165-AL167</f>
        <v>0</v>
      </c>
      <c r="AM165" s="56">
        <f t="shared" ref="AM165" si="1542">+AL165-AM167</f>
        <v>0</v>
      </c>
      <c r="AN165" s="56">
        <f t="shared" ref="AN165" si="1543">+AM165-AN167</f>
        <v>0</v>
      </c>
      <c r="AO165" s="56">
        <f t="shared" ref="AO165" si="1544">+AN165-AO167</f>
        <v>0</v>
      </c>
      <c r="AP165" s="56">
        <f t="shared" ref="AP165" si="1545">+AO165-AP167</f>
        <v>0</v>
      </c>
      <c r="AQ165" s="56">
        <f t="shared" ref="AQ165" si="1546">+AP165-AQ167</f>
        <v>0</v>
      </c>
      <c r="AR165" s="56">
        <f t="shared" ref="AR165" si="1547">+AQ165-AR167</f>
        <v>0</v>
      </c>
      <c r="AS165" s="56">
        <f t="shared" ref="AS165" si="1548">+AR165-AS167</f>
        <v>0</v>
      </c>
      <c r="AT165" s="56">
        <f t="shared" ref="AT165" si="1549">+AS165-AT167</f>
        <v>0</v>
      </c>
      <c r="AU165" s="56">
        <f t="shared" ref="AU165" si="1550">+AT165-AU167</f>
        <v>0</v>
      </c>
      <c r="AV165" s="56">
        <f t="shared" ref="AV165" si="1551">+AU165-AV167</f>
        <v>0</v>
      </c>
      <c r="AW165" s="56">
        <f t="shared" ref="AW165" si="1552">+AV165-AW167</f>
        <v>0</v>
      </c>
      <c r="AX165" s="56">
        <f t="shared" ref="AX165" si="1553">+AW165-AX167</f>
        <v>0</v>
      </c>
      <c r="AY165" s="56">
        <f t="shared" ref="AY165" si="1554">+AX165-AY167</f>
        <v>0</v>
      </c>
      <c r="AZ165" s="56">
        <f t="shared" ref="AZ165" si="1555">+AY165-AZ167</f>
        <v>0</v>
      </c>
      <c r="BA165" s="56">
        <f t="shared" ref="BA165" si="1556">+AZ165-BA167</f>
        <v>0</v>
      </c>
    </row>
    <row r="166" spans="2:53" x14ac:dyDescent="0.2">
      <c r="B166" s="57" t="s">
        <v>29</v>
      </c>
      <c r="C166" s="64">
        <f>+AF165/((1-(1/(1+$C$9)^$C$8))/$C$9)</f>
        <v>0</v>
      </c>
      <c r="D166" s="44"/>
      <c r="E166" s="44"/>
      <c r="F166" s="44"/>
      <c r="G166" s="6"/>
      <c r="H166" s="6"/>
      <c r="I166" s="6"/>
      <c r="J166" s="6"/>
      <c r="K166" s="6"/>
      <c r="L166" s="44"/>
      <c r="M166" s="44"/>
      <c r="N166" s="44"/>
      <c r="O166" s="56"/>
      <c r="P166" s="56"/>
      <c r="Q166" s="56"/>
      <c r="R166" s="56"/>
      <c r="S166" s="56"/>
      <c r="T166" s="56"/>
      <c r="U166" s="56"/>
      <c r="V166" s="56"/>
      <c r="W166" s="56"/>
      <c r="X166" s="56"/>
      <c r="Y166" s="56"/>
      <c r="Z166" s="56"/>
      <c r="AA166" s="56"/>
      <c r="AB166" s="56"/>
      <c r="AC166" s="56"/>
      <c r="AD166" s="56"/>
      <c r="AE166" s="56"/>
      <c r="AF166" s="56">
        <v>0</v>
      </c>
      <c r="AG166" s="56">
        <f>+IF(AF165&lt;0.01,0,$C$166)</f>
        <v>0</v>
      </c>
      <c r="AH166" s="56">
        <f t="shared" ref="AH166:BA166" si="1557">+IF(AG165&lt;0.01,0,$C$166)</f>
        <v>0</v>
      </c>
      <c r="AI166" s="56">
        <f t="shared" si="1557"/>
        <v>0</v>
      </c>
      <c r="AJ166" s="56">
        <f t="shared" si="1557"/>
        <v>0</v>
      </c>
      <c r="AK166" s="56">
        <f t="shared" si="1557"/>
        <v>0</v>
      </c>
      <c r="AL166" s="56">
        <f t="shared" si="1557"/>
        <v>0</v>
      </c>
      <c r="AM166" s="56">
        <f t="shared" si="1557"/>
        <v>0</v>
      </c>
      <c r="AN166" s="56">
        <f t="shared" si="1557"/>
        <v>0</v>
      </c>
      <c r="AO166" s="56">
        <f t="shared" si="1557"/>
        <v>0</v>
      </c>
      <c r="AP166" s="56">
        <f t="shared" si="1557"/>
        <v>0</v>
      </c>
      <c r="AQ166" s="56">
        <f t="shared" si="1557"/>
        <v>0</v>
      </c>
      <c r="AR166" s="56">
        <f t="shared" si="1557"/>
        <v>0</v>
      </c>
      <c r="AS166" s="56">
        <f t="shared" si="1557"/>
        <v>0</v>
      </c>
      <c r="AT166" s="56">
        <f t="shared" si="1557"/>
        <v>0</v>
      </c>
      <c r="AU166" s="56">
        <f t="shared" si="1557"/>
        <v>0</v>
      </c>
      <c r="AV166" s="56">
        <f t="shared" si="1557"/>
        <v>0</v>
      </c>
      <c r="AW166" s="56">
        <f t="shared" si="1557"/>
        <v>0</v>
      </c>
      <c r="AX166" s="56">
        <f t="shared" si="1557"/>
        <v>0</v>
      </c>
      <c r="AY166" s="56">
        <f t="shared" si="1557"/>
        <v>0</v>
      </c>
      <c r="AZ166" s="56">
        <f t="shared" si="1557"/>
        <v>0</v>
      </c>
      <c r="BA166" s="56">
        <f t="shared" si="1557"/>
        <v>0</v>
      </c>
    </row>
    <row r="167" spans="2:53" x14ac:dyDescent="0.2">
      <c r="B167" s="57" t="s">
        <v>30</v>
      </c>
      <c r="C167" s="65" t="s">
        <v>75</v>
      </c>
      <c r="D167" s="44"/>
      <c r="E167" s="44"/>
      <c r="F167" s="44"/>
      <c r="G167" s="6"/>
      <c r="H167" s="6"/>
      <c r="I167" s="6"/>
      <c r="J167" s="6"/>
      <c r="K167" s="6"/>
      <c r="L167" s="44"/>
      <c r="M167" s="44"/>
      <c r="N167" s="44"/>
      <c r="O167" s="56"/>
      <c r="P167" s="56"/>
      <c r="Q167" s="56"/>
      <c r="R167" s="56"/>
      <c r="S167" s="56"/>
      <c r="T167" s="56"/>
      <c r="U167" s="56"/>
      <c r="V167" s="56"/>
      <c r="W167" s="56"/>
      <c r="X167" s="56"/>
      <c r="Y167" s="56"/>
      <c r="Z167" s="56"/>
      <c r="AA167" s="56"/>
      <c r="AB167" s="56"/>
      <c r="AC167" s="56"/>
      <c r="AD167" s="56"/>
      <c r="AE167" s="56"/>
      <c r="AF167" s="56">
        <v>0</v>
      </c>
      <c r="AG167" s="56">
        <f t="shared" ref="AG167:BA167" si="1558">+AG166-AG168</f>
        <v>0</v>
      </c>
      <c r="AH167" s="56">
        <f t="shared" si="1558"/>
        <v>0</v>
      </c>
      <c r="AI167" s="56">
        <f t="shared" si="1558"/>
        <v>0</v>
      </c>
      <c r="AJ167" s="56">
        <f t="shared" si="1558"/>
        <v>0</v>
      </c>
      <c r="AK167" s="56">
        <f t="shared" si="1558"/>
        <v>0</v>
      </c>
      <c r="AL167" s="56">
        <f t="shared" si="1558"/>
        <v>0</v>
      </c>
      <c r="AM167" s="56">
        <f t="shared" si="1558"/>
        <v>0</v>
      </c>
      <c r="AN167" s="56">
        <f t="shared" si="1558"/>
        <v>0</v>
      </c>
      <c r="AO167" s="56">
        <f t="shared" si="1558"/>
        <v>0</v>
      </c>
      <c r="AP167" s="56">
        <f t="shared" si="1558"/>
        <v>0</v>
      </c>
      <c r="AQ167" s="56">
        <f t="shared" si="1558"/>
        <v>0</v>
      </c>
      <c r="AR167" s="56">
        <f t="shared" si="1558"/>
        <v>0</v>
      </c>
      <c r="AS167" s="56">
        <f t="shared" si="1558"/>
        <v>0</v>
      </c>
      <c r="AT167" s="56">
        <f t="shared" si="1558"/>
        <v>0</v>
      </c>
      <c r="AU167" s="56">
        <f t="shared" si="1558"/>
        <v>0</v>
      </c>
      <c r="AV167" s="56">
        <f t="shared" si="1558"/>
        <v>0</v>
      </c>
      <c r="AW167" s="56">
        <f t="shared" si="1558"/>
        <v>0</v>
      </c>
      <c r="AX167" s="56">
        <f t="shared" si="1558"/>
        <v>0</v>
      </c>
      <c r="AY167" s="56">
        <f t="shared" si="1558"/>
        <v>0</v>
      </c>
      <c r="AZ167" s="56">
        <f t="shared" si="1558"/>
        <v>0</v>
      </c>
      <c r="BA167" s="56">
        <f t="shared" si="1558"/>
        <v>0</v>
      </c>
    </row>
    <row r="168" spans="2:53" x14ac:dyDescent="0.2">
      <c r="B168" s="57" t="s">
        <v>3</v>
      </c>
      <c r="C168" s="65" t="s">
        <v>75</v>
      </c>
      <c r="D168" s="44"/>
      <c r="E168" s="44"/>
      <c r="F168" s="44"/>
      <c r="G168" s="6"/>
      <c r="H168" s="6"/>
      <c r="I168" s="6"/>
      <c r="J168" s="6"/>
      <c r="K168" s="6"/>
      <c r="L168" s="44"/>
      <c r="M168" s="44"/>
      <c r="N168" s="44"/>
      <c r="O168" s="56"/>
      <c r="P168" s="56"/>
      <c r="Q168" s="56"/>
      <c r="R168" s="56"/>
      <c r="S168" s="56"/>
      <c r="T168" s="56"/>
      <c r="U168" s="56"/>
      <c r="V168" s="56"/>
      <c r="W168" s="56"/>
      <c r="X168" s="56"/>
      <c r="Y168" s="56"/>
      <c r="Z168" s="56"/>
      <c r="AA168" s="56"/>
      <c r="AB168" s="56"/>
      <c r="AC168" s="56"/>
      <c r="AD168" s="56"/>
      <c r="AE168" s="56"/>
      <c r="AF168" s="56">
        <v>0</v>
      </c>
      <c r="AG168" s="56">
        <f t="shared" ref="AG168" si="1559">+$C$9*AF165</f>
        <v>0</v>
      </c>
      <c r="AH168" s="56">
        <f t="shared" ref="AH168" si="1560">+$C$9*AG165</f>
        <v>0</v>
      </c>
      <c r="AI168" s="56">
        <f t="shared" ref="AI168" si="1561">+$C$9*AH165</f>
        <v>0</v>
      </c>
      <c r="AJ168" s="56">
        <f t="shared" ref="AJ168" si="1562">+$C$9*AI165</f>
        <v>0</v>
      </c>
      <c r="AK168" s="56">
        <f t="shared" ref="AK168" si="1563">+$C$9*AJ165</f>
        <v>0</v>
      </c>
      <c r="AL168" s="56">
        <f t="shared" ref="AL168" si="1564">+$C$9*AK165</f>
        <v>0</v>
      </c>
      <c r="AM168" s="56">
        <f t="shared" ref="AM168" si="1565">+$C$9*AL165</f>
        <v>0</v>
      </c>
      <c r="AN168" s="56">
        <f t="shared" ref="AN168" si="1566">+$C$9*AM165</f>
        <v>0</v>
      </c>
      <c r="AO168" s="56">
        <f t="shared" ref="AO168" si="1567">+$C$9*AN165</f>
        <v>0</v>
      </c>
      <c r="AP168" s="56">
        <f t="shared" ref="AP168" si="1568">+$C$9*AO165</f>
        <v>0</v>
      </c>
      <c r="AQ168" s="56">
        <f t="shared" ref="AQ168" si="1569">+$C$9*AP165</f>
        <v>0</v>
      </c>
      <c r="AR168" s="56">
        <f t="shared" ref="AR168" si="1570">+$C$9*AQ165</f>
        <v>0</v>
      </c>
      <c r="AS168" s="56">
        <f t="shared" ref="AS168" si="1571">+$C$9*AR165</f>
        <v>0</v>
      </c>
      <c r="AT168" s="56">
        <f t="shared" ref="AT168" si="1572">+$C$9*AS165</f>
        <v>0</v>
      </c>
      <c r="AU168" s="56">
        <f t="shared" ref="AU168" si="1573">+$C$9*AT165</f>
        <v>0</v>
      </c>
      <c r="AV168" s="56">
        <f t="shared" ref="AV168" si="1574">+$C$9*AU165</f>
        <v>0</v>
      </c>
      <c r="AW168" s="56">
        <f t="shared" ref="AW168" si="1575">+$C$9*AV165</f>
        <v>0</v>
      </c>
      <c r="AX168" s="56">
        <f t="shared" ref="AX168" si="1576">+$C$9*AW165</f>
        <v>0</v>
      </c>
      <c r="AY168" s="56">
        <f t="shared" ref="AY168" si="1577">+$C$9*AX165</f>
        <v>0</v>
      </c>
      <c r="AZ168" s="56">
        <f t="shared" ref="AZ168" si="1578">+$C$9*AY165</f>
        <v>0</v>
      </c>
      <c r="BA168" s="56">
        <f t="shared" ref="BA168" si="1579">+$C$9*AZ165</f>
        <v>0</v>
      </c>
    </row>
    <row r="169" spans="2:53" x14ac:dyDescent="0.2">
      <c r="B169" s="57"/>
      <c r="D169" s="44"/>
      <c r="E169" s="44"/>
      <c r="F169" s="44"/>
      <c r="G169" s="44"/>
      <c r="H169" s="44"/>
      <c r="I169" s="44"/>
      <c r="J169" s="6"/>
      <c r="K169" s="6"/>
      <c r="L169" s="44"/>
      <c r="M169" s="44"/>
      <c r="N169" s="44"/>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row>
    <row r="170" spans="2:53" x14ac:dyDescent="0.2">
      <c r="B170" s="46" t="s">
        <v>74</v>
      </c>
      <c r="C170" s="65" t="s">
        <v>75</v>
      </c>
      <c r="D170" s="44"/>
      <c r="E170" s="44"/>
      <c r="F170" s="44"/>
      <c r="G170" s="6"/>
      <c r="H170" s="6"/>
      <c r="I170" s="6"/>
      <c r="J170" s="6"/>
      <c r="K170" s="6"/>
      <c r="L170" s="6"/>
      <c r="M170" s="44"/>
      <c r="N170" s="44"/>
      <c r="O170" s="56"/>
      <c r="P170" s="56"/>
      <c r="Q170" s="56"/>
      <c r="R170" s="56"/>
      <c r="S170" s="56"/>
      <c r="T170" s="56"/>
      <c r="U170" s="56"/>
      <c r="V170" s="56"/>
      <c r="W170" s="56"/>
      <c r="X170" s="56"/>
      <c r="Y170" s="56"/>
      <c r="Z170" s="56"/>
      <c r="AA170" s="56"/>
      <c r="AB170" s="56"/>
      <c r="AC170" s="56"/>
      <c r="AD170" s="56"/>
      <c r="AE170" s="56"/>
      <c r="AF170" s="56"/>
      <c r="AG170" s="56">
        <f>AG18</f>
        <v>0</v>
      </c>
      <c r="AH170" s="56">
        <f t="shared" ref="AH170" si="1580">+AG170-AH172</f>
        <v>0</v>
      </c>
      <c r="AI170" s="56">
        <f t="shared" ref="AI170" si="1581">+AH170-AI172</f>
        <v>0</v>
      </c>
      <c r="AJ170" s="56">
        <f t="shared" ref="AJ170" si="1582">+AI170-AJ172</f>
        <v>0</v>
      </c>
      <c r="AK170" s="56">
        <f t="shared" ref="AK170" si="1583">+AJ170-AK172</f>
        <v>0</v>
      </c>
      <c r="AL170" s="56">
        <f t="shared" ref="AL170" si="1584">+AK170-AL172</f>
        <v>0</v>
      </c>
      <c r="AM170" s="56">
        <f t="shared" ref="AM170" si="1585">+AL170-AM172</f>
        <v>0</v>
      </c>
      <c r="AN170" s="56">
        <f t="shared" ref="AN170" si="1586">+AM170-AN172</f>
        <v>0</v>
      </c>
      <c r="AO170" s="56">
        <f t="shared" ref="AO170" si="1587">+AN170-AO172</f>
        <v>0</v>
      </c>
      <c r="AP170" s="56">
        <f t="shared" ref="AP170" si="1588">+AO170-AP172</f>
        <v>0</v>
      </c>
      <c r="AQ170" s="56">
        <f t="shared" ref="AQ170" si="1589">+AP170-AQ172</f>
        <v>0</v>
      </c>
      <c r="AR170" s="56">
        <f t="shared" ref="AR170" si="1590">+AQ170-AR172</f>
        <v>0</v>
      </c>
      <c r="AS170" s="56">
        <f t="shared" ref="AS170" si="1591">+AR170-AS172</f>
        <v>0</v>
      </c>
      <c r="AT170" s="56">
        <f t="shared" ref="AT170" si="1592">+AS170-AT172</f>
        <v>0</v>
      </c>
      <c r="AU170" s="56">
        <f t="shared" ref="AU170" si="1593">+AT170-AU172</f>
        <v>0</v>
      </c>
      <c r="AV170" s="56">
        <f t="shared" ref="AV170" si="1594">+AU170-AV172</f>
        <v>0</v>
      </c>
      <c r="AW170" s="56">
        <f t="shared" ref="AW170" si="1595">+AV170-AW172</f>
        <v>0</v>
      </c>
      <c r="AX170" s="56">
        <f t="shared" ref="AX170" si="1596">+AW170-AX172</f>
        <v>0</v>
      </c>
      <c r="AY170" s="56">
        <f t="shared" ref="AY170" si="1597">+AX170-AY172</f>
        <v>0</v>
      </c>
      <c r="AZ170" s="56">
        <f t="shared" ref="AZ170" si="1598">+AY170-AZ172</f>
        <v>0</v>
      </c>
      <c r="BA170" s="56">
        <f t="shared" ref="BA170" si="1599">+AZ170-BA172</f>
        <v>0</v>
      </c>
    </row>
    <row r="171" spans="2:53" x14ac:dyDescent="0.2">
      <c r="B171" s="57" t="s">
        <v>29</v>
      </c>
      <c r="C171" s="64">
        <f>+AG170/((1-(1/(1+$C$9)^$C$8))/$C$9)</f>
        <v>0</v>
      </c>
      <c r="D171" s="44"/>
      <c r="E171" s="44"/>
      <c r="F171" s="44"/>
      <c r="G171" s="6"/>
      <c r="H171" s="6"/>
      <c r="I171" s="6"/>
      <c r="J171" s="6"/>
      <c r="K171" s="6"/>
      <c r="L171" s="6"/>
      <c r="M171" s="44"/>
      <c r="N171" s="44"/>
      <c r="O171" s="56"/>
      <c r="P171" s="56"/>
      <c r="Q171" s="56"/>
      <c r="R171" s="56"/>
      <c r="S171" s="56"/>
      <c r="T171" s="56"/>
      <c r="U171" s="56"/>
      <c r="V171" s="56"/>
      <c r="W171" s="56"/>
      <c r="X171" s="56"/>
      <c r="Y171" s="56"/>
      <c r="Z171" s="56"/>
      <c r="AA171" s="56"/>
      <c r="AB171" s="56"/>
      <c r="AC171" s="56"/>
      <c r="AD171" s="56"/>
      <c r="AE171" s="56"/>
      <c r="AF171" s="56"/>
      <c r="AG171" s="56">
        <v>0</v>
      </c>
      <c r="AH171" s="56">
        <f>+IF(AG170&lt;0.01,0,$C$171)</f>
        <v>0</v>
      </c>
      <c r="AI171" s="56">
        <f t="shared" ref="AI171:BA171" si="1600">+IF(AH170&lt;0.01,0,$C$171)</f>
        <v>0</v>
      </c>
      <c r="AJ171" s="56">
        <f t="shared" si="1600"/>
        <v>0</v>
      </c>
      <c r="AK171" s="56">
        <f t="shared" si="1600"/>
        <v>0</v>
      </c>
      <c r="AL171" s="56">
        <f t="shared" si="1600"/>
        <v>0</v>
      </c>
      <c r="AM171" s="56">
        <f t="shared" si="1600"/>
        <v>0</v>
      </c>
      <c r="AN171" s="56">
        <f t="shared" si="1600"/>
        <v>0</v>
      </c>
      <c r="AO171" s="56">
        <f t="shared" si="1600"/>
        <v>0</v>
      </c>
      <c r="AP171" s="56">
        <f t="shared" si="1600"/>
        <v>0</v>
      </c>
      <c r="AQ171" s="56">
        <f t="shared" si="1600"/>
        <v>0</v>
      </c>
      <c r="AR171" s="56">
        <f t="shared" si="1600"/>
        <v>0</v>
      </c>
      <c r="AS171" s="56">
        <f t="shared" si="1600"/>
        <v>0</v>
      </c>
      <c r="AT171" s="56">
        <f t="shared" si="1600"/>
        <v>0</v>
      </c>
      <c r="AU171" s="56">
        <f t="shared" si="1600"/>
        <v>0</v>
      </c>
      <c r="AV171" s="56">
        <f t="shared" si="1600"/>
        <v>0</v>
      </c>
      <c r="AW171" s="56">
        <f t="shared" si="1600"/>
        <v>0</v>
      </c>
      <c r="AX171" s="56">
        <f t="shared" si="1600"/>
        <v>0</v>
      </c>
      <c r="AY171" s="56">
        <f t="shared" si="1600"/>
        <v>0</v>
      </c>
      <c r="AZ171" s="56">
        <f t="shared" si="1600"/>
        <v>0</v>
      </c>
      <c r="BA171" s="56">
        <f t="shared" si="1600"/>
        <v>0</v>
      </c>
    </row>
    <row r="172" spans="2:53" x14ac:dyDescent="0.2">
      <c r="B172" s="57" t="s">
        <v>30</v>
      </c>
      <c r="C172" s="65" t="s">
        <v>75</v>
      </c>
      <c r="D172" s="44"/>
      <c r="E172" s="44"/>
      <c r="F172" s="44"/>
      <c r="G172" s="6"/>
      <c r="H172" s="6"/>
      <c r="I172" s="6"/>
      <c r="J172" s="6"/>
      <c r="K172" s="6"/>
      <c r="L172" s="6"/>
      <c r="M172" s="44"/>
      <c r="N172" s="44"/>
      <c r="O172" s="56"/>
      <c r="P172" s="56"/>
      <c r="Q172" s="56"/>
      <c r="R172" s="56"/>
      <c r="S172" s="56"/>
      <c r="T172" s="56"/>
      <c r="U172" s="56"/>
      <c r="V172" s="56"/>
      <c r="W172" s="56"/>
      <c r="X172" s="56"/>
      <c r="Y172" s="56"/>
      <c r="Z172" s="56"/>
      <c r="AA172" s="56"/>
      <c r="AB172" s="56"/>
      <c r="AC172" s="56"/>
      <c r="AD172" s="56"/>
      <c r="AE172" s="56"/>
      <c r="AF172" s="56"/>
      <c r="AG172" s="56">
        <v>0</v>
      </c>
      <c r="AH172" s="56">
        <f t="shared" ref="AH172:BA172" si="1601">+AH171-AH173</f>
        <v>0</v>
      </c>
      <c r="AI172" s="56">
        <f t="shared" si="1601"/>
        <v>0</v>
      </c>
      <c r="AJ172" s="56">
        <f t="shared" si="1601"/>
        <v>0</v>
      </c>
      <c r="AK172" s="56">
        <f t="shared" si="1601"/>
        <v>0</v>
      </c>
      <c r="AL172" s="56">
        <f t="shared" si="1601"/>
        <v>0</v>
      </c>
      <c r="AM172" s="56">
        <f t="shared" si="1601"/>
        <v>0</v>
      </c>
      <c r="AN172" s="56">
        <f t="shared" si="1601"/>
        <v>0</v>
      </c>
      <c r="AO172" s="56">
        <f t="shared" si="1601"/>
        <v>0</v>
      </c>
      <c r="AP172" s="56">
        <f t="shared" si="1601"/>
        <v>0</v>
      </c>
      <c r="AQ172" s="56">
        <f t="shared" si="1601"/>
        <v>0</v>
      </c>
      <c r="AR172" s="56">
        <f t="shared" si="1601"/>
        <v>0</v>
      </c>
      <c r="AS172" s="56">
        <f t="shared" si="1601"/>
        <v>0</v>
      </c>
      <c r="AT172" s="56">
        <f t="shared" si="1601"/>
        <v>0</v>
      </c>
      <c r="AU172" s="56">
        <f t="shared" si="1601"/>
        <v>0</v>
      </c>
      <c r="AV172" s="56">
        <f t="shared" si="1601"/>
        <v>0</v>
      </c>
      <c r="AW172" s="56">
        <f t="shared" si="1601"/>
        <v>0</v>
      </c>
      <c r="AX172" s="56">
        <f t="shared" si="1601"/>
        <v>0</v>
      </c>
      <c r="AY172" s="56">
        <f t="shared" si="1601"/>
        <v>0</v>
      </c>
      <c r="AZ172" s="56">
        <f t="shared" si="1601"/>
        <v>0</v>
      </c>
      <c r="BA172" s="56">
        <f t="shared" si="1601"/>
        <v>0</v>
      </c>
    </row>
    <row r="173" spans="2:53" x14ac:dyDescent="0.2">
      <c r="B173" s="57" t="s">
        <v>3</v>
      </c>
      <c r="C173" s="65" t="s">
        <v>75</v>
      </c>
      <c r="D173" s="44"/>
      <c r="E173" s="44"/>
      <c r="F173" s="44"/>
      <c r="G173" s="6"/>
      <c r="H173" s="6"/>
      <c r="I173" s="6"/>
      <c r="J173" s="6"/>
      <c r="K173" s="6"/>
      <c r="L173" s="6"/>
      <c r="M173" s="44"/>
      <c r="N173" s="44"/>
      <c r="O173" s="56"/>
      <c r="P173" s="56"/>
      <c r="Q173" s="56"/>
      <c r="R173" s="56"/>
      <c r="S173" s="56"/>
      <c r="T173" s="56"/>
      <c r="U173" s="56"/>
      <c r="V173" s="56"/>
      <c r="W173" s="56"/>
      <c r="X173" s="56"/>
      <c r="Y173" s="56"/>
      <c r="Z173" s="56"/>
      <c r="AA173" s="56"/>
      <c r="AB173" s="56"/>
      <c r="AC173" s="56"/>
      <c r="AD173" s="56"/>
      <c r="AE173" s="56"/>
      <c r="AF173" s="56"/>
      <c r="AG173" s="56">
        <v>0</v>
      </c>
      <c r="AH173" s="56">
        <f t="shared" ref="AH173" si="1602">+$C$9*AG170</f>
        <v>0</v>
      </c>
      <c r="AI173" s="56">
        <f t="shared" ref="AI173" si="1603">+$C$9*AH170</f>
        <v>0</v>
      </c>
      <c r="AJ173" s="56">
        <f t="shared" ref="AJ173" si="1604">+$C$9*AI170</f>
        <v>0</v>
      </c>
      <c r="AK173" s="56">
        <f t="shared" ref="AK173" si="1605">+$C$9*AJ170</f>
        <v>0</v>
      </c>
      <c r="AL173" s="56">
        <f t="shared" ref="AL173" si="1606">+$C$9*AK170</f>
        <v>0</v>
      </c>
      <c r="AM173" s="56">
        <f t="shared" ref="AM173" si="1607">+$C$9*AL170</f>
        <v>0</v>
      </c>
      <c r="AN173" s="56">
        <f t="shared" ref="AN173" si="1608">+$C$9*AM170</f>
        <v>0</v>
      </c>
      <c r="AO173" s="56">
        <f t="shared" ref="AO173" si="1609">+$C$9*AN170</f>
        <v>0</v>
      </c>
      <c r="AP173" s="56">
        <f t="shared" ref="AP173" si="1610">+$C$9*AO170</f>
        <v>0</v>
      </c>
      <c r="AQ173" s="56">
        <f t="shared" ref="AQ173" si="1611">+$C$9*AP170</f>
        <v>0</v>
      </c>
      <c r="AR173" s="56">
        <f t="shared" ref="AR173" si="1612">+$C$9*AQ170</f>
        <v>0</v>
      </c>
      <c r="AS173" s="56">
        <f t="shared" ref="AS173" si="1613">+$C$9*AR170</f>
        <v>0</v>
      </c>
      <c r="AT173" s="56">
        <f t="shared" ref="AT173" si="1614">+$C$9*AS170</f>
        <v>0</v>
      </c>
      <c r="AU173" s="56">
        <f t="shared" ref="AU173" si="1615">+$C$9*AT170</f>
        <v>0</v>
      </c>
      <c r="AV173" s="56">
        <f t="shared" ref="AV173" si="1616">+$C$9*AU170</f>
        <v>0</v>
      </c>
      <c r="AW173" s="56">
        <f t="shared" ref="AW173" si="1617">+$C$9*AV170</f>
        <v>0</v>
      </c>
      <c r="AX173" s="56">
        <f t="shared" ref="AX173" si="1618">+$C$9*AW170</f>
        <v>0</v>
      </c>
      <c r="AY173" s="56">
        <f t="shared" ref="AY173" si="1619">+$C$9*AX170</f>
        <v>0</v>
      </c>
      <c r="AZ173" s="56">
        <f t="shared" ref="AZ173" si="1620">+$C$9*AY170</f>
        <v>0</v>
      </c>
      <c r="BA173" s="56">
        <f t="shared" ref="BA173" si="1621">+$C$9*AZ170</f>
        <v>0</v>
      </c>
    </row>
    <row r="174" spans="2:53" x14ac:dyDescent="0.2">
      <c r="D174" s="6"/>
      <c r="E174" s="6"/>
      <c r="F174" s="6"/>
      <c r="G174" s="6"/>
      <c r="H174" s="6"/>
      <c r="I174" s="6"/>
      <c r="J174" s="6"/>
      <c r="K174" s="6"/>
      <c r="L174" s="6"/>
      <c r="M174" s="6"/>
      <c r="N174" s="6"/>
    </row>
    <row r="175" spans="2:53" x14ac:dyDescent="0.2">
      <c r="B175" s="46" t="s">
        <v>107</v>
      </c>
      <c r="C175" s="65" t="s">
        <v>75</v>
      </c>
      <c r="D175" s="44"/>
      <c r="E175" s="44"/>
      <c r="F175" s="44"/>
      <c r="G175" s="44"/>
      <c r="H175" s="44"/>
      <c r="I175" s="44"/>
      <c r="J175" s="44"/>
      <c r="K175" s="44"/>
      <c r="L175" s="44"/>
      <c r="M175" s="44"/>
      <c r="N175" s="44"/>
      <c r="O175" s="56"/>
      <c r="P175" s="56"/>
      <c r="Q175" s="56"/>
      <c r="R175" s="56"/>
      <c r="S175" s="56"/>
      <c r="T175" s="56"/>
      <c r="U175" s="56"/>
      <c r="V175" s="56"/>
      <c r="W175" s="56"/>
      <c r="X175" s="56"/>
      <c r="Y175" s="56"/>
      <c r="Z175" s="56"/>
      <c r="AA175" s="56"/>
      <c r="AB175" s="56"/>
      <c r="AC175" s="56"/>
      <c r="AD175" s="56"/>
      <c r="AE175" s="56"/>
      <c r="AF175" s="56"/>
      <c r="AG175" s="56"/>
      <c r="AH175" s="56">
        <f>AH18</f>
        <v>0</v>
      </c>
      <c r="AI175" s="56">
        <f t="shared" ref="AI175" si="1622">+AH175-AI177</f>
        <v>0</v>
      </c>
      <c r="AJ175" s="56">
        <f t="shared" ref="AJ175" si="1623">+AI175-AJ177</f>
        <v>0</v>
      </c>
      <c r="AK175" s="56">
        <f t="shared" ref="AK175" si="1624">+AJ175-AK177</f>
        <v>0</v>
      </c>
      <c r="AL175" s="56">
        <f t="shared" ref="AL175" si="1625">+AK175-AL177</f>
        <v>0</v>
      </c>
      <c r="AM175" s="56">
        <f t="shared" ref="AM175" si="1626">+AL175-AM177</f>
        <v>0</v>
      </c>
      <c r="AN175" s="56">
        <f t="shared" ref="AN175" si="1627">+AM175-AN177</f>
        <v>0</v>
      </c>
      <c r="AO175" s="56">
        <f t="shared" ref="AO175" si="1628">+AN175-AO177</f>
        <v>0</v>
      </c>
      <c r="AP175" s="56">
        <f t="shared" ref="AP175" si="1629">+AO175-AP177</f>
        <v>0</v>
      </c>
      <c r="AQ175" s="56">
        <f t="shared" ref="AQ175" si="1630">+AP175-AQ177</f>
        <v>0</v>
      </c>
      <c r="AR175" s="56">
        <f t="shared" ref="AR175" si="1631">+AQ175-AR177</f>
        <v>0</v>
      </c>
      <c r="AS175" s="56">
        <f t="shared" ref="AS175" si="1632">+AR175-AS177</f>
        <v>0</v>
      </c>
      <c r="AT175" s="56">
        <f t="shared" ref="AT175" si="1633">+AS175-AT177</f>
        <v>0</v>
      </c>
      <c r="AU175" s="56">
        <f t="shared" ref="AU175" si="1634">+AT175-AU177</f>
        <v>0</v>
      </c>
      <c r="AV175" s="56">
        <f t="shared" ref="AV175" si="1635">+AU175-AV177</f>
        <v>0</v>
      </c>
      <c r="AW175" s="56">
        <f t="shared" ref="AW175" si="1636">+AV175-AW177</f>
        <v>0</v>
      </c>
      <c r="AX175" s="56">
        <f t="shared" ref="AX175" si="1637">+AW175-AX177</f>
        <v>0</v>
      </c>
      <c r="AY175" s="56">
        <f t="shared" ref="AY175" si="1638">+AX175-AY177</f>
        <v>0</v>
      </c>
      <c r="AZ175" s="56">
        <f t="shared" ref="AZ175" si="1639">+AY175-AZ177</f>
        <v>0</v>
      </c>
      <c r="BA175" s="56">
        <f t="shared" ref="BA175" si="1640">+AZ175-BA177</f>
        <v>0</v>
      </c>
    </row>
    <row r="176" spans="2:53" x14ac:dyDescent="0.2">
      <c r="B176" s="57" t="s">
        <v>29</v>
      </c>
      <c r="C176" s="64">
        <f>+AH175/((1-(1/(1+$C$9)^$C$8))/$C$9)</f>
        <v>0</v>
      </c>
      <c r="D176" s="44"/>
      <c r="E176" s="44"/>
      <c r="F176" s="44"/>
      <c r="G176" s="44"/>
      <c r="H176" s="44"/>
      <c r="I176" s="44"/>
      <c r="J176" s="44"/>
      <c r="K176" s="44"/>
      <c r="L176" s="44"/>
      <c r="M176" s="44"/>
      <c r="N176" s="44"/>
      <c r="O176" s="56"/>
      <c r="P176" s="56"/>
      <c r="Q176" s="56"/>
      <c r="R176" s="56"/>
      <c r="S176" s="56"/>
      <c r="T176" s="56"/>
      <c r="U176" s="56"/>
      <c r="V176" s="56"/>
      <c r="W176" s="56"/>
      <c r="X176" s="56"/>
      <c r="Y176" s="56"/>
      <c r="Z176" s="56"/>
      <c r="AA176" s="56"/>
      <c r="AB176" s="56"/>
      <c r="AC176" s="56"/>
      <c r="AD176" s="56"/>
      <c r="AE176" s="56"/>
      <c r="AF176" s="56"/>
      <c r="AG176" s="56"/>
      <c r="AH176" s="56">
        <v>0</v>
      </c>
      <c r="AI176" s="56">
        <f>+IF(AH175&lt;0.01,0,$C$176)</f>
        <v>0</v>
      </c>
      <c r="AJ176" s="56">
        <f t="shared" ref="AJ176:BA176" si="1641">+IF(AI175&lt;0.01,0,$C$176)</f>
        <v>0</v>
      </c>
      <c r="AK176" s="56">
        <f t="shared" si="1641"/>
        <v>0</v>
      </c>
      <c r="AL176" s="56">
        <f t="shared" si="1641"/>
        <v>0</v>
      </c>
      <c r="AM176" s="56">
        <f t="shared" si="1641"/>
        <v>0</v>
      </c>
      <c r="AN176" s="56">
        <f t="shared" si="1641"/>
        <v>0</v>
      </c>
      <c r="AO176" s="56">
        <f t="shared" si="1641"/>
        <v>0</v>
      </c>
      <c r="AP176" s="56">
        <f t="shared" si="1641"/>
        <v>0</v>
      </c>
      <c r="AQ176" s="56">
        <f t="shared" si="1641"/>
        <v>0</v>
      </c>
      <c r="AR176" s="56">
        <f t="shared" si="1641"/>
        <v>0</v>
      </c>
      <c r="AS176" s="56">
        <f t="shared" si="1641"/>
        <v>0</v>
      </c>
      <c r="AT176" s="56">
        <f t="shared" si="1641"/>
        <v>0</v>
      </c>
      <c r="AU176" s="56">
        <f t="shared" si="1641"/>
        <v>0</v>
      </c>
      <c r="AV176" s="56">
        <f t="shared" si="1641"/>
        <v>0</v>
      </c>
      <c r="AW176" s="56">
        <f t="shared" si="1641"/>
        <v>0</v>
      </c>
      <c r="AX176" s="56">
        <f t="shared" si="1641"/>
        <v>0</v>
      </c>
      <c r="AY176" s="56">
        <f t="shared" si="1641"/>
        <v>0</v>
      </c>
      <c r="AZ176" s="56">
        <f t="shared" si="1641"/>
        <v>0</v>
      </c>
      <c r="BA176" s="56">
        <f t="shared" si="1641"/>
        <v>0</v>
      </c>
    </row>
    <row r="177" spans="2:53" x14ac:dyDescent="0.2">
      <c r="B177" s="57" t="s">
        <v>30</v>
      </c>
      <c r="C177" s="65" t="s">
        <v>75</v>
      </c>
      <c r="D177" s="44"/>
      <c r="E177" s="44"/>
      <c r="F177" s="44"/>
      <c r="G177" s="44"/>
      <c r="H177" s="44"/>
      <c r="I177" s="44"/>
      <c r="J177" s="44"/>
      <c r="K177" s="44"/>
      <c r="L177" s="44"/>
      <c r="M177" s="44"/>
      <c r="N177" s="44"/>
      <c r="O177" s="56"/>
      <c r="P177" s="56"/>
      <c r="Q177" s="56"/>
      <c r="R177" s="56"/>
      <c r="S177" s="56"/>
      <c r="T177" s="56"/>
      <c r="U177" s="56"/>
      <c r="V177" s="56"/>
      <c r="W177" s="56"/>
      <c r="X177" s="56"/>
      <c r="Y177" s="56"/>
      <c r="Z177" s="56"/>
      <c r="AA177" s="56"/>
      <c r="AB177" s="56"/>
      <c r="AC177" s="56"/>
      <c r="AD177" s="56"/>
      <c r="AE177" s="56"/>
      <c r="AF177" s="56"/>
      <c r="AG177" s="56"/>
      <c r="AH177" s="56">
        <v>0</v>
      </c>
      <c r="AI177" s="56">
        <f t="shared" ref="AI177:BA177" si="1642">+AI176-AI178</f>
        <v>0</v>
      </c>
      <c r="AJ177" s="56">
        <f t="shared" si="1642"/>
        <v>0</v>
      </c>
      <c r="AK177" s="56">
        <f t="shared" si="1642"/>
        <v>0</v>
      </c>
      <c r="AL177" s="56">
        <f t="shared" si="1642"/>
        <v>0</v>
      </c>
      <c r="AM177" s="56">
        <f t="shared" si="1642"/>
        <v>0</v>
      </c>
      <c r="AN177" s="56">
        <f t="shared" si="1642"/>
        <v>0</v>
      </c>
      <c r="AO177" s="56">
        <f t="shared" si="1642"/>
        <v>0</v>
      </c>
      <c r="AP177" s="56">
        <f t="shared" si="1642"/>
        <v>0</v>
      </c>
      <c r="AQ177" s="56">
        <f t="shared" si="1642"/>
        <v>0</v>
      </c>
      <c r="AR177" s="56">
        <f t="shared" si="1642"/>
        <v>0</v>
      </c>
      <c r="AS177" s="56">
        <f t="shared" si="1642"/>
        <v>0</v>
      </c>
      <c r="AT177" s="56">
        <f t="shared" si="1642"/>
        <v>0</v>
      </c>
      <c r="AU177" s="56">
        <f t="shared" si="1642"/>
        <v>0</v>
      </c>
      <c r="AV177" s="56">
        <f t="shared" si="1642"/>
        <v>0</v>
      </c>
      <c r="AW177" s="56">
        <f t="shared" si="1642"/>
        <v>0</v>
      </c>
      <c r="AX177" s="56">
        <f t="shared" si="1642"/>
        <v>0</v>
      </c>
      <c r="AY177" s="56">
        <f t="shared" si="1642"/>
        <v>0</v>
      </c>
      <c r="AZ177" s="56">
        <f t="shared" si="1642"/>
        <v>0</v>
      </c>
      <c r="BA177" s="56">
        <f t="shared" si="1642"/>
        <v>0</v>
      </c>
    </row>
    <row r="178" spans="2:53" x14ac:dyDescent="0.2">
      <c r="B178" s="57" t="s">
        <v>3</v>
      </c>
      <c r="C178" s="65" t="s">
        <v>75</v>
      </c>
      <c r="D178" s="44"/>
      <c r="E178" s="44"/>
      <c r="F178" s="44"/>
      <c r="G178" s="44"/>
      <c r="H178" s="44"/>
      <c r="I178" s="44"/>
      <c r="J178" s="44"/>
      <c r="K178" s="44"/>
      <c r="L178" s="44"/>
      <c r="M178" s="44"/>
      <c r="N178" s="44"/>
      <c r="O178" s="56"/>
      <c r="P178" s="56"/>
      <c r="Q178" s="56"/>
      <c r="R178" s="56"/>
      <c r="S178" s="56"/>
      <c r="T178" s="56"/>
      <c r="U178" s="56"/>
      <c r="V178" s="56"/>
      <c r="W178" s="56"/>
      <c r="X178" s="56"/>
      <c r="Y178" s="56"/>
      <c r="Z178" s="56"/>
      <c r="AA178" s="56"/>
      <c r="AB178" s="56"/>
      <c r="AC178" s="56"/>
      <c r="AD178" s="56"/>
      <c r="AE178" s="56"/>
      <c r="AF178" s="56"/>
      <c r="AG178" s="56"/>
      <c r="AH178" s="56">
        <v>0</v>
      </c>
      <c r="AI178" s="56">
        <f t="shared" ref="AI178" si="1643">+$C$9*AH175</f>
        <v>0</v>
      </c>
      <c r="AJ178" s="56">
        <f t="shared" ref="AJ178" si="1644">+$C$9*AI175</f>
        <v>0</v>
      </c>
      <c r="AK178" s="56">
        <f t="shared" ref="AK178" si="1645">+$C$9*AJ175</f>
        <v>0</v>
      </c>
      <c r="AL178" s="56">
        <f t="shared" ref="AL178" si="1646">+$C$9*AK175</f>
        <v>0</v>
      </c>
      <c r="AM178" s="56">
        <f t="shared" ref="AM178" si="1647">+$C$9*AL175</f>
        <v>0</v>
      </c>
      <c r="AN178" s="56">
        <f t="shared" ref="AN178" si="1648">+$C$9*AM175</f>
        <v>0</v>
      </c>
      <c r="AO178" s="56">
        <f t="shared" ref="AO178" si="1649">+$C$9*AN175</f>
        <v>0</v>
      </c>
      <c r="AP178" s="56">
        <f t="shared" ref="AP178" si="1650">+$C$9*AO175</f>
        <v>0</v>
      </c>
      <c r="AQ178" s="56">
        <f t="shared" ref="AQ178" si="1651">+$C$9*AP175</f>
        <v>0</v>
      </c>
      <c r="AR178" s="56">
        <f t="shared" ref="AR178" si="1652">+$C$9*AQ175</f>
        <v>0</v>
      </c>
      <c r="AS178" s="56">
        <f t="shared" ref="AS178" si="1653">+$C$9*AR175</f>
        <v>0</v>
      </c>
      <c r="AT178" s="56">
        <f t="shared" ref="AT178" si="1654">+$C$9*AS175</f>
        <v>0</v>
      </c>
      <c r="AU178" s="56">
        <f t="shared" ref="AU178" si="1655">+$C$9*AT175</f>
        <v>0</v>
      </c>
      <c r="AV178" s="56">
        <f t="shared" ref="AV178" si="1656">+$C$9*AU175</f>
        <v>0</v>
      </c>
      <c r="AW178" s="56">
        <f t="shared" ref="AW178" si="1657">+$C$9*AV175</f>
        <v>0</v>
      </c>
      <c r="AX178" s="56">
        <f t="shared" ref="AX178" si="1658">+$C$9*AW175</f>
        <v>0</v>
      </c>
      <c r="AY178" s="56">
        <f t="shared" ref="AY178" si="1659">+$C$9*AX175</f>
        <v>0</v>
      </c>
      <c r="AZ178" s="56">
        <f t="shared" ref="AZ178" si="1660">+$C$9*AY175</f>
        <v>0</v>
      </c>
      <c r="BA178" s="56">
        <f t="shared" ref="BA178" si="1661">+$C$9*AZ175</f>
        <v>0</v>
      </c>
    </row>
    <row r="179" spans="2:53" x14ac:dyDescent="0.2">
      <c r="B179" s="57"/>
      <c r="D179" s="44"/>
      <c r="E179" s="44"/>
      <c r="F179" s="44"/>
      <c r="G179" s="44"/>
      <c r="H179" s="44"/>
      <c r="I179" s="44"/>
      <c r="J179" s="44"/>
      <c r="K179" s="44"/>
      <c r="L179" s="44"/>
      <c r="M179" s="44"/>
      <c r="N179" s="44"/>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row>
    <row r="180" spans="2:53" x14ac:dyDescent="0.2">
      <c r="B180" s="46" t="s">
        <v>108</v>
      </c>
      <c r="C180" s="65" t="s">
        <v>75</v>
      </c>
      <c r="D180" s="44"/>
      <c r="E180" s="44"/>
      <c r="F180" s="44"/>
      <c r="G180" s="44"/>
      <c r="H180" s="44"/>
      <c r="I180" s="44"/>
      <c r="J180" s="44"/>
      <c r="K180" s="44"/>
      <c r="L180" s="44"/>
      <c r="M180" s="44"/>
      <c r="N180" s="44"/>
      <c r="O180" s="56"/>
      <c r="P180" s="56"/>
      <c r="Q180" s="56"/>
      <c r="R180" s="56"/>
      <c r="S180" s="56"/>
      <c r="T180" s="56"/>
      <c r="U180" s="56"/>
      <c r="V180" s="56"/>
      <c r="W180" s="56"/>
      <c r="X180" s="56"/>
      <c r="Y180" s="56"/>
      <c r="Z180" s="56"/>
      <c r="AA180" s="56"/>
      <c r="AB180" s="56"/>
      <c r="AC180" s="56"/>
      <c r="AD180" s="56"/>
      <c r="AE180" s="56"/>
      <c r="AF180" s="56"/>
      <c r="AG180" s="56"/>
      <c r="AH180" s="56"/>
      <c r="AI180" s="56">
        <f>AI18</f>
        <v>0</v>
      </c>
      <c r="AJ180" s="56">
        <f t="shared" ref="AJ180" si="1662">+AI180-AJ182</f>
        <v>0</v>
      </c>
      <c r="AK180" s="56">
        <f t="shared" ref="AK180" si="1663">+AJ180-AK182</f>
        <v>0</v>
      </c>
      <c r="AL180" s="56">
        <f t="shared" ref="AL180" si="1664">+AK180-AL182</f>
        <v>0</v>
      </c>
      <c r="AM180" s="56">
        <f t="shared" ref="AM180" si="1665">+AL180-AM182</f>
        <v>0</v>
      </c>
      <c r="AN180" s="56">
        <f t="shared" ref="AN180" si="1666">+AM180-AN182</f>
        <v>0</v>
      </c>
      <c r="AO180" s="56">
        <f t="shared" ref="AO180" si="1667">+AN180-AO182</f>
        <v>0</v>
      </c>
      <c r="AP180" s="56">
        <f t="shared" ref="AP180" si="1668">+AO180-AP182</f>
        <v>0</v>
      </c>
      <c r="AQ180" s="56">
        <f t="shared" ref="AQ180" si="1669">+AP180-AQ182</f>
        <v>0</v>
      </c>
      <c r="AR180" s="56">
        <f t="shared" ref="AR180" si="1670">+AQ180-AR182</f>
        <v>0</v>
      </c>
      <c r="AS180" s="56">
        <f t="shared" ref="AS180" si="1671">+AR180-AS182</f>
        <v>0</v>
      </c>
      <c r="AT180" s="56">
        <f t="shared" ref="AT180" si="1672">+AS180-AT182</f>
        <v>0</v>
      </c>
      <c r="AU180" s="56">
        <f t="shared" ref="AU180" si="1673">+AT180-AU182</f>
        <v>0</v>
      </c>
      <c r="AV180" s="56">
        <f t="shared" ref="AV180" si="1674">+AU180-AV182</f>
        <v>0</v>
      </c>
      <c r="AW180" s="56">
        <f t="shared" ref="AW180" si="1675">+AV180-AW182</f>
        <v>0</v>
      </c>
      <c r="AX180" s="56">
        <f t="shared" ref="AX180" si="1676">+AW180-AX182</f>
        <v>0</v>
      </c>
      <c r="AY180" s="56">
        <f t="shared" ref="AY180" si="1677">+AX180-AY182</f>
        <v>0</v>
      </c>
      <c r="AZ180" s="56">
        <f t="shared" ref="AZ180" si="1678">+AY180-AZ182</f>
        <v>0</v>
      </c>
      <c r="BA180" s="56">
        <f t="shared" ref="BA180" si="1679">+AZ180-BA182</f>
        <v>0</v>
      </c>
    </row>
    <row r="181" spans="2:53" x14ac:dyDescent="0.2">
      <c r="B181" s="57" t="s">
        <v>29</v>
      </c>
      <c r="C181" s="64">
        <f>+AI180/((1-(1/(1+$C$9)^$C$8))/$C$9)</f>
        <v>0</v>
      </c>
      <c r="D181" s="44"/>
      <c r="E181" s="44"/>
      <c r="F181" s="44"/>
      <c r="G181" s="44"/>
      <c r="H181" s="44"/>
      <c r="I181" s="44"/>
      <c r="J181" s="44"/>
      <c r="K181" s="44"/>
      <c r="L181" s="44"/>
      <c r="M181" s="44"/>
      <c r="N181" s="44"/>
      <c r="O181" s="56"/>
      <c r="P181" s="56"/>
      <c r="Q181" s="56"/>
      <c r="R181" s="56"/>
      <c r="S181" s="56"/>
      <c r="T181" s="56"/>
      <c r="U181" s="56"/>
      <c r="V181" s="56"/>
      <c r="W181" s="56"/>
      <c r="X181" s="56"/>
      <c r="Y181" s="56"/>
      <c r="Z181" s="56"/>
      <c r="AA181" s="56"/>
      <c r="AB181" s="56"/>
      <c r="AC181" s="56"/>
      <c r="AD181" s="56"/>
      <c r="AE181" s="56"/>
      <c r="AF181" s="56"/>
      <c r="AG181" s="56"/>
      <c r="AH181" s="56"/>
      <c r="AI181" s="56">
        <v>0</v>
      </c>
      <c r="AJ181" s="56">
        <f>+IF(AI180&lt;0.01,0,$C$181)</f>
        <v>0</v>
      </c>
      <c r="AK181" s="56">
        <f t="shared" ref="AK181:BA181" si="1680">+IF(AJ180&lt;0.01,0,$C$181)</f>
        <v>0</v>
      </c>
      <c r="AL181" s="56">
        <f t="shared" si="1680"/>
        <v>0</v>
      </c>
      <c r="AM181" s="56">
        <f t="shared" si="1680"/>
        <v>0</v>
      </c>
      <c r="AN181" s="56">
        <f t="shared" si="1680"/>
        <v>0</v>
      </c>
      <c r="AO181" s="56">
        <f t="shared" si="1680"/>
        <v>0</v>
      </c>
      <c r="AP181" s="56">
        <f t="shared" si="1680"/>
        <v>0</v>
      </c>
      <c r="AQ181" s="56">
        <f t="shared" si="1680"/>
        <v>0</v>
      </c>
      <c r="AR181" s="56">
        <f t="shared" si="1680"/>
        <v>0</v>
      </c>
      <c r="AS181" s="56">
        <f t="shared" si="1680"/>
        <v>0</v>
      </c>
      <c r="AT181" s="56">
        <f t="shared" si="1680"/>
        <v>0</v>
      </c>
      <c r="AU181" s="56">
        <f t="shared" si="1680"/>
        <v>0</v>
      </c>
      <c r="AV181" s="56">
        <f t="shared" si="1680"/>
        <v>0</v>
      </c>
      <c r="AW181" s="56">
        <f t="shared" si="1680"/>
        <v>0</v>
      </c>
      <c r="AX181" s="56">
        <f t="shared" si="1680"/>
        <v>0</v>
      </c>
      <c r="AY181" s="56">
        <f t="shared" si="1680"/>
        <v>0</v>
      </c>
      <c r="AZ181" s="56">
        <f t="shared" si="1680"/>
        <v>0</v>
      </c>
      <c r="BA181" s="56">
        <f t="shared" si="1680"/>
        <v>0</v>
      </c>
    </row>
    <row r="182" spans="2:53" x14ac:dyDescent="0.2">
      <c r="B182" s="57" t="s">
        <v>30</v>
      </c>
      <c r="C182" s="65" t="s">
        <v>75</v>
      </c>
      <c r="D182" s="44"/>
      <c r="E182" s="44"/>
      <c r="F182" s="44"/>
      <c r="G182" s="44"/>
      <c r="H182" s="44"/>
      <c r="I182" s="44"/>
      <c r="J182" s="44"/>
      <c r="K182" s="44"/>
      <c r="L182" s="44"/>
      <c r="M182" s="44"/>
      <c r="N182" s="44"/>
      <c r="O182" s="56"/>
      <c r="P182" s="56"/>
      <c r="Q182" s="56"/>
      <c r="R182" s="56"/>
      <c r="S182" s="56"/>
      <c r="T182" s="56"/>
      <c r="U182" s="56"/>
      <c r="V182" s="56"/>
      <c r="W182" s="56"/>
      <c r="X182" s="56"/>
      <c r="Y182" s="56"/>
      <c r="Z182" s="56"/>
      <c r="AA182" s="56"/>
      <c r="AB182" s="56"/>
      <c r="AC182" s="56"/>
      <c r="AD182" s="56"/>
      <c r="AE182" s="56"/>
      <c r="AF182" s="56"/>
      <c r="AG182" s="56"/>
      <c r="AH182" s="56"/>
      <c r="AI182" s="56">
        <v>0</v>
      </c>
      <c r="AJ182" s="56">
        <f t="shared" ref="AJ182:BA182" si="1681">+AJ181-AJ183</f>
        <v>0</v>
      </c>
      <c r="AK182" s="56">
        <f t="shared" si="1681"/>
        <v>0</v>
      </c>
      <c r="AL182" s="56">
        <f t="shared" si="1681"/>
        <v>0</v>
      </c>
      <c r="AM182" s="56">
        <f t="shared" si="1681"/>
        <v>0</v>
      </c>
      <c r="AN182" s="56">
        <f t="shared" si="1681"/>
        <v>0</v>
      </c>
      <c r="AO182" s="56">
        <f t="shared" si="1681"/>
        <v>0</v>
      </c>
      <c r="AP182" s="56">
        <f t="shared" si="1681"/>
        <v>0</v>
      </c>
      <c r="AQ182" s="56">
        <f t="shared" si="1681"/>
        <v>0</v>
      </c>
      <c r="AR182" s="56">
        <f t="shared" si="1681"/>
        <v>0</v>
      </c>
      <c r="AS182" s="56">
        <f t="shared" si="1681"/>
        <v>0</v>
      </c>
      <c r="AT182" s="56">
        <f t="shared" si="1681"/>
        <v>0</v>
      </c>
      <c r="AU182" s="56">
        <f t="shared" si="1681"/>
        <v>0</v>
      </c>
      <c r="AV182" s="56">
        <f t="shared" si="1681"/>
        <v>0</v>
      </c>
      <c r="AW182" s="56">
        <f t="shared" si="1681"/>
        <v>0</v>
      </c>
      <c r="AX182" s="56">
        <f t="shared" si="1681"/>
        <v>0</v>
      </c>
      <c r="AY182" s="56">
        <f t="shared" si="1681"/>
        <v>0</v>
      </c>
      <c r="AZ182" s="56">
        <f t="shared" si="1681"/>
        <v>0</v>
      </c>
      <c r="BA182" s="56">
        <f t="shared" si="1681"/>
        <v>0</v>
      </c>
    </row>
    <row r="183" spans="2:53" x14ac:dyDescent="0.2">
      <c r="B183" s="57" t="s">
        <v>3</v>
      </c>
      <c r="C183" s="65" t="s">
        <v>75</v>
      </c>
      <c r="D183" s="44"/>
      <c r="E183" s="44"/>
      <c r="F183" s="44"/>
      <c r="G183" s="44"/>
      <c r="H183" s="44"/>
      <c r="I183" s="44"/>
      <c r="J183" s="44"/>
      <c r="K183" s="44"/>
      <c r="L183" s="44"/>
      <c r="M183" s="44"/>
      <c r="N183" s="44"/>
      <c r="O183" s="56"/>
      <c r="P183" s="56"/>
      <c r="Q183" s="56"/>
      <c r="R183" s="56"/>
      <c r="S183" s="56"/>
      <c r="T183" s="56"/>
      <c r="U183" s="56"/>
      <c r="V183" s="56"/>
      <c r="W183" s="56"/>
      <c r="X183" s="56"/>
      <c r="Y183" s="56"/>
      <c r="Z183" s="56"/>
      <c r="AA183" s="56"/>
      <c r="AB183" s="56"/>
      <c r="AC183" s="56"/>
      <c r="AD183" s="56"/>
      <c r="AE183" s="56"/>
      <c r="AF183" s="56"/>
      <c r="AG183" s="56"/>
      <c r="AH183" s="56"/>
      <c r="AI183" s="56">
        <v>0</v>
      </c>
      <c r="AJ183" s="56">
        <f t="shared" ref="AJ183" si="1682">+$C$9*AI180</f>
        <v>0</v>
      </c>
      <c r="AK183" s="56">
        <f t="shared" ref="AK183" si="1683">+$C$9*AJ180</f>
        <v>0</v>
      </c>
      <c r="AL183" s="56">
        <f t="shared" ref="AL183" si="1684">+$C$9*AK180</f>
        <v>0</v>
      </c>
      <c r="AM183" s="56">
        <f t="shared" ref="AM183" si="1685">+$C$9*AL180</f>
        <v>0</v>
      </c>
      <c r="AN183" s="56">
        <f t="shared" ref="AN183" si="1686">+$C$9*AM180</f>
        <v>0</v>
      </c>
      <c r="AO183" s="56">
        <f t="shared" ref="AO183" si="1687">+$C$9*AN180</f>
        <v>0</v>
      </c>
      <c r="AP183" s="56">
        <f t="shared" ref="AP183" si="1688">+$C$9*AO180</f>
        <v>0</v>
      </c>
      <c r="AQ183" s="56">
        <f t="shared" ref="AQ183" si="1689">+$C$9*AP180</f>
        <v>0</v>
      </c>
      <c r="AR183" s="56">
        <f t="shared" ref="AR183" si="1690">+$C$9*AQ180</f>
        <v>0</v>
      </c>
      <c r="AS183" s="56">
        <f t="shared" ref="AS183" si="1691">+$C$9*AR180</f>
        <v>0</v>
      </c>
      <c r="AT183" s="56">
        <f t="shared" ref="AT183" si="1692">+$C$9*AS180</f>
        <v>0</v>
      </c>
      <c r="AU183" s="56">
        <f t="shared" ref="AU183" si="1693">+$C$9*AT180</f>
        <v>0</v>
      </c>
      <c r="AV183" s="56">
        <f t="shared" ref="AV183" si="1694">+$C$9*AU180</f>
        <v>0</v>
      </c>
      <c r="AW183" s="56">
        <f t="shared" ref="AW183" si="1695">+$C$9*AV180</f>
        <v>0</v>
      </c>
      <c r="AX183" s="56">
        <f t="shared" ref="AX183" si="1696">+$C$9*AW180</f>
        <v>0</v>
      </c>
      <c r="AY183" s="56">
        <f t="shared" ref="AY183" si="1697">+$C$9*AX180</f>
        <v>0</v>
      </c>
      <c r="AZ183" s="56">
        <f t="shared" ref="AZ183" si="1698">+$C$9*AY180</f>
        <v>0</v>
      </c>
      <c r="BA183" s="56">
        <f t="shared" ref="BA183" si="1699">+$C$9*AZ180</f>
        <v>0</v>
      </c>
    </row>
    <row r="184" spans="2:53" x14ac:dyDescent="0.2">
      <c r="B184" s="57"/>
      <c r="D184" s="44"/>
      <c r="E184" s="44"/>
      <c r="F184" s="44"/>
      <c r="G184" s="44"/>
      <c r="H184" s="44"/>
      <c r="I184" s="44"/>
      <c r="J184" s="44"/>
      <c r="K184" s="44"/>
      <c r="L184" s="44"/>
      <c r="M184" s="44"/>
      <c r="N184" s="44"/>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row>
    <row r="185" spans="2:53" x14ac:dyDescent="0.2">
      <c r="B185" s="46" t="s">
        <v>109</v>
      </c>
      <c r="C185" s="65" t="s">
        <v>75</v>
      </c>
      <c r="D185" s="44"/>
      <c r="E185" s="44"/>
      <c r="F185" s="44"/>
      <c r="G185" s="44"/>
      <c r="H185" s="44"/>
      <c r="I185" s="44"/>
      <c r="J185" s="44"/>
      <c r="K185" s="44"/>
      <c r="L185" s="44"/>
      <c r="M185" s="44"/>
      <c r="N185" s="44"/>
      <c r="O185" s="56"/>
      <c r="P185" s="56"/>
      <c r="Q185" s="56"/>
      <c r="R185" s="56"/>
      <c r="S185" s="56"/>
      <c r="T185" s="56"/>
      <c r="U185" s="56"/>
      <c r="V185" s="56"/>
      <c r="W185" s="56"/>
      <c r="X185" s="56"/>
      <c r="Y185" s="56"/>
      <c r="Z185" s="56"/>
      <c r="AA185" s="56"/>
      <c r="AB185" s="56"/>
      <c r="AC185" s="56"/>
      <c r="AD185" s="56"/>
      <c r="AE185" s="56"/>
      <c r="AF185" s="56"/>
      <c r="AG185" s="56"/>
      <c r="AH185" s="56"/>
      <c r="AI185" s="56"/>
      <c r="AJ185" s="56">
        <f>AJ18</f>
        <v>0</v>
      </c>
      <c r="AK185" s="56">
        <f t="shared" ref="AK185" si="1700">+AJ185-AK187</f>
        <v>0</v>
      </c>
      <c r="AL185" s="56">
        <f t="shared" ref="AL185" si="1701">+AK185-AL187</f>
        <v>0</v>
      </c>
      <c r="AM185" s="56">
        <f t="shared" ref="AM185" si="1702">+AL185-AM187</f>
        <v>0</v>
      </c>
      <c r="AN185" s="56">
        <f t="shared" ref="AN185" si="1703">+AM185-AN187</f>
        <v>0</v>
      </c>
      <c r="AO185" s="56">
        <f t="shared" ref="AO185" si="1704">+AN185-AO187</f>
        <v>0</v>
      </c>
      <c r="AP185" s="56">
        <f t="shared" ref="AP185" si="1705">+AO185-AP187</f>
        <v>0</v>
      </c>
      <c r="AQ185" s="56">
        <f t="shared" ref="AQ185" si="1706">+AP185-AQ187</f>
        <v>0</v>
      </c>
      <c r="AR185" s="56">
        <f t="shared" ref="AR185" si="1707">+AQ185-AR187</f>
        <v>0</v>
      </c>
      <c r="AS185" s="56">
        <f t="shared" ref="AS185" si="1708">+AR185-AS187</f>
        <v>0</v>
      </c>
      <c r="AT185" s="56">
        <f t="shared" ref="AT185" si="1709">+AS185-AT187</f>
        <v>0</v>
      </c>
      <c r="AU185" s="56">
        <f t="shared" ref="AU185" si="1710">+AT185-AU187</f>
        <v>0</v>
      </c>
      <c r="AV185" s="56">
        <f t="shared" ref="AV185" si="1711">+AU185-AV187</f>
        <v>0</v>
      </c>
      <c r="AW185" s="56">
        <f t="shared" ref="AW185" si="1712">+AV185-AW187</f>
        <v>0</v>
      </c>
      <c r="AX185" s="56">
        <f t="shared" ref="AX185" si="1713">+AW185-AX187</f>
        <v>0</v>
      </c>
      <c r="AY185" s="56">
        <f t="shared" ref="AY185" si="1714">+AX185-AY187</f>
        <v>0</v>
      </c>
      <c r="AZ185" s="56">
        <f t="shared" ref="AZ185" si="1715">+AY185-AZ187</f>
        <v>0</v>
      </c>
      <c r="BA185" s="56">
        <f t="shared" ref="BA185" si="1716">+AZ185-BA187</f>
        <v>0</v>
      </c>
    </row>
    <row r="186" spans="2:53" x14ac:dyDescent="0.2">
      <c r="B186" s="57" t="s">
        <v>29</v>
      </c>
      <c r="C186" s="64">
        <f>+AJ185/((1-(1/(1+$C$9)^$C$8))/$C$9)</f>
        <v>0</v>
      </c>
      <c r="D186" s="44"/>
      <c r="E186" s="44"/>
      <c r="F186" s="44"/>
      <c r="G186" s="44"/>
      <c r="H186" s="44"/>
      <c r="I186" s="44"/>
      <c r="J186" s="44"/>
      <c r="K186" s="44"/>
      <c r="L186" s="44"/>
      <c r="M186" s="44"/>
      <c r="N186" s="44"/>
      <c r="O186" s="56"/>
      <c r="P186" s="56"/>
      <c r="Q186" s="56"/>
      <c r="R186" s="56"/>
      <c r="S186" s="56"/>
      <c r="T186" s="56"/>
      <c r="U186" s="56"/>
      <c r="V186" s="56"/>
      <c r="W186" s="56"/>
      <c r="X186" s="56"/>
      <c r="Y186" s="56"/>
      <c r="Z186" s="56"/>
      <c r="AA186" s="56"/>
      <c r="AB186" s="56"/>
      <c r="AC186" s="56"/>
      <c r="AD186" s="56"/>
      <c r="AE186" s="56"/>
      <c r="AF186" s="56"/>
      <c r="AG186" s="56"/>
      <c r="AH186" s="56"/>
      <c r="AI186" s="56"/>
      <c r="AJ186" s="56">
        <v>0</v>
      </c>
      <c r="AK186" s="56">
        <f>+IF(AJ185&lt;0.01,0,$C$186)</f>
        <v>0</v>
      </c>
      <c r="AL186" s="56">
        <f t="shared" ref="AL186:BA186" si="1717">+IF(AK185&lt;0.01,0,$C$186)</f>
        <v>0</v>
      </c>
      <c r="AM186" s="56">
        <f t="shared" si="1717"/>
        <v>0</v>
      </c>
      <c r="AN186" s="56">
        <f t="shared" si="1717"/>
        <v>0</v>
      </c>
      <c r="AO186" s="56">
        <f t="shared" si="1717"/>
        <v>0</v>
      </c>
      <c r="AP186" s="56">
        <f t="shared" si="1717"/>
        <v>0</v>
      </c>
      <c r="AQ186" s="56">
        <f t="shared" si="1717"/>
        <v>0</v>
      </c>
      <c r="AR186" s="56">
        <f t="shared" si="1717"/>
        <v>0</v>
      </c>
      <c r="AS186" s="56">
        <f t="shared" si="1717"/>
        <v>0</v>
      </c>
      <c r="AT186" s="56">
        <f t="shared" si="1717"/>
        <v>0</v>
      </c>
      <c r="AU186" s="56">
        <f t="shared" si="1717"/>
        <v>0</v>
      </c>
      <c r="AV186" s="56">
        <f t="shared" si="1717"/>
        <v>0</v>
      </c>
      <c r="AW186" s="56">
        <f t="shared" si="1717"/>
        <v>0</v>
      </c>
      <c r="AX186" s="56">
        <f t="shared" si="1717"/>
        <v>0</v>
      </c>
      <c r="AY186" s="56">
        <f t="shared" si="1717"/>
        <v>0</v>
      </c>
      <c r="AZ186" s="56">
        <f t="shared" si="1717"/>
        <v>0</v>
      </c>
      <c r="BA186" s="56">
        <f t="shared" si="1717"/>
        <v>0</v>
      </c>
    </row>
    <row r="187" spans="2:53" x14ac:dyDescent="0.2">
      <c r="B187" s="57" t="s">
        <v>30</v>
      </c>
      <c r="C187" s="65" t="s">
        <v>75</v>
      </c>
      <c r="D187" s="44"/>
      <c r="E187" s="44"/>
      <c r="F187" s="44"/>
      <c r="G187" s="44"/>
      <c r="H187" s="44"/>
      <c r="I187" s="44"/>
      <c r="J187" s="44"/>
      <c r="K187" s="44"/>
      <c r="L187" s="44"/>
      <c r="M187" s="44"/>
      <c r="N187" s="44"/>
      <c r="O187" s="56"/>
      <c r="P187" s="56"/>
      <c r="Q187" s="56"/>
      <c r="R187" s="56"/>
      <c r="S187" s="56"/>
      <c r="T187" s="56"/>
      <c r="U187" s="56"/>
      <c r="V187" s="56"/>
      <c r="W187" s="56"/>
      <c r="X187" s="56"/>
      <c r="Y187" s="56"/>
      <c r="Z187" s="56"/>
      <c r="AA187" s="56"/>
      <c r="AB187" s="56"/>
      <c r="AC187" s="56"/>
      <c r="AD187" s="56"/>
      <c r="AE187" s="56"/>
      <c r="AF187" s="56"/>
      <c r="AG187" s="56"/>
      <c r="AH187" s="56"/>
      <c r="AI187" s="56"/>
      <c r="AJ187" s="56">
        <v>0</v>
      </c>
      <c r="AK187" s="56">
        <f t="shared" ref="AK187:BA187" si="1718">+AK186-AK188</f>
        <v>0</v>
      </c>
      <c r="AL187" s="56">
        <f t="shared" si="1718"/>
        <v>0</v>
      </c>
      <c r="AM187" s="56">
        <f t="shared" si="1718"/>
        <v>0</v>
      </c>
      <c r="AN187" s="56">
        <f t="shared" si="1718"/>
        <v>0</v>
      </c>
      <c r="AO187" s="56">
        <f t="shared" si="1718"/>
        <v>0</v>
      </c>
      <c r="AP187" s="56">
        <f t="shared" si="1718"/>
        <v>0</v>
      </c>
      <c r="AQ187" s="56">
        <f t="shared" si="1718"/>
        <v>0</v>
      </c>
      <c r="AR187" s="56">
        <f t="shared" si="1718"/>
        <v>0</v>
      </c>
      <c r="AS187" s="56">
        <f t="shared" si="1718"/>
        <v>0</v>
      </c>
      <c r="AT187" s="56">
        <f t="shared" si="1718"/>
        <v>0</v>
      </c>
      <c r="AU187" s="56">
        <f t="shared" si="1718"/>
        <v>0</v>
      </c>
      <c r="AV187" s="56">
        <f t="shared" si="1718"/>
        <v>0</v>
      </c>
      <c r="AW187" s="56">
        <f t="shared" si="1718"/>
        <v>0</v>
      </c>
      <c r="AX187" s="56">
        <f t="shared" si="1718"/>
        <v>0</v>
      </c>
      <c r="AY187" s="56">
        <f t="shared" si="1718"/>
        <v>0</v>
      </c>
      <c r="AZ187" s="56">
        <f t="shared" si="1718"/>
        <v>0</v>
      </c>
      <c r="BA187" s="56">
        <f t="shared" si="1718"/>
        <v>0</v>
      </c>
    </row>
    <row r="188" spans="2:53" x14ac:dyDescent="0.2">
      <c r="B188" s="57" t="s">
        <v>3</v>
      </c>
      <c r="C188" s="65" t="s">
        <v>75</v>
      </c>
      <c r="D188" s="44"/>
      <c r="E188" s="44"/>
      <c r="F188" s="44"/>
      <c r="G188" s="44"/>
      <c r="H188" s="44"/>
      <c r="I188" s="44"/>
      <c r="J188" s="44"/>
      <c r="K188" s="44"/>
      <c r="L188" s="44"/>
      <c r="M188" s="44"/>
      <c r="N188" s="44"/>
      <c r="O188" s="56"/>
      <c r="P188" s="56"/>
      <c r="Q188" s="56"/>
      <c r="R188" s="56"/>
      <c r="S188" s="56"/>
      <c r="T188" s="56"/>
      <c r="U188" s="56"/>
      <c r="V188" s="56"/>
      <c r="W188" s="56"/>
      <c r="X188" s="56"/>
      <c r="Y188" s="56"/>
      <c r="Z188" s="56"/>
      <c r="AA188" s="56"/>
      <c r="AB188" s="56"/>
      <c r="AC188" s="56"/>
      <c r="AD188" s="56"/>
      <c r="AE188" s="56"/>
      <c r="AF188" s="56"/>
      <c r="AG188" s="56"/>
      <c r="AH188" s="56"/>
      <c r="AI188" s="56"/>
      <c r="AJ188" s="56">
        <v>0</v>
      </c>
      <c r="AK188" s="56">
        <f t="shared" ref="AK188" si="1719">+$C$9*AJ185</f>
        <v>0</v>
      </c>
      <c r="AL188" s="56">
        <f t="shared" ref="AL188" si="1720">+$C$9*AK185</f>
        <v>0</v>
      </c>
      <c r="AM188" s="56">
        <f t="shared" ref="AM188" si="1721">+$C$9*AL185</f>
        <v>0</v>
      </c>
      <c r="AN188" s="56">
        <f t="shared" ref="AN188" si="1722">+$C$9*AM185</f>
        <v>0</v>
      </c>
      <c r="AO188" s="56">
        <f t="shared" ref="AO188" si="1723">+$C$9*AN185</f>
        <v>0</v>
      </c>
      <c r="AP188" s="56">
        <f t="shared" ref="AP188" si="1724">+$C$9*AO185</f>
        <v>0</v>
      </c>
      <c r="AQ188" s="56">
        <f t="shared" ref="AQ188" si="1725">+$C$9*AP185</f>
        <v>0</v>
      </c>
      <c r="AR188" s="56">
        <f t="shared" ref="AR188" si="1726">+$C$9*AQ185</f>
        <v>0</v>
      </c>
      <c r="AS188" s="56">
        <f t="shared" ref="AS188" si="1727">+$C$9*AR185</f>
        <v>0</v>
      </c>
      <c r="AT188" s="56">
        <f t="shared" ref="AT188" si="1728">+$C$9*AS185</f>
        <v>0</v>
      </c>
      <c r="AU188" s="56">
        <f t="shared" ref="AU188" si="1729">+$C$9*AT185</f>
        <v>0</v>
      </c>
      <c r="AV188" s="56">
        <f t="shared" ref="AV188" si="1730">+$C$9*AU185</f>
        <v>0</v>
      </c>
      <c r="AW188" s="56">
        <f t="shared" ref="AW188" si="1731">+$C$9*AV185</f>
        <v>0</v>
      </c>
      <c r="AX188" s="56">
        <f t="shared" ref="AX188" si="1732">+$C$9*AW185</f>
        <v>0</v>
      </c>
      <c r="AY188" s="56">
        <f t="shared" ref="AY188" si="1733">+$C$9*AX185</f>
        <v>0</v>
      </c>
      <c r="AZ188" s="56">
        <f t="shared" ref="AZ188" si="1734">+$C$9*AY185</f>
        <v>0</v>
      </c>
      <c r="BA188" s="56">
        <f t="shared" ref="BA188" si="1735">+$C$9*AZ185</f>
        <v>0</v>
      </c>
    </row>
    <row r="189" spans="2:53" x14ac:dyDescent="0.2">
      <c r="B189" s="57"/>
      <c r="D189" s="44"/>
      <c r="E189" s="44"/>
      <c r="F189" s="44"/>
      <c r="G189" s="44"/>
      <c r="H189" s="44"/>
      <c r="I189" s="44"/>
      <c r="J189" s="44"/>
      <c r="K189" s="44"/>
      <c r="L189" s="44"/>
      <c r="M189" s="44"/>
      <c r="N189" s="44"/>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row>
    <row r="190" spans="2:53" x14ac:dyDescent="0.2">
      <c r="B190" s="46" t="s">
        <v>110</v>
      </c>
      <c r="C190" s="65" t="s">
        <v>75</v>
      </c>
      <c r="D190" s="44"/>
      <c r="E190" s="44"/>
      <c r="F190" s="44"/>
      <c r="G190" s="44"/>
      <c r="H190" s="44"/>
      <c r="I190" s="44"/>
      <c r="J190" s="44"/>
      <c r="K190" s="44"/>
      <c r="L190" s="44"/>
      <c r="M190" s="44"/>
      <c r="N190" s="44"/>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f>AK18</f>
        <v>0</v>
      </c>
      <c r="AL190" s="56">
        <f t="shared" ref="AL190" si="1736">+AK190-AL192</f>
        <v>0</v>
      </c>
      <c r="AM190" s="56">
        <f t="shared" ref="AM190" si="1737">+AL190-AM192</f>
        <v>0</v>
      </c>
      <c r="AN190" s="56">
        <f t="shared" ref="AN190" si="1738">+AM190-AN192</f>
        <v>0</v>
      </c>
      <c r="AO190" s="56">
        <f t="shared" ref="AO190" si="1739">+AN190-AO192</f>
        <v>0</v>
      </c>
      <c r="AP190" s="56">
        <f t="shared" ref="AP190" si="1740">+AO190-AP192</f>
        <v>0</v>
      </c>
      <c r="AQ190" s="56">
        <f t="shared" ref="AQ190" si="1741">+AP190-AQ192</f>
        <v>0</v>
      </c>
      <c r="AR190" s="56">
        <f t="shared" ref="AR190" si="1742">+AQ190-AR192</f>
        <v>0</v>
      </c>
      <c r="AS190" s="56">
        <f t="shared" ref="AS190" si="1743">+AR190-AS192</f>
        <v>0</v>
      </c>
      <c r="AT190" s="56">
        <f t="shared" ref="AT190" si="1744">+AS190-AT192</f>
        <v>0</v>
      </c>
      <c r="AU190" s="56">
        <f t="shared" ref="AU190" si="1745">+AT190-AU192</f>
        <v>0</v>
      </c>
      <c r="AV190" s="56">
        <f t="shared" ref="AV190" si="1746">+AU190-AV192</f>
        <v>0</v>
      </c>
      <c r="AW190" s="56">
        <f t="shared" ref="AW190" si="1747">+AV190-AW192</f>
        <v>0</v>
      </c>
      <c r="AX190" s="56">
        <f t="shared" ref="AX190" si="1748">+AW190-AX192</f>
        <v>0</v>
      </c>
      <c r="AY190" s="56">
        <f t="shared" ref="AY190" si="1749">+AX190-AY192</f>
        <v>0</v>
      </c>
      <c r="AZ190" s="56">
        <f t="shared" ref="AZ190" si="1750">+AY190-AZ192</f>
        <v>0</v>
      </c>
      <c r="BA190" s="56">
        <f t="shared" ref="BA190" si="1751">+AZ190-BA192</f>
        <v>0</v>
      </c>
    </row>
    <row r="191" spans="2:53" x14ac:dyDescent="0.2">
      <c r="B191" s="57" t="s">
        <v>29</v>
      </c>
      <c r="C191" s="64">
        <f>+AK190/((1-(1/(1+$C$9)^$C$8))/$C$9)</f>
        <v>0</v>
      </c>
      <c r="D191" s="44"/>
      <c r="E191" s="44"/>
      <c r="F191" s="44"/>
      <c r="G191" s="44"/>
      <c r="H191" s="44"/>
      <c r="I191" s="44"/>
      <c r="J191" s="44"/>
      <c r="K191" s="44"/>
      <c r="L191" s="44"/>
      <c r="M191" s="44"/>
      <c r="N191" s="44"/>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v>0</v>
      </c>
      <c r="AL191" s="56">
        <f>+IF(AK190&lt;0.01,0,$C$191)</f>
        <v>0</v>
      </c>
      <c r="AM191" s="56">
        <f t="shared" ref="AM191:BA191" si="1752">+IF(AL190&lt;0.01,0,$C$191)</f>
        <v>0</v>
      </c>
      <c r="AN191" s="56">
        <f t="shared" si="1752"/>
        <v>0</v>
      </c>
      <c r="AO191" s="56">
        <f t="shared" si="1752"/>
        <v>0</v>
      </c>
      <c r="AP191" s="56">
        <f t="shared" si="1752"/>
        <v>0</v>
      </c>
      <c r="AQ191" s="56">
        <f t="shared" si="1752"/>
        <v>0</v>
      </c>
      <c r="AR191" s="56">
        <f t="shared" si="1752"/>
        <v>0</v>
      </c>
      <c r="AS191" s="56">
        <f t="shared" si="1752"/>
        <v>0</v>
      </c>
      <c r="AT191" s="56">
        <f t="shared" si="1752"/>
        <v>0</v>
      </c>
      <c r="AU191" s="56">
        <f t="shared" si="1752"/>
        <v>0</v>
      </c>
      <c r="AV191" s="56">
        <f t="shared" si="1752"/>
        <v>0</v>
      </c>
      <c r="AW191" s="56">
        <f t="shared" si="1752"/>
        <v>0</v>
      </c>
      <c r="AX191" s="56">
        <f t="shared" si="1752"/>
        <v>0</v>
      </c>
      <c r="AY191" s="56">
        <f t="shared" si="1752"/>
        <v>0</v>
      </c>
      <c r="AZ191" s="56">
        <f t="shared" si="1752"/>
        <v>0</v>
      </c>
      <c r="BA191" s="56">
        <f t="shared" si="1752"/>
        <v>0</v>
      </c>
    </row>
    <row r="192" spans="2:53" x14ac:dyDescent="0.2">
      <c r="B192" s="57" t="s">
        <v>30</v>
      </c>
      <c r="C192" s="65" t="s">
        <v>75</v>
      </c>
      <c r="D192" s="44"/>
      <c r="E192" s="44"/>
      <c r="F192" s="44"/>
      <c r="G192" s="44"/>
      <c r="H192" s="44"/>
      <c r="I192" s="44"/>
      <c r="J192" s="44"/>
      <c r="K192" s="44"/>
      <c r="L192" s="44"/>
      <c r="M192" s="44"/>
      <c r="N192" s="44"/>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v>0</v>
      </c>
      <c r="AL192" s="56">
        <f t="shared" ref="AL192:BA192" si="1753">+AL191-AL193</f>
        <v>0</v>
      </c>
      <c r="AM192" s="56">
        <f t="shared" si="1753"/>
        <v>0</v>
      </c>
      <c r="AN192" s="56">
        <f t="shared" si="1753"/>
        <v>0</v>
      </c>
      <c r="AO192" s="56">
        <f t="shared" si="1753"/>
        <v>0</v>
      </c>
      <c r="AP192" s="56">
        <f t="shared" si="1753"/>
        <v>0</v>
      </c>
      <c r="AQ192" s="56">
        <f t="shared" si="1753"/>
        <v>0</v>
      </c>
      <c r="AR192" s="56">
        <f t="shared" si="1753"/>
        <v>0</v>
      </c>
      <c r="AS192" s="56">
        <f t="shared" si="1753"/>
        <v>0</v>
      </c>
      <c r="AT192" s="56">
        <f t="shared" si="1753"/>
        <v>0</v>
      </c>
      <c r="AU192" s="56">
        <f t="shared" si="1753"/>
        <v>0</v>
      </c>
      <c r="AV192" s="56">
        <f t="shared" si="1753"/>
        <v>0</v>
      </c>
      <c r="AW192" s="56">
        <f t="shared" si="1753"/>
        <v>0</v>
      </c>
      <c r="AX192" s="56">
        <f t="shared" si="1753"/>
        <v>0</v>
      </c>
      <c r="AY192" s="56">
        <f t="shared" si="1753"/>
        <v>0</v>
      </c>
      <c r="AZ192" s="56">
        <f t="shared" si="1753"/>
        <v>0</v>
      </c>
      <c r="BA192" s="56">
        <f t="shared" si="1753"/>
        <v>0</v>
      </c>
    </row>
    <row r="193" spans="2:53" x14ac:dyDescent="0.2">
      <c r="B193" s="57" t="s">
        <v>3</v>
      </c>
      <c r="C193" s="65" t="s">
        <v>75</v>
      </c>
      <c r="D193" s="44"/>
      <c r="E193" s="44"/>
      <c r="F193" s="44"/>
      <c r="G193" s="44"/>
      <c r="H193" s="44"/>
      <c r="I193" s="44"/>
      <c r="J193" s="44"/>
      <c r="K193" s="44"/>
      <c r="L193" s="44"/>
      <c r="M193" s="44"/>
      <c r="N193" s="44"/>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v>0</v>
      </c>
      <c r="AL193" s="56">
        <f t="shared" ref="AL193" si="1754">+$C$9*AK190</f>
        <v>0</v>
      </c>
      <c r="AM193" s="56">
        <f t="shared" ref="AM193" si="1755">+$C$9*AL190</f>
        <v>0</v>
      </c>
      <c r="AN193" s="56">
        <f t="shared" ref="AN193" si="1756">+$C$9*AM190</f>
        <v>0</v>
      </c>
      <c r="AO193" s="56">
        <f t="shared" ref="AO193" si="1757">+$C$9*AN190</f>
        <v>0</v>
      </c>
      <c r="AP193" s="56">
        <f t="shared" ref="AP193" si="1758">+$C$9*AO190</f>
        <v>0</v>
      </c>
      <c r="AQ193" s="56">
        <f t="shared" ref="AQ193" si="1759">+$C$9*AP190</f>
        <v>0</v>
      </c>
      <c r="AR193" s="56">
        <f t="shared" ref="AR193" si="1760">+$C$9*AQ190</f>
        <v>0</v>
      </c>
      <c r="AS193" s="56">
        <f t="shared" ref="AS193" si="1761">+$C$9*AR190</f>
        <v>0</v>
      </c>
      <c r="AT193" s="56">
        <f t="shared" ref="AT193" si="1762">+$C$9*AS190</f>
        <v>0</v>
      </c>
      <c r="AU193" s="56">
        <f t="shared" ref="AU193" si="1763">+$C$9*AT190</f>
        <v>0</v>
      </c>
      <c r="AV193" s="56">
        <f t="shared" ref="AV193" si="1764">+$C$9*AU190</f>
        <v>0</v>
      </c>
      <c r="AW193" s="56">
        <f t="shared" ref="AW193" si="1765">+$C$9*AV190</f>
        <v>0</v>
      </c>
      <c r="AX193" s="56">
        <f t="shared" ref="AX193" si="1766">+$C$9*AW190</f>
        <v>0</v>
      </c>
      <c r="AY193" s="56">
        <f t="shared" ref="AY193" si="1767">+$C$9*AX190</f>
        <v>0</v>
      </c>
      <c r="AZ193" s="56">
        <f t="shared" ref="AZ193" si="1768">+$C$9*AY190</f>
        <v>0</v>
      </c>
      <c r="BA193" s="56">
        <f t="shared" ref="BA193" si="1769">+$C$9*AZ190</f>
        <v>0</v>
      </c>
    </row>
    <row r="194" spans="2:53" x14ac:dyDescent="0.2">
      <c r="B194" s="57"/>
      <c r="D194" s="44"/>
      <c r="E194" s="44"/>
      <c r="F194" s="44"/>
      <c r="G194" s="44"/>
      <c r="H194" s="44"/>
      <c r="I194" s="44"/>
      <c r="J194" s="44"/>
      <c r="K194" s="44"/>
      <c r="L194" s="44"/>
      <c r="M194" s="44"/>
      <c r="N194" s="44"/>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row>
    <row r="195" spans="2:53" x14ac:dyDescent="0.2">
      <c r="B195" s="46" t="s">
        <v>111</v>
      </c>
      <c r="C195" s="65" t="s">
        <v>75</v>
      </c>
      <c r="D195" s="44"/>
      <c r="E195" s="44"/>
      <c r="F195" s="44"/>
      <c r="G195" s="6"/>
      <c r="H195" s="44"/>
      <c r="I195" s="44"/>
      <c r="J195" s="44"/>
      <c r="K195" s="44"/>
      <c r="L195" s="44"/>
      <c r="M195" s="44"/>
      <c r="N195" s="44"/>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f>AL18</f>
        <v>0</v>
      </c>
      <c r="AM195" s="56">
        <f t="shared" ref="AM195" si="1770">+AL195-AM197</f>
        <v>0</v>
      </c>
      <c r="AN195" s="56">
        <f t="shared" ref="AN195" si="1771">+AM195-AN197</f>
        <v>0</v>
      </c>
      <c r="AO195" s="56">
        <f t="shared" ref="AO195" si="1772">+AN195-AO197</f>
        <v>0</v>
      </c>
      <c r="AP195" s="56">
        <f t="shared" ref="AP195" si="1773">+AO195-AP197</f>
        <v>0</v>
      </c>
      <c r="AQ195" s="56">
        <f t="shared" ref="AQ195" si="1774">+AP195-AQ197</f>
        <v>0</v>
      </c>
      <c r="AR195" s="56">
        <f t="shared" ref="AR195" si="1775">+AQ195-AR197</f>
        <v>0</v>
      </c>
      <c r="AS195" s="56">
        <f t="shared" ref="AS195" si="1776">+AR195-AS197</f>
        <v>0</v>
      </c>
      <c r="AT195" s="56">
        <f t="shared" ref="AT195" si="1777">+AS195-AT197</f>
        <v>0</v>
      </c>
      <c r="AU195" s="56">
        <f t="shared" ref="AU195" si="1778">+AT195-AU197</f>
        <v>0</v>
      </c>
      <c r="AV195" s="56">
        <f t="shared" ref="AV195" si="1779">+AU195-AV197</f>
        <v>0</v>
      </c>
      <c r="AW195" s="56">
        <f t="shared" ref="AW195" si="1780">+AV195-AW197</f>
        <v>0</v>
      </c>
      <c r="AX195" s="56">
        <f t="shared" ref="AX195" si="1781">+AW195-AX197</f>
        <v>0</v>
      </c>
      <c r="AY195" s="56">
        <f t="shared" ref="AY195" si="1782">+AX195-AY197</f>
        <v>0</v>
      </c>
      <c r="AZ195" s="56">
        <f t="shared" ref="AZ195" si="1783">+AY195-AZ197</f>
        <v>0</v>
      </c>
      <c r="BA195" s="56">
        <f t="shared" ref="BA195" si="1784">+AZ195-BA197</f>
        <v>0</v>
      </c>
    </row>
    <row r="196" spans="2:53" x14ac:dyDescent="0.2">
      <c r="B196" s="57" t="s">
        <v>29</v>
      </c>
      <c r="C196" s="64">
        <f>+AL195/((1-(1/(1+$C$9)^$C$8))/$C$9)</f>
        <v>0</v>
      </c>
      <c r="D196" s="44"/>
      <c r="E196" s="44"/>
      <c r="F196" s="44"/>
      <c r="G196" s="6"/>
      <c r="H196" s="44"/>
      <c r="I196" s="44"/>
      <c r="J196" s="44"/>
      <c r="K196" s="44"/>
      <c r="L196" s="44"/>
      <c r="M196" s="44"/>
      <c r="N196" s="44"/>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v>0</v>
      </c>
      <c r="AM196" s="56">
        <f>+IF(AL195&lt;0.01,0,$C$196)</f>
        <v>0</v>
      </c>
      <c r="AN196" s="56">
        <f t="shared" ref="AN196:BA196" si="1785">+IF(AM195&lt;0.01,0,$C$196)</f>
        <v>0</v>
      </c>
      <c r="AO196" s="56">
        <f t="shared" si="1785"/>
        <v>0</v>
      </c>
      <c r="AP196" s="56">
        <f t="shared" si="1785"/>
        <v>0</v>
      </c>
      <c r="AQ196" s="56">
        <f t="shared" si="1785"/>
        <v>0</v>
      </c>
      <c r="AR196" s="56">
        <f t="shared" si="1785"/>
        <v>0</v>
      </c>
      <c r="AS196" s="56">
        <f t="shared" si="1785"/>
        <v>0</v>
      </c>
      <c r="AT196" s="56">
        <f t="shared" si="1785"/>
        <v>0</v>
      </c>
      <c r="AU196" s="56">
        <f t="shared" si="1785"/>
        <v>0</v>
      </c>
      <c r="AV196" s="56">
        <f t="shared" si="1785"/>
        <v>0</v>
      </c>
      <c r="AW196" s="56">
        <f t="shared" si="1785"/>
        <v>0</v>
      </c>
      <c r="AX196" s="56">
        <f t="shared" si="1785"/>
        <v>0</v>
      </c>
      <c r="AY196" s="56">
        <f t="shared" si="1785"/>
        <v>0</v>
      </c>
      <c r="AZ196" s="56">
        <f t="shared" si="1785"/>
        <v>0</v>
      </c>
      <c r="BA196" s="56">
        <f t="shared" si="1785"/>
        <v>0</v>
      </c>
    </row>
    <row r="197" spans="2:53" x14ac:dyDescent="0.2">
      <c r="B197" s="57" t="s">
        <v>30</v>
      </c>
      <c r="C197" s="65" t="s">
        <v>75</v>
      </c>
      <c r="D197" s="44"/>
      <c r="E197" s="44"/>
      <c r="F197" s="44"/>
      <c r="G197" s="6"/>
      <c r="H197" s="44"/>
      <c r="I197" s="44"/>
      <c r="J197" s="44"/>
      <c r="K197" s="44"/>
      <c r="L197" s="44"/>
      <c r="M197" s="44"/>
      <c r="N197" s="44"/>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v>0</v>
      </c>
      <c r="AM197" s="56">
        <f t="shared" ref="AM197:BA197" si="1786">+AM196-AM198</f>
        <v>0</v>
      </c>
      <c r="AN197" s="56">
        <f t="shared" si="1786"/>
        <v>0</v>
      </c>
      <c r="AO197" s="56">
        <f t="shared" si="1786"/>
        <v>0</v>
      </c>
      <c r="AP197" s="56">
        <f t="shared" si="1786"/>
        <v>0</v>
      </c>
      <c r="AQ197" s="56">
        <f t="shared" si="1786"/>
        <v>0</v>
      </c>
      <c r="AR197" s="56">
        <f t="shared" si="1786"/>
        <v>0</v>
      </c>
      <c r="AS197" s="56">
        <f t="shared" si="1786"/>
        <v>0</v>
      </c>
      <c r="AT197" s="56">
        <f t="shared" si="1786"/>
        <v>0</v>
      </c>
      <c r="AU197" s="56">
        <f t="shared" si="1786"/>
        <v>0</v>
      </c>
      <c r="AV197" s="56">
        <f t="shared" si="1786"/>
        <v>0</v>
      </c>
      <c r="AW197" s="56">
        <f t="shared" si="1786"/>
        <v>0</v>
      </c>
      <c r="AX197" s="56">
        <f t="shared" si="1786"/>
        <v>0</v>
      </c>
      <c r="AY197" s="56">
        <f t="shared" si="1786"/>
        <v>0</v>
      </c>
      <c r="AZ197" s="56">
        <f t="shared" si="1786"/>
        <v>0</v>
      </c>
      <c r="BA197" s="56">
        <f t="shared" si="1786"/>
        <v>0</v>
      </c>
    </row>
    <row r="198" spans="2:53" x14ac:dyDescent="0.2">
      <c r="B198" s="57" t="s">
        <v>3</v>
      </c>
      <c r="C198" s="65" t="s">
        <v>75</v>
      </c>
      <c r="D198" s="44"/>
      <c r="E198" s="44"/>
      <c r="F198" s="44"/>
      <c r="G198" s="6"/>
      <c r="H198" s="44"/>
      <c r="I198" s="44"/>
      <c r="J198" s="44"/>
      <c r="K198" s="44"/>
      <c r="L198" s="44"/>
      <c r="M198" s="44"/>
      <c r="N198" s="44"/>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v>0</v>
      </c>
      <c r="AM198" s="56">
        <f t="shared" ref="AM198" si="1787">+$C$9*AL195</f>
        <v>0</v>
      </c>
      <c r="AN198" s="56">
        <f t="shared" ref="AN198" si="1788">+$C$9*AM195</f>
        <v>0</v>
      </c>
      <c r="AO198" s="56">
        <f t="shared" ref="AO198" si="1789">+$C$9*AN195</f>
        <v>0</v>
      </c>
      <c r="AP198" s="56">
        <f t="shared" ref="AP198" si="1790">+$C$9*AO195</f>
        <v>0</v>
      </c>
      <c r="AQ198" s="56">
        <f t="shared" ref="AQ198" si="1791">+$C$9*AP195</f>
        <v>0</v>
      </c>
      <c r="AR198" s="56">
        <f t="shared" ref="AR198" si="1792">+$C$9*AQ195</f>
        <v>0</v>
      </c>
      <c r="AS198" s="56">
        <f t="shared" ref="AS198" si="1793">+$C$9*AR195</f>
        <v>0</v>
      </c>
      <c r="AT198" s="56">
        <f t="shared" ref="AT198" si="1794">+$C$9*AS195</f>
        <v>0</v>
      </c>
      <c r="AU198" s="56">
        <f t="shared" ref="AU198" si="1795">+$C$9*AT195</f>
        <v>0</v>
      </c>
      <c r="AV198" s="56">
        <f t="shared" ref="AV198" si="1796">+$C$9*AU195</f>
        <v>0</v>
      </c>
      <c r="AW198" s="56">
        <f t="shared" ref="AW198" si="1797">+$C$9*AV195</f>
        <v>0</v>
      </c>
      <c r="AX198" s="56">
        <f t="shared" ref="AX198" si="1798">+$C$9*AW195</f>
        <v>0</v>
      </c>
      <c r="AY198" s="56">
        <f t="shared" ref="AY198" si="1799">+$C$9*AX195</f>
        <v>0</v>
      </c>
      <c r="AZ198" s="56">
        <f t="shared" ref="AZ198" si="1800">+$C$9*AY195</f>
        <v>0</v>
      </c>
      <c r="BA198" s="56">
        <f t="shared" ref="BA198" si="1801">+$C$9*AZ195</f>
        <v>0</v>
      </c>
    </row>
    <row r="199" spans="2:53" x14ac:dyDescent="0.2">
      <c r="B199" s="57"/>
      <c r="D199" s="44"/>
      <c r="E199" s="44"/>
      <c r="F199" s="44"/>
      <c r="G199" s="44"/>
      <c r="H199" s="44"/>
      <c r="I199" s="44"/>
      <c r="J199" s="44"/>
      <c r="K199" s="44"/>
      <c r="L199" s="44"/>
      <c r="M199" s="44"/>
      <c r="N199" s="44"/>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row>
    <row r="200" spans="2:53" x14ac:dyDescent="0.2">
      <c r="B200" s="46" t="s">
        <v>112</v>
      </c>
      <c r="C200" s="65" t="s">
        <v>75</v>
      </c>
      <c r="D200" s="44"/>
      <c r="E200" s="44"/>
      <c r="F200" s="44"/>
      <c r="G200" s="6"/>
      <c r="H200" s="6"/>
      <c r="I200" s="44"/>
      <c r="J200" s="44"/>
      <c r="K200" s="44"/>
      <c r="L200" s="44"/>
      <c r="M200" s="44"/>
      <c r="N200" s="44"/>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f>AM18</f>
        <v>0</v>
      </c>
      <c r="AN200" s="56">
        <f t="shared" ref="AN200" si="1802">+AM200-AN202</f>
        <v>0</v>
      </c>
      <c r="AO200" s="56">
        <f t="shared" ref="AO200" si="1803">+AN200-AO202</f>
        <v>0</v>
      </c>
      <c r="AP200" s="56">
        <f t="shared" ref="AP200" si="1804">+AO200-AP202</f>
        <v>0</v>
      </c>
      <c r="AQ200" s="56">
        <f t="shared" ref="AQ200" si="1805">+AP200-AQ202</f>
        <v>0</v>
      </c>
      <c r="AR200" s="56">
        <f t="shared" ref="AR200" si="1806">+AQ200-AR202</f>
        <v>0</v>
      </c>
      <c r="AS200" s="56">
        <f t="shared" ref="AS200" si="1807">+AR200-AS202</f>
        <v>0</v>
      </c>
      <c r="AT200" s="56">
        <f t="shared" ref="AT200" si="1808">+AS200-AT202</f>
        <v>0</v>
      </c>
      <c r="AU200" s="56">
        <f t="shared" ref="AU200" si="1809">+AT200-AU202</f>
        <v>0</v>
      </c>
      <c r="AV200" s="56">
        <f t="shared" ref="AV200" si="1810">+AU200-AV202</f>
        <v>0</v>
      </c>
      <c r="AW200" s="56">
        <f t="shared" ref="AW200" si="1811">+AV200-AW202</f>
        <v>0</v>
      </c>
      <c r="AX200" s="56">
        <f t="shared" ref="AX200" si="1812">+AW200-AX202</f>
        <v>0</v>
      </c>
      <c r="AY200" s="56">
        <f t="shared" ref="AY200" si="1813">+AX200-AY202</f>
        <v>0</v>
      </c>
      <c r="AZ200" s="56">
        <f t="shared" ref="AZ200" si="1814">+AY200-AZ202</f>
        <v>0</v>
      </c>
      <c r="BA200" s="56">
        <f t="shared" ref="BA200" si="1815">+AZ200-BA202</f>
        <v>0</v>
      </c>
    </row>
    <row r="201" spans="2:53" x14ac:dyDescent="0.2">
      <c r="B201" s="57" t="s">
        <v>29</v>
      </c>
      <c r="C201" s="64">
        <f>+AM200/((1-(1/(1+$C$9)^$C$8))/$C$9)</f>
        <v>0</v>
      </c>
      <c r="D201" s="44"/>
      <c r="E201" s="44"/>
      <c r="F201" s="44"/>
      <c r="G201" s="6"/>
      <c r="H201" s="6"/>
      <c r="I201" s="44"/>
      <c r="J201" s="44"/>
      <c r="K201" s="44"/>
      <c r="L201" s="44"/>
      <c r="M201" s="44"/>
      <c r="N201" s="44"/>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v>0</v>
      </c>
      <c r="AN201" s="56">
        <f>+IF(AM200&lt;0.01,0,$C$201)</f>
        <v>0</v>
      </c>
      <c r="AO201" s="56">
        <f t="shared" ref="AO201:BA201" si="1816">+IF(AN200&lt;0.01,0,$C$201)</f>
        <v>0</v>
      </c>
      <c r="AP201" s="56">
        <f t="shared" si="1816"/>
        <v>0</v>
      </c>
      <c r="AQ201" s="56">
        <f t="shared" si="1816"/>
        <v>0</v>
      </c>
      <c r="AR201" s="56">
        <f t="shared" si="1816"/>
        <v>0</v>
      </c>
      <c r="AS201" s="56">
        <f t="shared" si="1816"/>
        <v>0</v>
      </c>
      <c r="AT201" s="56">
        <f t="shared" si="1816"/>
        <v>0</v>
      </c>
      <c r="AU201" s="56">
        <f t="shared" si="1816"/>
        <v>0</v>
      </c>
      <c r="AV201" s="56">
        <f t="shared" si="1816"/>
        <v>0</v>
      </c>
      <c r="AW201" s="56">
        <f t="shared" si="1816"/>
        <v>0</v>
      </c>
      <c r="AX201" s="56">
        <f t="shared" si="1816"/>
        <v>0</v>
      </c>
      <c r="AY201" s="56">
        <f t="shared" si="1816"/>
        <v>0</v>
      </c>
      <c r="AZ201" s="56">
        <f t="shared" si="1816"/>
        <v>0</v>
      </c>
      <c r="BA201" s="56">
        <f t="shared" si="1816"/>
        <v>0</v>
      </c>
    </row>
    <row r="202" spans="2:53" x14ac:dyDescent="0.2">
      <c r="B202" s="57" t="s">
        <v>30</v>
      </c>
      <c r="C202" s="65" t="s">
        <v>75</v>
      </c>
      <c r="D202" s="44"/>
      <c r="E202" s="44"/>
      <c r="F202" s="44"/>
      <c r="G202" s="6"/>
      <c r="H202" s="6"/>
      <c r="I202" s="44"/>
      <c r="J202" s="44"/>
      <c r="K202" s="44"/>
      <c r="L202" s="44"/>
      <c r="M202" s="44"/>
      <c r="N202" s="44"/>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v>0</v>
      </c>
      <c r="AN202" s="56">
        <f t="shared" ref="AN202:BA202" si="1817">+AN201-AN203</f>
        <v>0</v>
      </c>
      <c r="AO202" s="56">
        <f t="shared" si="1817"/>
        <v>0</v>
      </c>
      <c r="AP202" s="56">
        <f t="shared" si="1817"/>
        <v>0</v>
      </c>
      <c r="AQ202" s="56">
        <f t="shared" si="1817"/>
        <v>0</v>
      </c>
      <c r="AR202" s="56">
        <f t="shared" si="1817"/>
        <v>0</v>
      </c>
      <c r="AS202" s="56">
        <f t="shared" si="1817"/>
        <v>0</v>
      </c>
      <c r="AT202" s="56">
        <f t="shared" si="1817"/>
        <v>0</v>
      </c>
      <c r="AU202" s="56">
        <f t="shared" si="1817"/>
        <v>0</v>
      </c>
      <c r="AV202" s="56">
        <f t="shared" si="1817"/>
        <v>0</v>
      </c>
      <c r="AW202" s="56">
        <f t="shared" si="1817"/>
        <v>0</v>
      </c>
      <c r="AX202" s="56">
        <f t="shared" si="1817"/>
        <v>0</v>
      </c>
      <c r="AY202" s="56">
        <f t="shared" si="1817"/>
        <v>0</v>
      </c>
      <c r="AZ202" s="56">
        <f t="shared" si="1817"/>
        <v>0</v>
      </c>
      <c r="BA202" s="56">
        <f t="shared" si="1817"/>
        <v>0</v>
      </c>
    </row>
    <row r="203" spans="2:53" x14ac:dyDescent="0.2">
      <c r="B203" s="57" t="s">
        <v>3</v>
      </c>
      <c r="C203" s="65" t="s">
        <v>75</v>
      </c>
      <c r="D203" s="44"/>
      <c r="E203" s="44"/>
      <c r="F203" s="44"/>
      <c r="G203" s="6"/>
      <c r="H203" s="6"/>
      <c r="I203" s="44"/>
      <c r="J203" s="44"/>
      <c r="K203" s="44"/>
      <c r="L203" s="44"/>
      <c r="M203" s="44"/>
      <c r="N203" s="44"/>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v>0</v>
      </c>
      <c r="AN203" s="56">
        <f t="shared" ref="AN203" si="1818">+$C$9*AM200</f>
        <v>0</v>
      </c>
      <c r="AO203" s="56">
        <f t="shared" ref="AO203" si="1819">+$C$9*AN200</f>
        <v>0</v>
      </c>
      <c r="AP203" s="56">
        <f t="shared" ref="AP203" si="1820">+$C$9*AO200</f>
        <v>0</v>
      </c>
      <c r="AQ203" s="56">
        <f t="shared" ref="AQ203" si="1821">+$C$9*AP200</f>
        <v>0</v>
      </c>
      <c r="AR203" s="56">
        <f t="shared" ref="AR203" si="1822">+$C$9*AQ200</f>
        <v>0</v>
      </c>
      <c r="AS203" s="56">
        <f t="shared" ref="AS203" si="1823">+$C$9*AR200</f>
        <v>0</v>
      </c>
      <c r="AT203" s="56">
        <f t="shared" ref="AT203" si="1824">+$C$9*AS200</f>
        <v>0</v>
      </c>
      <c r="AU203" s="56">
        <f t="shared" ref="AU203" si="1825">+$C$9*AT200</f>
        <v>0</v>
      </c>
      <c r="AV203" s="56">
        <f t="shared" ref="AV203" si="1826">+$C$9*AU200</f>
        <v>0</v>
      </c>
      <c r="AW203" s="56">
        <f t="shared" ref="AW203" si="1827">+$C$9*AV200</f>
        <v>0</v>
      </c>
      <c r="AX203" s="56">
        <f t="shared" ref="AX203" si="1828">+$C$9*AW200</f>
        <v>0</v>
      </c>
      <c r="AY203" s="56">
        <f t="shared" ref="AY203" si="1829">+$C$9*AX200</f>
        <v>0</v>
      </c>
      <c r="AZ203" s="56">
        <f t="shared" ref="AZ203" si="1830">+$C$9*AY200</f>
        <v>0</v>
      </c>
      <c r="BA203" s="56">
        <f t="shared" ref="BA203" si="1831">+$C$9*AZ200</f>
        <v>0</v>
      </c>
    </row>
    <row r="204" spans="2:53" x14ac:dyDescent="0.2">
      <c r="B204" s="57"/>
      <c r="D204" s="44"/>
      <c r="E204" s="44"/>
      <c r="F204" s="44"/>
      <c r="G204" s="44"/>
      <c r="H204" s="44"/>
      <c r="I204" s="44"/>
      <c r="J204" s="44"/>
      <c r="K204" s="44"/>
      <c r="L204" s="44"/>
      <c r="M204" s="44"/>
      <c r="N204" s="44"/>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row>
    <row r="205" spans="2:53" x14ac:dyDescent="0.2">
      <c r="B205" s="46" t="s">
        <v>113</v>
      </c>
      <c r="C205" s="65" t="s">
        <v>75</v>
      </c>
      <c r="D205" s="44"/>
      <c r="E205" s="44"/>
      <c r="F205" s="44"/>
      <c r="G205" s="6"/>
      <c r="H205" s="6"/>
      <c r="I205" s="6"/>
      <c r="J205" s="44"/>
      <c r="K205" s="44"/>
      <c r="L205" s="44"/>
      <c r="M205" s="44"/>
      <c r="N205" s="44"/>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f>AN18</f>
        <v>0</v>
      </c>
      <c r="AO205" s="56">
        <f t="shared" ref="AO205" si="1832">+AN205-AO207</f>
        <v>0</v>
      </c>
      <c r="AP205" s="56">
        <f t="shared" ref="AP205" si="1833">+AO205-AP207</f>
        <v>0</v>
      </c>
      <c r="AQ205" s="56">
        <f t="shared" ref="AQ205" si="1834">+AP205-AQ207</f>
        <v>0</v>
      </c>
      <c r="AR205" s="56">
        <f t="shared" ref="AR205" si="1835">+AQ205-AR207</f>
        <v>0</v>
      </c>
      <c r="AS205" s="56">
        <f t="shared" ref="AS205" si="1836">+AR205-AS207</f>
        <v>0</v>
      </c>
      <c r="AT205" s="56">
        <f t="shared" ref="AT205" si="1837">+AS205-AT207</f>
        <v>0</v>
      </c>
      <c r="AU205" s="56">
        <f t="shared" ref="AU205" si="1838">+AT205-AU207</f>
        <v>0</v>
      </c>
      <c r="AV205" s="56">
        <f t="shared" ref="AV205" si="1839">+AU205-AV207</f>
        <v>0</v>
      </c>
      <c r="AW205" s="56">
        <f t="shared" ref="AW205" si="1840">+AV205-AW207</f>
        <v>0</v>
      </c>
      <c r="AX205" s="56">
        <f t="shared" ref="AX205" si="1841">+AW205-AX207</f>
        <v>0</v>
      </c>
      <c r="AY205" s="56">
        <f t="shared" ref="AY205" si="1842">+AX205-AY207</f>
        <v>0</v>
      </c>
      <c r="AZ205" s="56">
        <f t="shared" ref="AZ205" si="1843">+AY205-AZ207</f>
        <v>0</v>
      </c>
      <c r="BA205" s="56">
        <f t="shared" ref="BA205" si="1844">+AZ205-BA207</f>
        <v>0</v>
      </c>
    </row>
    <row r="206" spans="2:53" x14ac:dyDescent="0.2">
      <c r="B206" s="57" t="s">
        <v>29</v>
      </c>
      <c r="C206" s="64">
        <f>+AN205/((1-(1/(1+$C$9)^$C$8))/$C$9)</f>
        <v>0</v>
      </c>
      <c r="D206" s="44"/>
      <c r="E206" s="44"/>
      <c r="F206" s="44"/>
      <c r="G206" s="6"/>
      <c r="H206" s="6"/>
      <c r="I206" s="6"/>
      <c r="J206" s="44"/>
      <c r="K206" s="44"/>
      <c r="L206" s="44"/>
      <c r="M206" s="44"/>
      <c r="N206" s="44"/>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v>0</v>
      </c>
      <c r="AO206" s="56">
        <f>+IF(AN205&lt;0.01,0,$C$206)</f>
        <v>0</v>
      </c>
      <c r="AP206" s="56">
        <f t="shared" ref="AP206:BA206" si="1845">+IF(AO205&lt;0.01,0,$C$206)</f>
        <v>0</v>
      </c>
      <c r="AQ206" s="56">
        <f t="shared" si="1845"/>
        <v>0</v>
      </c>
      <c r="AR206" s="56">
        <f t="shared" si="1845"/>
        <v>0</v>
      </c>
      <c r="AS206" s="56">
        <f t="shared" si="1845"/>
        <v>0</v>
      </c>
      <c r="AT206" s="56">
        <f t="shared" si="1845"/>
        <v>0</v>
      </c>
      <c r="AU206" s="56">
        <f t="shared" si="1845"/>
        <v>0</v>
      </c>
      <c r="AV206" s="56">
        <f t="shared" si="1845"/>
        <v>0</v>
      </c>
      <c r="AW206" s="56">
        <f t="shared" si="1845"/>
        <v>0</v>
      </c>
      <c r="AX206" s="56">
        <f t="shared" si="1845"/>
        <v>0</v>
      </c>
      <c r="AY206" s="56">
        <f t="shared" si="1845"/>
        <v>0</v>
      </c>
      <c r="AZ206" s="56">
        <f t="shared" si="1845"/>
        <v>0</v>
      </c>
      <c r="BA206" s="56">
        <f t="shared" si="1845"/>
        <v>0</v>
      </c>
    </row>
    <row r="207" spans="2:53" x14ac:dyDescent="0.2">
      <c r="B207" s="57" t="s">
        <v>30</v>
      </c>
      <c r="C207" s="65" t="s">
        <v>75</v>
      </c>
      <c r="D207" s="44"/>
      <c r="E207" s="44"/>
      <c r="F207" s="44"/>
      <c r="G207" s="6"/>
      <c r="H207" s="6"/>
      <c r="I207" s="6"/>
      <c r="J207" s="44"/>
      <c r="K207" s="44"/>
      <c r="L207" s="44"/>
      <c r="M207" s="44"/>
      <c r="N207" s="44"/>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v>0</v>
      </c>
      <c r="AO207" s="56">
        <f t="shared" ref="AO207:BA207" si="1846">+AO206-AO208</f>
        <v>0</v>
      </c>
      <c r="AP207" s="56">
        <f t="shared" si="1846"/>
        <v>0</v>
      </c>
      <c r="AQ207" s="56">
        <f t="shared" si="1846"/>
        <v>0</v>
      </c>
      <c r="AR207" s="56">
        <f t="shared" si="1846"/>
        <v>0</v>
      </c>
      <c r="AS207" s="56">
        <f t="shared" si="1846"/>
        <v>0</v>
      </c>
      <c r="AT207" s="56">
        <f t="shared" si="1846"/>
        <v>0</v>
      </c>
      <c r="AU207" s="56">
        <f t="shared" si="1846"/>
        <v>0</v>
      </c>
      <c r="AV207" s="56">
        <f t="shared" si="1846"/>
        <v>0</v>
      </c>
      <c r="AW207" s="56">
        <f t="shared" si="1846"/>
        <v>0</v>
      </c>
      <c r="AX207" s="56">
        <f t="shared" si="1846"/>
        <v>0</v>
      </c>
      <c r="AY207" s="56">
        <f t="shared" si="1846"/>
        <v>0</v>
      </c>
      <c r="AZ207" s="56">
        <f t="shared" si="1846"/>
        <v>0</v>
      </c>
      <c r="BA207" s="56">
        <f t="shared" si="1846"/>
        <v>0</v>
      </c>
    </row>
    <row r="208" spans="2:53" x14ac:dyDescent="0.2">
      <c r="B208" s="57" t="s">
        <v>3</v>
      </c>
      <c r="C208" s="65" t="s">
        <v>75</v>
      </c>
      <c r="D208" s="44"/>
      <c r="E208" s="44"/>
      <c r="F208" s="44"/>
      <c r="G208" s="6"/>
      <c r="H208" s="6"/>
      <c r="I208" s="6"/>
      <c r="J208" s="44"/>
      <c r="K208" s="44"/>
      <c r="L208" s="44"/>
      <c r="M208" s="44"/>
      <c r="N208" s="44"/>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v>0</v>
      </c>
      <c r="AO208" s="56">
        <f t="shared" ref="AO208" si="1847">+$C$9*AN205</f>
        <v>0</v>
      </c>
      <c r="AP208" s="56">
        <f t="shared" ref="AP208" si="1848">+$C$9*AO205</f>
        <v>0</v>
      </c>
      <c r="AQ208" s="56">
        <f t="shared" ref="AQ208" si="1849">+$C$9*AP205</f>
        <v>0</v>
      </c>
      <c r="AR208" s="56">
        <f t="shared" ref="AR208" si="1850">+$C$9*AQ205</f>
        <v>0</v>
      </c>
      <c r="AS208" s="56">
        <f t="shared" ref="AS208" si="1851">+$C$9*AR205</f>
        <v>0</v>
      </c>
      <c r="AT208" s="56">
        <f t="shared" ref="AT208" si="1852">+$C$9*AS205</f>
        <v>0</v>
      </c>
      <c r="AU208" s="56">
        <f t="shared" ref="AU208" si="1853">+$C$9*AT205</f>
        <v>0</v>
      </c>
      <c r="AV208" s="56">
        <f t="shared" ref="AV208" si="1854">+$C$9*AU205</f>
        <v>0</v>
      </c>
      <c r="AW208" s="56">
        <f t="shared" ref="AW208" si="1855">+$C$9*AV205</f>
        <v>0</v>
      </c>
      <c r="AX208" s="56">
        <f t="shared" ref="AX208" si="1856">+$C$9*AW205</f>
        <v>0</v>
      </c>
      <c r="AY208" s="56">
        <f t="shared" ref="AY208" si="1857">+$C$9*AX205</f>
        <v>0</v>
      </c>
      <c r="AZ208" s="56">
        <f t="shared" ref="AZ208" si="1858">+$C$9*AY205</f>
        <v>0</v>
      </c>
      <c r="BA208" s="56">
        <f t="shared" ref="BA208" si="1859">+$C$9*AZ205</f>
        <v>0</v>
      </c>
    </row>
    <row r="209" spans="2:53" x14ac:dyDescent="0.2">
      <c r="B209" s="57"/>
      <c r="D209" s="44"/>
      <c r="E209" s="44"/>
      <c r="F209" s="44"/>
      <c r="G209" s="44"/>
      <c r="H209" s="44"/>
      <c r="I209" s="44"/>
      <c r="J209" s="44"/>
      <c r="K209" s="44"/>
      <c r="L209" s="44"/>
      <c r="M209" s="44"/>
      <c r="N209" s="44"/>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row>
    <row r="210" spans="2:53" x14ac:dyDescent="0.2">
      <c r="B210" s="46" t="s">
        <v>114</v>
      </c>
      <c r="C210" s="65" t="s">
        <v>75</v>
      </c>
      <c r="D210" s="44"/>
      <c r="E210" s="44"/>
      <c r="F210" s="44"/>
      <c r="G210" s="6"/>
      <c r="H210" s="6"/>
      <c r="I210" s="6"/>
      <c r="J210" s="6"/>
      <c r="K210" s="44"/>
      <c r="L210" s="44"/>
      <c r="M210" s="44"/>
      <c r="N210" s="44"/>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c r="AL210" s="56"/>
      <c r="AM210" s="56"/>
      <c r="AN210" s="56"/>
      <c r="AO210" s="56">
        <f>AO18</f>
        <v>0</v>
      </c>
      <c r="AP210" s="56">
        <f t="shared" ref="AP210" si="1860">+AO210-AP212</f>
        <v>0</v>
      </c>
      <c r="AQ210" s="56">
        <f t="shared" ref="AQ210" si="1861">+AP210-AQ212</f>
        <v>0</v>
      </c>
      <c r="AR210" s="56">
        <f t="shared" ref="AR210" si="1862">+AQ210-AR212</f>
        <v>0</v>
      </c>
      <c r="AS210" s="56">
        <f t="shared" ref="AS210" si="1863">+AR210-AS212</f>
        <v>0</v>
      </c>
      <c r="AT210" s="56">
        <f t="shared" ref="AT210" si="1864">+AS210-AT212</f>
        <v>0</v>
      </c>
      <c r="AU210" s="56">
        <f t="shared" ref="AU210" si="1865">+AT210-AU212</f>
        <v>0</v>
      </c>
      <c r="AV210" s="56">
        <f t="shared" ref="AV210" si="1866">+AU210-AV212</f>
        <v>0</v>
      </c>
      <c r="AW210" s="56">
        <f t="shared" ref="AW210" si="1867">+AV210-AW212</f>
        <v>0</v>
      </c>
      <c r="AX210" s="56">
        <f t="shared" ref="AX210" si="1868">+AW210-AX212</f>
        <v>0</v>
      </c>
      <c r="AY210" s="56">
        <f t="shared" ref="AY210" si="1869">+AX210-AY212</f>
        <v>0</v>
      </c>
      <c r="AZ210" s="56">
        <f t="shared" ref="AZ210" si="1870">+AY210-AZ212</f>
        <v>0</v>
      </c>
      <c r="BA210" s="56">
        <f t="shared" ref="BA210" si="1871">+AZ210-BA212</f>
        <v>0</v>
      </c>
    </row>
    <row r="211" spans="2:53" x14ac:dyDescent="0.2">
      <c r="B211" s="57" t="s">
        <v>29</v>
      </c>
      <c r="C211" s="64">
        <f>+AO210/((1-(1/(1+$C$9)^$C$8))/$C$9)</f>
        <v>0</v>
      </c>
      <c r="D211" s="44"/>
      <c r="E211" s="44"/>
      <c r="F211" s="44"/>
      <c r="G211" s="6"/>
      <c r="H211" s="6"/>
      <c r="I211" s="6"/>
      <c r="J211" s="6"/>
      <c r="K211" s="44"/>
      <c r="L211" s="44"/>
      <c r="M211" s="44"/>
      <c r="N211" s="44"/>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v>0</v>
      </c>
      <c r="AP211" s="56">
        <f>+IF(AO210&lt;0.01,0,$C$211)</f>
        <v>0</v>
      </c>
      <c r="AQ211" s="56">
        <f t="shared" ref="AQ211:BA211" si="1872">+IF(AP210&lt;0.01,0,$C$211)</f>
        <v>0</v>
      </c>
      <c r="AR211" s="56">
        <f t="shared" si="1872"/>
        <v>0</v>
      </c>
      <c r="AS211" s="56">
        <f t="shared" si="1872"/>
        <v>0</v>
      </c>
      <c r="AT211" s="56">
        <f t="shared" si="1872"/>
        <v>0</v>
      </c>
      <c r="AU211" s="56">
        <f t="shared" si="1872"/>
        <v>0</v>
      </c>
      <c r="AV211" s="56">
        <f t="shared" si="1872"/>
        <v>0</v>
      </c>
      <c r="AW211" s="56">
        <f t="shared" si="1872"/>
        <v>0</v>
      </c>
      <c r="AX211" s="56">
        <f t="shared" si="1872"/>
        <v>0</v>
      </c>
      <c r="AY211" s="56">
        <f t="shared" si="1872"/>
        <v>0</v>
      </c>
      <c r="AZ211" s="56">
        <f t="shared" si="1872"/>
        <v>0</v>
      </c>
      <c r="BA211" s="56">
        <f t="shared" si="1872"/>
        <v>0</v>
      </c>
    </row>
    <row r="212" spans="2:53" x14ac:dyDescent="0.2">
      <c r="B212" s="57" t="s">
        <v>30</v>
      </c>
      <c r="C212" s="65" t="s">
        <v>75</v>
      </c>
      <c r="D212" s="44"/>
      <c r="E212" s="44"/>
      <c r="F212" s="44"/>
      <c r="G212" s="6"/>
      <c r="H212" s="6"/>
      <c r="I212" s="6"/>
      <c r="J212" s="6"/>
      <c r="K212" s="44"/>
      <c r="L212" s="44"/>
      <c r="M212" s="44"/>
      <c r="N212" s="44"/>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v>0</v>
      </c>
      <c r="AP212" s="56">
        <f t="shared" ref="AP212:BA212" si="1873">+AP211-AP213</f>
        <v>0</v>
      </c>
      <c r="AQ212" s="56">
        <f t="shared" si="1873"/>
        <v>0</v>
      </c>
      <c r="AR212" s="56">
        <f t="shared" si="1873"/>
        <v>0</v>
      </c>
      <c r="AS212" s="56">
        <f t="shared" si="1873"/>
        <v>0</v>
      </c>
      <c r="AT212" s="56">
        <f t="shared" si="1873"/>
        <v>0</v>
      </c>
      <c r="AU212" s="56">
        <f t="shared" si="1873"/>
        <v>0</v>
      </c>
      <c r="AV212" s="56">
        <f t="shared" si="1873"/>
        <v>0</v>
      </c>
      <c r="AW212" s="56">
        <f t="shared" si="1873"/>
        <v>0</v>
      </c>
      <c r="AX212" s="56">
        <f t="shared" si="1873"/>
        <v>0</v>
      </c>
      <c r="AY212" s="56">
        <f t="shared" si="1873"/>
        <v>0</v>
      </c>
      <c r="AZ212" s="56">
        <f t="shared" si="1873"/>
        <v>0</v>
      </c>
      <c r="BA212" s="56">
        <f t="shared" si="1873"/>
        <v>0</v>
      </c>
    </row>
    <row r="213" spans="2:53" x14ac:dyDescent="0.2">
      <c r="B213" s="57" t="s">
        <v>3</v>
      </c>
      <c r="C213" s="65" t="s">
        <v>75</v>
      </c>
      <c r="D213" s="44"/>
      <c r="E213" s="44"/>
      <c r="F213" s="44"/>
      <c r="G213" s="6"/>
      <c r="H213" s="6"/>
      <c r="I213" s="6"/>
      <c r="J213" s="6"/>
      <c r="K213" s="44"/>
      <c r="L213" s="44"/>
      <c r="M213" s="44"/>
      <c r="N213" s="44"/>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c r="AL213" s="56"/>
      <c r="AM213" s="56"/>
      <c r="AN213" s="56"/>
      <c r="AO213" s="56">
        <v>0</v>
      </c>
      <c r="AP213" s="56">
        <f t="shared" ref="AP213" si="1874">+$C$9*AO210</f>
        <v>0</v>
      </c>
      <c r="AQ213" s="56">
        <f t="shared" ref="AQ213" si="1875">+$C$9*AP210</f>
        <v>0</v>
      </c>
      <c r="AR213" s="56">
        <f t="shared" ref="AR213" si="1876">+$C$9*AQ210</f>
        <v>0</v>
      </c>
      <c r="AS213" s="56">
        <f t="shared" ref="AS213" si="1877">+$C$9*AR210</f>
        <v>0</v>
      </c>
      <c r="AT213" s="56">
        <f t="shared" ref="AT213" si="1878">+$C$9*AS210</f>
        <v>0</v>
      </c>
      <c r="AU213" s="56">
        <f t="shared" ref="AU213" si="1879">+$C$9*AT210</f>
        <v>0</v>
      </c>
      <c r="AV213" s="56">
        <f t="shared" ref="AV213" si="1880">+$C$9*AU210</f>
        <v>0</v>
      </c>
      <c r="AW213" s="56">
        <f t="shared" ref="AW213" si="1881">+$C$9*AV210</f>
        <v>0</v>
      </c>
      <c r="AX213" s="56">
        <f t="shared" ref="AX213" si="1882">+$C$9*AW210</f>
        <v>0</v>
      </c>
      <c r="AY213" s="56">
        <f t="shared" ref="AY213" si="1883">+$C$9*AX210</f>
        <v>0</v>
      </c>
      <c r="AZ213" s="56">
        <f t="shared" ref="AZ213" si="1884">+$C$9*AY210</f>
        <v>0</v>
      </c>
      <c r="BA213" s="56">
        <f t="shared" ref="BA213" si="1885">+$C$9*AZ210</f>
        <v>0</v>
      </c>
    </row>
    <row r="214" spans="2:53" x14ac:dyDescent="0.2">
      <c r="B214" s="57"/>
      <c r="D214" s="44"/>
      <c r="E214" s="44"/>
      <c r="F214" s="44"/>
      <c r="G214" s="6"/>
      <c r="H214" s="6"/>
      <c r="I214" s="6"/>
      <c r="J214" s="6"/>
      <c r="K214" s="44"/>
      <c r="L214" s="44"/>
      <c r="M214" s="44"/>
      <c r="N214" s="44"/>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row>
    <row r="215" spans="2:53" x14ac:dyDescent="0.2">
      <c r="B215" s="46" t="s">
        <v>115</v>
      </c>
      <c r="C215" s="65" t="s">
        <v>75</v>
      </c>
      <c r="D215" s="44"/>
      <c r="E215" s="44"/>
      <c r="F215" s="44"/>
      <c r="G215" s="6"/>
      <c r="H215" s="6"/>
      <c r="I215" s="6"/>
      <c r="J215" s="6"/>
      <c r="K215" s="6"/>
      <c r="L215" s="44"/>
      <c r="M215" s="44"/>
      <c r="N215" s="44"/>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f>AP18</f>
        <v>0</v>
      </c>
      <c r="AQ215" s="56">
        <f t="shared" ref="AQ215" si="1886">+AP215-AQ217</f>
        <v>0</v>
      </c>
      <c r="AR215" s="56">
        <f t="shared" ref="AR215" si="1887">+AQ215-AR217</f>
        <v>0</v>
      </c>
      <c r="AS215" s="56">
        <f t="shared" ref="AS215" si="1888">+AR215-AS217</f>
        <v>0</v>
      </c>
      <c r="AT215" s="56">
        <f t="shared" ref="AT215" si="1889">+AS215-AT217</f>
        <v>0</v>
      </c>
      <c r="AU215" s="56">
        <f t="shared" ref="AU215" si="1890">+AT215-AU217</f>
        <v>0</v>
      </c>
      <c r="AV215" s="56">
        <f t="shared" ref="AV215" si="1891">+AU215-AV217</f>
        <v>0</v>
      </c>
      <c r="AW215" s="56">
        <f t="shared" ref="AW215" si="1892">+AV215-AW217</f>
        <v>0</v>
      </c>
      <c r="AX215" s="56">
        <f t="shared" ref="AX215" si="1893">+AW215-AX217</f>
        <v>0</v>
      </c>
      <c r="AY215" s="56">
        <f t="shared" ref="AY215" si="1894">+AX215-AY217</f>
        <v>0</v>
      </c>
      <c r="AZ215" s="56">
        <f t="shared" ref="AZ215" si="1895">+AY215-AZ217</f>
        <v>0</v>
      </c>
      <c r="BA215" s="56">
        <f t="shared" ref="BA215" si="1896">+AZ215-BA217</f>
        <v>0</v>
      </c>
    </row>
    <row r="216" spans="2:53" x14ac:dyDescent="0.2">
      <c r="B216" s="57" t="s">
        <v>29</v>
      </c>
      <c r="C216" s="64">
        <f>+AP215/((1-(1/(1+$C$9)^$C$8))/$C$9)</f>
        <v>0</v>
      </c>
      <c r="D216" s="44"/>
      <c r="E216" s="44"/>
      <c r="F216" s="44"/>
      <c r="G216" s="6"/>
      <c r="H216" s="6"/>
      <c r="I216" s="6"/>
      <c r="J216" s="6"/>
      <c r="K216" s="6"/>
      <c r="L216" s="44"/>
      <c r="M216" s="44"/>
      <c r="N216" s="44"/>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v>0</v>
      </c>
      <c r="AQ216" s="56">
        <f>+IF(AP215&lt;0.01,0,$C$216)</f>
        <v>0</v>
      </c>
      <c r="AR216" s="56">
        <f t="shared" ref="AR216:BA216" si="1897">+IF(AQ215&lt;0.01,0,$C$216)</f>
        <v>0</v>
      </c>
      <c r="AS216" s="56">
        <f t="shared" si="1897"/>
        <v>0</v>
      </c>
      <c r="AT216" s="56">
        <f t="shared" si="1897"/>
        <v>0</v>
      </c>
      <c r="AU216" s="56">
        <f t="shared" si="1897"/>
        <v>0</v>
      </c>
      <c r="AV216" s="56">
        <f t="shared" si="1897"/>
        <v>0</v>
      </c>
      <c r="AW216" s="56">
        <f t="shared" si="1897"/>
        <v>0</v>
      </c>
      <c r="AX216" s="56">
        <f t="shared" si="1897"/>
        <v>0</v>
      </c>
      <c r="AY216" s="56">
        <f t="shared" si="1897"/>
        <v>0</v>
      </c>
      <c r="AZ216" s="56">
        <f t="shared" si="1897"/>
        <v>0</v>
      </c>
      <c r="BA216" s="56">
        <f t="shared" si="1897"/>
        <v>0</v>
      </c>
    </row>
    <row r="217" spans="2:53" x14ac:dyDescent="0.2">
      <c r="B217" s="57" t="s">
        <v>30</v>
      </c>
      <c r="C217" s="65" t="s">
        <v>75</v>
      </c>
      <c r="D217" s="44"/>
      <c r="E217" s="44"/>
      <c r="F217" s="44"/>
      <c r="G217" s="6"/>
      <c r="H217" s="6"/>
      <c r="I217" s="6"/>
      <c r="J217" s="6"/>
      <c r="K217" s="6"/>
      <c r="L217" s="44"/>
      <c r="M217" s="44"/>
      <c r="N217" s="44"/>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v>0</v>
      </c>
      <c r="AQ217" s="56">
        <f t="shared" ref="AQ217:BA217" si="1898">+AQ216-AQ218</f>
        <v>0</v>
      </c>
      <c r="AR217" s="56">
        <f t="shared" si="1898"/>
        <v>0</v>
      </c>
      <c r="AS217" s="56">
        <f t="shared" si="1898"/>
        <v>0</v>
      </c>
      <c r="AT217" s="56">
        <f t="shared" si="1898"/>
        <v>0</v>
      </c>
      <c r="AU217" s="56">
        <f t="shared" si="1898"/>
        <v>0</v>
      </c>
      <c r="AV217" s="56">
        <f t="shared" si="1898"/>
        <v>0</v>
      </c>
      <c r="AW217" s="56">
        <f t="shared" si="1898"/>
        <v>0</v>
      </c>
      <c r="AX217" s="56">
        <f t="shared" si="1898"/>
        <v>0</v>
      </c>
      <c r="AY217" s="56">
        <f t="shared" si="1898"/>
        <v>0</v>
      </c>
      <c r="AZ217" s="56">
        <f t="shared" si="1898"/>
        <v>0</v>
      </c>
      <c r="BA217" s="56">
        <f t="shared" si="1898"/>
        <v>0</v>
      </c>
    </row>
    <row r="218" spans="2:53" x14ac:dyDescent="0.2">
      <c r="B218" s="57" t="s">
        <v>3</v>
      </c>
      <c r="C218" s="65" t="s">
        <v>75</v>
      </c>
      <c r="D218" s="44"/>
      <c r="E218" s="44"/>
      <c r="F218" s="44"/>
      <c r="G218" s="6"/>
      <c r="H218" s="6"/>
      <c r="I218" s="6"/>
      <c r="J218" s="6"/>
      <c r="K218" s="6"/>
      <c r="L218" s="44"/>
      <c r="M218" s="44"/>
      <c r="N218" s="44"/>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v>0</v>
      </c>
      <c r="AQ218" s="56">
        <f t="shared" ref="AQ218" si="1899">+$C$9*AP215</f>
        <v>0</v>
      </c>
      <c r="AR218" s="56">
        <f t="shared" ref="AR218" si="1900">+$C$9*AQ215</f>
        <v>0</v>
      </c>
      <c r="AS218" s="56">
        <f t="shared" ref="AS218" si="1901">+$C$9*AR215</f>
        <v>0</v>
      </c>
      <c r="AT218" s="56">
        <f t="shared" ref="AT218" si="1902">+$C$9*AS215</f>
        <v>0</v>
      </c>
      <c r="AU218" s="56">
        <f t="shared" ref="AU218" si="1903">+$C$9*AT215</f>
        <v>0</v>
      </c>
      <c r="AV218" s="56">
        <f t="shared" ref="AV218" si="1904">+$C$9*AU215</f>
        <v>0</v>
      </c>
      <c r="AW218" s="56">
        <f t="shared" ref="AW218" si="1905">+$C$9*AV215</f>
        <v>0</v>
      </c>
      <c r="AX218" s="56">
        <f t="shared" ref="AX218" si="1906">+$C$9*AW215</f>
        <v>0</v>
      </c>
      <c r="AY218" s="56">
        <f t="shared" ref="AY218" si="1907">+$C$9*AX215</f>
        <v>0</v>
      </c>
      <c r="AZ218" s="56">
        <f t="shared" ref="AZ218" si="1908">+$C$9*AY215</f>
        <v>0</v>
      </c>
      <c r="BA218" s="56">
        <f t="shared" ref="BA218" si="1909">+$C$9*AZ215</f>
        <v>0</v>
      </c>
    </row>
    <row r="219" spans="2:53" x14ac:dyDescent="0.2">
      <c r="B219" s="57"/>
      <c r="D219" s="44"/>
      <c r="E219" s="44"/>
      <c r="F219" s="44"/>
      <c r="G219" s="44"/>
      <c r="H219" s="44"/>
      <c r="I219" s="44"/>
      <c r="J219" s="6"/>
      <c r="K219" s="6"/>
      <c r="L219" s="44"/>
      <c r="M219" s="44"/>
      <c r="N219" s="44"/>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row>
    <row r="220" spans="2:53" x14ac:dyDescent="0.2">
      <c r="B220" s="46" t="s">
        <v>116</v>
      </c>
      <c r="C220" s="65" t="s">
        <v>75</v>
      </c>
      <c r="D220" s="44"/>
      <c r="E220" s="44"/>
      <c r="F220" s="44"/>
      <c r="G220" s="6"/>
      <c r="H220" s="6"/>
      <c r="I220" s="6"/>
      <c r="J220" s="6"/>
      <c r="K220" s="6"/>
      <c r="L220" s="6"/>
      <c r="M220" s="44"/>
      <c r="N220" s="44"/>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f>AQ18</f>
        <v>0</v>
      </c>
      <c r="AR220" s="56">
        <f t="shared" ref="AR220" si="1910">+AQ220-AR222</f>
        <v>0</v>
      </c>
      <c r="AS220" s="56">
        <f t="shared" ref="AS220" si="1911">+AR220-AS222</f>
        <v>0</v>
      </c>
      <c r="AT220" s="56">
        <f t="shared" ref="AT220" si="1912">+AS220-AT222</f>
        <v>0</v>
      </c>
      <c r="AU220" s="56">
        <f t="shared" ref="AU220" si="1913">+AT220-AU222</f>
        <v>0</v>
      </c>
      <c r="AV220" s="56">
        <f t="shared" ref="AV220" si="1914">+AU220-AV222</f>
        <v>0</v>
      </c>
      <c r="AW220" s="56">
        <f t="shared" ref="AW220" si="1915">+AV220-AW222</f>
        <v>0</v>
      </c>
      <c r="AX220" s="56">
        <f t="shared" ref="AX220" si="1916">+AW220-AX222</f>
        <v>0</v>
      </c>
      <c r="AY220" s="56">
        <f t="shared" ref="AY220" si="1917">+AX220-AY222</f>
        <v>0</v>
      </c>
      <c r="AZ220" s="56">
        <f t="shared" ref="AZ220" si="1918">+AY220-AZ222</f>
        <v>0</v>
      </c>
      <c r="BA220" s="56">
        <f t="shared" ref="BA220" si="1919">+AZ220-BA222</f>
        <v>0</v>
      </c>
    </row>
    <row r="221" spans="2:53" x14ac:dyDescent="0.2">
      <c r="B221" s="57" t="s">
        <v>29</v>
      </c>
      <c r="C221" s="64">
        <f>+AQ220/((1-(1/(1+$C$9)^$C$8))/$C$9)</f>
        <v>0</v>
      </c>
      <c r="D221" s="44"/>
      <c r="E221" s="44"/>
      <c r="F221" s="44"/>
      <c r="G221" s="6"/>
      <c r="H221" s="6"/>
      <c r="I221" s="6"/>
      <c r="J221" s="6"/>
      <c r="K221" s="6"/>
      <c r="L221" s="6"/>
      <c r="M221" s="44"/>
      <c r="N221" s="44"/>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v>0</v>
      </c>
      <c r="AR221" s="56">
        <f>+IF(AQ220&lt;0.01,0,$C$221)</f>
        <v>0</v>
      </c>
      <c r="AS221" s="56">
        <f t="shared" ref="AS221:BA221" si="1920">+IF(AR220&lt;0.01,0,$C$221)</f>
        <v>0</v>
      </c>
      <c r="AT221" s="56">
        <f t="shared" si="1920"/>
        <v>0</v>
      </c>
      <c r="AU221" s="56">
        <f t="shared" si="1920"/>
        <v>0</v>
      </c>
      <c r="AV221" s="56">
        <f t="shared" si="1920"/>
        <v>0</v>
      </c>
      <c r="AW221" s="56">
        <f t="shared" si="1920"/>
        <v>0</v>
      </c>
      <c r="AX221" s="56">
        <f t="shared" si="1920"/>
        <v>0</v>
      </c>
      <c r="AY221" s="56">
        <f t="shared" si="1920"/>
        <v>0</v>
      </c>
      <c r="AZ221" s="56">
        <f t="shared" si="1920"/>
        <v>0</v>
      </c>
      <c r="BA221" s="56">
        <f t="shared" si="1920"/>
        <v>0</v>
      </c>
    </row>
    <row r="222" spans="2:53" x14ac:dyDescent="0.2">
      <c r="B222" s="57" t="s">
        <v>30</v>
      </c>
      <c r="C222" s="65" t="s">
        <v>75</v>
      </c>
      <c r="D222" s="44"/>
      <c r="E222" s="44"/>
      <c r="F222" s="44"/>
      <c r="G222" s="6"/>
      <c r="H222" s="6"/>
      <c r="I222" s="6"/>
      <c r="J222" s="6"/>
      <c r="K222" s="6"/>
      <c r="L222" s="6"/>
      <c r="M222" s="44"/>
      <c r="N222" s="44"/>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v>0</v>
      </c>
      <c r="AR222" s="56">
        <f t="shared" ref="AR222:BA222" si="1921">+AR221-AR223</f>
        <v>0</v>
      </c>
      <c r="AS222" s="56">
        <f t="shared" si="1921"/>
        <v>0</v>
      </c>
      <c r="AT222" s="56">
        <f t="shared" si="1921"/>
        <v>0</v>
      </c>
      <c r="AU222" s="56">
        <f t="shared" si="1921"/>
        <v>0</v>
      </c>
      <c r="AV222" s="56">
        <f t="shared" si="1921"/>
        <v>0</v>
      </c>
      <c r="AW222" s="56">
        <f t="shared" si="1921"/>
        <v>0</v>
      </c>
      <c r="AX222" s="56">
        <f t="shared" si="1921"/>
        <v>0</v>
      </c>
      <c r="AY222" s="56">
        <f t="shared" si="1921"/>
        <v>0</v>
      </c>
      <c r="AZ222" s="56">
        <f t="shared" si="1921"/>
        <v>0</v>
      </c>
      <c r="BA222" s="56">
        <f t="shared" si="1921"/>
        <v>0</v>
      </c>
    </row>
    <row r="223" spans="2:53" x14ac:dyDescent="0.2">
      <c r="B223" s="57" t="s">
        <v>3</v>
      </c>
      <c r="C223" s="65" t="s">
        <v>75</v>
      </c>
      <c r="D223" s="44"/>
      <c r="E223" s="44"/>
      <c r="F223" s="44"/>
      <c r="G223" s="6"/>
      <c r="H223" s="6"/>
      <c r="I223" s="6"/>
      <c r="J223" s="6"/>
      <c r="K223" s="6"/>
      <c r="L223" s="6"/>
      <c r="M223" s="44"/>
      <c r="N223" s="44"/>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v>0</v>
      </c>
      <c r="AR223" s="56">
        <f t="shared" ref="AR223" si="1922">+$C$9*AQ220</f>
        <v>0</v>
      </c>
      <c r="AS223" s="56">
        <f t="shared" ref="AS223" si="1923">+$C$9*AR220</f>
        <v>0</v>
      </c>
      <c r="AT223" s="56">
        <f t="shared" ref="AT223" si="1924">+$C$9*AS220</f>
        <v>0</v>
      </c>
      <c r="AU223" s="56">
        <f t="shared" ref="AU223" si="1925">+$C$9*AT220</f>
        <v>0</v>
      </c>
      <c r="AV223" s="56">
        <f t="shared" ref="AV223" si="1926">+$C$9*AU220</f>
        <v>0</v>
      </c>
      <c r="AW223" s="56">
        <f t="shared" ref="AW223" si="1927">+$C$9*AV220</f>
        <v>0</v>
      </c>
      <c r="AX223" s="56">
        <f t="shared" ref="AX223" si="1928">+$C$9*AW220</f>
        <v>0</v>
      </c>
      <c r="AY223" s="56">
        <f t="shared" ref="AY223" si="1929">+$C$9*AX220</f>
        <v>0</v>
      </c>
      <c r="AZ223" s="56">
        <f t="shared" ref="AZ223" si="1930">+$C$9*AY220</f>
        <v>0</v>
      </c>
      <c r="BA223" s="56">
        <f t="shared" ref="BA223" si="1931">+$C$9*AZ220</f>
        <v>0</v>
      </c>
    </row>
    <row r="224" spans="2:53" x14ac:dyDescent="0.2">
      <c r="B224" s="57"/>
      <c r="C224" s="65"/>
      <c r="D224" s="44"/>
      <c r="E224" s="44"/>
      <c r="F224" s="44"/>
      <c r="G224" s="6"/>
      <c r="H224" s="6"/>
      <c r="I224" s="6"/>
      <c r="J224" s="6"/>
      <c r="K224" s="6"/>
      <c r="L224" s="6"/>
      <c r="M224" s="44"/>
      <c r="N224" s="44"/>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c r="AR224" s="56"/>
      <c r="AS224" s="56"/>
      <c r="AT224" s="56"/>
      <c r="AU224" s="56"/>
      <c r="AV224" s="56"/>
      <c r="AW224" s="56"/>
      <c r="AX224" s="56"/>
      <c r="AY224" s="56"/>
      <c r="AZ224" s="56"/>
      <c r="BA224" s="56"/>
    </row>
    <row r="225" spans="2:53" x14ac:dyDescent="0.2">
      <c r="B225" s="46" t="s">
        <v>117</v>
      </c>
      <c r="C225" s="65" t="s">
        <v>75</v>
      </c>
      <c r="D225" s="44"/>
      <c r="E225" s="44"/>
      <c r="F225" s="44"/>
      <c r="G225" s="44"/>
      <c r="H225" s="44"/>
      <c r="I225" s="44"/>
      <c r="J225" s="44"/>
      <c r="K225" s="44"/>
      <c r="L225" s="44"/>
      <c r="M225" s="44"/>
      <c r="N225" s="44"/>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f>AR18</f>
        <v>0</v>
      </c>
      <c r="AS225" s="56">
        <f t="shared" ref="AS225" si="1932">+AR225-AS227</f>
        <v>0</v>
      </c>
      <c r="AT225" s="56">
        <f t="shared" ref="AT225" si="1933">+AS225-AT227</f>
        <v>0</v>
      </c>
      <c r="AU225" s="56">
        <f t="shared" ref="AU225" si="1934">+AT225-AU227</f>
        <v>0</v>
      </c>
      <c r="AV225" s="56">
        <f t="shared" ref="AV225" si="1935">+AU225-AV227</f>
        <v>0</v>
      </c>
      <c r="AW225" s="56">
        <f t="shared" ref="AW225" si="1936">+AV225-AW227</f>
        <v>0</v>
      </c>
      <c r="AX225" s="56">
        <f t="shared" ref="AX225" si="1937">+AW225-AX227</f>
        <v>0</v>
      </c>
      <c r="AY225" s="56">
        <f t="shared" ref="AY225" si="1938">+AX225-AY227</f>
        <v>0</v>
      </c>
      <c r="AZ225" s="56">
        <f t="shared" ref="AZ225" si="1939">+AY225-AZ227</f>
        <v>0</v>
      </c>
      <c r="BA225" s="56">
        <f t="shared" ref="BA225" si="1940">+AZ225-BA227</f>
        <v>0</v>
      </c>
    </row>
    <row r="226" spans="2:53" x14ac:dyDescent="0.2">
      <c r="B226" s="57" t="s">
        <v>29</v>
      </c>
      <c r="C226" s="64">
        <f>+AR225/((1-(1/(1+$C$9)^$C$8))/$C$9)</f>
        <v>0</v>
      </c>
      <c r="D226" s="44"/>
      <c r="E226" s="44"/>
      <c r="F226" s="44"/>
      <c r="G226" s="44"/>
      <c r="H226" s="44"/>
      <c r="I226" s="44"/>
      <c r="J226" s="44"/>
      <c r="K226" s="44"/>
      <c r="L226" s="44"/>
      <c r="M226" s="44"/>
      <c r="N226" s="44"/>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v>0</v>
      </c>
      <c r="AS226" s="56">
        <f>+IF(AR225&lt;0.01,0,$C$226)</f>
        <v>0</v>
      </c>
      <c r="AT226" s="56">
        <f t="shared" ref="AT226:BA226" si="1941">+IF(AS225&lt;0.01,0,$C$226)</f>
        <v>0</v>
      </c>
      <c r="AU226" s="56">
        <f t="shared" si="1941"/>
        <v>0</v>
      </c>
      <c r="AV226" s="56">
        <f t="shared" si="1941"/>
        <v>0</v>
      </c>
      <c r="AW226" s="56">
        <f t="shared" si="1941"/>
        <v>0</v>
      </c>
      <c r="AX226" s="56">
        <f t="shared" si="1941"/>
        <v>0</v>
      </c>
      <c r="AY226" s="56">
        <f t="shared" si="1941"/>
        <v>0</v>
      </c>
      <c r="AZ226" s="56">
        <f t="shared" si="1941"/>
        <v>0</v>
      </c>
      <c r="BA226" s="56">
        <f t="shared" si="1941"/>
        <v>0</v>
      </c>
    </row>
    <row r="227" spans="2:53" x14ac:dyDescent="0.2">
      <c r="B227" s="57" t="s">
        <v>30</v>
      </c>
      <c r="C227" s="65" t="s">
        <v>75</v>
      </c>
      <c r="D227" s="44"/>
      <c r="E227" s="44"/>
      <c r="F227" s="44"/>
      <c r="G227" s="44"/>
      <c r="H227" s="44"/>
      <c r="I227" s="44"/>
      <c r="J227" s="44"/>
      <c r="K227" s="44"/>
      <c r="L227" s="44"/>
      <c r="M227" s="44"/>
      <c r="N227" s="44"/>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v>0</v>
      </c>
      <c r="AS227" s="56">
        <f t="shared" ref="AS227:BA227" si="1942">+AS226-AS228</f>
        <v>0</v>
      </c>
      <c r="AT227" s="56">
        <f t="shared" si="1942"/>
        <v>0</v>
      </c>
      <c r="AU227" s="56">
        <f t="shared" si="1942"/>
        <v>0</v>
      </c>
      <c r="AV227" s="56">
        <f t="shared" si="1942"/>
        <v>0</v>
      </c>
      <c r="AW227" s="56">
        <f t="shared" si="1942"/>
        <v>0</v>
      </c>
      <c r="AX227" s="56">
        <f t="shared" si="1942"/>
        <v>0</v>
      </c>
      <c r="AY227" s="56">
        <f t="shared" si="1942"/>
        <v>0</v>
      </c>
      <c r="AZ227" s="56">
        <f t="shared" si="1942"/>
        <v>0</v>
      </c>
      <c r="BA227" s="56">
        <f t="shared" si="1942"/>
        <v>0</v>
      </c>
    </row>
    <row r="228" spans="2:53" x14ac:dyDescent="0.2">
      <c r="B228" s="57" t="s">
        <v>3</v>
      </c>
      <c r="C228" s="65" t="s">
        <v>75</v>
      </c>
      <c r="D228" s="44"/>
      <c r="E228" s="44"/>
      <c r="F228" s="44"/>
      <c r="G228" s="44"/>
      <c r="H228" s="44"/>
      <c r="I228" s="44"/>
      <c r="J228" s="44"/>
      <c r="K228" s="44"/>
      <c r="L228" s="44"/>
      <c r="M228" s="44"/>
      <c r="N228" s="44"/>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v>0</v>
      </c>
      <c r="AS228" s="56">
        <f t="shared" ref="AS228" si="1943">+$C$9*AR225</f>
        <v>0</v>
      </c>
      <c r="AT228" s="56">
        <f t="shared" ref="AT228" si="1944">+$C$9*AS225</f>
        <v>0</v>
      </c>
      <c r="AU228" s="56">
        <f t="shared" ref="AU228" si="1945">+$C$9*AT225</f>
        <v>0</v>
      </c>
      <c r="AV228" s="56">
        <f t="shared" ref="AV228" si="1946">+$C$9*AU225</f>
        <v>0</v>
      </c>
      <c r="AW228" s="56">
        <f t="shared" ref="AW228" si="1947">+$C$9*AV225</f>
        <v>0</v>
      </c>
      <c r="AX228" s="56">
        <f t="shared" ref="AX228" si="1948">+$C$9*AW225</f>
        <v>0</v>
      </c>
      <c r="AY228" s="56">
        <f t="shared" ref="AY228" si="1949">+$C$9*AX225</f>
        <v>0</v>
      </c>
      <c r="AZ228" s="56">
        <f t="shared" ref="AZ228" si="1950">+$C$9*AY225</f>
        <v>0</v>
      </c>
      <c r="BA228" s="56">
        <f t="shared" ref="BA228" si="1951">+$C$9*AZ225</f>
        <v>0</v>
      </c>
    </row>
    <row r="229" spans="2:53" x14ac:dyDescent="0.2">
      <c r="B229" s="57"/>
      <c r="D229" s="44"/>
      <c r="E229" s="44"/>
      <c r="F229" s="44"/>
      <c r="G229" s="44"/>
      <c r="H229" s="44"/>
      <c r="I229" s="44"/>
      <c r="J229" s="44"/>
      <c r="K229" s="44"/>
      <c r="L229" s="44"/>
      <c r="M229" s="44"/>
      <c r="N229" s="44"/>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row>
    <row r="230" spans="2:53" x14ac:dyDescent="0.2">
      <c r="B230" s="46" t="s">
        <v>118</v>
      </c>
      <c r="C230" s="65" t="s">
        <v>75</v>
      </c>
      <c r="D230" s="44"/>
      <c r="E230" s="44"/>
      <c r="F230" s="44"/>
      <c r="G230" s="44"/>
      <c r="H230" s="44"/>
      <c r="I230" s="44"/>
      <c r="J230" s="44"/>
      <c r="K230" s="44"/>
      <c r="L230" s="44"/>
      <c r="M230" s="44"/>
      <c r="N230" s="44"/>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f>AS18</f>
        <v>0</v>
      </c>
      <c r="AT230" s="56">
        <f t="shared" ref="AT230" si="1952">+AS230-AT232</f>
        <v>0</v>
      </c>
      <c r="AU230" s="56">
        <f t="shared" ref="AU230" si="1953">+AT230-AU232</f>
        <v>0</v>
      </c>
      <c r="AV230" s="56">
        <f t="shared" ref="AV230" si="1954">+AU230-AV232</f>
        <v>0</v>
      </c>
      <c r="AW230" s="56">
        <f t="shared" ref="AW230" si="1955">+AV230-AW232</f>
        <v>0</v>
      </c>
      <c r="AX230" s="56">
        <f t="shared" ref="AX230" si="1956">+AW230-AX232</f>
        <v>0</v>
      </c>
      <c r="AY230" s="56">
        <f t="shared" ref="AY230" si="1957">+AX230-AY232</f>
        <v>0</v>
      </c>
      <c r="AZ230" s="56">
        <f t="shared" ref="AZ230" si="1958">+AY230-AZ232</f>
        <v>0</v>
      </c>
      <c r="BA230" s="56">
        <f t="shared" ref="BA230" si="1959">+AZ230-BA232</f>
        <v>0</v>
      </c>
    </row>
    <row r="231" spans="2:53" x14ac:dyDescent="0.2">
      <c r="B231" s="57" t="s">
        <v>29</v>
      </c>
      <c r="C231" s="64">
        <f>+AS230/((1-(1/(1+$C$9)^$C$8))/$C$9)</f>
        <v>0</v>
      </c>
      <c r="D231" s="44"/>
      <c r="E231" s="44"/>
      <c r="F231" s="44"/>
      <c r="G231" s="44"/>
      <c r="H231" s="44"/>
      <c r="I231" s="44"/>
      <c r="J231" s="44"/>
      <c r="K231" s="44"/>
      <c r="L231" s="44"/>
      <c r="M231" s="44"/>
      <c r="N231" s="44"/>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c r="AS231" s="56">
        <v>0</v>
      </c>
      <c r="AT231" s="56">
        <f>+IF(AS230&lt;0.01,0,$C$231)</f>
        <v>0</v>
      </c>
      <c r="AU231" s="56">
        <f t="shared" ref="AU231:BA231" si="1960">+IF(AT230&lt;0.01,0,$C$231)</f>
        <v>0</v>
      </c>
      <c r="AV231" s="56">
        <f t="shared" si="1960"/>
        <v>0</v>
      </c>
      <c r="AW231" s="56">
        <f t="shared" si="1960"/>
        <v>0</v>
      </c>
      <c r="AX231" s="56">
        <f t="shared" si="1960"/>
        <v>0</v>
      </c>
      <c r="AY231" s="56">
        <f t="shared" si="1960"/>
        <v>0</v>
      </c>
      <c r="AZ231" s="56">
        <f t="shared" si="1960"/>
        <v>0</v>
      </c>
      <c r="BA231" s="56">
        <f t="shared" si="1960"/>
        <v>0</v>
      </c>
    </row>
    <row r="232" spans="2:53" x14ac:dyDescent="0.2">
      <c r="B232" s="57" t="s">
        <v>30</v>
      </c>
      <c r="C232" s="65" t="s">
        <v>75</v>
      </c>
      <c r="D232" s="44"/>
      <c r="E232" s="44"/>
      <c r="F232" s="44"/>
      <c r="G232" s="44"/>
      <c r="H232" s="44"/>
      <c r="I232" s="44"/>
      <c r="J232" s="44"/>
      <c r="K232" s="44"/>
      <c r="L232" s="44"/>
      <c r="M232" s="44"/>
      <c r="N232" s="44"/>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c r="AS232" s="56">
        <v>0</v>
      </c>
      <c r="AT232" s="56">
        <f t="shared" ref="AT232:BA232" si="1961">+AT231-AT233</f>
        <v>0</v>
      </c>
      <c r="AU232" s="56">
        <f t="shared" si="1961"/>
        <v>0</v>
      </c>
      <c r="AV232" s="56">
        <f t="shared" si="1961"/>
        <v>0</v>
      </c>
      <c r="AW232" s="56">
        <f t="shared" si="1961"/>
        <v>0</v>
      </c>
      <c r="AX232" s="56">
        <f t="shared" si="1961"/>
        <v>0</v>
      </c>
      <c r="AY232" s="56">
        <f t="shared" si="1961"/>
        <v>0</v>
      </c>
      <c r="AZ232" s="56">
        <f t="shared" si="1961"/>
        <v>0</v>
      </c>
      <c r="BA232" s="56">
        <f t="shared" si="1961"/>
        <v>0</v>
      </c>
    </row>
    <row r="233" spans="2:53" x14ac:dyDescent="0.2">
      <c r="B233" s="57" t="s">
        <v>3</v>
      </c>
      <c r="C233" s="65" t="s">
        <v>75</v>
      </c>
      <c r="D233" s="44"/>
      <c r="E233" s="44"/>
      <c r="F233" s="44"/>
      <c r="G233" s="44"/>
      <c r="H233" s="44"/>
      <c r="I233" s="44"/>
      <c r="J233" s="44"/>
      <c r="K233" s="44"/>
      <c r="L233" s="44"/>
      <c r="M233" s="44"/>
      <c r="N233" s="44"/>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v>0</v>
      </c>
      <c r="AT233" s="56">
        <f t="shared" ref="AT233" si="1962">+$C$9*AS230</f>
        <v>0</v>
      </c>
      <c r="AU233" s="56">
        <f t="shared" ref="AU233" si="1963">+$C$9*AT230</f>
        <v>0</v>
      </c>
      <c r="AV233" s="56">
        <f t="shared" ref="AV233" si="1964">+$C$9*AU230</f>
        <v>0</v>
      </c>
      <c r="AW233" s="56">
        <f t="shared" ref="AW233" si="1965">+$C$9*AV230</f>
        <v>0</v>
      </c>
      <c r="AX233" s="56">
        <f t="shared" ref="AX233" si="1966">+$C$9*AW230</f>
        <v>0</v>
      </c>
      <c r="AY233" s="56">
        <f t="shared" ref="AY233" si="1967">+$C$9*AX230</f>
        <v>0</v>
      </c>
      <c r="AZ233" s="56">
        <f t="shared" ref="AZ233" si="1968">+$C$9*AY230</f>
        <v>0</v>
      </c>
      <c r="BA233" s="56">
        <f t="shared" ref="BA233" si="1969">+$C$9*AZ230</f>
        <v>0</v>
      </c>
    </row>
    <row r="234" spans="2:53" x14ac:dyDescent="0.2">
      <c r="B234" s="57"/>
      <c r="D234" s="44"/>
      <c r="E234" s="44"/>
      <c r="F234" s="44"/>
      <c r="G234" s="44"/>
      <c r="H234" s="44"/>
      <c r="I234" s="44"/>
      <c r="J234" s="44"/>
      <c r="K234" s="44"/>
      <c r="L234" s="44"/>
      <c r="M234" s="44"/>
      <c r="N234" s="44"/>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row>
    <row r="235" spans="2:53" x14ac:dyDescent="0.2">
      <c r="B235" s="46" t="s">
        <v>119</v>
      </c>
      <c r="C235" s="65" t="s">
        <v>75</v>
      </c>
      <c r="D235" s="44"/>
      <c r="E235" s="44"/>
      <c r="F235" s="44"/>
      <c r="G235" s="44"/>
      <c r="H235" s="44"/>
      <c r="I235" s="44"/>
      <c r="J235" s="44"/>
      <c r="K235" s="44"/>
      <c r="L235" s="44"/>
      <c r="M235" s="44"/>
      <c r="N235" s="44"/>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f>AT18</f>
        <v>0</v>
      </c>
      <c r="AU235" s="56">
        <f t="shared" ref="AU235" si="1970">+AT235-AU237</f>
        <v>0</v>
      </c>
      <c r="AV235" s="56">
        <f t="shared" ref="AV235" si="1971">+AU235-AV237</f>
        <v>0</v>
      </c>
      <c r="AW235" s="56">
        <f t="shared" ref="AW235" si="1972">+AV235-AW237</f>
        <v>0</v>
      </c>
      <c r="AX235" s="56">
        <f t="shared" ref="AX235" si="1973">+AW235-AX237</f>
        <v>0</v>
      </c>
      <c r="AY235" s="56">
        <f t="shared" ref="AY235" si="1974">+AX235-AY237</f>
        <v>0</v>
      </c>
      <c r="AZ235" s="56">
        <f t="shared" ref="AZ235" si="1975">+AY235-AZ237</f>
        <v>0</v>
      </c>
      <c r="BA235" s="56">
        <f t="shared" ref="BA235" si="1976">+AZ235-BA237</f>
        <v>0</v>
      </c>
    </row>
    <row r="236" spans="2:53" x14ac:dyDescent="0.2">
      <c r="B236" s="57" t="s">
        <v>29</v>
      </c>
      <c r="C236" s="64">
        <f>+AT235/((1-(1/(1+$C$9)^$C$8))/$C$9)</f>
        <v>0</v>
      </c>
      <c r="D236" s="44"/>
      <c r="E236" s="44"/>
      <c r="F236" s="44"/>
      <c r="G236" s="44"/>
      <c r="H236" s="44"/>
      <c r="I236" s="44"/>
      <c r="J236" s="44"/>
      <c r="K236" s="44"/>
      <c r="L236" s="44"/>
      <c r="M236" s="44"/>
      <c r="N236" s="44"/>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v>0</v>
      </c>
      <c r="AU236" s="56">
        <f>+IF(AT235&lt;0.01,0,$C$236)</f>
        <v>0</v>
      </c>
      <c r="AV236" s="56">
        <f t="shared" ref="AV236:BA236" si="1977">+IF(AU235&lt;0.01,0,$C$236)</f>
        <v>0</v>
      </c>
      <c r="AW236" s="56">
        <f t="shared" si="1977"/>
        <v>0</v>
      </c>
      <c r="AX236" s="56">
        <f t="shared" si="1977"/>
        <v>0</v>
      </c>
      <c r="AY236" s="56">
        <f t="shared" si="1977"/>
        <v>0</v>
      </c>
      <c r="AZ236" s="56">
        <f t="shared" si="1977"/>
        <v>0</v>
      </c>
      <c r="BA236" s="56">
        <f t="shared" si="1977"/>
        <v>0</v>
      </c>
    </row>
    <row r="237" spans="2:53" x14ac:dyDescent="0.2">
      <c r="B237" s="57" t="s">
        <v>30</v>
      </c>
      <c r="C237" s="65" t="s">
        <v>75</v>
      </c>
      <c r="D237" s="44"/>
      <c r="E237" s="44"/>
      <c r="F237" s="44"/>
      <c r="G237" s="44"/>
      <c r="H237" s="44"/>
      <c r="I237" s="44"/>
      <c r="J237" s="44"/>
      <c r="K237" s="44"/>
      <c r="L237" s="44"/>
      <c r="M237" s="44"/>
      <c r="N237" s="44"/>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c r="AR237" s="56"/>
      <c r="AS237" s="56"/>
      <c r="AT237" s="56">
        <v>0</v>
      </c>
      <c r="AU237" s="56">
        <f t="shared" ref="AU237:BA237" si="1978">+AU236-AU238</f>
        <v>0</v>
      </c>
      <c r="AV237" s="56">
        <f t="shared" si="1978"/>
        <v>0</v>
      </c>
      <c r="AW237" s="56">
        <f t="shared" si="1978"/>
        <v>0</v>
      </c>
      <c r="AX237" s="56">
        <f t="shared" si="1978"/>
        <v>0</v>
      </c>
      <c r="AY237" s="56">
        <f t="shared" si="1978"/>
        <v>0</v>
      </c>
      <c r="AZ237" s="56">
        <f t="shared" si="1978"/>
        <v>0</v>
      </c>
      <c r="BA237" s="56">
        <f t="shared" si="1978"/>
        <v>0</v>
      </c>
    </row>
    <row r="238" spans="2:53" x14ac:dyDescent="0.2">
      <c r="B238" s="57" t="s">
        <v>3</v>
      </c>
      <c r="C238" s="65" t="s">
        <v>75</v>
      </c>
      <c r="D238" s="44"/>
      <c r="E238" s="44"/>
      <c r="F238" s="44"/>
      <c r="G238" s="44"/>
      <c r="H238" s="44"/>
      <c r="I238" s="44"/>
      <c r="J238" s="44"/>
      <c r="K238" s="44"/>
      <c r="L238" s="44"/>
      <c r="M238" s="44"/>
      <c r="N238" s="44"/>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c r="AR238" s="56"/>
      <c r="AS238" s="56"/>
      <c r="AT238" s="56">
        <v>0</v>
      </c>
      <c r="AU238" s="56">
        <f t="shared" ref="AU238" si="1979">+$C$9*AT235</f>
        <v>0</v>
      </c>
      <c r="AV238" s="56">
        <f t="shared" ref="AV238" si="1980">+$C$9*AU235</f>
        <v>0</v>
      </c>
      <c r="AW238" s="56">
        <f t="shared" ref="AW238" si="1981">+$C$9*AV235</f>
        <v>0</v>
      </c>
      <c r="AX238" s="56">
        <f t="shared" ref="AX238" si="1982">+$C$9*AW235</f>
        <v>0</v>
      </c>
      <c r="AY238" s="56">
        <f t="shared" ref="AY238" si="1983">+$C$9*AX235</f>
        <v>0</v>
      </c>
      <c r="AZ238" s="56">
        <f t="shared" ref="AZ238" si="1984">+$C$9*AY235</f>
        <v>0</v>
      </c>
      <c r="BA238" s="56">
        <f t="shared" ref="BA238" si="1985">+$C$9*AZ235</f>
        <v>0</v>
      </c>
    </row>
    <row r="239" spans="2:53" x14ac:dyDescent="0.2">
      <c r="B239" s="57"/>
      <c r="D239" s="44"/>
      <c r="E239" s="44"/>
      <c r="F239" s="44"/>
      <c r="G239" s="44"/>
      <c r="H239" s="44"/>
      <c r="I239" s="44"/>
      <c r="J239" s="44"/>
      <c r="K239" s="44"/>
      <c r="L239" s="44"/>
      <c r="M239" s="44"/>
      <c r="N239" s="44"/>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row>
    <row r="240" spans="2:53" x14ac:dyDescent="0.2">
      <c r="B240" s="46" t="s">
        <v>120</v>
      </c>
      <c r="C240" s="65" t="s">
        <v>75</v>
      </c>
      <c r="D240" s="44"/>
      <c r="E240" s="44"/>
      <c r="F240" s="44"/>
      <c r="G240" s="44"/>
      <c r="H240" s="44"/>
      <c r="I240" s="44"/>
      <c r="J240" s="44"/>
      <c r="K240" s="44"/>
      <c r="L240" s="44"/>
      <c r="M240" s="44"/>
      <c r="N240" s="44"/>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f>AU18</f>
        <v>0</v>
      </c>
      <c r="AV240" s="56">
        <f t="shared" ref="AV240" si="1986">+AU240-AV242</f>
        <v>0</v>
      </c>
      <c r="AW240" s="56">
        <f t="shared" ref="AW240" si="1987">+AV240-AW242</f>
        <v>0</v>
      </c>
      <c r="AX240" s="56">
        <f t="shared" ref="AX240" si="1988">+AW240-AX242</f>
        <v>0</v>
      </c>
      <c r="AY240" s="56">
        <f t="shared" ref="AY240" si="1989">+AX240-AY242</f>
        <v>0</v>
      </c>
      <c r="AZ240" s="56">
        <f t="shared" ref="AZ240" si="1990">+AY240-AZ242</f>
        <v>0</v>
      </c>
      <c r="BA240" s="56">
        <f t="shared" ref="BA240" si="1991">+AZ240-BA242</f>
        <v>0</v>
      </c>
    </row>
    <row r="241" spans="2:53" x14ac:dyDescent="0.2">
      <c r="B241" s="57" t="s">
        <v>29</v>
      </c>
      <c r="C241" s="64">
        <f>+AU240/((1-(1/(1+$C$9)^$C$8))/$C$9)</f>
        <v>0</v>
      </c>
      <c r="D241" s="44"/>
      <c r="E241" s="44"/>
      <c r="F241" s="44"/>
      <c r="G241" s="44"/>
      <c r="H241" s="44"/>
      <c r="I241" s="44"/>
      <c r="J241" s="44"/>
      <c r="K241" s="44"/>
      <c r="L241" s="44"/>
      <c r="M241" s="44"/>
      <c r="N241" s="44"/>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v>0</v>
      </c>
      <c r="AV241" s="56">
        <f>+IF(AU240&lt;0.01,0,$C$241)</f>
        <v>0</v>
      </c>
      <c r="AW241" s="56">
        <f t="shared" ref="AW241:BA241" si="1992">+IF(AV240&lt;0.01,0,$C$241)</f>
        <v>0</v>
      </c>
      <c r="AX241" s="56">
        <f t="shared" si="1992"/>
        <v>0</v>
      </c>
      <c r="AY241" s="56">
        <f t="shared" si="1992"/>
        <v>0</v>
      </c>
      <c r="AZ241" s="56">
        <f t="shared" si="1992"/>
        <v>0</v>
      </c>
      <c r="BA241" s="56">
        <f t="shared" si="1992"/>
        <v>0</v>
      </c>
    </row>
    <row r="242" spans="2:53" x14ac:dyDescent="0.2">
      <c r="B242" s="57" t="s">
        <v>30</v>
      </c>
      <c r="C242" s="65" t="s">
        <v>75</v>
      </c>
      <c r="D242" s="44"/>
      <c r="E242" s="44"/>
      <c r="F242" s="44"/>
      <c r="G242" s="44"/>
      <c r="H242" s="44"/>
      <c r="I242" s="44"/>
      <c r="J242" s="44"/>
      <c r="K242" s="44"/>
      <c r="L242" s="44"/>
      <c r="M242" s="44"/>
      <c r="N242" s="44"/>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c r="AR242" s="56"/>
      <c r="AS242" s="56"/>
      <c r="AT242" s="56"/>
      <c r="AU242" s="56">
        <v>0</v>
      </c>
      <c r="AV242" s="56">
        <f t="shared" ref="AV242:BA242" si="1993">+AV241-AV243</f>
        <v>0</v>
      </c>
      <c r="AW242" s="56">
        <f t="shared" si="1993"/>
        <v>0</v>
      </c>
      <c r="AX242" s="56">
        <f t="shared" si="1993"/>
        <v>0</v>
      </c>
      <c r="AY242" s="56">
        <f t="shared" si="1993"/>
        <v>0</v>
      </c>
      <c r="AZ242" s="56">
        <f t="shared" si="1993"/>
        <v>0</v>
      </c>
      <c r="BA242" s="56">
        <f t="shared" si="1993"/>
        <v>0</v>
      </c>
    </row>
    <row r="243" spans="2:53" x14ac:dyDescent="0.2">
      <c r="B243" s="57" t="s">
        <v>3</v>
      </c>
      <c r="C243" s="65" t="s">
        <v>75</v>
      </c>
      <c r="D243" s="44"/>
      <c r="E243" s="44"/>
      <c r="F243" s="44"/>
      <c r="G243" s="44"/>
      <c r="H243" s="44"/>
      <c r="I243" s="44"/>
      <c r="J243" s="44"/>
      <c r="K243" s="44"/>
      <c r="L243" s="44"/>
      <c r="M243" s="44"/>
      <c r="N243" s="44"/>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v>0</v>
      </c>
      <c r="AV243" s="56">
        <f t="shared" ref="AV243" si="1994">+$C$9*AU240</f>
        <v>0</v>
      </c>
      <c r="AW243" s="56">
        <f t="shared" ref="AW243" si="1995">+$C$9*AV240</f>
        <v>0</v>
      </c>
      <c r="AX243" s="56">
        <f t="shared" ref="AX243" si="1996">+$C$9*AW240</f>
        <v>0</v>
      </c>
      <c r="AY243" s="56">
        <f t="shared" ref="AY243" si="1997">+$C$9*AX240</f>
        <v>0</v>
      </c>
      <c r="AZ243" s="56">
        <f t="shared" ref="AZ243" si="1998">+$C$9*AY240</f>
        <v>0</v>
      </c>
      <c r="BA243" s="56">
        <f t="shared" ref="BA243" si="1999">+$C$9*AZ240</f>
        <v>0</v>
      </c>
    </row>
    <row r="244" spans="2:53" x14ac:dyDescent="0.2">
      <c r="B244" s="57"/>
      <c r="D244" s="44"/>
      <c r="E244" s="44"/>
      <c r="F244" s="44"/>
      <c r="G244" s="44"/>
      <c r="H244" s="44"/>
      <c r="I244" s="44"/>
      <c r="J244" s="44"/>
      <c r="K244" s="44"/>
      <c r="L244" s="44"/>
      <c r="M244" s="44"/>
      <c r="N244" s="44"/>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row>
    <row r="245" spans="2:53" x14ac:dyDescent="0.2">
      <c r="B245" s="46" t="s">
        <v>121</v>
      </c>
      <c r="C245" s="65" t="s">
        <v>75</v>
      </c>
      <c r="D245" s="44"/>
      <c r="E245" s="44"/>
      <c r="F245" s="44"/>
      <c r="G245" s="6"/>
      <c r="H245" s="44"/>
      <c r="I245" s="44"/>
      <c r="J245" s="44"/>
      <c r="K245" s="44"/>
      <c r="L245" s="44"/>
      <c r="M245" s="44"/>
      <c r="N245" s="44"/>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f>AV18</f>
        <v>0</v>
      </c>
      <c r="AW245" s="56">
        <f t="shared" ref="AW245" si="2000">+AV245-AW247</f>
        <v>0</v>
      </c>
      <c r="AX245" s="56">
        <f t="shared" ref="AX245" si="2001">+AW245-AX247</f>
        <v>0</v>
      </c>
      <c r="AY245" s="56">
        <f t="shared" ref="AY245" si="2002">+AX245-AY247</f>
        <v>0</v>
      </c>
      <c r="AZ245" s="56">
        <f t="shared" ref="AZ245" si="2003">+AY245-AZ247</f>
        <v>0</v>
      </c>
      <c r="BA245" s="56">
        <f t="shared" ref="BA245" si="2004">+AZ245-BA247</f>
        <v>0</v>
      </c>
    </row>
    <row r="246" spans="2:53" x14ac:dyDescent="0.2">
      <c r="B246" s="57" t="s">
        <v>29</v>
      </c>
      <c r="C246" s="64">
        <f>+AV245/((1-(1/(1+$C$9)^$C$8))/$C$9)</f>
        <v>0</v>
      </c>
      <c r="D246" s="44"/>
      <c r="E246" s="44"/>
      <c r="F246" s="44"/>
      <c r="G246" s="6"/>
      <c r="H246" s="44"/>
      <c r="I246" s="44"/>
      <c r="J246" s="44"/>
      <c r="K246" s="44"/>
      <c r="L246" s="44"/>
      <c r="M246" s="44"/>
      <c r="N246" s="44"/>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v>0</v>
      </c>
      <c r="AW246" s="56">
        <f>+IF(AV245&lt;0.01,0,$C$246)</f>
        <v>0</v>
      </c>
      <c r="AX246" s="56">
        <f t="shared" ref="AX246:BA246" si="2005">+IF(AW245&lt;0.01,0,$C$246)</f>
        <v>0</v>
      </c>
      <c r="AY246" s="56">
        <f t="shared" si="2005"/>
        <v>0</v>
      </c>
      <c r="AZ246" s="56">
        <f t="shared" si="2005"/>
        <v>0</v>
      </c>
      <c r="BA246" s="56">
        <f t="shared" si="2005"/>
        <v>0</v>
      </c>
    </row>
    <row r="247" spans="2:53" x14ac:dyDescent="0.2">
      <c r="B247" s="57" t="s">
        <v>30</v>
      </c>
      <c r="C247" s="65" t="s">
        <v>75</v>
      </c>
      <c r="D247" s="44"/>
      <c r="E247" s="44"/>
      <c r="F247" s="44"/>
      <c r="G247" s="6"/>
      <c r="H247" s="44"/>
      <c r="I247" s="44"/>
      <c r="J247" s="44"/>
      <c r="K247" s="44"/>
      <c r="L247" s="44"/>
      <c r="M247" s="44"/>
      <c r="N247" s="44"/>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v>0</v>
      </c>
      <c r="AW247" s="56">
        <f t="shared" ref="AW247:BA247" si="2006">+AW246-AW248</f>
        <v>0</v>
      </c>
      <c r="AX247" s="56">
        <f t="shared" si="2006"/>
        <v>0</v>
      </c>
      <c r="AY247" s="56">
        <f t="shared" si="2006"/>
        <v>0</v>
      </c>
      <c r="AZ247" s="56">
        <f t="shared" si="2006"/>
        <v>0</v>
      </c>
      <c r="BA247" s="56">
        <f t="shared" si="2006"/>
        <v>0</v>
      </c>
    </row>
    <row r="248" spans="2:53" x14ac:dyDescent="0.2">
      <c r="B248" s="57" t="s">
        <v>3</v>
      </c>
      <c r="C248" s="65" t="s">
        <v>75</v>
      </c>
      <c r="D248" s="44"/>
      <c r="E248" s="44"/>
      <c r="F248" s="44"/>
      <c r="G248" s="6"/>
      <c r="H248" s="44"/>
      <c r="I248" s="44"/>
      <c r="J248" s="44"/>
      <c r="K248" s="44"/>
      <c r="L248" s="44"/>
      <c r="M248" s="44"/>
      <c r="N248" s="44"/>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c r="AS248" s="56"/>
      <c r="AT248" s="56"/>
      <c r="AU248" s="56"/>
      <c r="AV248" s="56">
        <v>0</v>
      </c>
      <c r="AW248" s="56">
        <f t="shared" ref="AW248" si="2007">+$C$9*AV245</f>
        <v>0</v>
      </c>
      <c r="AX248" s="56">
        <f t="shared" ref="AX248" si="2008">+$C$9*AW245</f>
        <v>0</v>
      </c>
      <c r="AY248" s="56">
        <f t="shared" ref="AY248" si="2009">+$C$9*AX245</f>
        <v>0</v>
      </c>
      <c r="AZ248" s="56">
        <f t="shared" ref="AZ248" si="2010">+$C$9*AY245</f>
        <v>0</v>
      </c>
      <c r="BA248" s="56">
        <f t="shared" ref="BA248" si="2011">+$C$9*AZ245</f>
        <v>0</v>
      </c>
    </row>
    <row r="249" spans="2:53" x14ac:dyDescent="0.2">
      <c r="B249" s="57"/>
      <c r="D249" s="44"/>
      <c r="E249" s="44"/>
      <c r="F249" s="44"/>
      <c r="G249" s="44"/>
      <c r="H249" s="44"/>
      <c r="I249" s="44"/>
      <c r="J249" s="44"/>
      <c r="K249" s="44"/>
      <c r="L249" s="44"/>
      <c r="M249" s="44"/>
      <c r="N249" s="44"/>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row>
    <row r="250" spans="2:53" x14ac:dyDescent="0.2">
      <c r="B250" s="46" t="s">
        <v>122</v>
      </c>
      <c r="C250" s="65" t="s">
        <v>75</v>
      </c>
      <c r="D250" s="44"/>
      <c r="E250" s="44"/>
      <c r="F250" s="44"/>
      <c r="G250" s="6"/>
      <c r="H250" s="6"/>
      <c r="I250" s="44"/>
      <c r="J250" s="44"/>
      <c r="K250" s="44"/>
      <c r="L250" s="44"/>
      <c r="M250" s="44"/>
      <c r="N250" s="44"/>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f>AW18</f>
        <v>0</v>
      </c>
      <c r="AX250" s="56">
        <f t="shared" ref="AX250" si="2012">+AW250-AX252</f>
        <v>0</v>
      </c>
      <c r="AY250" s="56">
        <f t="shared" ref="AY250" si="2013">+AX250-AY252</f>
        <v>0</v>
      </c>
      <c r="AZ250" s="56">
        <f t="shared" ref="AZ250" si="2014">+AY250-AZ252</f>
        <v>0</v>
      </c>
      <c r="BA250" s="56">
        <f t="shared" ref="BA250" si="2015">+AZ250-BA252</f>
        <v>0</v>
      </c>
    </row>
    <row r="251" spans="2:53" x14ac:dyDescent="0.2">
      <c r="B251" s="57" t="s">
        <v>29</v>
      </c>
      <c r="C251" s="64">
        <f>+AW250/((1-(1/(1+$C$9)^$C$8))/$C$9)</f>
        <v>0</v>
      </c>
      <c r="D251" s="44"/>
      <c r="E251" s="44"/>
      <c r="F251" s="44"/>
      <c r="G251" s="6"/>
      <c r="H251" s="6"/>
      <c r="I251" s="44"/>
      <c r="J251" s="44"/>
      <c r="K251" s="44"/>
      <c r="L251" s="44"/>
      <c r="M251" s="44"/>
      <c r="N251" s="44"/>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v>0</v>
      </c>
      <c r="AX251" s="56">
        <f>+IF(AW250&lt;0.01,0,$C$251)</f>
        <v>0</v>
      </c>
      <c r="AY251" s="56">
        <f t="shared" ref="AY251:BA251" si="2016">+IF(AX250&lt;0.01,0,$C$251)</f>
        <v>0</v>
      </c>
      <c r="AZ251" s="56">
        <f t="shared" si="2016"/>
        <v>0</v>
      </c>
      <c r="BA251" s="56">
        <f t="shared" si="2016"/>
        <v>0</v>
      </c>
    </row>
    <row r="252" spans="2:53" x14ac:dyDescent="0.2">
      <c r="B252" s="57" t="s">
        <v>30</v>
      </c>
      <c r="C252" s="65" t="s">
        <v>75</v>
      </c>
      <c r="D252" s="44"/>
      <c r="E252" s="44"/>
      <c r="F252" s="44"/>
      <c r="G252" s="6"/>
      <c r="H252" s="6"/>
      <c r="I252" s="44"/>
      <c r="J252" s="44"/>
      <c r="K252" s="44"/>
      <c r="L252" s="44"/>
      <c r="M252" s="44"/>
      <c r="N252" s="44"/>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v>0</v>
      </c>
      <c r="AX252" s="56">
        <f t="shared" ref="AX252:BA252" si="2017">+AX251-AX253</f>
        <v>0</v>
      </c>
      <c r="AY252" s="56">
        <f t="shared" si="2017"/>
        <v>0</v>
      </c>
      <c r="AZ252" s="56">
        <f t="shared" si="2017"/>
        <v>0</v>
      </c>
      <c r="BA252" s="56">
        <f t="shared" si="2017"/>
        <v>0</v>
      </c>
    </row>
    <row r="253" spans="2:53" x14ac:dyDescent="0.2">
      <c r="B253" s="57" t="s">
        <v>3</v>
      </c>
      <c r="C253" s="65" t="s">
        <v>75</v>
      </c>
      <c r="D253" s="44"/>
      <c r="E253" s="44"/>
      <c r="F253" s="44"/>
      <c r="G253" s="6"/>
      <c r="H253" s="6"/>
      <c r="I253" s="44"/>
      <c r="J253" s="44"/>
      <c r="K253" s="44"/>
      <c r="L253" s="44"/>
      <c r="M253" s="44"/>
      <c r="N253" s="44"/>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v>0</v>
      </c>
      <c r="AX253" s="56">
        <f t="shared" ref="AX253" si="2018">+$C$9*AW250</f>
        <v>0</v>
      </c>
      <c r="AY253" s="56">
        <f t="shared" ref="AY253" si="2019">+$C$9*AX250</f>
        <v>0</v>
      </c>
      <c r="AZ253" s="56">
        <f t="shared" ref="AZ253" si="2020">+$C$9*AY250</f>
        <v>0</v>
      </c>
      <c r="BA253" s="56">
        <f t="shared" ref="BA253" si="2021">+$C$9*AZ250</f>
        <v>0</v>
      </c>
    </row>
    <row r="254" spans="2:53" x14ac:dyDescent="0.2">
      <c r="B254" s="57"/>
      <c r="D254" s="44"/>
      <c r="E254" s="44"/>
      <c r="F254" s="44"/>
      <c r="G254" s="44"/>
      <c r="H254" s="44"/>
      <c r="I254" s="44"/>
      <c r="J254" s="44"/>
      <c r="K254" s="44"/>
      <c r="L254" s="44"/>
      <c r="M254" s="44"/>
      <c r="N254" s="44"/>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c r="AX254" s="56"/>
      <c r="AY254" s="56"/>
      <c r="AZ254" s="56"/>
      <c r="BA254" s="56"/>
    </row>
    <row r="255" spans="2:53" x14ac:dyDescent="0.2">
      <c r="B255" s="46" t="s">
        <v>123</v>
      </c>
      <c r="C255" s="65" t="s">
        <v>75</v>
      </c>
      <c r="D255" s="44"/>
      <c r="E255" s="44"/>
      <c r="F255" s="44"/>
      <c r="G255" s="6"/>
      <c r="H255" s="6"/>
      <c r="I255" s="6"/>
      <c r="J255" s="44"/>
      <c r="K255" s="44"/>
      <c r="L255" s="44"/>
      <c r="M255" s="44"/>
      <c r="N255" s="44"/>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c r="AS255" s="56"/>
      <c r="AT255" s="56"/>
      <c r="AU255" s="56"/>
      <c r="AV255" s="56"/>
      <c r="AW255" s="56"/>
      <c r="AX255" s="56">
        <f>AX18</f>
        <v>0</v>
      </c>
      <c r="AY255" s="56">
        <f t="shared" ref="AY255" si="2022">+AX255-AY257</f>
        <v>0</v>
      </c>
      <c r="AZ255" s="56">
        <f t="shared" ref="AZ255" si="2023">+AY255-AZ257</f>
        <v>0</v>
      </c>
      <c r="BA255" s="56">
        <f t="shared" ref="BA255" si="2024">+AZ255-BA257</f>
        <v>0</v>
      </c>
    </row>
    <row r="256" spans="2:53" x14ac:dyDescent="0.2">
      <c r="B256" s="57" t="s">
        <v>29</v>
      </c>
      <c r="C256" s="64">
        <f>+AX255/((1-(1/(1+$C$9)^$C$8))/$C$9)</f>
        <v>0</v>
      </c>
      <c r="D256" s="44"/>
      <c r="E256" s="44"/>
      <c r="F256" s="44"/>
      <c r="G256" s="6"/>
      <c r="H256" s="6"/>
      <c r="I256" s="6"/>
      <c r="J256" s="44"/>
      <c r="K256" s="44"/>
      <c r="L256" s="44"/>
      <c r="M256" s="44"/>
      <c r="N256" s="44"/>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c r="AR256" s="56"/>
      <c r="AS256" s="56"/>
      <c r="AT256" s="56"/>
      <c r="AU256" s="56"/>
      <c r="AV256" s="56"/>
      <c r="AW256" s="56"/>
      <c r="AX256" s="56">
        <v>0</v>
      </c>
      <c r="AY256" s="56">
        <f>+IF(AX255&lt;0.01,0,$C$256)</f>
        <v>0</v>
      </c>
      <c r="AZ256" s="56">
        <f t="shared" ref="AZ256:BA256" si="2025">+IF(AY255&lt;0.01,0,$C$256)</f>
        <v>0</v>
      </c>
      <c r="BA256" s="56">
        <f t="shared" si="2025"/>
        <v>0</v>
      </c>
    </row>
    <row r="257" spans="2:53" x14ac:dyDescent="0.2">
      <c r="B257" s="57" t="s">
        <v>30</v>
      </c>
      <c r="C257" s="65" t="s">
        <v>75</v>
      </c>
      <c r="D257" s="44"/>
      <c r="E257" s="44"/>
      <c r="F257" s="44"/>
      <c r="G257" s="6"/>
      <c r="H257" s="6"/>
      <c r="I257" s="6"/>
      <c r="J257" s="44"/>
      <c r="K257" s="44"/>
      <c r="L257" s="44"/>
      <c r="M257" s="44"/>
      <c r="N257" s="44"/>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c r="AR257" s="56"/>
      <c r="AS257" s="56"/>
      <c r="AT257" s="56"/>
      <c r="AU257" s="56"/>
      <c r="AV257" s="56"/>
      <c r="AW257" s="56"/>
      <c r="AX257" s="56">
        <v>0</v>
      </c>
      <c r="AY257" s="56">
        <f t="shared" ref="AY257:BA257" si="2026">+AY256-AY258</f>
        <v>0</v>
      </c>
      <c r="AZ257" s="56">
        <f t="shared" si="2026"/>
        <v>0</v>
      </c>
      <c r="BA257" s="56">
        <f t="shared" si="2026"/>
        <v>0</v>
      </c>
    </row>
    <row r="258" spans="2:53" x14ac:dyDescent="0.2">
      <c r="B258" s="57" t="s">
        <v>3</v>
      </c>
      <c r="C258" s="65" t="s">
        <v>75</v>
      </c>
      <c r="D258" s="44"/>
      <c r="E258" s="44"/>
      <c r="F258" s="44"/>
      <c r="G258" s="6"/>
      <c r="H258" s="6"/>
      <c r="I258" s="6"/>
      <c r="J258" s="44"/>
      <c r="K258" s="44"/>
      <c r="L258" s="44"/>
      <c r="M258" s="44"/>
      <c r="N258" s="44"/>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v>0</v>
      </c>
      <c r="AY258" s="56">
        <f t="shared" ref="AY258" si="2027">+$C$9*AX255</f>
        <v>0</v>
      </c>
      <c r="AZ258" s="56">
        <f t="shared" ref="AZ258" si="2028">+$C$9*AY255</f>
        <v>0</v>
      </c>
      <c r="BA258" s="56">
        <f t="shared" ref="BA258" si="2029">+$C$9*AZ255</f>
        <v>0</v>
      </c>
    </row>
    <row r="259" spans="2:53" x14ac:dyDescent="0.2">
      <c r="B259" s="57"/>
      <c r="D259" s="44"/>
      <c r="E259" s="44"/>
      <c r="F259" s="44"/>
      <c r="G259" s="44"/>
      <c r="H259" s="44"/>
      <c r="I259" s="44"/>
      <c r="J259" s="44"/>
      <c r="K259" s="44"/>
      <c r="L259" s="44"/>
      <c r="M259" s="44"/>
      <c r="N259" s="44"/>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c r="AS259" s="56"/>
      <c r="AT259" s="56"/>
      <c r="AU259" s="56"/>
      <c r="AV259" s="56"/>
      <c r="AW259" s="56"/>
      <c r="AX259" s="56"/>
      <c r="AY259" s="56"/>
      <c r="AZ259" s="56"/>
      <c r="BA259" s="56"/>
    </row>
    <row r="260" spans="2:53" x14ac:dyDescent="0.2">
      <c r="B260" s="46" t="s">
        <v>124</v>
      </c>
      <c r="C260" s="65" t="s">
        <v>75</v>
      </c>
      <c r="D260" s="44"/>
      <c r="E260" s="44"/>
      <c r="F260" s="44"/>
      <c r="G260" s="6"/>
      <c r="H260" s="6"/>
      <c r="I260" s="6"/>
      <c r="J260" s="6"/>
      <c r="K260" s="44"/>
      <c r="L260" s="44"/>
      <c r="M260" s="44"/>
      <c r="N260" s="44"/>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f>AY18</f>
        <v>0</v>
      </c>
      <c r="AZ260" s="56">
        <f t="shared" ref="AZ260" si="2030">+AY260-AZ262</f>
        <v>0</v>
      </c>
      <c r="BA260" s="56">
        <f t="shared" ref="BA260" si="2031">+AZ260-BA262</f>
        <v>0</v>
      </c>
    </row>
    <row r="261" spans="2:53" x14ac:dyDescent="0.2">
      <c r="B261" s="57" t="s">
        <v>29</v>
      </c>
      <c r="C261" s="64">
        <f>+AY260/((1-(1/(1+$C$9)^$C$8))/$C$9)</f>
        <v>0</v>
      </c>
      <c r="D261" s="44"/>
      <c r="E261" s="44"/>
      <c r="F261" s="44"/>
      <c r="G261" s="6"/>
      <c r="H261" s="6"/>
      <c r="I261" s="6"/>
      <c r="J261" s="6"/>
      <c r="K261" s="44"/>
      <c r="L261" s="44"/>
      <c r="M261" s="44"/>
      <c r="N261" s="44"/>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c r="AS261" s="56"/>
      <c r="AT261" s="56"/>
      <c r="AU261" s="56"/>
      <c r="AV261" s="56"/>
      <c r="AW261" s="56"/>
      <c r="AX261" s="56"/>
      <c r="AY261" s="56">
        <v>0</v>
      </c>
      <c r="AZ261" s="56">
        <f>+IF(AY260&lt;0.01,0,$C$261)</f>
        <v>0</v>
      </c>
      <c r="BA261" s="56">
        <f>+IF(AZ260&lt;0.01,0,$C$261)</f>
        <v>0</v>
      </c>
    </row>
    <row r="262" spans="2:53" x14ac:dyDescent="0.2">
      <c r="B262" s="57" t="s">
        <v>30</v>
      </c>
      <c r="C262" s="65" t="s">
        <v>75</v>
      </c>
      <c r="D262" s="44"/>
      <c r="E262" s="44"/>
      <c r="F262" s="44"/>
      <c r="G262" s="6"/>
      <c r="H262" s="6"/>
      <c r="I262" s="6"/>
      <c r="J262" s="6"/>
      <c r="K262" s="44"/>
      <c r="L262" s="44"/>
      <c r="M262" s="44"/>
      <c r="N262" s="44"/>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c r="AR262" s="56"/>
      <c r="AS262" s="56"/>
      <c r="AT262" s="56"/>
      <c r="AU262" s="56"/>
      <c r="AV262" s="56"/>
      <c r="AW262" s="56"/>
      <c r="AX262" s="56"/>
      <c r="AY262" s="56">
        <v>0</v>
      </c>
      <c r="AZ262" s="56">
        <f t="shared" ref="AZ262:BA262" si="2032">+AZ261-AZ263</f>
        <v>0</v>
      </c>
      <c r="BA262" s="56">
        <f t="shared" si="2032"/>
        <v>0</v>
      </c>
    </row>
    <row r="263" spans="2:53" x14ac:dyDescent="0.2">
      <c r="B263" s="57" t="s">
        <v>3</v>
      </c>
      <c r="C263" s="65" t="s">
        <v>75</v>
      </c>
      <c r="D263" s="44"/>
      <c r="E263" s="44"/>
      <c r="F263" s="44"/>
      <c r="G263" s="6"/>
      <c r="H263" s="6"/>
      <c r="I263" s="6"/>
      <c r="J263" s="6"/>
      <c r="K263" s="44"/>
      <c r="L263" s="44"/>
      <c r="M263" s="44"/>
      <c r="N263" s="44"/>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c r="AS263" s="56"/>
      <c r="AT263" s="56"/>
      <c r="AU263" s="56"/>
      <c r="AV263" s="56"/>
      <c r="AW263" s="56"/>
      <c r="AX263" s="56"/>
      <c r="AY263" s="56">
        <v>0</v>
      </c>
      <c r="AZ263" s="56">
        <f t="shared" ref="AZ263" si="2033">+$C$9*AY260</f>
        <v>0</v>
      </c>
      <c r="BA263" s="56">
        <f t="shared" ref="BA263" si="2034">+$C$9*AZ260</f>
        <v>0</v>
      </c>
    </row>
    <row r="264" spans="2:53" x14ac:dyDescent="0.2">
      <c r="B264" s="57"/>
      <c r="D264" s="44"/>
      <c r="E264" s="44"/>
      <c r="F264" s="44"/>
      <c r="G264" s="6"/>
      <c r="H264" s="6"/>
      <c r="I264" s="6"/>
      <c r="J264" s="6"/>
      <c r="K264" s="44"/>
      <c r="L264" s="44"/>
      <c r="M264" s="44"/>
      <c r="N264" s="44"/>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c r="AS264" s="56"/>
      <c r="AT264" s="56"/>
      <c r="AU264" s="56"/>
      <c r="AV264" s="56"/>
      <c r="AW264" s="56"/>
      <c r="AX264" s="56"/>
      <c r="AY264" s="56"/>
      <c r="AZ264" s="56"/>
      <c r="BA264" s="56"/>
    </row>
    <row r="265" spans="2:53" x14ac:dyDescent="0.2">
      <c r="B265" s="46" t="s">
        <v>125</v>
      </c>
      <c r="C265" s="65" t="s">
        <v>75</v>
      </c>
      <c r="D265" s="44"/>
      <c r="E265" s="44"/>
      <c r="F265" s="44"/>
      <c r="G265" s="6"/>
      <c r="H265" s="6"/>
      <c r="I265" s="6"/>
      <c r="J265" s="6"/>
      <c r="K265" s="6"/>
      <c r="L265" s="44"/>
      <c r="M265" s="44"/>
      <c r="N265" s="44"/>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f>AZ18</f>
        <v>0</v>
      </c>
      <c r="BA265" s="56">
        <f t="shared" ref="BA265" si="2035">+AZ265-BA267</f>
        <v>0</v>
      </c>
    </row>
    <row r="266" spans="2:53" x14ac:dyDescent="0.2">
      <c r="B266" s="57" t="s">
        <v>29</v>
      </c>
      <c r="C266" s="64">
        <f>+AZ265/((1-(1/(1+$C$9)^$C$8))/$C$9)</f>
        <v>0</v>
      </c>
      <c r="D266" s="44"/>
      <c r="E266" s="44"/>
      <c r="F266" s="44"/>
      <c r="G266" s="6"/>
      <c r="H266" s="6"/>
      <c r="I266" s="6"/>
      <c r="J266" s="6"/>
      <c r="K266" s="6"/>
      <c r="L266" s="44"/>
      <c r="M266" s="44"/>
      <c r="N266" s="44"/>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v>0</v>
      </c>
      <c r="BA266" s="56">
        <f>+IF(AZ265&lt;0.01,0,$C$266)</f>
        <v>0</v>
      </c>
    </row>
    <row r="267" spans="2:53" x14ac:dyDescent="0.2">
      <c r="B267" s="57" t="s">
        <v>30</v>
      </c>
      <c r="C267" s="65" t="s">
        <v>75</v>
      </c>
      <c r="D267" s="44"/>
      <c r="E267" s="44"/>
      <c r="F267" s="44"/>
      <c r="G267" s="6"/>
      <c r="H267" s="6"/>
      <c r="I267" s="6"/>
      <c r="J267" s="6"/>
      <c r="K267" s="6"/>
      <c r="L267" s="44"/>
      <c r="M267" s="44"/>
      <c r="N267" s="44"/>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v>0</v>
      </c>
      <c r="BA267" s="56">
        <f t="shared" ref="BA267" si="2036">+BA266-BA268</f>
        <v>0</v>
      </c>
    </row>
    <row r="268" spans="2:53" x14ac:dyDescent="0.2">
      <c r="B268" s="57" t="s">
        <v>3</v>
      </c>
      <c r="C268" s="65" t="s">
        <v>75</v>
      </c>
      <c r="D268" s="44"/>
      <c r="E268" s="44"/>
      <c r="F268" s="44"/>
      <c r="G268" s="6"/>
      <c r="H268" s="6"/>
      <c r="I268" s="6"/>
      <c r="J268" s="6"/>
      <c r="K268" s="6"/>
      <c r="L268" s="44"/>
      <c r="M268" s="44"/>
      <c r="N268" s="44"/>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v>0</v>
      </c>
      <c r="BA268" s="56">
        <f t="shared" ref="BA268" si="2037">+$C$9*AZ265</f>
        <v>0</v>
      </c>
    </row>
    <row r="269" spans="2:53" x14ac:dyDescent="0.2">
      <c r="B269" s="57"/>
      <c r="D269" s="44"/>
      <c r="E269" s="44"/>
      <c r="F269" s="44"/>
      <c r="G269" s="44"/>
      <c r="H269" s="44"/>
      <c r="I269" s="44"/>
      <c r="J269" s="6"/>
      <c r="K269" s="6"/>
      <c r="L269" s="44"/>
      <c r="M269" s="44"/>
      <c r="N269" s="44"/>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c r="AS269" s="56"/>
      <c r="AT269" s="56"/>
      <c r="AU269" s="56"/>
      <c r="AV269" s="56"/>
      <c r="AW269" s="56"/>
      <c r="AX269" s="56"/>
      <c r="AY269" s="56"/>
      <c r="AZ269" s="56"/>
      <c r="BA269" s="56"/>
    </row>
    <row r="270" spans="2:53" x14ac:dyDescent="0.2">
      <c r="B270" s="46" t="s">
        <v>126</v>
      </c>
      <c r="C270" s="65" t="s">
        <v>75</v>
      </c>
      <c r="D270" s="44"/>
      <c r="E270" s="44"/>
      <c r="F270" s="44"/>
      <c r="G270" s="6"/>
      <c r="H270" s="6"/>
      <c r="I270" s="6"/>
      <c r="J270" s="6"/>
      <c r="K270" s="6"/>
      <c r="L270" s="6"/>
      <c r="M270" s="44"/>
      <c r="N270" s="44"/>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f>BA18</f>
        <v>0</v>
      </c>
    </row>
    <row r="271" spans="2:53" x14ac:dyDescent="0.2">
      <c r="B271" s="57" t="s">
        <v>29</v>
      </c>
      <c r="C271" s="64">
        <f>+BA270/((1-(1/(1+$C$9)^$C$8))/$C$9)</f>
        <v>0</v>
      </c>
      <c r="D271" s="44"/>
      <c r="E271" s="44"/>
      <c r="F271" s="44"/>
      <c r="G271" s="6"/>
      <c r="H271" s="6"/>
      <c r="I271" s="6"/>
      <c r="J271" s="6"/>
      <c r="K271" s="6"/>
      <c r="L271" s="6"/>
      <c r="M271" s="44"/>
      <c r="N271" s="44"/>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c r="AS271" s="56"/>
      <c r="AT271" s="56"/>
      <c r="AU271" s="56"/>
      <c r="AV271" s="56"/>
      <c r="AW271" s="56"/>
      <c r="AX271" s="56"/>
      <c r="AY271" s="56"/>
      <c r="AZ271" s="56"/>
      <c r="BA271" s="56">
        <v>0</v>
      </c>
    </row>
    <row r="272" spans="2:53" x14ac:dyDescent="0.2">
      <c r="B272" s="57" t="s">
        <v>30</v>
      </c>
      <c r="C272" s="65" t="s">
        <v>75</v>
      </c>
      <c r="D272" s="44"/>
      <c r="E272" s="44"/>
      <c r="F272" s="44"/>
      <c r="G272" s="6"/>
      <c r="H272" s="6"/>
      <c r="I272" s="6"/>
      <c r="J272" s="6"/>
      <c r="K272" s="6"/>
      <c r="L272" s="6"/>
      <c r="M272" s="44"/>
      <c r="N272" s="44"/>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c r="AR272" s="56"/>
      <c r="AS272" s="56"/>
      <c r="AT272" s="56"/>
      <c r="AU272" s="56"/>
      <c r="AV272" s="56"/>
      <c r="AW272" s="56"/>
      <c r="AX272" s="56"/>
      <c r="AY272" s="56"/>
      <c r="AZ272" s="56"/>
      <c r="BA272" s="56">
        <v>0</v>
      </c>
    </row>
    <row r="273" spans="2:53" x14ac:dyDescent="0.2">
      <c r="B273" s="57" t="s">
        <v>3</v>
      </c>
      <c r="C273" s="65" t="s">
        <v>75</v>
      </c>
      <c r="D273" s="44"/>
      <c r="E273" s="44"/>
      <c r="F273" s="44"/>
      <c r="G273" s="6"/>
      <c r="H273" s="6"/>
      <c r="I273" s="6"/>
      <c r="J273" s="6"/>
      <c r="K273" s="6"/>
      <c r="L273" s="6"/>
      <c r="M273" s="44"/>
      <c r="N273" s="44"/>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c r="AS273" s="56"/>
      <c r="AT273" s="56"/>
      <c r="AU273" s="56"/>
      <c r="AV273" s="56"/>
      <c r="AW273" s="56"/>
      <c r="AX273" s="56"/>
      <c r="AY273" s="56"/>
      <c r="AZ273" s="56"/>
      <c r="BA273" s="56">
        <v>0</v>
      </c>
    </row>
    <row r="275" spans="2:53" s="113" customFormat="1" x14ac:dyDescent="0.2">
      <c r="B275" s="142" t="s">
        <v>31</v>
      </c>
      <c r="C275" s="136" t="s">
        <v>75</v>
      </c>
      <c r="D275" s="143">
        <f>ROUND(+D27+D32+D37+D42+D47+D52+D57+D62+D67+D72+D77+D82+D87+D92+D97+D102+D107+D112+D117+D122+D127+D132+D137+D142+D147+D152+D157+D162+D167+D172+D177+D182+D187+D192+D197+D202+D207+D212+D217+D222+D227+D232+D237+D242+D247+D252+D257+D262+D267+D272,6)</f>
        <v>0</v>
      </c>
      <c r="E275" s="143">
        <f t="shared" ref="E275:BA275" si="2038">ROUND(+E27+E32+E37+E42+E47+E52+E57+E62+E67+E72+E77+E82+E87+E92+E97+E102+E107+E112+E117+E122+E127+E132+E137+E142+E147+E152+E157+E162+E167+E172+E177+E182+E187+E192+E197+E202+E207+E212+E217+E222+E227+E232+E237+E242+E247+E252+E257+E262+E267+E272,6)</f>
        <v>14.227997</v>
      </c>
      <c r="F275" s="143">
        <f t="shared" si="2038"/>
        <v>30.447914000000001</v>
      </c>
      <c r="G275" s="143">
        <f t="shared" si="2038"/>
        <v>48.904471999999998</v>
      </c>
      <c r="H275" s="143">
        <f t="shared" si="2038"/>
        <v>69.871872999999994</v>
      </c>
      <c r="I275" s="143">
        <f t="shared" si="2038"/>
        <v>78.256497999999993</v>
      </c>
      <c r="J275" s="143">
        <f t="shared" si="2038"/>
        <v>87.647278</v>
      </c>
      <c r="K275" s="143">
        <f t="shared" si="2038"/>
        <v>98.164951000000002</v>
      </c>
      <c r="L275" s="143">
        <f t="shared" si="2038"/>
        <v>109.944745</v>
      </c>
      <c r="M275" s="143">
        <f t="shared" si="2038"/>
        <v>87.910117</v>
      </c>
      <c r="N275" s="143">
        <f t="shared" si="2038"/>
        <v>62.526774000000003</v>
      </c>
      <c r="O275" s="143">
        <f t="shared" si="2038"/>
        <v>33.378779000000002</v>
      </c>
      <c r="P275" s="143">
        <f t="shared" si="2038"/>
        <v>0</v>
      </c>
      <c r="Q275" s="143">
        <f t="shared" si="2038"/>
        <v>0</v>
      </c>
      <c r="R275" s="143">
        <f t="shared" si="2038"/>
        <v>0</v>
      </c>
      <c r="S275" s="143">
        <f t="shared" si="2038"/>
        <v>0</v>
      </c>
      <c r="T275" s="143">
        <f t="shared" si="2038"/>
        <v>0</v>
      </c>
      <c r="U275" s="143">
        <f t="shared" si="2038"/>
        <v>0</v>
      </c>
      <c r="V275" s="143">
        <f t="shared" si="2038"/>
        <v>0</v>
      </c>
      <c r="W275" s="143">
        <f t="shared" si="2038"/>
        <v>0</v>
      </c>
      <c r="X275" s="143">
        <f t="shared" si="2038"/>
        <v>0</v>
      </c>
      <c r="Y275" s="143">
        <f t="shared" si="2038"/>
        <v>0</v>
      </c>
      <c r="Z275" s="143">
        <f t="shared" si="2038"/>
        <v>0</v>
      </c>
      <c r="AA275" s="143">
        <f t="shared" si="2038"/>
        <v>0</v>
      </c>
      <c r="AB275" s="143">
        <f t="shared" si="2038"/>
        <v>0</v>
      </c>
      <c r="AC275" s="143">
        <f t="shared" si="2038"/>
        <v>0</v>
      </c>
      <c r="AD275" s="143">
        <f t="shared" si="2038"/>
        <v>0</v>
      </c>
      <c r="AE275" s="143">
        <f t="shared" si="2038"/>
        <v>0</v>
      </c>
      <c r="AF275" s="143">
        <f t="shared" si="2038"/>
        <v>0</v>
      </c>
      <c r="AG275" s="143">
        <f t="shared" si="2038"/>
        <v>0</v>
      </c>
      <c r="AH275" s="143">
        <f t="shared" si="2038"/>
        <v>0</v>
      </c>
      <c r="AI275" s="143">
        <f t="shared" si="2038"/>
        <v>0</v>
      </c>
      <c r="AJ275" s="143">
        <f t="shared" si="2038"/>
        <v>0</v>
      </c>
      <c r="AK275" s="143">
        <f t="shared" si="2038"/>
        <v>0</v>
      </c>
      <c r="AL275" s="143">
        <f t="shared" si="2038"/>
        <v>0</v>
      </c>
      <c r="AM275" s="143">
        <f t="shared" si="2038"/>
        <v>0</v>
      </c>
      <c r="AN275" s="143">
        <f t="shared" si="2038"/>
        <v>0</v>
      </c>
      <c r="AO275" s="143">
        <f t="shared" si="2038"/>
        <v>0</v>
      </c>
      <c r="AP275" s="143">
        <f t="shared" si="2038"/>
        <v>0</v>
      </c>
      <c r="AQ275" s="143">
        <f t="shared" si="2038"/>
        <v>0</v>
      </c>
      <c r="AR275" s="143">
        <f t="shared" si="2038"/>
        <v>0</v>
      </c>
      <c r="AS275" s="143">
        <f t="shared" si="2038"/>
        <v>0</v>
      </c>
      <c r="AT275" s="143">
        <f t="shared" si="2038"/>
        <v>0</v>
      </c>
      <c r="AU275" s="143">
        <f t="shared" si="2038"/>
        <v>0</v>
      </c>
      <c r="AV275" s="143">
        <f t="shared" si="2038"/>
        <v>0</v>
      </c>
      <c r="AW275" s="143">
        <f t="shared" si="2038"/>
        <v>0</v>
      </c>
      <c r="AX275" s="143">
        <f t="shared" si="2038"/>
        <v>0</v>
      </c>
      <c r="AY275" s="143">
        <f t="shared" si="2038"/>
        <v>0</v>
      </c>
      <c r="AZ275" s="143">
        <f t="shared" si="2038"/>
        <v>0</v>
      </c>
      <c r="BA275" s="143">
        <f t="shared" si="2038"/>
        <v>0</v>
      </c>
    </row>
  </sheetData>
  <phoneticPr fontId="0" type="noConversion"/>
  <pageMargins left="0.75" right="0.75" top="1" bottom="1" header="0" footer="0"/>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6" tint="0.59999389629810485"/>
  </sheetPr>
  <dimension ref="B1:BF284"/>
  <sheetViews>
    <sheetView workbookViewId="0">
      <pane xSplit="3" ySplit="1" topLeftCell="D2" activePane="bottomRight" state="frozen"/>
      <selection activeCell="A5" sqref="A5:XFD5"/>
      <selection pane="topRight" activeCell="A5" sqref="A5:XFD5"/>
      <selection pane="bottomLeft" activeCell="A5" sqref="A5:XFD5"/>
      <selection pane="bottomRight" activeCell="C7" sqref="C7"/>
    </sheetView>
  </sheetViews>
  <sheetFormatPr defaultColWidth="11.42578125" defaultRowHeight="12.75" x14ac:dyDescent="0.2"/>
  <cols>
    <col min="1" max="1" width="11.42578125" style="54"/>
    <col min="2" max="2" width="42.42578125" style="54" customWidth="1"/>
    <col min="3" max="3" width="8.7109375" style="60" bestFit="1" customWidth="1"/>
    <col min="4" max="4" width="12.42578125" style="54" bestFit="1" customWidth="1"/>
    <col min="5" max="8" width="11.42578125" style="54" customWidth="1"/>
    <col min="9" max="9" width="11.7109375" style="54" bestFit="1" customWidth="1"/>
    <col min="10" max="16384" width="11.42578125" style="54"/>
  </cols>
  <sheetData>
    <row r="1" spans="2:58" s="55" customFormat="1" x14ac:dyDescent="0.2">
      <c r="C1" s="16" t="s">
        <v>0</v>
      </c>
      <c r="D1" s="36">
        <f>Inputs!D1</f>
        <v>2015</v>
      </c>
      <c r="E1" s="36">
        <f>Inputs!E1</f>
        <v>2016</v>
      </c>
      <c r="F1" s="36">
        <f>Inputs!F1</f>
        <v>2017</v>
      </c>
      <c r="G1" s="36">
        <f>Inputs!G1</f>
        <v>2018</v>
      </c>
      <c r="H1" s="36">
        <f>Inputs!H1</f>
        <v>2019</v>
      </c>
      <c r="I1" s="36">
        <f>Inputs!I1</f>
        <v>2020</v>
      </c>
      <c r="J1" s="36">
        <f>Inputs!J1</f>
        <v>2021</v>
      </c>
      <c r="K1" s="36">
        <f>Inputs!K1</f>
        <v>2022</v>
      </c>
      <c r="L1" s="36">
        <f>Inputs!L1</f>
        <v>2023</v>
      </c>
      <c r="M1" s="36">
        <f>Inputs!M1</f>
        <v>2024</v>
      </c>
      <c r="N1" s="36">
        <f>Inputs!N1</f>
        <v>2025</v>
      </c>
      <c r="O1" s="36">
        <f>Inputs!O1</f>
        <v>2026</v>
      </c>
      <c r="P1" s="36">
        <f>Inputs!P1</f>
        <v>2027</v>
      </c>
      <c r="Q1" s="36">
        <f>Inputs!Q1</f>
        <v>2028</v>
      </c>
      <c r="R1" s="36">
        <f>Inputs!R1</f>
        <v>2029</v>
      </c>
      <c r="S1" s="36">
        <f>Inputs!S1</f>
        <v>2030</v>
      </c>
      <c r="T1" s="36">
        <f>Inputs!T1</f>
        <v>2031</v>
      </c>
      <c r="U1" s="36">
        <f>Inputs!U1</f>
        <v>2032</v>
      </c>
      <c r="V1" s="36">
        <f>Inputs!V1</f>
        <v>2033</v>
      </c>
      <c r="W1" s="36">
        <f>Inputs!W1</f>
        <v>2034</v>
      </c>
      <c r="X1" s="36">
        <f>Inputs!X1</f>
        <v>2035</v>
      </c>
      <c r="Y1" s="36">
        <f>Inputs!Y1</f>
        <v>2036</v>
      </c>
      <c r="Z1" s="36">
        <f>Inputs!Z1</f>
        <v>2037</v>
      </c>
      <c r="AA1" s="36">
        <f>Inputs!AA1</f>
        <v>2038</v>
      </c>
      <c r="AB1" s="36">
        <f>Inputs!AB1</f>
        <v>2039</v>
      </c>
      <c r="AC1" s="36">
        <f>Inputs!AC1</f>
        <v>2040</v>
      </c>
      <c r="AD1" s="36">
        <f>Inputs!AD1</f>
        <v>2041</v>
      </c>
      <c r="AE1" s="36">
        <f>Inputs!AE1</f>
        <v>2042</v>
      </c>
      <c r="AF1" s="36">
        <f>Inputs!AF1</f>
        <v>2043</v>
      </c>
      <c r="AG1" s="36">
        <f>Inputs!AG1</f>
        <v>2044</v>
      </c>
      <c r="AH1" s="36">
        <f>Inputs!AH1</f>
        <v>2045</v>
      </c>
      <c r="AI1" s="36">
        <f>Inputs!AI1</f>
        <v>2046</v>
      </c>
      <c r="AJ1" s="36">
        <f>Inputs!AJ1</f>
        <v>2047</v>
      </c>
      <c r="AK1" s="36">
        <f>Inputs!AK1</f>
        <v>2048</v>
      </c>
      <c r="AL1" s="36">
        <f>Inputs!AL1</f>
        <v>2049</v>
      </c>
      <c r="AM1" s="36">
        <f>Inputs!AM1</f>
        <v>2050</v>
      </c>
      <c r="AN1" s="36">
        <f>Inputs!AN1</f>
        <v>2051</v>
      </c>
      <c r="AO1" s="36">
        <f>Inputs!AO1</f>
        <v>2052</v>
      </c>
      <c r="AP1" s="36">
        <f>Inputs!AP1</f>
        <v>2053</v>
      </c>
      <c r="AQ1" s="36">
        <f>Inputs!AQ1</f>
        <v>2054</v>
      </c>
      <c r="AR1" s="36">
        <f>Inputs!AR1</f>
        <v>2055</v>
      </c>
      <c r="AS1" s="36">
        <f>Inputs!AS1</f>
        <v>2056</v>
      </c>
      <c r="AT1" s="36">
        <f>Inputs!AT1</f>
        <v>2057</v>
      </c>
      <c r="AU1" s="36">
        <f>Inputs!AU1</f>
        <v>2058</v>
      </c>
      <c r="AV1" s="36">
        <f>Inputs!AV1</f>
        <v>2059</v>
      </c>
      <c r="AW1" s="36">
        <f>Inputs!AW1</f>
        <v>2060</v>
      </c>
      <c r="AX1" s="36">
        <f>Inputs!AX1</f>
        <v>2061</v>
      </c>
      <c r="AY1" s="36">
        <f>Inputs!AY1</f>
        <v>2062</v>
      </c>
      <c r="AZ1" s="36">
        <f>Inputs!AZ1</f>
        <v>2063</v>
      </c>
      <c r="BA1" s="36">
        <f>Inputs!BA1</f>
        <v>2064</v>
      </c>
      <c r="BB1" s="36"/>
      <c r="BC1" s="36"/>
      <c r="BD1" s="36"/>
      <c r="BE1" s="36"/>
      <c r="BF1" s="36"/>
    </row>
    <row r="2" spans="2:58" x14ac:dyDescent="0.2">
      <c r="C2" s="16"/>
      <c r="D2" s="36">
        <f>Inputs!D2</f>
        <v>1</v>
      </c>
      <c r="E2" s="36">
        <f>Inputs!E2</f>
        <v>2</v>
      </c>
      <c r="F2" s="36">
        <f>Inputs!F2</f>
        <v>3</v>
      </c>
      <c r="G2" s="36">
        <f>Inputs!G2</f>
        <v>4</v>
      </c>
      <c r="H2" s="36">
        <f>Inputs!H2</f>
        <v>5</v>
      </c>
      <c r="I2" s="36">
        <f>Inputs!I2</f>
        <v>6</v>
      </c>
      <c r="J2" s="36">
        <f>Inputs!J2</f>
        <v>7</v>
      </c>
      <c r="K2" s="36">
        <f>Inputs!K2</f>
        <v>8</v>
      </c>
      <c r="L2" s="36">
        <f>Inputs!L2</f>
        <v>9</v>
      </c>
      <c r="M2" s="36">
        <f>Inputs!M2</f>
        <v>10</v>
      </c>
      <c r="N2" s="36">
        <f>Inputs!N2</f>
        <v>11</v>
      </c>
      <c r="O2" s="36">
        <f>Inputs!O2</f>
        <v>12</v>
      </c>
      <c r="P2" s="36">
        <f>Inputs!P2</f>
        <v>13</v>
      </c>
      <c r="Q2" s="36">
        <f>Inputs!Q2</f>
        <v>14</v>
      </c>
      <c r="R2" s="36">
        <f>Inputs!R2</f>
        <v>15</v>
      </c>
      <c r="S2" s="36">
        <f>Inputs!S2</f>
        <v>16</v>
      </c>
      <c r="T2" s="36">
        <f>Inputs!T2</f>
        <v>17</v>
      </c>
      <c r="U2" s="36">
        <f>Inputs!U2</f>
        <v>18</v>
      </c>
      <c r="V2" s="36">
        <f>Inputs!V2</f>
        <v>19</v>
      </c>
      <c r="W2" s="36">
        <f>Inputs!W2</f>
        <v>20</v>
      </c>
      <c r="X2" s="36">
        <f>Inputs!X2</f>
        <v>21</v>
      </c>
      <c r="Y2" s="36">
        <f>Inputs!Y2</f>
        <v>22</v>
      </c>
      <c r="Z2" s="36">
        <f>Inputs!Z2</f>
        <v>23</v>
      </c>
      <c r="AA2" s="36">
        <f>Inputs!AA2</f>
        <v>24</v>
      </c>
      <c r="AB2" s="36">
        <f>Inputs!AB2</f>
        <v>25</v>
      </c>
      <c r="AC2" s="36">
        <f>Inputs!AC2</f>
        <v>26</v>
      </c>
      <c r="AD2" s="36">
        <f>Inputs!AD2</f>
        <v>27</v>
      </c>
      <c r="AE2" s="36">
        <f>Inputs!AE2</f>
        <v>28</v>
      </c>
      <c r="AF2" s="36">
        <f>Inputs!AF2</f>
        <v>29</v>
      </c>
      <c r="AG2" s="36">
        <f>Inputs!AG2</f>
        <v>30</v>
      </c>
      <c r="AH2" s="36">
        <f>Inputs!AH2</f>
        <v>31</v>
      </c>
      <c r="AI2" s="36">
        <f>Inputs!AI2</f>
        <v>32</v>
      </c>
      <c r="AJ2" s="36">
        <f>Inputs!AJ2</f>
        <v>33</v>
      </c>
      <c r="AK2" s="36">
        <f>Inputs!AK2</f>
        <v>34</v>
      </c>
      <c r="AL2" s="36">
        <f>Inputs!AL2</f>
        <v>35</v>
      </c>
      <c r="AM2" s="36">
        <f>Inputs!AM2</f>
        <v>36</v>
      </c>
      <c r="AN2" s="36">
        <f>Inputs!AN2</f>
        <v>37</v>
      </c>
      <c r="AO2" s="36">
        <f>Inputs!AO2</f>
        <v>38</v>
      </c>
      <c r="AP2" s="36">
        <f>Inputs!AP2</f>
        <v>39</v>
      </c>
      <c r="AQ2" s="36">
        <f>Inputs!AQ2</f>
        <v>40</v>
      </c>
      <c r="AR2" s="36">
        <f>Inputs!AR2</f>
        <v>41</v>
      </c>
      <c r="AS2" s="36">
        <f>Inputs!AS2</f>
        <v>42</v>
      </c>
      <c r="AT2" s="36">
        <f>Inputs!AT2</f>
        <v>43</v>
      </c>
      <c r="AU2" s="36">
        <f>Inputs!AU2</f>
        <v>44</v>
      </c>
      <c r="AV2" s="36">
        <f>Inputs!AV2</f>
        <v>45</v>
      </c>
      <c r="AW2" s="36">
        <f>Inputs!AW2</f>
        <v>46</v>
      </c>
      <c r="AX2" s="36">
        <f>Inputs!AX2</f>
        <v>47</v>
      </c>
      <c r="AY2" s="36">
        <f>Inputs!AY2</f>
        <v>48</v>
      </c>
      <c r="AZ2" s="36">
        <f>Inputs!AZ2</f>
        <v>49</v>
      </c>
      <c r="BA2" s="36">
        <f>Inputs!BA2</f>
        <v>50</v>
      </c>
      <c r="BB2" s="36"/>
      <c r="BC2" s="36"/>
      <c r="BD2" s="36"/>
      <c r="BE2" s="36"/>
      <c r="BF2" s="36"/>
    </row>
    <row r="3" spans="2:58" x14ac:dyDescent="0.2">
      <c r="C3" s="1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row>
    <row r="4" spans="2:58" s="113" customFormat="1" x14ac:dyDescent="0.2">
      <c r="B4" s="113" t="s">
        <v>21</v>
      </c>
      <c r="C4" s="136" t="s">
        <v>75</v>
      </c>
      <c r="D4" s="182">
        <f>ROUND(+D28+D33+D38+D43+D48+D53+D58+D63+D68+D73+D78+D83+D88+D93+D98+D103+D108+D113+D118+D123+D128+D133+D138+D143+D148+D153+D158,6)+D163+D168+D173+D178+D183+D188+D193+D198+D203+D208+D213+D218+D223+D228+D233+D238+D243+D248+D253+D258+D263+D268+D273</f>
        <v>0</v>
      </c>
      <c r="E4" s="182">
        <f t="shared" ref="E4:BA4" si="0">ROUND(+E28+E33+E38+E43+E48+E53+E58+E63+E68+E73+E78+E83+E88+E93+E98+E103+E108+E113+E118+E123+E128+E133+E138+E143+E148+E153+E158,6)+E163+E168+E173+E178+E183+E188+E193+E198+E203+E208+E213+E218+E223+E228+E233+E238+E243+E248+E253+E258+E263+E268+E273</f>
        <v>0</v>
      </c>
      <c r="F4" s="182">
        <f t="shared" si="0"/>
        <v>0</v>
      </c>
      <c r="G4" s="182">
        <f t="shared" si="0"/>
        <v>0</v>
      </c>
      <c r="H4" s="182">
        <f t="shared" si="0"/>
        <v>0</v>
      </c>
      <c r="I4" s="182">
        <f t="shared" si="0"/>
        <v>0</v>
      </c>
      <c r="J4" s="182">
        <f t="shared" si="0"/>
        <v>0</v>
      </c>
      <c r="K4" s="182">
        <f t="shared" si="0"/>
        <v>0</v>
      </c>
      <c r="L4" s="182">
        <f t="shared" si="0"/>
        <v>0</v>
      </c>
      <c r="M4" s="182">
        <f t="shared" si="0"/>
        <v>0</v>
      </c>
      <c r="N4" s="182">
        <f t="shared" si="0"/>
        <v>0</v>
      </c>
      <c r="O4" s="182">
        <f t="shared" si="0"/>
        <v>0</v>
      </c>
      <c r="P4" s="182">
        <f t="shared" si="0"/>
        <v>0</v>
      </c>
      <c r="Q4" s="137">
        <f t="shared" si="0"/>
        <v>0</v>
      </c>
      <c r="R4" s="137">
        <f t="shared" si="0"/>
        <v>0</v>
      </c>
      <c r="S4" s="137">
        <f t="shared" si="0"/>
        <v>0</v>
      </c>
      <c r="T4" s="137">
        <f t="shared" si="0"/>
        <v>0</v>
      </c>
      <c r="U4" s="137">
        <f t="shared" si="0"/>
        <v>0</v>
      </c>
      <c r="V4" s="137">
        <f t="shared" si="0"/>
        <v>0</v>
      </c>
      <c r="W4" s="137">
        <f t="shared" si="0"/>
        <v>0</v>
      </c>
      <c r="X4" s="137">
        <f t="shared" si="0"/>
        <v>0</v>
      </c>
      <c r="Y4" s="137">
        <f t="shared" si="0"/>
        <v>0</v>
      </c>
      <c r="Z4" s="137">
        <f t="shared" si="0"/>
        <v>0</v>
      </c>
      <c r="AA4" s="137">
        <f t="shared" si="0"/>
        <v>0</v>
      </c>
      <c r="AB4" s="137">
        <f t="shared" si="0"/>
        <v>0</v>
      </c>
      <c r="AC4" s="137">
        <f t="shared" si="0"/>
        <v>0</v>
      </c>
      <c r="AD4" s="137">
        <f t="shared" si="0"/>
        <v>0</v>
      </c>
      <c r="AE4" s="137">
        <f t="shared" si="0"/>
        <v>0</v>
      </c>
      <c r="AF4" s="137">
        <f t="shared" si="0"/>
        <v>0</v>
      </c>
      <c r="AG4" s="137">
        <f t="shared" si="0"/>
        <v>0</v>
      </c>
      <c r="AH4" s="137">
        <f t="shared" si="0"/>
        <v>0</v>
      </c>
      <c r="AI4" s="137">
        <f t="shared" si="0"/>
        <v>0</v>
      </c>
      <c r="AJ4" s="137">
        <f t="shared" si="0"/>
        <v>0</v>
      </c>
      <c r="AK4" s="137">
        <f t="shared" si="0"/>
        <v>0</v>
      </c>
      <c r="AL4" s="137">
        <f t="shared" si="0"/>
        <v>0</v>
      </c>
      <c r="AM4" s="137">
        <f t="shared" si="0"/>
        <v>0</v>
      </c>
      <c r="AN4" s="137">
        <f t="shared" si="0"/>
        <v>0</v>
      </c>
      <c r="AO4" s="137">
        <f t="shared" si="0"/>
        <v>0</v>
      </c>
      <c r="AP4" s="137">
        <f t="shared" si="0"/>
        <v>0</v>
      </c>
      <c r="AQ4" s="137">
        <f t="shared" si="0"/>
        <v>0</v>
      </c>
      <c r="AR4" s="137">
        <f t="shared" si="0"/>
        <v>0</v>
      </c>
      <c r="AS4" s="137">
        <f t="shared" si="0"/>
        <v>0</v>
      </c>
      <c r="AT4" s="137">
        <f t="shared" si="0"/>
        <v>0</v>
      </c>
      <c r="AU4" s="137">
        <f t="shared" si="0"/>
        <v>0</v>
      </c>
      <c r="AV4" s="137">
        <f t="shared" si="0"/>
        <v>0</v>
      </c>
      <c r="AW4" s="137">
        <f t="shared" si="0"/>
        <v>0</v>
      </c>
      <c r="AX4" s="137">
        <f t="shared" si="0"/>
        <v>0</v>
      </c>
      <c r="AY4" s="137">
        <f t="shared" si="0"/>
        <v>0</v>
      </c>
      <c r="AZ4" s="137">
        <f t="shared" si="0"/>
        <v>0</v>
      </c>
      <c r="BA4" s="137">
        <f t="shared" si="0"/>
        <v>0</v>
      </c>
    </row>
    <row r="5" spans="2:58" x14ac:dyDescent="0.2">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row>
    <row r="6" spans="2:58" x14ac:dyDescent="0.2">
      <c r="B6" s="129" t="s">
        <v>127</v>
      </c>
      <c r="C6" s="130"/>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row>
    <row r="7" spans="2:58" x14ac:dyDescent="0.2">
      <c r="B7" s="131" t="s">
        <v>35</v>
      </c>
      <c r="C7" s="132">
        <f>'Assumptions &amp; Results'!C116</f>
        <v>0</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row>
    <row r="8" spans="2:58" s="4" customFormat="1" x14ac:dyDescent="0.2">
      <c r="B8" s="131" t="s">
        <v>22</v>
      </c>
      <c r="C8" s="133">
        <f>'Assumptions &amp; Results'!C137</f>
        <v>8</v>
      </c>
      <c r="D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row>
    <row r="9" spans="2:58" s="4" customFormat="1" x14ac:dyDescent="0.2">
      <c r="B9" s="134" t="s">
        <v>23</v>
      </c>
      <c r="C9" s="135">
        <f>'Assumptions &amp; Results'!C138</f>
        <v>0.12</v>
      </c>
      <c r="D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row>
    <row r="10" spans="2:58" s="4" customFormat="1" x14ac:dyDescent="0.2">
      <c r="B10" s="3"/>
      <c r="C10" s="61"/>
      <c r="D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row>
    <row r="11" spans="2:58" s="4" customFormat="1" x14ac:dyDescent="0.2">
      <c r="B11" s="3"/>
      <c r="C11" s="61"/>
      <c r="D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row>
    <row r="12" spans="2:58" s="116" customFormat="1" x14ac:dyDescent="0.2">
      <c r="B12" s="113" t="s">
        <v>24</v>
      </c>
      <c r="C12" s="140" t="s">
        <v>75</v>
      </c>
      <c r="D12" s="141">
        <f>+D13+D14</f>
        <v>250</v>
      </c>
      <c r="E12" s="141">
        <f t="shared" ref="E12:BA12" si="1">+E13+E14</f>
        <v>255</v>
      </c>
      <c r="F12" s="141">
        <f t="shared" si="1"/>
        <v>260.10000000000002</v>
      </c>
      <c r="G12" s="141">
        <f t="shared" si="1"/>
        <v>265.30199999999996</v>
      </c>
      <c r="H12" s="141">
        <f t="shared" si="1"/>
        <v>0</v>
      </c>
      <c r="I12" s="141">
        <f t="shared" si="1"/>
        <v>11.040808032000001</v>
      </c>
      <c r="J12" s="141">
        <f t="shared" si="1"/>
        <v>11.261624192640001</v>
      </c>
      <c r="K12" s="141">
        <f t="shared" si="1"/>
        <v>11.486856676492801</v>
      </c>
      <c r="L12" s="141">
        <f t="shared" si="1"/>
        <v>11.716593810022658</v>
      </c>
      <c r="M12" s="141">
        <f t="shared" si="1"/>
        <v>11.95092568622311</v>
      </c>
      <c r="N12" s="141">
        <f t="shared" si="1"/>
        <v>12.189944199947574</v>
      </c>
      <c r="O12" s="141">
        <f t="shared" si="1"/>
        <v>12.433743083946524</v>
      </c>
      <c r="P12" s="141">
        <f t="shared" si="1"/>
        <v>12.682417945625454</v>
      </c>
      <c r="Q12" s="141">
        <f t="shared" si="1"/>
        <v>12.936066304537963</v>
      </c>
      <c r="R12" s="141">
        <f t="shared" si="1"/>
        <v>13.194787630628724</v>
      </c>
      <c r="S12" s="141">
        <f t="shared" si="1"/>
        <v>13.458683383241299</v>
      </c>
      <c r="T12" s="141">
        <f t="shared" si="1"/>
        <v>13.727857050906124</v>
      </c>
      <c r="U12" s="141">
        <f t="shared" si="1"/>
        <v>14.002414191924249</v>
      </c>
      <c r="V12" s="141">
        <f t="shared" si="1"/>
        <v>14.282462475762735</v>
      </c>
      <c r="W12" s="141">
        <f t="shared" si="1"/>
        <v>14.568111725277987</v>
      </c>
      <c r="X12" s="141">
        <f t="shared" si="1"/>
        <v>14.85947395978355</v>
      </c>
      <c r="Y12" s="141">
        <f t="shared" si="1"/>
        <v>15.156663438979221</v>
      </c>
      <c r="Z12" s="141">
        <f t="shared" si="1"/>
        <v>15.459796707758805</v>
      </c>
      <c r="AA12" s="141">
        <f t="shared" si="1"/>
        <v>15.768992641913982</v>
      </c>
      <c r="AB12" s="141">
        <f t="shared" si="1"/>
        <v>16.084372494752262</v>
      </c>
      <c r="AC12" s="141">
        <f t="shared" si="1"/>
        <v>16.406059944647307</v>
      </c>
      <c r="AD12" s="141">
        <f t="shared" si="1"/>
        <v>16.734181143540251</v>
      </c>
      <c r="AE12" s="141">
        <f t="shared" si="1"/>
        <v>17.068864766411057</v>
      </c>
      <c r="AF12" s="141">
        <f t="shared" si="1"/>
        <v>17.410242061739282</v>
      </c>
      <c r="AG12" s="141">
        <f t="shared" si="1"/>
        <v>17.758446902974065</v>
      </c>
      <c r="AH12" s="141">
        <f t="shared" si="1"/>
        <v>18.11361584103355</v>
      </c>
      <c r="AI12" s="141">
        <f t="shared" si="1"/>
        <v>0</v>
      </c>
      <c r="AJ12" s="141">
        <f t="shared" si="1"/>
        <v>0</v>
      </c>
      <c r="AK12" s="141">
        <f t="shared" si="1"/>
        <v>0</v>
      </c>
      <c r="AL12" s="141">
        <f t="shared" si="1"/>
        <v>0</v>
      </c>
      <c r="AM12" s="141">
        <f t="shared" si="1"/>
        <v>0</v>
      </c>
      <c r="AN12" s="141">
        <f t="shared" si="1"/>
        <v>0</v>
      </c>
      <c r="AO12" s="141">
        <f t="shared" si="1"/>
        <v>0</v>
      </c>
      <c r="AP12" s="141">
        <f t="shared" si="1"/>
        <v>0</v>
      </c>
      <c r="AQ12" s="141">
        <f t="shared" si="1"/>
        <v>0</v>
      </c>
      <c r="AR12" s="141">
        <f t="shared" si="1"/>
        <v>0</v>
      </c>
      <c r="AS12" s="141">
        <f t="shared" si="1"/>
        <v>0</v>
      </c>
      <c r="AT12" s="141">
        <f t="shared" si="1"/>
        <v>0</v>
      </c>
      <c r="AU12" s="141">
        <f t="shared" si="1"/>
        <v>0</v>
      </c>
      <c r="AV12" s="141">
        <f t="shared" si="1"/>
        <v>0</v>
      </c>
      <c r="AW12" s="141">
        <f t="shared" si="1"/>
        <v>0</v>
      </c>
      <c r="AX12" s="141">
        <f t="shared" si="1"/>
        <v>0</v>
      </c>
      <c r="AY12" s="141">
        <f t="shared" si="1"/>
        <v>0</v>
      </c>
      <c r="AZ12" s="141">
        <f t="shared" si="1"/>
        <v>0</v>
      </c>
      <c r="BA12" s="141">
        <f t="shared" si="1"/>
        <v>0</v>
      </c>
    </row>
    <row r="13" spans="2:58" x14ac:dyDescent="0.2">
      <c r="B13" s="57" t="s">
        <v>184</v>
      </c>
      <c r="C13" s="65" t="s">
        <v>75</v>
      </c>
      <c r="D13" s="56">
        <f>Capex!D4</f>
        <v>250</v>
      </c>
      <c r="E13" s="56">
        <f>Capex!E4</f>
        <v>255</v>
      </c>
      <c r="F13" s="56">
        <f>Capex!F4</f>
        <v>260.10000000000002</v>
      </c>
      <c r="G13" s="56">
        <f>Capex!G4</f>
        <v>265.30199999999996</v>
      </c>
      <c r="H13" s="56">
        <f>Capex!H4</f>
        <v>0</v>
      </c>
      <c r="I13" s="56">
        <f>Capex!I4</f>
        <v>11.040808032000001</v>
      </c>
      <c r="J13" s="56">
        <f>Capex!J4</f>
        <v>11.261624192640001</v>
      </c>
      <c r="K13" s="56">
        <f>Capex!K4</f>
        <v>11.486856676492801</v>
      </c>
      <c r="L13" s="56">
        <f>Capex!L4</f>
        <v>11.716593810022658</v>
      </c>
      <c r="M13" s="56">
        <f>Capex!M4</f>
        <v>11.95092568622311</v>
      </c>
      <c r="N13" s="56">
        <f>Capex!N4</f>
        <v>12.189944199947574</v>
      </c>
      <c r="O13" s="56">
        <f>Capex!O4</f>
        <v>12.433743083946524</v>
      </c>
      <c r="P13" s="56">
        <f>Capex!P4</f>
        <v>12.682417945625454</v>
      </c>
      <c r="Q13" s="56">
        <f>Capex!Q4</f>
        <v>12.936066304537963</v>
      </c>
      <c r="R13" s="56">
        <f>Capex!R4</f>
        <v>13.194787630628724</v>
      </c>
      <c r="S13" s="56">
        <f>Capex!S4</f>
        <v>13.458683383241299</v>
      </c>
      <c r="T13" s="56">
        <f>Capex!T4</f>
        <v>13.727857050906124</v>
      </c>
      <c r="U13" s="56">
        <f>Capex!U4</f>
        <v>14.002414191924249</v>
      </c>
      <c r="V13" s="56">
        <f>Capex!V4</f>
        <v>14.282462475762735</v>
      </c>
      <c r="W13" s="56">
        <f>Capex!W4</f>
        <v>14.568111725277987</v>
      </c>
      <c r="X13" s="56">
        <f>Capex!X4</f>
        <v>14.85947395978355</v>
      </c>
      <c r="Y13" s="56">
        <f>Capex!Y4</f>
        <v>15.156663438979221</v>
      </c>
      <c r="Z13" s="56">
        <f>Capex!Z4</f>
        <v>15.459796707758805</v>
      </c>
      <c r="AA13" s="56">
        <f>Capex!AA4</f>
        <v>15.768992641913982</v>
      </c>
      <c r="AB13" s="56">
        <f>Capex!AB4</f>
        <v>16.084372494752262</v>
      </c>
      <c r="AC13" s="56">
        <f>Capex!AC4</f>
        <v>16.406059944647307</v>
      </c>
      <c r="AD13" s="56">
        <f>Capex!AD4</f>
        <v>16.734181143540251</v>
      </c>
      <c r="AE13" s="56">
        <f>Capex!AE4</f>
        <v>17.068864766411057</v>
      </c>
      <c r="AF13" s="56">
        <f>Capex!AF4</f>
        <v>17.410242061739282</v>
      </c>
      <c r="AG13" s="56">
        <f>Capex!AG4</f>
        <v>17.758446902974065</v>
      </c>
      <c r="AH13" s="56">
        <f>Capex!AH4</f>
        <v>18.11361584103355</v>
      </c>
      <c r="AI13" s="56">
        <f>Capex!AI4</f>
        <v>0</v>
      </c>
      <c r="AJ13" s="56">
        <f>Capex!AJ4</f>
        <v>0</v>
      </c>
      <c r="AK13" s="56">
        <f>Capex!AK4</f>
        <v>0</v>
      </c>
      <c r="AL13" s="56">
        <f>Capex!AL4</f>
        <v>0</v>
      </c>
      <c r="AM13" s="56">
        <f>Capex!AM4</f>
        <v>0</v>
      </c>
      <c r="AN13" s="56">
        <f>Capex!AN4</f>
        <v>0</v>
      </c>
      <c r="AO13" s="56">
        <f>Capex!AO4</f>
        <v>0</v>
      </c>
      <c r="AP13" s="56">
        <f>Capex!AP4</f>
        <v>0</v>
      </c>
      <c r="AQ13" s="56">
        <f>Capex!AQ4</f>
        <v>0</v>
      </c>
      <c r="AR13" s="56">
        <f>Capex!AR4</f>
        <v>0</v>
      </c>
      <c r="AS13" s="56">
        <f>Capex!AS4</f>
        <v>0</v>
      </c>
      <c r="AT13" s="56">
        <f>Capex!AT4</f>
        <v>0</v>
      </c>
      <c r="AU13" s="56">
        <f>Capex!AU4</f>
        <v>0</v>
      </c>
      <c r="AV13" s="56">
        <f>Capex!AV4</f>
        <v>0</v>
      </c>
      <c r="AW13" s="56">
        <f>Capex!AW4</f>
        <v>0</v>
      </c>
      <c r="AX13" s="56">
        <f>Capex!AX4</f>
        <v>0</v>
      </c>
      <c r="AY13" s="56">
        <f>Capex!AY4</f>
        <v>0</v>
      </c>
      <c r="AZ13" s="56">
        <f>Capex!AZ4</f>
        <v>0</v>
      </c>
      <c r="BA13" s="56">
        <f>Capex!BA4</f>
        <v>0</v>
      </c>
    </row>
    <row r="14" spans="2:58" s="6" customFormat="1" x14ac:dyDescent="0.2">
      <c r="B14" s="10" t="s">
        <v>25</v>
      </c>
      <c r="C14" s="128" t="s">
        <v>75</v>
      </c>
      <c r="D14" s="44">
        <v>0</v>
      </c>
      <c r="E14" s="44">
        <v>0</v>
      </c>
      <c r="F14" s="44">
        <v>0</v>
      </c>
      <c r="G14" s="44">
        <v>0</v>
      </c>
      <c r="H14" s="44">
        <v>0</v>
      </c>
      <c r="I14" s="44">
        <v>0</v>
      </c>
      <c r="J14" s="44">
        <v>0</v>
      </c>
      <c r="K14" s="44">
        <v>0</v>
      </c>
      <c r="L14" s="44">
        <v>0</v>
      </c>
      <c r="M14" s="44">
        <v>0</v>
      </c>
      <c r="N14" s="44">
        <v>0</v>
      </c>
      <c r="O14" s="44">
        <v>0</v>
      </c>
      <c r="P14" s="44">
        <v>0</v>
      </c>
      <c r="Q14" s="44">
        <v>0</v>
      </c>
      <c r="R14" s="44">
        <v>0</v>
      </c>
      <c r="S14" s="44">
        <v>0</v>
      </c>
      <c r="T14" s="44">
        <v>0</v>
      </c>
      <c r="U14" s="44">
        <v>0</v>
      </c>
      <c r="V14" s="44">
        <v>0</v>
      </c>
      <c r="W14" s="44">
        <v>0</v>
      </c>
      <c r="X14" s="44">
        <v>0</v>
      </c>
      <c r="Y14" s="44">
        <v>0</v>
      </c>
      <c r="Z14" s="44">
        <v>0</v>
      </c>
      <c r="AA14" s="44">
        <v>0</v>
      </c>
      <c r="AB14" s="44">
        <v>0</v>
      </c>
      <c r="AC14" s="44">
        <v>0</v>
      </c>
      <c r="AD14" s="44">
        <v>0</v>
      </c>
      <c r="AE14" s="44">
        <v>0</v>
      </c>
      <c r="AF14" s="44">
        <v>0</v>
      </c>
      <c r="AG14" s="44">
        <v>0</v>
      </c>
      <c r="AH14" s="44">
        <v>0</v>
      </c>
      <c r="AI14" s="44">
        <v>0</v>
      </c>
      <c r="AJ14" s="44">
        <v>0</v>
      </c>
      <c r="AK14" s="44">
        <v>0</v>
      </c>
      <c r="AL14" s="44">
        <v>0</v>
      </c>
      <c r="AM14" s="44">
        <v>0</v>
      </c>
      <c r="AN14" s="44">
        <v>0</v>
      </c>
      <c r="AO14" s="44">
        <v>0</v>
      </c>
      <c r="AP14" s="44">
        <v>0</v>
      </c>
      <c r="AQ14" s="44">
        <v>0</v>
      </c>
      <c r="AR14" s="44">
        <v>0</v>
      </c>
      <c r="AS14" s="44">
        <v>0</v>
      </c>
      <c r="AT14" s="44">
        <v>0</v>
      </c>
      <c r="AU14" s="44">
        <v>0</v>
      </c>
      <c r="AV14" s="44">
        <v>0</v>
      </c>
      <c r="AW14" s="44">
        <v>0</v>
      </c>
      <c r="AX14" s="44">
        <v>0</v>
      </c>
      <c r="AY14" s="44">
        <v>0</v>
      </c>
      <c r="AZ14" s="44">
        <v>0</v>
      </c>
      <c r="BA14" s="44">
        <v>0</v>
      </c>
    </row>
    <row r="15" spans="2:58" x14ac:dyDescent="0.2">
      <c r="B15" s="57"/>
      <c r="C15" s="62"/>
      <c r="D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row>
    <row r="17" spans="2:53" s="113" customFormat="1" x14ac:dyDescent="0.2">
      <c r="B17" s="113" t="s">
        <v>209</v>
      </c>
      <c r="C17" s="136"/>
      <c r="D17" s="137">
        <f>IF(Calculations!E114&lt;'Debt&amp;EquityMax'!D13,'Debt&amp;EquityMax'!D13,-MIN(0,Calculations!E114-'Debt&amp;EquityMax'!D13))</f>
        <v>250</v>
      </c>
      <c r="E17" s="137">
        <f>IF(Calculations!F114&lt;'Debt&amp;EquityMax'!E13,'Debt&amp;EquityMax'!E13,-MIN(0,Calculations!F114-'Debt&amp;EquityMax'!E13))</f>
        <v>255</v>
      </c>
      <c r="F17" s="137">
        <f>IF(Calculations!G114&lt;'Debt&amp;EquityMax'!F13,'Debt&amp;EquityMax'!F13,-MIN(0,Calculations!G114-'Debt&amp;EquityMax'!F13))</f>
        <v>260.10000000000002</v>
      </c>
      <c r="G17" s="137">
        <f>IF(Calculations!H114&lt;'Debt&amp;EquityMax'!G13,'Debt&amp;EquityMax'!G13,-MIN(0,Calculations!H114-'Debt&amp;EquityMax'!G13))</f>
        <v>265.30199999999996</v>
      </c>
      <c r="H17" s="137">
        <f>IF(Calculations!I114&lt;'Debt&amp;EquityMax'!H13,'Debt&amp;EquityMax'!H13,-MIN(0,Calculations!I114-'Debt&amp;EquityMax'!H13))</f>
        <v>0</v>
      </c>
      <c r="I17" s="137">
        <f>IF(Calculations!J114&lt;'Debt&amp;EquityMax'!I13,'Debt&amp;EquityMax'!I13,-MIN(0,Calculations!J114-'Debt&amp;EquityMax'!I13))</f>
        <v>0</v>
      </c>
      <c r="J17" s="137">
        <f>IF(Calculations!K114&lt;'Debt&amp;EquityMax'!J13,'Debt&amp;EquityMax'!J13,-MIN(0,Calculations!K114-'Debt&amp;EquityMax'!J13))</f>
        <v>0</v>
      </c>
      <c r="K17" s="137">
        <f>IF(Calculations!L114&lt;'Debt&amp;EquityMax'!K13,'Debt&amp;EquityMax'!K13,-MIN(0,Calculations!L114-'Debt&amp;EquityMax'!K13))</f>
        <v>0</v>
      </c>
      <c r="L17" s="137">
        <f>IF(Calculations!M114&lt;'Debt&amp;EquityMax'!L13,'Debt&amp;EquityMax'!L13,-MIN(0,Calculations!M114-'Debt&amp;EquityMax'!L13))</f>
        <v>0</v>
      </c>
      <c r="M17" s="137">
        <f>IF(Calculations!N114&lt;'Debt&amp;EquityMax'!M13,'Debt&amp;EquityMax'!M13,-MIN(0,Calculations!N114-'Debt&amp;EquityMax'!M13))</f>
        <v>0</v>
      </c>
      <c r="N17" s="137">
        <f>IF(Calculations!O114&lt;'Debt&amp;EquityMax'!N13,'Debt&amp;EquityMax'!N13,-MIN(0,Calculations!O114-'Debt&amp;EquityMax'!N13))</f>
        <v>0</v>
      </c>
      <c r="O17" s="137">
        <f>IF(Calculations!P114&lt;'Debt&amp;EquityMax'!O13,'Debt&amp;EquityMax'!O13,-MIN(0,Calculations!P114-'Debt&amp;EquityMax'!O13))</f>
        <v>0</v>
      </c>
      <c r="P17" s="137">
        <f>IF(Calculations!Q114&lt;'Debt&amp;EquityMax'!P13,'Debt&amp;EquityMax'!P13,-MIN(0,Calculations!Q114-'Debt&amp;EquityMax'!P13))</f>
        <v>0</v>
      </c>
      <c r="Q17" s="137">
        <f>IF(Calculations!R114&lt;'Debt&amp;EquityMax'!Q13,'Debt&amp;EquityMax'!Q13,-MIN(0,Calculations!R114-'Debt&amp;EquityMax'!Q13))</f>
        <v>0</v>
      </c>
      <c r="R17" s="137">
        <f>IF(Calculations!S114&lt;'Debt&amp;EquityMax'!R13,'Debt&amp;EquityMax'!R13,-MIN(0,Calculations!S114-'Debt&amp;EquityMax'!R13))</f>
        <v>0</v>
      </c>
      <c r="S17" s="137">
        <f>IF(Calculations!T114&lt;'Debt&amp;EquityMax'!S13,'Debt&amp;EquityMax'!S13,-MIN(0,Calculations!T114-'Debt&amp;EquityMax'!S13))</f>
        <v>0</v>
      </c>
      <c r="T17" s="137">
        <f>IF(Calculations!U114&lt;'Debt&amp;EquityMax'!T13,'Debt&amp;EquityMax'!T13,-MIN(0,Calculations!U114-'Debt&amp;EquityMax'!T13))</f>
        <v>0</v>
      </c>
      <c r="U17" s="137">
        <f>IF(Calculations!V114&lt;'Debt&amp;EquityMax'!U13,'Debt&amp;EquityMax'!U13,-MIN(0,Calculations!V114-'Debt&amp;EquityMax'!U13))</f>
        <v>0</v>
      </c>
      <c r="V17" s="137">
        <f>IF(Calculations!W114&lt;'Debt&amp;EquityMax'!V13,'Debt&amp;EquityMax'!V13,-MIN(0,Calculations!W114-'Debt&amp;EquityMax'!V13))</f>
        <v>0</v>
      </c>
      <c r="W17" s="137">
        <f>IF(Calculations!X114&lt;'Debt&amp;EquityMax'!W13,'Debt&amp;EquityMax'!W13,-MIN(0,Calculations!X114-'Debt&amp;EquityMax'!W13))</f>
        <v>0</v>
      </c>
      <c r="X17" s="137">
        <f>IF(Calculations!Y114&lt;'Debt&amp;EquityMax'!X13,'Debt&amp;EquityMax'!X13,-MIN(0,Calculations!Y114-'Debt&amp;EquityMax'!X13))</f>
        <v>0</v>
      </c>
      <c r="Y17" s="137">
        <f>IF(Calculations!Z114&lt;'Debt&amp;EquityMax'!Y13,'Debt&amp;EquityMax'!Y13,-MIN(0,Calculations!Z114-'Debt&amp;EquityMax'!Y13))</f>
        <v>0</v>
      </c>
      <c r="Z17" s="137">
        <f>IF(Calculations!AA114&lt;'Debt&amp;EquityMax'!Z13,'Debt&amp;EquityMax'!Z13,-MIN(0,Calculations!AA114-'Debt&amp;EquityMax'!Z13))</f>
        <v>0</v>
      </c>
      <c r="AA17" s="137">
        <f>IF(Calculations!AB114&lt;'Debt&amp;EquityMax'!AA13,'Debt&amp;EquityMax'!AA13,-MIN(0,Calculations!AB114-'Debt&amp;EquityMax'!AA13))</f>
        <v>0</v>
      </c>
      <c r="AB17" s="137">
        <f>IF(Calculations!AC114&lt;'Debt&amp;EquityMax'!AB13,'Debt&amp;EquityMax'!AB13,-MIN(0,Calculations!AC114-'Debt&amp;EquityMax'!AB13))</f>
        <v>0</v>
      </c>
      <c r="AC17" s="137">
        <f>IF(Calculations!AD114&lt;'Debt&amp;EquityMax'!AC13,'Debt&amp;EquityMax'!AC13,-MIN(0,Calculations!AD114-'Debt&amp;EquityMax'!AC13))</f>
        <v>0</v>
      </c>
      <c r="AD17" s="137">
        <f>IF(Calculations!AE114&lt;'Debt&amp;EquityMax'!AD13,'Debt&amp;EquityMax'!AD13,-MIN(0,Calculations!AE114-'Debt&amp;EquityMax'!AD13))</f>
        <v>0</v>
      </c>
      <c r="AE17" s="137">
        <f>IF(Calculations!AF114&lt;'Debt&amp;EquityMax'!AE13,'Debt&amp;EquityMax'!AE13,-MIN(0,Calculations!AF114-'Debt&amp;EquityMax'!AE13))</f>
        <v>0</v>
      </c>
      <c r="AF17" s="137">
        <f>IF(Calculations!AG114&lt;'Debt&amp;EquityMax'!AF13,'Debt&amp;EquityMax'!AF13,-MIN(0,Calculations!AG114-'Debt&amp;EquityMax'!AF13))</f>
        <v>0</v>
      </c>
      <c r="AG17" s="137">
        <f>IF(Calculations!AH114&lt;'Debt&amp;EquityMax'!AG13,'Debt&amp;EquityMax'!AG13,-MIN(0,Calculations!AH114-'Debt&amp;EquityMax'!AG13))</f>
        <v>0</v>
      </c>
      <c r="AH17" s="137">
        <f>IF(Calculations!AI114&lt;'Debt&amp;EquityMax'!AH13,'Debt&amp;EquityMax'!AH13,-MIN(0,Calculations!AI114-'Debt&amp;EquityMax'!AH13))</f>
        <v>0</v>
      </c>
      <c r="AI17" s="137">
        <f>IF(Calculations!AJ114&lt;'Debt&amp;EquityMax'!AI13,'Debt&amp;EquityMax'!AI13,-MIN(0,Calculations!AJ114-'Debt&amp;EquityMax'!AI13))</f>
        <v>0</v>
      </c>
      <c r="AJ17" s="137">
        <f>IF(Calculations!AK114&lt;'Debt&amp;EquityMax'!AJ13,'Debt&amp;EquityMax'!AJ13,-MIN(0,Calculations!AK114-'Debt&amp;EquityMax'!AJ13))</f>
        <v>0</v>
      </c>
      <c r="AK17" s="137">
        <f>IF(Calculations!AL114&lt;'Debt&amp;EquityMax'!AK13,'Debt&amp;EquityMax'!AK13,-MIN(0,Calculations!AL114-'Debt&amp;EquityMax'!AK13))</f>
        <v>0</v>
      </c>
      <c r="AL17" s="137">
        <f>IF(Calculations!AM114&lt;'Debt&amp;EquityMax'!AL13,'Debt&amp;EquityMax'!AL13,-MIN(0,Calculations!AM114-'Debt&amp;EquityMax'!AL13))</f>
        <v>0</v>
      </c>
      <c r="AM17" s="137">
        <f>IF(Calculations!AN114&lt;'Debt&amp;EquityMax'!AM13,'Debt&amp;EquityMax'!AM13,-MIN(0,Calculations!AN114-'Debt&amp;EquityMax'!AM13))</f>
        <v>0</v>
      </c>
      <c r="AN17" s="137">
        <f>IF(Calculations!AO114&lt;'Debt&amp;EquityMax'!AN13,'Debt&amp;EquityMax'!AN13,-MIN(0,Calculations!AO114-'Debt&amp;EquityMax'!AN13))</f>
        <v>0</v>
      </c>
      <c r="AO17" s="137">
        <f>IF(Calculations!AP114&lt;'Debt&amp;EquityMax'!AO13,'Debt&amp;EquityMax'!AO13,-MIN(0,Calculations!AP114-'Debt&amp;EquityMax'!AO13))</f>
        <v>0</v>
      </c>
      <c r="AP17" s="137">
        <f>IF(Calculations!AQ114&lt;'Debt&amp;EquityMax'!AP13,'Debt&amp;EquityMax'!AP13,-MIN(0,Calculations!AQ114-'Debt&amp;EquityMax'!AP13))</f>
        <v>0</v>
      </c>
      <c r="AQ17" s="137">
        <f>IF(Calculations!AR114&lt;'Debt&amp;EquityMax'!AQ13,'Debt&amp;EquityMax'!AQ13,-MIN(0,Calculations!AR114-'Debt&amp;EquityMax'!AQ13))</f>
        <v>0</v>
      </c>
      <c r="AR17" s="137">
        <f>IF(Calculations!AS114&lt;'Debt&amp;EquityMax'!AR13,'Debt&amp;EquityMax'!AR13,-MIN(0,Calculations!AS114-'Debt&amp;EquityMax'!AR13))</f>
        <v>0</v>
      </c>
      <c r="AS17" s="137">
        <f>IF(Calculations!AT114&lt;'Debt&amp;EquityMax'!AS13,'Debt&amp;EquityMax'!AS13,-MIN(0,Calculations!AT114-'Debt&amp;EquityMax'!AS13))</f>
        <v>0</v>
      </c>
      <c r="AT17" s="137">
        <f>IF(Calculations!AU114&lt;'Debt&amp;EquityMax'!AT13,'Debt&amp;EquityMax'!AT13,-MIN(0,Calculations!AU114-'Debt&amp;EquityMax'!AT13))</f>
        <v>0</v>
      </c>
      <c r="AU17" s="137">
        <f>IF(Calculations!AV114&lt;'Debt&amp;EquityMax'!AU13,'Debt&amp;EquityMax'!AU13,-MIN(0,Calculations!AV114-'Debt&amp;EquityMax'!AU13))</f>
        <v>0</v>
      </c>
      <c r="AV17" s="137">
        <f>IF(Calculations!AW114&lt;'Debt&amp;EquityMax'!AV13,'Debt&amp;EquityMax'!AV13,-MIN(0,Calculations!AW114-'Debt&amp;EquityMax'!AV13))</f>
        <v>0</v>
      </c>
      <c r="AW17" s="137">
        <f>IF(Calculations!AX114&lt;'Debt&amp;EquityMax'!AW13,'Debt&amp;EquityMax'!AW13,-MIN(0,Calculations!AX114-'Debt&amp;EquityMax'!AW13))</f>
        <v>0</v>
      </c>
      <c r="AX17" s="137">
        <f>IF(Calculations!AY114&lt;'Debt&amp;EquityMax'!AX13,'Debt&amp;EquityMax'!AX13,-MIN(0,Calculations!AY114-'Debt&amp;EquityMax'!AX13))</f>
        <v>0</v>
      </c>
      <c r="AY17" s="137">
        <f>IF(Calculations!AZ114&lt;'Debt&amp;EquityMax'!AY13,'Debt&amp;EquityMax'!AY13,-MIN(0,Calculations!AZ114-'Debt&amp;EquityMax'!AY13))</f>
        <v>0</v>
      </c>
      <c r="AZ17" s="137">
        <f>IF(Calculations!BA114&lt;'Debt&amp;EquityMax'!AZ13,'Debt&amp;EquityMax'!AZ13,-MIN(0,Calculations!BA114-'Debt&amp;EquityMax'!AZ13))</f>
        <v>0</v>
      </c>
      <c r="BA17" s="137">
        <f>IF(Calculations!BB114&lt;'Debt&amp;EquityMax'!BA13,'Debt&amp;EquityMax'!BA13,-MIN(0,Calculations!BB114-'Debt&amp;EquityMax'!BA13))</f>
        <v>0</v>
      </c>
    </row>
    <row r="18" spans="2:53" x14ac:dyDescent="0.2">
      <c r="B18" s="57" t="s">
        <v>5</v>
      </c>
      <c r="C18" s="65" t="s">
        <v>75</v>
      </c>
      <c r="D18" s="56">
        <f t="shared" ref="D18:BA18" si="2">+$C$7*D17</f>
        <v>0</v>
      </c>
      <c r="E18" s="56">
        <f t="shared" si="2"/>
        <v>0</v>
      </c>
      <c r="F18" s="56">
        <f t="shared" si="2"/>
        <v>0</v>
      </c>
      <c r="G18" s="56">
        <f t="shared" si="2"/>
        <v>0</v>
      </c>
      <c r="H18" s="56">
        <f t="shared" si="2"/>
        <v>0</v>
      </c>
      <c r="I18" s="56">
        <f t="shared" si="2"/>
        <v>0</v>
      </c>
      <c r="J18" s="56">
        <f t="shared" si="2"/>
        <v>0</v>
      </c>
      <c r="K18" s="56">
        <f t="shared" si="2"/>
        <v>0</v>
      </c>
      <c r="L18" s="56">
        <f t="shared" si="2"/>
        <v>0</v>
      </c>
      <c r="M18" s="56">
        <f t="shared" si="2"/>
        <v>0</v>
      </c>
      <c r="N18" s="56">
        <f t="shared" si="2"/>
        <v>0</v>
      </c>
      <c r="O18" s="56">
        <f t="shared" si="2"/>
        <v>0</v>
      </c>
      <c r="P18" s="56">
        <f t="shared" si="2"/>
        <v>0</v>
      </c>
      <c r="Q18" s="56">
        <f t="shared" si="2"/>
        <v>0</v>
      </c>
      <c r="R18" s="56">
        <f t="shared" si="2"/>
        <v>0</v>
      </c>
      <c r="S18" s="56">
        <f t="shared" si="2"/>
        <v>0</v>
      </c>
      <c r="T18" s="56">
        <f t="shared" si="2"/>
        <v>0</v>
      </c>
      <c r="U18" s="56">
        <f t="shared" si="2"/>
        <v>0</v>
      </c>
      <c r="V18" s="56">
        <f t="shared" si="2"/>
        <v>0</v>
      </c>
      <c r="W18" s="56">
        <f t="shared" si="2"/>
        <v>0</v>
      </c>
      <c r="X18" s="56">
        <f t="shared" si="2"/>
        <v>0</v>
      </c>
      <c r="Y18" s="56">
        <f t="shared" si="2"/>
        <v>0</v>
      </c>
      <c r="Z18" s="56">
        <f t="shared" si="2"/>
        <v>0</v>
      </c>
      <c r="AA18" s="56">
        <f t="shared" si="2"/>
        <v>0</v>
      </c>
      <c r="AB18" s="56">
        <f t="shared" si="2"/>
        <v>0</v>
      </c>
      <c r="AC18" s="56">
        <f t="shared" si="2"/>
        <v>0</v>
      </c>
      <c r="AD18" s="56">
        <f t="shared" si="2"/>
        <v>0</v>
      </c>
      <c r="AE18" s="56">
        <f t="shared" si="2"/>
        <v>0</v>
      </c>
      <c r="AF18" s="56">
        <f t="shared" si="2"/>
        <v>0</v>
      </c>
      <c r="AG18" s="56">
        <f t="shared" si="2"/>
        <v>0</v>
      </c>
      <c r="AH18" s="56">
        <f t="shared" si="2"/>
        <v>0</v>
      </c>
      <c r="AI18" s="56">
        <f t="shared" si="2"/>
        <v>0</v>
      </c>
      <c r="AJ18" s="56">
        <f t="shared" si="2"/>
        <v>0</v>
      </c>
      <c r="AK18" s="56">
        <f t="shared" si="2"/>
        <v>0</v>
      </c>
      <c r="AL18" s="56">
        <f t="shared" si="2"/>
        <v>0</v>
      </c>
      <c r="AM18" s="56">
        <f t="shared" si="2"/>
        <v>0</v>
      </c>
      <c r="AN18" s="56">
        <f t="shared" si="2"/>
        <v>0</v>
      </c>
      <c r="AO18" s="56">
        <f t="shared" si="2"/>
        <v>0</v>
      </c>
      <c r="AP18" s="56">
        <f t="shared" si="2"/>
        <v>0</v>
      </c>
      <c r="AQ18" s="56">
        <f t="shared" si="2"/>
        <v>0</v>
      </c>
      <c r="AR18" s="56">
        <f t="shared" si="2"/>
        <v>0</v>
      </c>
      <c r="AS18" s="56">
        <f t="shared" si="2"/>
        <v>0</v>
      </c>
      <c r="AT18" s="56">
        <f t="shared" si="2"/>
        <v>0</v>
      </c>
      <c r="AU18" s="56">
        <f t="shared" si="2"/>
        <v>0</v>
      </c>
      <c r="AV18" s="56">
        <f t="shared" si="2"/>
        <v>0</v>
      </c>
      <c r="AW18" s="56">
        <f t="shared" si="2"/>
        <v>0</v>
      </c>
      <c r="AX18" s="56">
        <f t="shared" si="2"/>
        <v>0</v>
      </c>
      <c r="AY18" s="56">
        <f t="shared" si="2"/>
        <v>0</v>
      </c>
      <c r="AZ18" s="56">
        <f t="shared" si="2"/>
        <v>0</v>
      </c>
      <c r="BA18" s="56">
        <f t="shared" si="2"/>
        <v>0</v>
      </c>
    </row>
    <row r="19" spans="2:53" x14ac:dyDescent="0.2">
      <c r="B19" s="57" t="s">
        <v>9</v>
      </c>
      <c r="C19" s="65" t="s">
        <v>75</v>
      </c>
      <c r="D19" s="56">
        <f>+D17-D18</f>
        <v>250</v>
      </c>
      <c r="E19" s="56">
        <f t="shared" ref="E19:BA19" si="3">+E17-E18</f>
        <v>255</v>
      </c>
      <c r="F19" s="56">
        <f t="shared" si="3"/>
        <v>260.10000000000002</v>
      </c>
      <c r="G19" s="56">
        <f t="shared" si="3"/>
        <v>265.30199999999996</v>
      </c>
      <c r="H19" s="56">
        <f t="shared" si="3"/>
        <v>0</v>
      </c>
      <c r="I19" s="56">
        <f t="shared" si="3"/>
        <v>0</v>
      </c>
      <c r="J19" s="56">
        <f t="shared" si="3"/>
        <v>0</v>
      </c>
      <c r="K19" s="56">
        <f t="shared" si="3"/>
        <v>0</v>
      </c>
      <c r="L19" s="56">
        <f t="shared" si="3"/>
        <v>0</v>
      </c>
      <c r="M19" s="56">
        <f t="shared" si="3"/>
        <v>0</v>
      </c>
      <c r="N19" s="56">
        <f t="shared" si="3"/>
        <v>0</v>
      </c>
      <c r="O19" s="56">
        <f t="shared" si="3"/>
        <v>0</v>
      </c>
      <c r="P19" s="56">
        <f t="shared" si="3"/>
        <v>0</v>
      </c>
      <c r="Q19" s="56">
        <f t="shared" si="3"/>
        <v>0</v>
      </c>
      <c r="R19" s="56">
        <f t="shared" si="3"/>
        <v>0</v>
      </c>
      <c r="S19" s="56">
        <f t="shared" si="3"/>
        <v>0</v>
      </c>
      <c r="T19" s="56">
        <f t="shared" si="3"/>
        <v>0</v>
      </c>
      <c r="U19" s="56">
        <f t="shared" si="3"/>
        <v>0</v>
      </c>
      <c r="V19" s="56">
        <f t="shared" si="3"/>
        <v>0</v>
      </c>
      <c r="W19" s="56">
        <f t="shared" si="3"/>
        <v>0</v>
      </c>
      <c r="X19" s="56">
        <f t="shared" si="3"/>
        <v>0</v>
      </c>
      <c r="Y19" s="56">
        <f t="shared" si="3"/>
        <v>0</v>
      </c>
      <c r="Z19" s="56">
        <f t="shared" si="3"/>
        <v>0</v>
      </c>
      <c r="AA19" s="56">
        <f t="shared" si="3"/>
        <v>0</v>
      </c>
      <c r="AB19" s="56">
        <f t="shared" si="3"/>
        <v>0</v>
      </c>
      <c r="AC19" s="56">
        <f t="shared" si="3"/>
        <v>0</v>
      </c>
      <c r="AD19" s="56">
        <f t="shared" si="3"/>
        <v>0</v>
      </c>
      <c r="AE19" s="56">
        <f t="shared" si="3"/>
        <v>0</v>
      </c>
      <c r="AF19" s="56">
        <f t="shared" si="3"/>
        <v>0</v>
      </c>
      <c r="AG19" s="56">
        <f t="shared" si="3"/>
        <v>0</v>
      </c>
      <c r="AH19" s="56">
        <f t="shared" si="3"/>
        <v>0</v>
      </c>
      <c r="AI19" s="56">
        <f t="shared" si="3"/>
        <v>0</v>
      </c>
      <c r="AJ19" s="56">
        <f t="shared" si="3"/>
        <v>0</v>
      </c>
      <c r="AK19" s="56">
        <f t="shared" si="3"/>
        <v>0</v>
      </c>
      <c r="AL19" s="56">
        <f t="shared" si="3"/>
        <v>0</v>
      </c>
      <c r="AM19" s="56">
        <f t="shared" si="3"/>
        <v>0</v>
      </c>
      <c r="AN19" s="56">
        <f t="shared" si="3"/>
        <v>0</v>
      </c>
      <c r="AO19" s="56">
        <f t="shared" si="3"/>
        <v>0</v>
      </c>
      <c r="AP19" s="56">
        <f t="shared" si="3"/>
        <v>0</v>
      </c>
      <c r="AQ19" s="56">
        <f t="shared" si="3"/>
        <v>0</v>
      </c>
      <c r="AR19" s="56">
        <f t="shared" si="3"/>
        <v>0</v>
      </c>
      <c r="AS19" s="56">
        <f t="shared" si="3"/>
        <v>0</v>
      </c>
      <c r="AT19" s="56">
        <f t="shared" si="3"/>
        <v>0</v>
      </c>
      <c r="AU19" s="56">
        <f t="shared" si="3"/>
        <v>0</v>
      </c>
      <c r="AV19" s="56">
        <f t="shared" si="3"/>
        <v>0</v>
      </c>
      <c r="AW19" s="56">
        <f t="shared" si="3"/>
        <v>0</v>
      </c>
      <c r="AX19" s="56">
        <f t="shared" si="3"/>
        <v>0</v>
      </c>
      <c r="AY19" s="56">
        <f t="shared" si="3"/>
        <v>0</v>
      </c>
      <c r="AZ19" s="56">
        <f t="shared" si="3"/>
        <v>0</v>
      </c>
      <c r="BA19" s="56">
        <f t="shared" si="3"/>
        <v>0</v>
      </c>
    </row>
    <row r="20" spans="2:53" x14ac:dyDescent="0.2">
      <c r="B20" s="54" t="s">
        <v>26</v>
      </c>
      <c r="C20" s="65" t="s">
        <v>75</v>
      </c>
      <c r="D20" s="56">
        <f t="shared" ref="D20:BA20" si="4">+D18+D19</f>
        <v>250</v>
      </c>
      <c r="E20" s="56">
        <f t="shared" si="4"/>
        <v>255</v>
      </c>
      <c r="F20" s="56">
        <f t="shared" si="4"/>
        <v>260.10000000000002</v>
      </c>
      <c r="G20" s="56">
        <f t="shared" si="4"/>
        <v>265.30199999999996</v>
      </c>
      <c r="H20" s="56">
        <f t="shared" si="4"/>
        <v>0</v>
      </c>
      <c r="I20" s="56">
        <f t="shared" si="4"/>
        <v>0</v>
      </c>
      <c r="J20" s="56">
        <f t="shared" si="4"/>
        <v>0</v>
      </c>
      <c r="K20" s="56">
        <f t="shared" si="4"/>
        <v>0</v>
      </c>
      <c r="L20" s="56">
        <f t="shared" si="4"/>
        <v>0</v>
      </c>
      <c r="M20" s="56">
        <f t="shared" si="4"/>
        <v>0</v>
      </c>
      <c r="N20" s="56">
        <f t="shared" si="4"/>
        <v>0</v>
      </c>
      <c r="O20" s="56">
        <f t="shared" si="4"/>
        <v>0</v>
      </c>
      <c r="P20" s="56">
        <f t="shared" si="4"/>
        <v>0</v>
      </c>
      <c r="Q20" s="56">
        <f t="shared" si="4"/>
        <v>0</v>
      </c>
      <c r="R20" s="56">
        <f t="shared" si="4"/>
        <v>0</v>
      </c>
      <c r="S20" s="56">
        <f t="shared" si="4"/>
        <v>0</v>
      </c>
      <c r="T20" s="56">
        <f t="shared" si="4"/>
        <v>0</v>
      </c>
      <c r="U20" s="56">
        <f t="shared" si="4"/>
        <v>0</v>
      </c>
      <c r="V20" s="56">
        <f t="shared" si="4"/>
        <v>0</v>
      </c>
      <c r="W20" s="56">
        <f t="shared" si="4"/>
        <v>0</v>
      </c>
      <c r="X20" s="56">
        <f t="shared" si="4"/>
        <v>0</v>
      </c>
      <c r="Y20" s="56">
        <f t="shared" si="4"/>
        <v>0</v>
      </c>
      <c r="Z20" s="56">
        <f t="shared" si="4"/>
        <v>0</v>
      </c>
      <c r="AA20" s="56">
        <f t="shared" si="4"/>
        <v>0</v>
      </c>
      <c r="AB20" s="56">
        <f t="shared" si="4"/>
        <v>0</v>
      </c>
      <c r="AC20" s="56">
        <f t="shared" si="4"/>
        <v>0</v>
      </c>
      <c r="AD20" s="56">
        <f t="shared" si="4"/>
        <v>0</v>
      </c>
      <c r="AE20" s="56">
        <f t="shared" si="4"/>
        <v>0</v>
      </c>
      <c r="AF20" s="56">
        <f t="shared" si="4"/>
        <v>0</v>
      </c>
      <c r="AG20" s="56">
        <f t="shared" si="4"/>
        <v>0</v>
      </c>
      <c r="AH20" s="56">
        <f t="shared" si="4"/>
        <v>0</v>
      </c>
      <c r="AI20" s="56">
        <f t="shared" si="4"/>
        <v>0</v>
      </c>
      <c r="AJ20" s="56">
        <f t="shared" si="4"/>
        <v>0</v>
      </c>
      <c r="AK20" s="56">
        <f t="shared" si="4"/>
        <v>0</v>
      </c>
      <c r="AL20" s="56">
        <f t="shared" si="4"/>
        <v>0</v>
      </c>
      <c r="AM20" s="56">
        <f t="shared" si="4"/>
        <v>0</v>
      </c>
      <c r="AN20" s="56">
        <f t="shared" si="4"/>
        <v>0</v>
      </c>
      <c r="AO20" s="56">
        <f t="shared" si="4"/>
        <v>0</v>
      </c>
      <c r="AP20" s="56">
        <f t="shared" si="4"/>
        <v>0</v>
      </c>
      <c r="AQ20" s="56">
        <f t="shared" si="4"/>
        <v>0</v>
      </c>
      <c r="AR20" s="56">
        <f t="shared" si="4"/>
        <v>0</v>
      </c>
      <c r="AS20" s="56">
        <f t="shared" si="4"/>
        <v>0</v>
      </c>
      <c r="AT20" s="56">
        <f t="shared" si="4"/>
        <v>0</v>
      </c>
      <c r="AU20" s="56">
        <f t="shared" si="4"/>
        <v>0</v>
      </c>
      <c r="AV20" s="56">
        <f t="shared" si="4"/>
        <v>0</v>
      </c>
      <c r="AW20" s="56">
        <f t="shared" si="4"/>
        <v>0</v>
      </c>
      <c r="AX20" s="56">
        <f t="shared" si="4"/>
        <v>0</v>
      </c>
      <c r="AY20" s="56">
        <f t="shared" si="4"/>
        <v>0</v>
      </c>
      <c r="AZ20" s="56">
        <f t="shared" si="4"/>
        <v>0</v>
      </c>
      <c r="BA20" s="56">
        <f t="shared" si="4"/>
        <v>0</v>
      </c>
    </row>
    <row r="21" spans="2:53" x14ac:dyDescent="0.2">
      <c r="C21" s="65"/>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row>
    <row r="22" spans="2:53" x14ac:dyDescent="0.2">
      <c r="B22" s="57" t="s">
        <v>27</v>
      </c>
      <c r="C22" s="65" t="s">
        <v>75</v>
      </c>
      <c r="D22" s="59">
        <f>+D25+D30+D35+D40+D45+D50+D55+D60+D65+D70+D75+D80+D85+D90+D95+D100+D105+D110+D115+D120+D125+D130+D135+D140+D145+D150+D155+D160+D165+D170+D175+D180+D185+D190+D195+D200+D205+D210+D215+D220+D225+D230+D235+D240+D245+D250+D255+D260+D265+D270</f>
        <v>0</v>
      </c>
      <c r="E22" s="59">
        <f t="shared" ref="E22:BA22" si="5">+E25+E30+E35+E40+E45+E50+E55+E60+E65+E70+E75+E80+E85+E90+E95+E100+E105+E110+E115+E120+E125+E130+E135+E140+E145+E150+E155+E160+E165+E170+E175+E180+E185+E190+E195+E200+E205+E210+E215+E220+E225+E230+E235+E240+E245+E250+E255+E260+E265+E270</f>
        <v>0</v>
      </c>
      <c r="F22" s="59">
        <f t="shared" si="5"/>
        <v>0</v>
      </c>
      <c r="G22" s="59">
        <f t="shared" si="5"/>
        <v>0</v>
      </c>
      <c r="H22" s="59">
        <f t="shared" si="5"/>
        <v>0</v>
      </c>
      <c r="I22" s="59">
        <f t="shared" si="5"/>
        <v>0</v>
      </c>
      <c r="J22" s="59">
        <f t="shared" si="5"/>
        <v>0</v>
      </c>
      <c r="K22" s="59">
        <f t="shared" si="5"/>
        <v>0</v>
      </c>
      <c r="L22" s="59">
        <f t="shared" si="5"/>
        <v>0</v>
      </c>
      <c r="M22" s="59">
        <f t="shared" si="5"/>
        <v>0</v>
      </c>
      <c r="N22" s="59">
        <f t="shared" si="5"/>
        <v>0</v>
      </c>
      <c r="O22" s="59">
        <f t="shared" si="5"/>
        <v>0</v>
      </c>
      <c r="P22" s="59">
        <f t="shared" si="5"/>
        <v>0</v>
      </c>
      <c r="Q22" s="59">
        <f t="shared" si="5"/>
        <v>0</v>
      </c>
      <c r="R22" s="59">
        <f t="shared" si="5"/>
        <v>0</v>
      </c>
      <c r="S22" s="59">
        <f t="shared" si="5"/>
        <v>0</v>
      </c>
      <c r="T22" s="59">
        <f t="shared" si="5"/>
        <v>0</v>
      </c>
      <c r="U22" s="59">
        <f t="shared" si="5"/>
        <v>0</v>
      </c>
      <c r="V22" s="59">
        <f t="shared" si="5"/>
        <v>0</v>
      </c>
      <c r="W22" s="59">
        <f t="shared" si="5"/>
        <v>0</v>
      </c>
      <c r="X22" s="59">
        <f t="shared" si="5"/>
        <v>0</v>
      </c>
      <c r="Y22" s="59">
        <f t="shared" si="5"/>
        <v>0</v>
      </c>
      <c r="Z22" s="59">
        <f t="shared" si="5"/>
        <v>0</v>
      </c>
      <c r="AA22" s="59">
        <f t="shared" si="5"/>
        <v>0</v>
      </c>
      <c r="AB22" s="59">
        <f t="shared" si="5"/>
        <v>0</v>
      </c>
      <c r="AC22" s="59">
        <f t="shared" si="5"/>
        <v>0</v>
      </c>
      <c r="AD22" s="59">
        <f t="shared" si="5"/>
        <v>0</v>
      </c>
      <c r="AE22" s="59">
        <f t="shared" si="5"/>
        <v>0</v>
      </c>
      <c r="AF22" s="59">
        <f t="shared" si="5"/>
        <v>0</v>
      </c>
      <c r="AG22" s="59">
        <f t="shared" si="5"/>
        <v>0</v>
      </c>
      <c r="AH22" s="59">
        <f t="shared" si="5"/>
        <v>0</v>
      </c>
      <c r="AI22" s="59">
        <f t="shared" si="5"/>
        <v>0</v>
      </c>
      <c r="AJ22" s="59">
        <f t="shared" si="5"/>
        <v>0</v>
      </c>
      <c r="AK22" s="59">
        <f t="shared" si="5"/>
        <v>0</v>
      </c>
      <c r="AL22" s="59">
        <f t="shared" si="5"/>
        <v>0</v>
      </c>
      <c r="AM22" s="59">
        <f t="shared" si="5"/>
        <v>0</v>
      </c>
      <c r="AN22" s="59">
        <f t="shared" si="5"/>
        <v>0</v>
      </c>
      <c r="AO22" s="59">
        <f t="shared" si="5"/>
        <v>0</v>
      </c>
      <c r="AP22" s="59">
        <f t="shared" si="5"/>
        <v>0</v>
      </c>
      <c r="AQ22" s="59">
        <f t="shared" si="5"/>
        <v>0</v>
      </c>
      <c r="AR22" s="59">
        <f t="shared" si="5"/>
        <v>0</v>
      </c>
      <c r="AS22" s="59">
        <f t="shared" si="5"/>
        <v>0</v>
      </c>
      <c r="AT22" s="59">
        <f t="shared" si="5"/>
        <v>0</v>
      </c>
      <c r="AU22" s="59">
        <f t="shared" si="5"/>
        <v>0</v>
      </c>
      <c r="AV22" s="59">
        <f t="shared" si="5"/>
        <v>0</v>
      </c>
      <c r="AW22" s="59">
        <f t="shared" si="5"/>
        <v>0</v>
      </c>
      <c r="AX22" s="59">
        <f t="shared" si="5"/>
        <v>0</v>
      </c>
      <c r="AY22" s="59">
        <f t="shared" si="5"/>
        <v>0</v>
      </c>
      <c r="AZ22" s="59">
        <f t="shared" si="5"/>
        <v>0</v>
      </c>
      <c r="BA22" s="59">
        <f t="shared" si="5"/>
        <v>0</v>
      </c>
    </row>
    <row r="23" spans="2:53" x14ac:dyDescent="0.2">
      <c r="B23" s="57"/>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row>
    <row r="24" spans="2:53" s="116" customFormat="1" x14ac:dyDescent="0.2">
      <c r="B24" s="113" t="s">
        <v>28</v>
      </c>
      <c r="C24" s="138"/>
      <c r="D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row>
    <row r="25" spans="2:53" x14ac:dyDescent="0.2">
      <c r="B25" s="46" t="s">
        <v>45</v>
      </c>
      <c r="C25" s="65" t="s">
        <v>75</v>
      </c>
      <c r="D25" s="44">
        <f>+D18</f>
        <v>0</v>
      </c>
      <c r="E25" s="44">
        <f>+D25-E27</f>
        <v>0</v>
      </c>
      <c r="F25" s="44">
        <f t="shared" ref="F25:BA25" si="6">+E25-F27</f>
        <v>0</v>
      </c>
      <c r="G25" s="44">
        <f t="shared" si="6"/>
        <v>0</v>
      </c>
      <c r="H25" s="44">
        <f t="shared" si="6"/>
        <v>0</v>
      </c>
      <c r="I25" s="44">
        <f t="shared" si="6"/>
        <v>0</v>
      </c>
      <c r="J25" s="44">
        <f t="shared" si="6"/>
        <v>0</v>
      </c>
      <c r="K25" s="44">
        <f>+J25-K27</f>
        <v>0</v>
      </c>
      <c r="L25" s="44">
        <f t="shared" si="6"/>
        <v>0</v>
      </c>
      <c r="M25" s="44">
        <f t="shared" si="6"/>
        <v>0</v>
      </c>
      <c r="N25" s="44">
        <f t="shared" si="6"/>
        <v>0</v>
      </c>
      <c r="O25" s="56">
        <f t="shared" si="6"/>
        <v>0</v>
      </c>
      <c r="P25" s="56">
        <f t="shared" si="6"/>
        <v>0</v>
      </c>
      <c r="Q25" s="56">
        <f t="shared" si="6"/>
        <v>0</v>
      </c>
      <c r="R25" s="56">
        <f t="shared" si="6"/>
        <v>0</v>
      </c>
      <c r="S25" s="56">
        <f t="shared" si="6"/>
        <v>0</v>
      </c>
      <c r="T25" s="56">
        <f t="shared" si="6"/>
        <v>0</v>
      </c>
      <c r="U25" s="56">
        <f t="shared" si="6"/>
        <v>0</v>
      </c>
      <c r="V25" s="56">
        <f t="shared" si="6"/>
        <v>0</v>
      </c>
      <c r="W25" s="56">
        <f t="shared" si="6"/>
        <v>0</v>
      </c>
      <c r="X25" s="56">
        <f t="shared" si="6"/>
        <v>0</v>
      </c>
      <c r="Y25" s="56">
        <f t="shared" si="6"/>
        <v>0</v>
      </c>
      <c r="Z25" s="56">
        <f t="shared" si="6"/>
        <v>0</v>
      </c>
      <c r="AA25" s="56">
        <f t="shared" si="6"/>
        <v>0</v>
      </c>
      <c r="AB25" s="56">
        <f t="shared" si="6"/>
        <v>0</v>
      </c>
      <c r="AC25" s="56">
        <f t="shared" si="6"/>
        <v>0</v>
      </c>
      <c r="AD25" s="56">
        <f t="shared" si="6"/>
        <v>0</v>
      </c>
      <c r="AE25" s="56">
        <f t="shared" si="6"/>
        <v>0</v>
      </c>
      <c r="AF25" s="56">
        <f t="shared" si="6"/>
        <v>0</v>
      </c>
      <c r="AG25" s="56">
        <f t="shared" si="6"/>
        <v>0</v>
      </c>
      <c r="AH25" s="56">
        <f t="shared" si="6"/>
        <v>0</v>
      </c>
      <c r="AI25" s="56">
        <f t="shared" si="6"/>
        <v>0</v>
      </c>
      <c r="AJ25" s="56">
        <f t="shared" si="6"/>
        <v>0</v>
      </c>
      <c r="AK25" s="56">
        <f t="shared" si="6"/>
        <v>0</v>
      </c>
      <c r="AL25" s="56">
        <f t="shared" si="6"/>
        <v>0</v>
      </c>
      <c r="AM25" s="56">
        <f t="shared" si="6"/>
        <v>0</v>
      </c>
      <c r="AN25" s="56">
        <f t="shared" si="6"/>
        <v>0</v>
      </c>
      <c r="AO25" s="56">
        <f t="shared" si="6"/>
        <v>0</v>
      </c>
      <c r="AP25" s="56">
        <f t="shared" si="6"/>
        <v>0</v>
      </c>
      <c r="AQ25" s="56">
        <f t="shared" si="6"/>
        <v>0</v>
      </c>
      <c r="AR25" s="56">
        <f t="shared" si="6"/>
        <v>0</v>
      </c>
      <c r="AS25" s="56">
        <f t="shared" si="6"/>
        <v>0</v>
      </c>
      <c r="AT25" s="56">
        <f t="shared" si="6"/>
        <v>0</v>
      </c>
      <c r="AU25" s="56">
        <f t="shared" si="6"/>
        <v>0</v>
      </c>
      <c r="AV25" s="56">
        <f t="shared" si="6"/>
        <v>0</v>
      </c>
      <c r="AW25" s="56">
        <f t="shared" si="6"/>
        <v>0</v>
      </c>
      <c r="AX25" s="56">
        <f t="shared" si="6"/>
        <v>0</v>
      </c>
      <c r="AY25" s="56">
        <f t="shared" si="6"/>
        <v>0</v>
      </c>
      <c r="AZ25" s="56">
        <f t="shared" si="6"/>
        <v>0</v>
      </c>
      <c r="BA25" s="56">
        <f t="shared" si="6"/>
        <v>0</v>
      </c>
    </row>
    <row r="26" spans="2:53" x14ac:dyDescent="0.2">
      <c r="B26" s="57" t="s">
        <v>29</v>
      </c>
      <c r="C26" s="64">
        <f>+D25/((1-(1/(1+$C$9)^$C$8))/$C$9)</f>
        <v>0</v>
      </c>
      <c r="D26" s="44">
        <v>0</v>
      </c>
      <c r="E26" s="44">
        <f>+IF(D25&lt;0.01,0,$C$26)</f>
        <v>0</v>
      </c>
      <c r="F26" s="44">
        <f t="shared" ref="F26:BA26" si="7">+IF(E25&lt;0.01,0,$C$26)</f>
        <v>0</v>
      </c>
      <c r="G26" s="44">
        <f t="shared" si="7"/>
        <v>0</v>
      </c>
      <c r="H26" s="44">
        <f t="shared" si="7"/>
        <v>0</v>
      </c>
      <c r="I26" s="44">
        <f t="shared" si="7"/>
        <v>0</v>
      </c>
      <c r="J26" s="44">
        <f t="shared" si="7"/>
        <v>0</v>
      </c>
      <c r="K26" s="44">
        <f t="shared" si="7"/>
        <v>0</v>
      </c>
      <c r="L26" s="44">
        <f t="shared" si="7"/>
        <v>0</v>
      </c>
      <c r="M26" s="44">
        <f t="shared" si="7"/>
        <v>0</v>
      </c>
      <c r="N26" s="44">
        <f t="shared" si="7"/>
        <v>0</v>
      </c>
      <c r="O26" s="56">
        <f t="shared" si="7"/>
        <v>0</v>
      </c>
      <c r="P26" s="56">
        <f t="shared" si="7"/>
        <v>0</v>
      </c>
      <c r="Q26" s="56">
        <f t="shared" si="7"/>
        <v>0</v>
      </c>
      <c r="R26" s="56">
        <f t="shared" si="7"/>
        <v>0</v>
      </c>
      <c r="S26" s="56">
        <f t="shared" si="7"/>
        <v>0</v>
      </c>
      <c r="T26" s="56">
        <f t="shared" si="7"/>
        <v>0</v>
      </c>
      <c r="U26" s="56">
        <f t="shared" si="7"/>
        <v>0</v>
      </c>
      <c r="V26" s="56">
        <f t="shared" si="7"/>
        <v>0</v>
      </c>
      <c r="W26" s="56">
        <f t="shared" si="7"/>
        <v>0</v>
      </c>
      <c r="X26" s="56">
        <f t="shared" si="7"/>
        <v>0</v>
      </c>
      <c r="Y26" s="56">
        <f t="shared" si="7"/>
        <v>0</v>
      </c>
      <c r="Z26" s="56">
        <f t="shared" si="7"/>
        <v>0</v>
      </c>
      <c r="AA26" s="56">
        <f t="shared" si="7"/>
        <v>0</v>
      </c>
      <c r="AB26" s="56">
        <f t="shared" si="7"/>
        <v>0</v>
      </c>
      <c r="AC26" s="56">
        <f t="shared" si="7"/>
        <v>0</v>
      </c>
      <c r="AD26" s="56">
        <f t="shared" si="7"/>
        <v>0</v>
      </c>
      <c r="AE26" s="56">
        <f t="shared" si="7"/>
        <v>0</v>
      </c>
      <c r="AF26" s="56">
        <f t="shared" si="7"/>
        <v>0</v>
      </c>
      <c r="AG26" s="56">
        <f t="shared" si="7"/>
        <v>0</v>
      </c>
      <c r="AH26" s="56">
        <f t="shared" si="7"/>
        <v>0</v>
      </c>
      <c r="AI26" s="56">
        <f t="shared" si="7"/>
        <v>0</v>
      </c>
      <c r="AJ26" s="56">
        <f t="shared" si="7"/>
        <v>0</v>
      </c>
      <c r="AK26" s="56">
        <f t="shared" si="7"/>
        <v>0</v>
      </c>
      <c r="AL26" s="56">
        <f t="shared" si="7"/>
        <v>0</v>
      </c>
      <c r="AM26" s="56">
        <f t="shared" si="7"/>
        <v>0</v>
      </c>
      <c r="AN26" s="56">
        <f t="shared" si="7"/>
        <v>0</v>
      </c>
      <c r="AO26" s="56">
        <f t="shared" si="7"/>
        <v>0</v>
      </c>
      <c r="AP26" s="56">
        <f t="shared" si="7"/>
        <v>0</v>
      </c>
      <c r="AQ26" s="56">
        <f t="shared" si="7"/>
        <v>0</v>
      </c>
      <c r="AR26" s="56">
        <f t="shared" si="7"/>
        <v>0</v>
      </c>
      <c r="AS26" s="56">
        <f t="shared" si="7"/>
        <v>0</v>
      </c>
      <c r="AT26" s="56">
        <f t="shared" si="7"/>
        <v>0</v>
      </c>
      <c r="AU26" s="56">
        <f t="shared" si="7"/>
        <v>0</v>
      </c>
      <c r="AV26" s="56">
        <f t="shared" si="7"/>
        <v>0</v>
      </c>
      <c r="AW26" s="56">
        <f t="shared" si="7"/>
        <v>0</v>
      </c>
      <c r="AX26" s="56">
        <f t="shared" si="7"/>
        <v>0</v>
      </c>
      <c r="AY26" s="56">
        <f t="shared" si="7"/>
        <v>0</v>
      </c>
      <c r="AZ26" s="56">
        <f t="shared" si="7"/>
        <v>0</v>
      </c>
      <c r="BA26" s="56">
        <f t="shared" si="7"/>
        <v>0</v>
      </c>
    </row>
    <row r="27" spans="2:53" x14ac:dyDescent="0.2">
      <c r="B27" s="57" t="s">
        <v>30</v>
      </c>
      <c r="C27" s="65" t="s">
        <v>75</v>
      </c>
      <c r="D27" s="44">
        <v>0</v>
      </c>
      <c r="E27" s="44">
        <f>+E26-E28</f>
        <v>0</v>
      </c>
      <c r="F27" s="44">
        <f t="shared" ref="F27:BA27" si="8">+F26-F28</f>
        <v>0</v>
      </c>
      <c r="G27" s="44">
        <f t="shared" si="8"/>
        <v>0</v>
      </c>
      <c r="H27" s="44">
        <f t="shared" si="8"/>
        <v>0</v>
      </c>
      <c r="I27" s="44">
        <f t="shared" si="8"/>
        <v>0</v>
      </c>
      <c r="J27" s="44">
        <f t="shared" si="8"/>
        <v>0</v>
      </c>
      <c r="K27" s="44">
        <f t="shared" si="8"/>
        <v>0</v>
      </c>
      <c r="L27" s="44">
        <f t="shared" si="8"/>
        <v>0</v>
      </c>
      <c r="M27" s="44">
        <f t="shared" si="8"/>
        <v>0</v>
      </c>
      <c r="N27" s="44">
        <f t="shared" si="8"/>
        <v>0</v>
      </c>
      <c r="O27" s="56">
        <f t="shared" si="8"/>
        <v>0</v>
      </c>
      <c r="P27" s="56">
        <f t="shared" si="8"/>
        <v>0</v>
      </c>
      <c r="Q27" s="56">
        <f t="shared" si="8"/>
        <v>0</v>
      </c>
      <c r="R27" s="56">
        <f t="shared" si="8"/>
        <v>0</v>
      </c>
      <c r="S27" s="56">
        <f t="shared" si="8"/>
        <v>0</v>
      </c>
      <c r="T27" s="56">
        <f t="shared" si="8"/>
        <v>0</v>
      </c>
      <c r="U27" s="56">
        <f t="shared" si="8"/>
        <v>0</v>
      </c>
      <c r="V27" s="56">
        <f t="shared" si="8"/>
        <v>0</v>
      </c>
      <c r="W27" s="56">
        <f t="shared" si="8"/>
        <v>0</v>
      </c>
      <c r="X27" s="56">
        <f t="shared" si="8"/>
        <v>0</v>
      </c>
      <c r="Y27" s="56">
        <f t="shared" si="8"/>
        <v>0</v>
      </c>
      <c r="Z27" s="56">
        <f t="shared" si="8"/>
        <v>0</v>
      </c>
      <c r="AA27" s="56">
        <f t="shared" si="8"/>
        <v>0</v>
      </c>
      <c r="AB27" s="56">
        <f t="shared" si="8"/>
        <v>0</v>
      </c>
      <c r="AC27" s="56">
        <f t="shared" si="8"/>
        <v>0</v>
      </c>
      <c r="AD27" s="56">
        <f t="shared" si="8"/>
        <v>0</v>
      </c>
      <c r="AE27" s="56">
        <f t="shared" si="8"/>
        <v>0</v>
      </c>
      <c r="AF27" s="56">
        <f t="shared" si="8"/>
        <v>0</v>
      </c>
      <c r="AG27" s="56">
        <f t="shared" si="8"/>
        <v>0</v>
      </c>
      <c r="AH27" s="56">
        <f t="shared" si="8"/>
        <v>0</v>
      </c>
      <c r="AI27" s="56">
        <f t="shared" si="8"/>
        <v>0</v>
      </c>
      <c r="AJ27" s="56">
        <f t="shared" si="8"/>
        <v>0</v>
      </c>
      <c r="AK27" s="56">
        <f t="shared" si="8"/>
        <v>0</v>
      </c>
      <c r="AL27" s="56">
        <f t="shared" si="8"/>
        <v>0</v>
      </c>
      <c r="AM27" s="56">
        <f t="shared" si="8"/>
        <v>0</v>
      </c>
      <c r="AN27" s="56">
        <f t="shared" si="8"/>
        <v>0</v>
      </c>
      <c r="AO27" s="56">
        <f t="shared" si="8"/>
        <v>0</v>
      </c>
      <c r="AP27" s="56">
        <f t="shared" si="8"/>
        <v>0</v>
      </c>
      <c r="AQ27" s="56">
        <f t="shared" si="8"/>
        <v>0</v>
      </c>
      <c r="AR27" s="56">
        <f t="shared" si="8"/>
        <v>0</v>
      </c>
      <c r="AS27" s="56">
        <f t="shared" si="8"/>
        <v>0</v>
      </c>
      <c r="AT27" s="56">
        <f t="shared" si="8"/>
        <v>0</v>
      </c>
      <c r="AU27" s="56">
        <f t="shared" si="8"/>
        <v>0</v>
      </c>
      <c r="AV27" s="56">
        <f t="shared" si="8"/>
        <v>0</v>
      </c>
      <c r="AW27" s="56">
        <f t="shared" si="8"/>
        <v>0</v>
      </c>
      <c r="AX27" s="56">
        <f t="shared" si="8"/>
        <v>0</v>
      </c>
      <c r="AY27" s="56">
        <f t="shared" si="8"/>
        <v>0</v>
      </c>
      <c r="AZ27" s="56">
        <f t="shared" si="8"/>
        <v>0</v>
      </c>
      <c r="BA27" s="56">
        <f t="shared" si="8"/>
        <v>0</v>
      </c>
    </row>
    <row r="28" spans="2:53" x14ac:dyDescent="0.2">
      <c r="B28" s="57" t="s">
        <v>3</v>
      </c>
      <c r="C28" s="65" t="s">
        <v>75</v>
      </c>
      <c r="D28" s="44">
        <v>0</v>
      </c>
      <c r="E28" s="44">
        <f>+$C$9*D25</f>
        <v>0</v>
      </c>
      <c r="F28" s="44">
        <f t="shared" ref="F28:BA28" si="9">+$C$9*E25</f>
        <v>0</v>
      </c>
      <c r="G28" s="44">
        <f t="shared" si="9"/>
        <v>0</v>
      </c>
      <c r="H28" s="44">
        <f>+$C$9*G25</f>
        <v>0</v>
      </c>
      <c r="I28" s="44">
        <f>+$C$9*H25</f>
        <v>0</v>
      </c>
      <c r="J28" s="44">
        <f t="shared" si="9"/>
        <v>0</v>
      </c>
      <c r="K28" s="44">
        <f t="shared" si="9"/>
        <v>0</v>
      </c>
      <c r="L28" s="44">
        <f t="shared" si="9"/>
        <v>0</v>
      </c>
      <c r="M28" s="44">
        <f t="shared" si="9"/>
        <v>0</v>
      </c>
      <c r="N28" s="44">
        <f t="shared" si="9"/>
        <v>0</v>
      </c>
      <c r="O28" s="56">
        <f t="shared" si="9"/>
        <v>0</v>
      </c>
      <c r="P28" s="56">
        <f t="shared" si="9"/>
        <v>0</v>
      </c>
      <c r="Q28" s="56">
        <f t="shared" si="9"/>
        <v>0</v>
      </c>
      <c r="R28" s="56">
        <f t="shared" si="9"/>
        <v>0</v>
      </c>
      <c r="S28" s="56">
        <f t="shared" si="9"/>
        <v>0</v>
      </c>
      <c r="T28" s="56">
        <f t="shared" si="9"/>
        <v>0</v>
      </c>
      <c r="U28" s="56">
        <f t="shared" si="9"/>
        <v>0</v>
      </c>
      <c r="V28" s="56">
        <f t="shared" si="9"/>
        <v>0</v>
      </c>
      <c r="W28" s="56">
        <f t="shared" si="9"/>
        <v>0</v>
      </c>
      <c r="X28" s="56">
        <f t="shared" si="9"/>
        <v>0</v>
      </c>
      <c r="Y28" s="56">
        <f t="shared" si="9"/>
        <v>0</v>
      </c>
      <c r="Z28" s="56">
        <f t="shared" si="9"/>
        <v>0</v>
      </c>
      <c r="AA28" s="56">
        <f t="shared" si="9"/>
        <v>0</v>
      </c>
      <c r="AB28" s="56">
        <f t="shared" si="9"/>
        <v>0</v>
      </c>
      <c r="AC28" s="56">
        <f t="shared" si="9"/>
        <v>0</v>
      </c>
      <c r="AD28" s="56">
        <f t="shared" si="9"/>
        <v>0</v>
      </c>
      <c r="AE28" s="56">
        <f t="shared" si="9"/>
        <v>0</v>
      </c>
      <c r="AF28" s="56">
        <f t="shared" si="9"/>
        <v>0</v>
      </c>
      <c r="AG28" s="56">
        <f t="shared" si="9"/>
        <v>0</v>
      </c>
      <c r="AH28" s="56">
        <f t="shared" si="9"/>
        <v>0</v>
      </c>
      <c r="AI28" s="56">
        <f t="shared" si="9"/>
        <v>0</v>
      </c>
      <c r="AJ28" s="56">
        <f t="shared" si="9"/>
        <v>0</v>
      </c>
      <c r="AK28" s="56">
        <f t="shared" si="9"/>
        <v>0</v>
      </c>
      <c r="AL28" s="56">
        <f t="shared" si="9"/>
        <v>0</v>
      </c>
      <c r="AM28" s="56">
        <f t="shared" si="9"/>
        <v>0</v>
      </c>
      <c r="AN28" s="56">
        <f t="shared" si="9"/>
        <v>0</v>
      </c>
      <c r="AO28" s="56">
        <f t="shared" si="9"/>
        <v>0</v>
      </c>
      <c r="AP28" s="56">
        <f t="shared" si="9"/>
        <v>0</v>
      </c>
      <c r="AQ28" s="56">
        <f t="shared" si="9"/>
        <v>0</v>
      </c>
      <c r="AR28" s="56">
        <f t="shared" si="9"/>
        <v>0</v>
      </c>
      <c r="AS28" s="56">
        <f t="shared" si="9"/>
        <v>0</v>
      </c>
      <c r="AT28" s="56">
        <f t="shared" si="9"/>
        <v>0</v>
      </c>
      <c r="AU28" s="56">
        <f t="shared" si="9"/>
        <v>0</v>
      </c>
      <c r="AV28" s="56">
        <f t="shared" si="9"/>
        <v>0</v>
      </c>
      <c r="AW28" s="56">
        <f t="shared" si="9"/>
        <v>0</v>
      </c>
      <c r="AX28" s="56">
        <f t="shared" si="9"/>
        <v>0</v>
      </c>
      <c r="AY28" s="56">
        <f t="shared" si="9"/>
        <v>0</v>
      </c>
      <c r="AZ28" s="56">
        <f t="shared" si="9"/>
        <v>0</v>
      </c>
      <c r="BA28" s="56">
        <f t="shared" si="9"/>
        <v>0</v>
      </c>
    </row>
    <row r="29" spans="2:53" x14ac:dyDescent="0.2">
      <c r="B29" s="57"/>
      <c r="D29" s="44"/>
      <c r="E29" s="44"/>
      <c r="F29" s="44"/>
      <c r="G29" s="44"/>
      <c r="H29" s="44"/>
      <c r="I29" s="44"/>
      <c r="J29" s="44"/>
      <c r="K29" s="44"/>
      <c r="L29" s="44"/>
      <c r="M29" s="44"/>
      <c r="N29" s="44"/>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row>
    <row r="30" spans="2:53" x14ac:dyDescent="0.2">
      <c r="B30" s="46" t="s">
        <v>46</v>
      </c>
      <c r="C30" s="65" t="s">
        <v>75</v>
      </c>
      <c r="D30" s="44"/>
      <c r="E30" s="44">
        <f>+E18</f>
        <v>0</v>
      </c>
      <c r="F30" s="44">
        <f t="shared" ref="F30:BA30" si="10">+E30-F32</f>
        <v>0</v>
      </c>
      <c r="G30" s="44">
        <f t="shared" si="10"/>
        <v>0</v>
      </c>
      <c r="H30" s="44">
        <f t="shared" si="10"/>
        <v>0</v>
      </c>
      <c r="I30" s="44">
        <f t="shared" si="10"/>
        <v>0</v>
      </c>
      <c r="J30" s="44">
        <f t="shared" si="10"/>
        <v>0</v>
      </c>
      <c r="K30" s="44">
        <f t="shared" si="10"/>
        <v>0</v>
      </c>
      <c r="L30" s="44">
        <f t="shared" si="10"/>
        <v>0</v>
      </c>
      <c r="M30" s="44">
        <f t="shared" si="10"/>
        <v>0</v>
      </c>
      <c r="N30" s="44">
        <f t="shared" si="10"/>
        <v>0</v>
      </c>
      <c r="O30" s="56">
        <f t="shared" si="10"/>
        <v>0</v>
      </c>
      <c r="P30" s="56">
        <f t="shared" si="10"/>
        <v>0</v>
      </c>
      <c r="Q30" s="56">
        <f t="shared" si="10"/>
        <v>0</v>
      </c>
      <c r="R30" s="56">
        <f t="shared" si="10"/>
        <v>0</v>
      </c>
      <c r="S30" s="56">
        <f t="shared" si="10"/>
        <v>0</v>
      </c>
      <c r="T30" s="56">
        <f t="shared" si="10"/>
        <v>0</v>
      </c>
      <c r="U30" s="56">
        <f t="shared" si="10"/>
        <v>0</v>
      </c>
      <c r="V30" s="56">
        <f t="shared" si="10"/>
        <v>0</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56">
        <f t="shared" si="10"/>
        <v>0</v>
      </c>
      <c r="AI30" s="56">
        <f t="shared" si="10"/>
        <v>0</v>
      </c>
      <c r="AJ30" s="56">
        <f t="shared" si="10"/>
        <v>0</v>
      </c>
      <c r="AK30" s="56">
        <f t="shared" si="10"/>
        <v>0</v>
      </c>
      <c r="AL30" s="56">
        <f t="shared" si="10"/>
        <v>0</v>
      </c>
      <c r="AM30" s="56">
        <f t="shared" si="10"/>
        <v>0</v>
      </c>
      <c r="AN30" s="56">
        <f t="shared" si="10"/>
        <v>0</v>
      </c>
      <c r="AO30" s="56">
        <f t="shared" si="10"/>
        <v>0</v>
      </c>
      <c r="AP30" s="56">
        <f t="shared" si="10"/>
        <v>0</v>
      </c>
      <c r="AQ30" s="56">
        <f t="shared" si="10"/>
        <v>0</v>
      </c>
      <c r="AR30" s="56">
        <f t="shared" si="10"/>
        <v>0</v>
      </c>
      <c r="AS30" s="56">
        <f t="shared" si="10"/>
        <v>0</v>
      </c>
      <c r="AT30" s="56">
        <f t="shared" si="10"/>
        <v>0</v>
      </c>
      <c r="AU30" s="56">
        <f t="shared" si="10"/>
        <v>0</v>
      </c>
      <c r="AV30" s="56">
        <f t="shared" si="10"/>
        <v>0</v>
      </c>
      <c r="AW30" s="56">
        <f t="shared" si="10"/>
        <v>0</v>
      </c>
      <c r="AX30" s="56">
        <f t="shared" si="10"/>
        <v>0</v>
      </c>
      <c r="AY30" s="56">
        <f t="shared" si="10"/>
        <v>0</v>
      </c>
      <c r="AZ30" s="56">
        <f t="shared" si="10"/>
        <v>0</v>
      </c>
      <c r="BA30" s="56">
        <f t="shared" si="10"/>
        <v>0</v>
      </c>
    </row>
    <row r="31" spans="2:53" x14ac:dyDescent="0.2">
      <c r="B31" s="57" t="s">
        <v>29</v>
      </c>
      <c r="C31" s="64">
        <f>+E30/((1-(1/(1+$C$9)^$C$8))/$C$9)</f>
        <v>0</v>
      </c>
      <c r="D31" s="44"/>
      <c r="E31" s="44">
        <v>0</v>
      </c>
      <c r="F31" s="44">
        <f>+IF(E30&lt;0.01,0,$C$31)</f>
        <v>0</v>
      </c>
      <c r="G31" s="44">
        <f t="shared" ref="G31:BA31" si="11">+IF(F30&lt;0.01,0,$C$31)</f>
        <v>0</v>
      </c>
      <c r="H31" s="44">
        <f t="shared" si="11"/>
        <v>0</v>
      </c>
      <c r="I31" s="44">
        <f t="shared" si="11"/>
        <v>0</v>
      </c>
      <c r="J31" s="44">
        <f t="shared" si="11"/>
        <v>0</v>
      </c>
      <c r="K31" s="44">
        <f t="shared" si="11"/>
        <v>0</v>
      </c>
      <c r="L31" s="44">
        <f t="shared" si="11"/>
        <v>0</v>
      </c>
      <c r="M31" s="44">
        <f t="shared" si="11"/>
        <v>0</v>
      </c>
      <c r="N31" s="44">
        <f t="shared" si="11"/>
        <v>0</v>
      </c>
      <c r="O31" s="56">
        <f t="shared" si="11"/>
        <v>0</v>
      </c>
      <c r="P31" s="56">
        <f t="shared" si="11"/>
        <v>0</v>
      </c>
      <c r="Q31" s="56">
        <f t="shared" si="11"/>
        <v>0</v>
      </c>
      <c r="R31" s="56">
        <f t="shared" si="11"/>
        <v>0</v>
      </c>
      <c r="S31" s="56">
        <f t="shared" si="11"/>
        <v>0</v>
      </c>
      <c r="T31" s="56">
        <f t="shared" si="11"/>
        <v>0</v>
      </c>
      <c r="U31" s="56">
        <f t="shared" si="11"/>
        <v>0</v>
      </c>
      <c r="V31" s="56">
        <f t="shared" si="11"/>
        <v>0</v>
      </c>
      <c r="W31" s="56">
        <f t="shared" si="11"/>
        <v>0</v>
      </c>
      <c r="X31" s="56">
        <f t="shared" si="11"/>
        <v>0</v>
      </c>
      <c r="Y31" s="56">
        <f t="shared" si="11"/>
        <v>0</v>
      </c>
      <c r="Z31" s="56">
        <f t="shared" si="11"/>
        <v>0</v>
      </c>
      <c r="AA31" s="56">
        <f t="shared" si="11"/>
        <v>0</v>
      </c>
      <c r="AB31" s="56">
        <f t="shared" si="11"/>
        <v>0</v>
      </c>
      <c r="AC31" s="56">
        <f t="shared" si="11"/>
        <v>0</v>
      </c>
      <c r="AD31" s="56">
        <f t="shared" si="11"/>
        <v>0</v>
      </c>
      <c r="AE31" s="56">
        <f t="shared" si="11"/>
        <v>0</v>
      </c>
      <c r="AF31" s="56">
        <f t="shared" si="11"/>
        <v>0</v>
      </c>
      <c r="AG31" s="56">
        <f t="shared" si="11"/>
        <v>0</v>
      </c>
      <c r="AH31" s="56">
        <f t="shared" si="11"/>
        <v>0</v>
      </c>
      <c r="AI31" s="56">
        <f t="shared" si="11"/>
        <v>0</v>
      </c>
      <c r="AJ31" s="56">
        <f t="shared" si="11"/>
        <v>0</v>
      </c>
      <c r="AK31" s="56">
        <f t="shared" si="11"/>
        <v>0</v>
      </c>
      <c r="AL31" s="56">
        <f t="shared" si="11"/>
        <v>0</v>
      </c>
      <c r="AM31" s="56">
        <f t="shared" si="11"/>
        <v>0</v>
      </c>
      <c r="AN31" s="56">
        <f t="shared" si="11"/>
        <v>0</v>
      </c>
      <c r="AO31" s="56">
        <f t="shared" si="11"/>
        <v>0</v>
      </c>
      <c r="AP31" s="56">
        <f t="shared" si="11"/>
        <v>0</v>
      </c>
      <c r="AQ31" s="56">
        <f t="shared" si="11"/>
        <v>0</v>
      </c>
      <c r="AR31" s="56">
        <f t="shared" si="11"/>
        <v>0</v>
      </c>
      <c r="AS31" s="56">
        <f t="shared" si="11"/>
        <v>0</v>
      </c>
      <c r="AT31" s="56">
        <f t="shared" si="11"/>
        <v>0</v>
      </c>
      <c r="AU31" s="56">
        <f t="shared" si="11"/>
        <v>0</v>
      </c>
      <c r="AV31" s="56">
        <f t="shared" si="11"/>
        <v>0</v>
      </c>
      <c r="AW31" s="56">
        <f t="shared" si="11"/>
        <v>0</v>
      </c>
      <c r="AX31" s="56">
        <f t="shared" si="11"/>
        <v>0</v>
      </c>
      <c r="AY31" s="56">
        <f t="shared" si="11"/>
        <v>0</v>
      </c>
      <c r="AZ31" s="56">
        <f t="shared" si="11"/>
        <v>0</v>
      </c>
      <c r="BA31" s="56">
        <f t="shared" si="11"/>
        <v>0</v>
      </c>
    </row>
    <row r="32" spans="2:53" x14ac:dyDescent="0.2">
      <c r="B32" s="57" t="s">
        <v>30</v>
      </c>
      <c r="C32" s="65" t="s">
        <v>75</v>
      </c>
      <c r="D32" s="44"/>
      <c r="E32" s="44">
        <v>0</v>
      </c>
      <c r="F32" s="44">
        <f>+F31-F33</f>
        <v>0</v>
      </c>
      <c r="G32" s="44">
        <f t="shared" ref="G32:BA32" si="12">+G31-G33</f>
        <v>0</v>
      </c>
      <c r="H32" s="44">
        <f t="shared" si="12"/>
        <v>0</v>
      </c>
      <c r="I32" s="44">
        <f t="shared" si="12"/>
        <v>0</v>
      </c>
      <c r="J32" s="44">
        <f t="shared" si="12"/>
        <v>0</v>
      </c>
      <c r="K32" s="44">
        <f t="shared" si="12"/>
        <v>0</v>
      </c>
      <c r="L32" s="44">
        <f t="shared" si="12"/>
        <v>0</v>
      </c>
      <c r="M32" s="44">
        <f t="shared" si="12"/>
        <v>0</v>
      </c>
      <c r="N32" s="44">
        <f t="shared" si="12"/>
        <v>0</v>
      </c>
      <c r="O32" s="56">
        <f t="shared" si="12"/>
        <v>0</v>
      </c>
      <c r="P32" s="56">
        <f t="shared" si="12"/>
        <v>0</v>
      </c>
      <c r="Q32" s="56">
        <f t="shared" si="12"/>
        <v>0</v>
      </c>
      <c r="R32" s="56">
        <f t="shared" si="12"/>
        <v>0</v>
      </c>
      <c r="S32" s="56">
        <f t="shared" si="12"/>
        <v>0</v>
      </c>
      <c r="T32" s="56">
        <f t="shared" si="12"/>
        <v>0</v>
      </c>
      <c r="U32" s="56">
        <f t="shared" si="12"/>
        <v>0</v>
      </c>
      <c r="V32" s="56">
        <f t="shared" si="12"/>
        <v>0</v>
      </c>
      <c r="W32" s="56">
        <f t="shared" si="12"/>
        <v>0</v>
      </c>
      <c r="X32" s="56">
        <f t="shared" si="12"/>
        <v>0</v>
      </c>
      <c r="Y32" s="56">
        <f t="shared" si="12"/>
        <v>0</v>
      </c>
      <c r="Z32" s="56">
        <f t="shared" si="12"/>
        <v>0</v>
      </c>
      <c r="AA32" s="56">
        <f t="shared" si="12"/>
        <v>0</v>
      </c>
      <c r="AB32" s="56">
        <f t="shared" si="12"/>
        <v>0</v>
      </c>
      <c r="AC32" s="56">
        <f t="shared" si="12"/>
        <v>0</v>
      </c>
      <c r="AD32" s="56">
        <f t="shared" si="12"/>
        <v>0</v>
      </c>
      <c r="AE32" s="56">
        <f t="shared" si="12"/>
        <v>0</v>
      </c>
      <c r="AF32" s="56">
        <f t="shared" si="12"/>
        <v>0</v>
      </c>
      <c r="AG32" s="56">
        <f t="shared" si="12"/>
        <v>0</v>
      </c>
      <c r="AH32" s="56">
        <f t="shared" si="12"/>
        <v>0</v>
      </c>
      <c r="AI32" s="56">
        <f t="shared" si="12"/>
        <v>0</v>
      </c>
      <c r="AJ32" s="56">
        <f t="shared" si="12"/>
        <v>0</v>
      </c>
      <c r="AK32" s="56">
        <f t="shared" si="12"/>
        <v>0</v>
      </c>
      <c r="AL32" s="56">
        <f t="shared" si="12"/>
        <v>0</v>
      </c>
      <c r="AM32" s="56">
        <f t="shared" si="12"/>
        <v>0</v>
      </c>
      <c r="AN32" s="56">
        <f t="shared" si="12"/>
        <v>0</v>
      </c>
      <c r="AO32" s="56">
        <f t="shared" si="12"/>
        <v>0</v>
      </c>
      <c r="AP32" s="56">
        <f t="shared" si="12"/>
        <v>0</v>
      </c>
      <c r="AQ32" s="56">
        <f t="shared" si="12"/>
        <v>0</v>
      </c>
      <c r="AR32" s="56">
        <f t="shared" si="12"/>
        <v>0</v>
      </c>
      <c r="AS32" s="56">
        <f t="shared" si="12"/>
        <v>0</v>
      </c>
      <c r="AT32" s="56">
        <f t="shared" si="12"/>
        <v>0</v>
      </c>
      <c r="AU32" s="56">
        <f t="shared" si="12"/>
        <v>0</v>
      </c>
      <c r="AV32" s="56">
        <f t="shared" si="12"/>
        <v>0</v>
      </c>
      <c r="AW32" s="56">
        <f t="shared" si="12"/>
        <v>0</v>
      </c>
      <c r="AX32" s="56">
        <f t="shared" si="12"/>
        <v>0</v>
      </c>
      <c r="AY32" s="56">
        <f t="shared" si="12"/>
        <v>0</v>
      </c>
      <c r="AZ32" s="56">
        <f t="shared" si="12"/>
        <v>0</v>
      </c>
      <c r="BA32" s="56">
        <f t="shared" si="12"/>
        <v>0</v>
      </c>
    </row>
    <row r="33" spans="2:53" x14ac:dyDescent="0.2">
      <c r="B33" s="57" t="s">
        <v>3</v>
      </c>
      <c r="C33" s="65" t="s">
        <v>75</v>
      </c>
      <c r="D33" s="44"/>
      <c r="E33" s="44">
        <v>0</v>
      </c>
      <c r="F33" s="44">
        <f t="shared" ref="F33:BA33" si="13">+$C$9*E30</f>
        <v>0</v>
      </c>
      <c r="G33" s="44">
        <f t="shared" si="13"/>
        <v>0</v>
      </c>
      <c r="H33" s="44">
        <f t="shared" si="13"/>
        <v>0</v>
      </c>
      <c r="I33" s="44">
        <f t="shared" si="13"/>
        <v>0</v>
      </c>
      <c r="J33" s="44">
        <f t="shared" si="13"/>
        <v>0</v>
      </c>
      <c r="K33" s="44">
        <f t="shared" si="13"/>
        <v>0</v>
      </c>
      <c r="L33" s="44">
        <f t="shared" si="13"/>
        <v>0</v>
      </c>
      <c r="M33" s="44">
        <f t="shared" si="13"/>
        <v>0</v>
      </c>
      <c r="N33" s="44">
        <f t="shared" si="13"/>
        <v>0</v>
      </c>
      <c r="O33" s="56">
        <f t="shared" si="13"/>
        <v>0</v>
      </c>
      <c r="P33" s="56">
        <f t="shared" si="13"/>
        <v>0</v>
      </c>
      <c r="Q33" s="56">
        <f t="shared" si="13"/>
        <v>0</v>
      </c>
      <c r="R33" s="56">
        <f t="shared" si="13"/>
        <v>0</v>
      </c>
      <c r="S33" s="56">
        <f t="shared" si="13"/>
        <v>0</v>
      </c>
      <c r="T33" s="56">
        <f t="shared" si="13"/>
        <v>0</v>
      </c>
      <c r="U33" s="56">
        <f t="shared" si="13"/>
        <v>0</v>
      </c>
      <c r="V33" s="56">
        <f t="shared" si="13"/>
        <v>0</v>
      </c>
      <c r="W33" s="56">
        <f t="shared" si="13"/>
        <v>0</v>
      </c>
      <c r="X33" s="56">
        <f t="shared" si="13"/>
        <v>0</v>
      </c>
      <c r="Y33" s="56">
        <f t="shared" si="13"/>
        <v>0</v>
      </c>
      <c r="Z33" s="56">
        <f t="shared" si="13"/>
        <v>0</v>
      </c>
      <c r="AA33" s="56">
        <f t="shared" si="13"/>
        <v>0</v>
      </c>
      <c r="AB33" s="56">
        <f t="shared" si="13"/>
        <v>0</v>
      </c>
      <c r="AC33" s="56">
        <f t="shared" si="13"/>
        <v>0</v>
      </c>
      <c r="AD33" s="56">
        <f t="shared" si="13"/>
        <v>0</v>
      </c>
      <c r="AE33" s="56">
        <f t="shared" si="13"/>
        <v>0</v>
      </c>
      <c r="AF33" s="56">
        <f t="shared" si="13"/>
        <v>0</v>
      </c>
      <c r="AG33" s="56">
        <f t="shared" si="13"/>
        <v>0</v>
      </c>
      <c r="AH33" s="56">
        <f t="shared" si="13"/>
        <v>0</v>
      </c>
      <c r="AI33" s="56">
        <f t="shared" si="13"/>
        <v>0</v>
      </c>
      <c r="AJ33" s="56">
        <f t="shared" si="13"/>
        <v>0</v>
      </c>
      <c r="AK33" s="56">
        <f t="shared" si="13"/>
        <v>0</v>
      </c>
      <c r="AL33" s="56">
        <f t="shared" si="13"/>
        <v>0</v>
      </c>
      <c r="AM33" s="56">
        <f t="shared" si="13"/>
        <v>0</v>
      </c>
      <c r="AN33" s="56">
        <f t="shared" si="13"/>
        <v>0</v>
      </c>
      <c r="AO33" s="56">
        <f t="shared" si="13"/>
        <v>0</v>
      </c>
      <c r="AP33" s="56">
        <f t="shared" si="13"/>
        <v>0</v>
      </c>
      <c r="AQ33" s="56">
        <f t="shared" si="13"/>
        <v>0</v>
      </c>
      <c r="AR33" s="56">
        <f t="shared" si="13"/>
        <v>0</v>
      </c>
      <c r="AS33" s="56">
        <f t="shared" si="13"/>
        <v>0</v>
      </c>
      <c r="AT33" s="56">
        <f t="shared" si="13"/>
        <v>0</v>
      </c>
      <c r="AU33" s="56">
        <f t="shared" si="13"/>
        <v>0</v>
      </c>
      <c r="AV33" s="56">
        <f t="shared" si="13"/>
        <v>0</v>
      </c>
      <c r="AW33" s="56">
        <f t="shared" si="13"/>
        <v>0</v>
      </c>
      <c r="AX33" s="56">
        <f t="shared" si="13"/>
        <v>0</v>
      </c>
      <c r="AY33" s="56">
        <f t="shared" si="13"/>
        <v>0</v>
      </c>
      <c r="AZ33" s="56">
        <f t="shared" si="13"/>
        <v>0</v>
      </c>
      <c r="BA33" s="56">
        <f t="shared" si="13"/>
        <v>0</v>
      </c>
    </row>
    <row r="34" spans="2:53" x14ac:dyDescent="0.2">
      <c r="B34" s="57"/>
      <c r="D34" s="44"/>
      <c r="E34" s="44"/>
      <c r="F34" s="44"/>
      <c r="G34" s="44"/>
      <c r="H34" s="44"/>
      <c r="I34" s="44"/>
      <c r="J34" s="44"/>
      <c r="K34" s="44"/>
      <c r="L34" s="44"/>
      <c r="M34" s="44"/>
      <c r="N34" s="44"/>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row>
    <row r="35" spans="2:53" x14ac:dyDescent="0.2">
      <c r="B35" s="46" t="s">
        <v>47</v>
      </c>
      <c r="C35" s="65" t="s">
        <v>75</v>
      </c>
      <c r="D35" s="44"/>
      <c r="E35" s="44"/>
      <c r="F35" s="44">
        <f>+F18</f>
        <v>0</v>
      </c>
      <c r="G35" s="44">
        <f>+F35-G37</f>
        <v>0</v>
      </c>
      <c r="H35" s="44">
        <f t="shared" ref="H35:BA35" si="14">+G35-H37</f>
        <v>0</v>
      </c>
      <c r="I35" s="44">
        <f t="shared" si="14"/>
        <v>0</v>
      </c>
      <c r="J35" s="44">
        <f t="shared" si="14"/>
        <v>0</v>
      </c>
      <c r="K35" s="44">
        <f t="shared" si="14"/>
        <v>0</v>
      </c>
      <c r="L35" s="44">
        <f t="shared" si="14"/>
        <v>0</v>
      </c>
      <c r="M35" s="44">
        <f t="shared" si="14"/>
        <v>0</v>
      </c>
      <c r="N35" s="44">
        <f t="shared" si="14"/>
        <v>0</v>
      </c>
      <c r="O35" s="56">
        <f t="shared" si="14"/>
        <v>0</v>
      </c>
      <c r="P35" s="56">
        <f t="shared" si="14"/>
        <v>0</v>
      </c>
      <c r="Q35" s="56">
        <f t="shared" si="14"/>
        <v>0</v>
      </c>
      <c r="R35" s="56">
        <f t="shared" si="14"/>
        <v>0</v>
      </c>
      <c r="S35" s="56">
        <f t="shared" si="14"/>
        <v>0</v>
      </c>
      <c r="T35" s="56">
        <f t="shared" si="14"/>
        <v>0</v>
      </c>
      <c r="U35" s="56">
        <f t="shared" si="14"/>
        <v>0</v>
      </c>
      <c r="V35" s="56">
        <f t="shared" si="14"/>
        <v>0</v>
      </c>
      <c r="W35" s="56">
        <f t="shared" si="14"/>
        <v>0</v>
      </c>
      <c r="X35" s="56">
        <f t="shared" si="14"/>
        <v>0</v>
      </c>
      <c r="Y35" s="56">
        <f t="shared" si="14"/>
        <v>0</v>
      </c>
      <c r="Z35" s="56">
        <f t="shared" si="14"/>
        <v>0</v>
      </c>
      <c r="AA35" s="56">
        <f t="shared" si="14"/>
        <v>0</v>
      </c>
      <c r="AB35" s="56">
        <f t="shared" si="14"/>
        <v>0</v>
      </c>
      <c r="AC35" s="56">
        <f t="shared" si="14"/>
        <v>0</v>
      </c>
      <c r="AD35" s="56">
        <f t="shared" si="14"/>
        <v>0</v>
      </c>
      <c r="AE35" s="56">
        <f t="shared" si="14"/>
        <v>0</v>
      </c>
      <c r="AF35" s="56">
        <f t="shared" si="14"/>
        <v>0</v>
      </c>
      <c r="AG35" s="56">
        <f t="shared" si="14"/>
        <v>0</v>
      </c>
      <c r="AH35" s="56">
        <f t="shared" si="14"/>
        <v>0</v>
      </c>
      <c r="AI35" s="56">
        <f t="shared" si="14"/>
        <v>0</v>
      </c>
      <c r="AJ35" s="56">
        <f t="shared" si="14"/>
        <v>0</v>
      </c>
      <c r="AK35" s="56">
        <f t="shared" si="14"/>
        <v>0</v>
      </c>
      <c r="AL35" s="56">
        <f t="shared" si="14"/>
        <v>0</v>
      </c>
      <c r="AM35" s="56">
        <f t="shared" si="14"/>
        <v>0</v>
      </c>
      <c r="AN35" s="56">
        <f t="shared" si="14"/>
        <v>0</v>
      </c>
      <c r="AO35" s="56">
        <f t="shared" si="14"/>
        <v>0</v>
      </c>
      <c r="AP35" s="56">
        <f t="shared" si="14"/>
        <v>0</v>
      </c>
      <c r="AQ35" s="56">
        <f t="shared" si="14"/>
        <v>0</v>
      </c>
      <c r="AR35" s="56">
        <f t="shared" si="14"/>
        <v>0</v>
      </c>
      <c r="AS35" s="56">
        <f t="shared" si="14"/>
        <v>0</v>
      </c>
      <c r="AT35" s="56">
        <f t="shared" si="14"/>
        <v>0</v>
      </c>
      <c r="AU35" s="56">
        <f t="shared" si="14"/>
        <v>0</v>
      </c>
      <c r="AV35" s="56">
        <f t="shared" si="14"/>
        <v>0</v>
      </c>
      <c r="AW35" s="56">
        <f t="shared" si="14"/>
        <v>0</v>
      </c>
      <c r="AX35" s="56">
        <f t="shared" si="14"/>
        <v>0</v>
      </c>
      <c r="AY35" s="56">
        <f t="shared" si="14"/>
        <v>0</v>
      </c>
      <c r="AZ35" s="56">
        <f t="shared" si="14"/>
        <v>0</v>
      </c>
      <c r="BA35" s="56">
        <f t="shared" si="14"/>
        <v>0</v>
      </c>
    </row>
    <row r="36" spans="2:53" x14ac:dyDescent="0.2">
      <c r="B36" s="57" t="s">
        <v>29</v>
      </c>
      <c r="C36" s="64">
        <f>+F35/((1-(1/(1+$C$9)^$C$8))/$C$9)</f>
        <v>0</v>
      </c>
      <c r="D36" s="44"/>
      <c r="E36" s="44"/>
      <c r="F36" s="44">
        <v>0</v>
      </c>
      <c r="G36" s="44">
        <f>+IF(F35&lt;0.01,0,$C$36)</f>
        <v>0</v>
      </c>
      <c r="H36" s="44">
        <f t="shared" ref="H36:BA36" si="15">+IF(G35&lt;0.01,0,$C$36)</f>
        <v>0</v>
      </c>
      <c r="I36" s="44">
        <f>+IF(H35&lt;0.01,0,$C$36)</f>
        <v>0</v>
      </c>
      <c r="J36" s="44">
        <f t="shared" si="15"/>
        <v>0</v>
      </c>
      <c r="K36" s="44">
        <f t="shared" si="15"/>
        <v>0</v>
      </c>
      <c r="L36" s="44">
        <f>+IF(K35&lt;0.01,0,$C$36)</f>
        <v>0</v>
      </c>
      <c r="M36" s="44">
        <f t="shared" si="15"/>
        <v>0</v>
      </c>
      <c r="N36" s="44">
        <f t="shared" si="15"/>
        <v>0</v>
      </c>
      <c r="O36" s="56">
        <f t="shared" si="15"/>
        <v>0</v>
      </c>
      <c r="P36" s="56">
        <f t="shared" si="15"/>
        <v>0</v>
      </c>
      <c r="Q36" s="56">
        <f t="shared" si="15"/>
        <v>0</v>
      </c>
      <c r="R36" s="56">
        <f t="shared" si="15"/>
        <v>0</v>
      </c>
      <c r="S36" s="56">
        <f t="shared" si="15"/>
        <v>0</v>
      </c>
      <c r="T36" s="56">
        <f t="shared" si="15"/>
        <v>0</v>
      </c>
      <c r="U36" s="56">
        <f t="shared" si="15"/>
        <v>0</v>
      </c>
      <c r="V36" s="56">
        <f t="shared" si="15"/>
        <v>0</v>
      </c>
      <c r="W36" s="56">
        <f t="shared" si="15"/>
        <v>0</v>
      </c>
      <c r="X36" s="56">
        <f t="shared" si="15"/>
        <v>0</v>
      </c>
      <c r="Y36" s="56">
        <f t="shared" si="15"/>
        <v>0</v>
      </c>
      <c r="Z36" s="56">
        <f t="shared" si="15"/>
        <v>0</v>
      </c>
      <c r="AA36" s="56">
        <f t="shared" si="15"/>
        <v>0</v>
      </c>
      <c r="AB36" s="56">
        <f t="shared" si="15"/>
        <v>0</v>
      </c>
      <c r="AC36" s="56">
        <f t="shared" si="15"/>
        <v>0</v>
      </c>
      <c r="AD36" s="56">
        <f t="shared" si="15"/>
        <v>0</v>
      </c>
      <c r="AE36" s="56">
        <f t="shared" si="15"/>
        <v>0</v>
      </c>
      <c r="AF36" s="56">
        <f t="shared" si="15"/>
        <v>0</v>
      </c>
      <c r="AG36" s="56">
        <f t="shared" si="15"/>
        <v>0</v>
      </c>
      <c r="AH36" s="56">
        <f t="shared" si="15"/>
        <v>0</v>
      </c>
      <c r="AI36" s="56">
        <f t="shared" si="15"/>
        <v>0</v>
      </c>
      <c r="AJ36" s="56">
        <f t="shared" si="15"/>
        <v>0</v>
      </c>
      <c r="AK36" s="56">
        <f t="shared" si="15"/>
        <v>0</v>
      </c>
      <c r="AL36" s="56">
        <f t="shared" si="15"/>
        <v>0</v>
      </c>
      <c r="AM36" s="56">
        <f t="shared" si="15"/>
        <v>0</v>
      </c>
      <c r="AN36" s="56">
        <f t="shared" si="15"/>
        <v>0</v>
      </c>
      <c r="AO36" s="56">
        <f t="shared" si="15"/>
        <v>0</v>
      </c>
      <c r="AP36" s="56">
        <f t="shared" si="15"/>
        <v>0</v>
      </c>
      <c r="AQ36" s="56">
        <f t="shared" si="15"/>
        <v>0</v>
      </c>
      <c r="AR36" s="56">
        <f t="shared" si="15"/>
        <v>0</v>
      </c>
      <c r="AS36" s="56">
        <f t="shared" si="15"/>
        <v>0</v>
      </c>
      <c r="AT36" s="56">
        <f t="shared" si="15"/>
        <v>0</v>
      </c>
      <c r="AU36" s="56">
        <f t="shared" si="15"/>
        <v>0</v>
      </c>
      <c r="AV36" s="56">
        <f t="shared" si="15"/>
        <v>0</v>
      </c>
      <c r="AW36" s="56">
        <f t="shared" si="15"/>
        <v>0</v>
      </c>
      <c r="AX36" s="56">
        <f t="shared" si="15"/>
        <v>0</v>
      </c>
      <c r="AY36" s="56">
        <f t="shared" si="15"/>
        <v>0</v>
      </c>
      <c r="AZ36" s="56">
        <f t="shared" si="15"/>
        <v>0</v>
      </c>
      <c r="BA36" s="56">
        <f t="shared" si="15"/>
        <v>0</v>
      </c>
    </row>
    <row r="37" spans="2:53" x14ac:dyDescent="0.2">
      <c r="B37" s="57" t="s">
        <v>30</v>
      </c>
      <c r="C37" s="65" t="s">
        <v>75</v>
      </c>
      <c r="D37" s="44"/>
      <c r="E37" s="44"/>
      <c r="F37" s="44">
        <v>0</v>
      </c>
      <c r="G37" s="44">
        <f>+G36-G38</f>
        <v>0</v>
      </c>
      <c r="H37" s="44">
        <f t="shared" ref="H37:BA37" si="16">+H36-H38</f>
        <v>0</v>
      </c>
      <c r="I37" s="44">
        <f t="shared" si="16"/>
        <v>0</v>
      </c>
      <c r="J37" s="44">
        <f t="shared" si="16"/>
        <v>0</v>
      </c>
      <c r="K37" s="44">
        <f t="shared" si="16"/>
        <v>0</v>
      </c>
      <c r="L37" s="44">
        <f t="shared" si="16"/>
        <v>0</v>
      </c>
      <c r="M37" s="44">
        <f t="shared" si="16"/>
        <v>0</v>
      </c>
      <c r="N37" s="44">
        <f t="shared" si="16"/>
        <v>0</v>
      </c>
      <c r="O37" s="56">
        <f t="shared" si="16"/>
        <v>0</v>
      </c>
      <c r="P37" s="56">
        <f t="shared" si="16"/>
        <v>0</v>
      </c>
      <c r="Q37" s="56">
        <f t="shared" si="16"/>
        <v>0</v>
      </c>
      <c r="R37" s="56">
        <f t="shared" si="16"/>
        <v>0</v>
      </c>
      <c r="S37" s="56">
        <f t="shared" si="16"/>
        <v>0</v>
      </c>
      <c r="T37" s="56">
        <f t="shared" si="16"/>
        <v>0</v>
      </c>
      <c r="U37" s="56">
        <f t="shared" si="16"/>
        <v>0</v>
      </c>
      <c r="V37" s="56">
        <f t="shared" si="16"/>
        <v>0</v>
      </c>
      <c r="W37" s="56">
        <f t="shared" si="16"/>
        <v>0</v>
      </c>
      <c r="X37" s="56">
        <f t="shared" si="16"/>
        <v>0</v>
      </c>
      <c r="Y37" s="56">
        <f t="shared" si="16"/>
        <v>0</v>
      </c>
      <c r="Z37" s="56">
        <f t="shared" si="16"/>
        <v>0</v>
      </c>
      <c r="AA37" s="56">
        <f t="shared" si="16"/>
        <v>0</v>
      </c>
      <c r="AB37" s="56">
        <f t="shared" si="16"/>
        <v>0</v>
      </c>
      <c r="AC37" s="56">
        <f t="shared" si="16"/>
        <v>0</v>
      </c>
      <c r="AD37" s="56">
        <f t="shared" si="16"/>
        <v>0</v>
      </c>
      <c r="AE37" s="56">
        <f t="shared" si="16"/>
        <v>0</v>
      </c>
      <c r="AF37" s="56">
        <f t="shared" si="16"/>
        <v>0</v>
      </c>
      <c r="AG37" s="56">
        <f t="shared" si="16"/>
        <v>0</v>
      </c>
      <c r="AH37" s="56">
        <f t="shared" si="16"/>
        <v>0</v>
      </c>
      <c r="AI37" s="56">
        <f t="shared" si="16"/>
        <v>0</v>
      </c>
      <c r="AJ37" s="56">
        <f t="shared" si="16"/>
        <v>0</v>
      </c>
      <c r="AK37" s="56">
        <f t="shared" si="16"/>
        <v>0</v>
      </c>
      <c r="AL37" s="56">
        <f t="shared" si="16"/>
        <v>0</v>
      </c>
      <c r="AM37" s="56">
        <f t="shared" si="16"/>
        <v>0</v>
      </c>
      <c r="AN37" s="56">
        <f t="shared" si="16"/>
        <v>0</v>
      </c>
      <c r="AO37" s="56">
        <f t="shared" si="16"/>
        <v>0</v>
      </c>
      <c r="AP37" s="56">
        <f t="shared" si="16"/>
        <v>0</v>
      </c>
      <c r="AQ37" s="56">
        <f t="shared" si="16"/>
        <v>0</v>
      </c>
      <c r="AR37" s="56">
        <f t="shared" si="16"/>
        <v>0</v>
      </c>
      <c r="AS37" s="56">
        <f t="shared" si="16"/>
        <v>0</v>
      </c>
      <c r="AT37" s="56">
        <f t="shared" si="16"/>
        <v>0</v>
      </c>
      <c r="AU37" s="56">
        <f t="shared" si="16"/>
        <v>0</v>
      </c>
      <c r="AV37" s="56">
        <f t="shared" si="16"/>
        <v>0</v>
      </c>
      <c r="AW37" s="56">
        <f t="shared" si="16"/>
        <v>0</v>
      </c>
      <c r="AX37" s="56">
        <f t="shared" si="16"/>
        <v>0</v>
      </c>
      <c r="AY37" s="56">
        <f t="shared" si="16"/>
        <v>0</v>
      </c>
      <c r="AZ37" s="56">
        <f t="shared" si="16"/>
        <v>0</v>
      </c>
      <c r="BA37" s="56">
        <f t="shared" si="16"/>
        <v>0</v>
      </c>
    </row>
    <row r="38" spans="2:53" x14ac:dyDescent="0.2">
      <c r="B38" s="57" t="s">
        <v>3</v>
      </c>
      <c r="C38" s="65" t="s">
        <v>75</v>
      </c>
      <c r="D38" s="44"/>
      <c r="E38" s="44"/>
      <c r="F38" s="44">
        <v>0</v>
      </c>
      <c r="G38" s="44">
        <f>+$C$9*F35</f>
        <v>0</v>
      </c>
      <c r="H38" s="44">
        <f t="shared" ref="H38:BA38" si="17">+$C$9*G35</f>
        <v>0</v>
      </c>
      <c r="I38" s="44">
        <f t="shared" si="17"/>
        <v>0</v>
      </c>
      <c r="J38" s="44">
        <f t="shared" si="17"/>
        <v>0</v>
      </c>
      <c r="K38" s="44">
        <f t="shared" si="17"/>
        <v>0</v>
      </c>
      <c r="L38" s="44">
        <f t="shared" si="17"/>
        <v>0</v>
      </c>
      <c r="M38" s="44">
        <f t="shared" si="17"/>
        <v>0</v>
      </c>
      <c r="N38" s="44">
        <f t="shared" si="17"/>
        <v>0</v>
      </c>
      <c r="O38" s="56">
        <f t="shared" si="17"/>
        <v>0</v>
      </c>
      <c r="P38" s="56">
        <f t="shared" si="17"/>
        <v>0</v>
      </c>
      <c r="Q38" s="56">
        <f t="shared" si="17"/>
        <v>0</v>
      </c>
      <c r="R38" s="56">
        <f t="shared" si="17"/>
        <v>0</v>
      </c>
      <c r="S38" s="56">
        <f t="shared" si="17"/>
        <v>0</v>
      </c>
      <c r="T38" s="56">
        <f t="shared" si="17"/>
        <v>0</v>
      </c>
      <c r="U38" s="56">
        <f t="shared" si="17"/>
        <v>0</v>
      </c>
      <c r="V38" s="56">
        <f t="shared" si="17"/>
        <v>0</v>
      </c>
      <c r="W38" s="56">
        <f t="shared" si="17"/>
        <v>0</v>
      </c>
      <c r="X38" s="56">
        <f t="shared" si="17"/>
        <v>0</v>
      </c>
      <c r="Y38" s="56">
        <f t="shared" si="17"/>
        <v>0</v>
      </c>
      <c r="Z38" s="56">
        <f t="shared" si="17"/>
        <v>0</v>
      </c>
      <c r="AA38" s="56">
        <f t="shared" si="17"/>
        <v>0</v>
      </c>
      <c r="AB38" s="56">
        <f t="shared" si="17"/>
        <v>0</v>
      </c>
      <c r="AC38" s="56">
        <f t="shared" si="17"/>
        <v>0</v>
      </c>
      <c r="AD38" s="56">
        <f t="shared" si="17"/>
        <v>0</v>
      </c>
      <c r="AE38" s="56">
        <f t="shared" si="17"/>
        <v>0</v>
      </c>
      <c r="AF38" s="56">
        <f t="shared" si="17"/>
        <v>0</v>
      </c>
      <c r="AG38" s="56">
        <f t="shared" si="17"/>
        <v>0</v>
      </c>
      <c r="AH38" s="56">
        <f t="shared" si="17"/>
        <v>0</v>
      </c>
      <c r="AI38" s="56">
        <f t="shared" si="17"/>
        <v>0</v>
      </c>
      <c r="AJ38" s="56">
        <f t="shared" si="17"/>
        <v>0</v>
      </c>
      <c r="AK38" s="56">
        <f t="shared" si="17"/>
        <v>0</v>
      </c>
      <c r="AL38" s="56">
        <f t="shared" si="17"/>
        <v>0</v>
      </c>
      <c r="AM38" s="56">
        <f t="shared" si="17"/>
        <v>0</v>
      </c>
      <c r="AN38" s="56">
        <f t="shared" si="17"/>
        <v>0</v>
      </c>
      <c r="AO38" s="56">
        <f t="shared" si="17"/>
        <v>0</v>
      </c>
      <c r="AP38" s="56">
        <f t="shared" si="17"/>
        <v>0</v>
      </c>
      <c r="AQ38" s="56">
        <f t="shared" si="17"/>
        <v>0</v>
      </c>
      <c r="AR38" s="56">
        <f t="shared" si="17"/>
        <v>0</v>
      </c>
      <c r="AS38" s="56">
        <f t="shared" si="17"/>
        <v>0</v>
      </c>
      <c r="AT38" s="56">
        <f t="shared" si="17"/>
        <v>0</v>
      </c>
      <c r="AU38" s="56">
        <f t="shared" si="17"/>
        <v>0</v>
      </c>
      <c r="AV38" s="56">
        <f t="shared" si="17"/>
        <v>0</v>
      </c>
      <c r="AW38" s="56">
        <f t="shared" si="17"/>
        <v>0</v>
      </c>
      <c r="AX38" s="56">
        <f t="shared" si="17"/>
        <v>0</v>
      </c>
      <c r="AY38" s="56">
        <f t="shared" si="17"/>
        <v>0</v>
      </c>
      <c r="AZ38" s="56">
        <f t="shared" si="17"/>
        <v>0</v>
      </c>
      <c r="BA38" s="56">
        <f t="shared" si="17"/>
        <v>0</v>
      </c>
    </row>
    <row r="39" spans="2:53" x14ac:dyDescent="0.2">
      <c r="B39" s="57"/>
      <c r="D39" s="44"/>
      <c r="E39" s="44"/>
      <c r="F39" s="44"/>
      <c r="G39" s="44"/>
      <c r="H39" s="44"/>
      <c r="I39" s="44"/>
      <c r="J39" s="44"/>
      <c r="K39" s="44"/>
      <c r="L39" s="44"/>
      <c r="M39" s="44"/>
      <c r="N39" s="44"/>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row>
    <row r="40" spans="2:53" x14ac:dyDescent="0.2">
      <c r="B40" s="46" t="s">
        <v>48</v>
      </c>
      <c r="C40" s="65" t="s">
        <v>75</v>
      </c>
      <c r="D40" s="44"/>
      <c r="E40" s="44"/>
      <c r="F40" s="44"/>
      <c r="G40" s="44">
        <f>+G18</f>
        <v>0</v>
      </c>
      <c r="H40" s="44">
        <f>+G40-H42</f>
        <v>0</v>
      </c>
      <c r="I40" s="44">
        <f t="shared" ref="I40:BA40" si="18">+H40-I42</f>
        <v>0</v>
      </c>
      <c r="J40" s="44">
        <f t="shared" si="18"/>
        <v>0</v>
      </c>
      <c r="K40" s="44">
        <f t="shared" si="18"/>
        <v>0</v>
      </c>
      <c r="L40" s="44">
        <f t="shared" si="18"/>
        <v>0</v>
      </c>
      <c r="M40" s="44">
        <f t="shared" si="18"/>
        <v>0</v>
      </c>
      <c r="N40" s="44">
        <f t="shared" si="18"/>
        <v>0</v>
      </c>
      <c r="O40" s="56">
        <f t="shared" si="18"/>
        <v>0</v>
      </c>
      <c r="P40" s="56">
        <f t="shared" si="18"/>
        <v>0</v>
      </c>
      <c r="Q40" s="56">
        <f t="shared" si="18"/>
        <v>0</v>
      </c>
      <c r="R40" s="56">
        <f t="shared" si="18"/>
        <v>0</v>
      </c>
      <c r="S40" s="56">
        <f t="shared" si="18"/>
        <v>0</v>
      </c>
      <c r="T40" s="56">
        <f t="shared" si="18"/>
        <v>0</v>
      </c>
      <c r="U40" s="56">
        <f t="shared" si="18"/>
        <v>0</v>
      </c>
      <c r="V40" s="56">
        <f t="shared" si="18"/>
        <v>0</v>
      </c>
      <c r="W40" s="56">
        <f t="shared" si="18"/>
        <v>0</v>
      </c>
      <c r="X40" s="56">
        <f t="shared" si="18"/>
        <v>0</v>
      </c>
      <c r="Y40" s="56">
        <f t="shared" si="18"/>
        <v>0</v>
      </c>
      <c r="Z40" s="56">
        <f t="shared" si="18"/>
        <v>0</v>
      </c>
      <c r="AA40" s="56">
        <f t="shared" si="18"/>
        <v>0</v>
      </c>
      <c r="AB40" s="56">
        <f t="shared" si="18"/>
        <v>0</v>
      </c>
      <c r="AC40" s="56">
        <f t="shared" si="18"/>
        <v>0</v>
      </c>
      <c r="AD40" s="56">
        <f t="shared" si="18"/>
        <v>0</v>
      </c>
      <c r="AE40" s="56">
        <f t="shared" si="18"/>
        <v>0</v>
      </c>
      <c r="AF40" s="56">
        <f t="shared" si="18"/>
        <v>0</v>
      </c>
      <c r="AG40" s="56">
        <f t="shared" si="18"/>
        <v>0</v>
      </c>
      <c r="AH40" s="56">
        <f t="shared" si="18"/>
        <v>0</v>
      </c>
      <c r="AI40" s="56">
        <f t="shared" si="18"/>
        <v>0</v>
      </c>
      <c r="AJ40" s="56">
        <f t="shared" si="18"/>
        <v>0</v>
      </c>
      <c r="AK40" s="56">
        <f t="shared" si="18"/>
        <v>0</v>
      </c>
      <c r="AL40" s="56">
        <f t="shared" si="18"/>
        <v>0</v>
      </c>
      <c r="AM40" s="56">
        <f t="shared" si="18"/>
        <v>0</v>
      </c>
      <c r="AN40" s="56">
        <f t="shared" si="18"/>
        <v>0</v>
      </c>
      <c r="AO40" s="56">
        <f t="shared" si="18"/>
        <v>0</v>
      </c>
      <c r="AP40" s="56">
        <f t="shared" si="18"/>
        <v>0</v>
      </c>
      <c r="AQ40" s="56">
        <f t="shared" si="18"/>
        <v>0</v>
      </c>
      <c r="AR40" s="56">
        <f t="shared" si="18"/>
        <v>0</v>
      </c>
      <c r="AS40" s="56">
        <f t="shared" si="18"/>
        <v>0</v>
      </c>
      <c r="AT40" s="56">
        <f t="shared" si="18"/>
        <v>0</v>
      </c>
      <c r="AU40" s="56">
        <f t="shared" si="18"/>
        <v>0</v>
      </c>
      <c r="AV40" s="56">
        <f t="shared" si="18"/>
        <v>0</v>
      </c>
      <c r="AW40" s="56">
        <f t="shared" si="18"/>
        <v>0</v>
      </c>
      <c r="AX40" s="56">
        <f t="shared" si="18"/>
        <v>0</v>
      </c>
      <c r="AY40" s="56">
        <f t="shared" si="18"/>
        <v>0</v>
      </c>
      <c r="AZ40" s="56">
        <f t="shared" si="18"/>
        <v>0</v>
      </c>
      <c r="BA40" s="56">
        <f t="shared" si="18"/>
        <v>0</v>
      </c>
    </row>
    <row r="41" spans="2:53" x14ac:dyDescent="0.2">
      <c r="B41" s="57" t="s">
        <v>29</v>
      </c>
      <c r="C41" s="64">
        <f>+G40/((1-(1/(1+$C$9)^$C$8))/$C$9)</f>
        <v>0</v>
      </c>
      <c r="D41" s="44"/>
      <c r="E41" s="44"/>
      <c r="F41" s="44"/>
      <c r="G41" s="44">
        <v>0</v>
      </c>
      <c r="H41" s="44">
        <f>+IF(G40&lt;0.01,0,$C$41)</f>
        <v>0</v>
      </c>
      <c r="I41" s="44">
        <f t="shared" ref="I41:BA41" si="19">+IF(H40&lt;0.01,0,$C$41)</f>
        <v>0</v>
      </c>
      <c r="J41" s="44">
        <f t="shared" si="19"/>
        <v>0</v>
      </c>
      <c r="K41" s="44">
        <f t="shared" si="19"/>
        <v>0</v>
      </c>
      <c r="L41" s="44">
        <f t="shared" si="19"/>
        <v>0</v>
      </c>
      <c r="M41" s="44">
        <f t="shared" si="19"/>
        <v>0</v>
      </c>
      <c r="N41" s="44">
        <f t="shared" si="19"/>
        <v>0</v>
      </c>
      <c r="O41" s="56">
        <f t="shared" si="19"/>
        <v>0</v>
      </c>
      <c r="P41" s="56">
        <f t="shared" si="19"/>
        <v>0</v>
      </c>
      <c r="Q41" s="56">
        <f t="shared" si="19"/>
        <v>0</v>
      </c>
      <c r="R41" s="56">
        <f t="shared" si="19"/>
        <v>0</v>
      </c>
      <c r="S41" s="56">
        <f t="shared" si="19"/>
        <v>0</v>
      </c>
      <c r="T41" s="56">
        <f t="shared" si="19"/>
        <v>0</v>
      </c>
      <c r="U41" s="56">
        <f t="shared" si="19"/>
        <v>0</v>
      </c>
      <c r="V41" s="56">
        <f t="shared" si="19"/>
        <v>0</v>
      </c>
      <c r="W41" s="56">
        <f t="shared" si="19"/>
        <v>0</v>
      </c>
      <c r="X41" s="56">
        <f t="shared" si="19"/>
        <v>0</v>
      </c>
      <c r="Y41" s="56">
        <f t="shared" si="19"/>
        <v>0</v>
      </c>
      <c r="Z41" s="56">
        <f t="shared" si="19"/>
        <v>0</v>
      </c>
      <c r="AA41" s="56">
        <f t="shared" si="19"/>
        <v>0</v>
      </c>
      <c r="AB41" s="56">
        <f t="shared" si="19"/>
        <v>0</v>
      </c>
      <c r="AC41" s="56">
        <f t="shared" si="19"/>
        <v>0</v>
      </c>
      <c r="AD41" s="56">
        <f t="shared" si="19"/>
        <v>0</v>
      </c>
      <c r="AE41" s="56">
        <f t="shared" si="19"/>
        <v>0</v>
      </c>
      <c r="AF41" s="56">
        <f t="shared" si="19"/>
        <v>0</v>
      </c>
      <c r="AG41" s="56">
        <f t="shared" si="19"/>
        <v>0</v>
      </c>
      <c r="AH41" s="56">
        <f t="shared" si="19"/>
        <v>0</v>
      </c>
      <c r="AI41" s="56">
        <f t="shared" si="19"/>
        <v>0</v>
      </c>
      <c r="AJ41" s="56">
        <f t="shared" si="19"/>
        <v>0</v>
      </c>
      <c r="AK41" s="56">
        <f t="shared" si="19"/>
        <v>0</v>
      </c>
      <c r="AL41" s="56">
        <f t="shared" si="19"/>
        <v>0</v>
      </c>
      <c r="AM41" s="56">
        <f t="shared" si="19"/>
        <v>0</v>
      </c>
      <c r="AN41" s="56">
        <f t="shared" si="19"/>
        <v>0</v>
      </c>
      <c r="AO41" s="56">
        <f t="shared" si="19"/>
        <v>0</v>
      </c>
      <c r="AP41" s="56">
        <f t="shared" si="19"/>
        <v>0</v>
      </c>
      <c r="AQ41" s="56">
        <f t="shared" si="19"/>
        <v>0</v>
      </c>
      <c r="AR41" s="56">
        <f t="shared" si="19"/>
        <v>0</v>
      </c>
      <c r="AS41" s="56">
        <f t="shared" si="19"/>
        <v>0</v>
      </c>
      <c r="AT41" s="56">
        <f t="shared" si="19"/>
        <v>0</v>
      </c>
      <c r="AU41" s="56">
        <f t="shared" si="19"/>
        <v>0</v>
      </c>
      <c r="AV41" s="56">
        <f t="shared" si="19"/>
        <v>0</v>
      </c>
      <c r="AW41" s="56">
        <f t="shared" si="19"/>
        <v>0</v>
      </c>
      <c r="AX41" s="56">
        <f t="shared" si="19"/>
        <v>0</v>
      </c>
      <c r="AY41" s="56">
        <f t="shared" si="19"/>
        <v>0</v>
      </c>
      <c r="AZ41" s="56">
        <f t="shared" si="19"/>
        <v>0</v>
      </c>
      <c r="BA41" s="56">
        <f t="shared" si="19"/>
        <v>0</v>
      </c>
    </row>
    <row r="42" spans="2:53" x14ac:dyDescent="0.2">
      <c r="B42" s="57" t="s">
        <v>30</v>
      </c>
      <c r="C42" s="65" t="s">
        <v>75</v>
      </c>
      <c r="D42" s="44"/>
      <c r="E42" s="44"/>
      <c r="F42" s="44"/>
      <c r="G42" s="44">
        <v>0</v>
      </c>
      <c r="H42" s="44">
        <f>+H41-H43</f>
        <v>0</v>
      </c>
      <c r="I42" s="44">
        <f t="shared" ref="I42:BA42" si="20">+I41-I43</f>
        <v>0</v>
      </c>
      <c r="J42" s="44">
        <f t="shared" si="20"/>
        <v>0</v>
      </c>
      <c r="K42" s="44">
        <f t="shared" si="20"/>
        <v>0</v>
      </c>
      <c r="L42" s="44">
        <f t="shared" si="20"/>
        <v>0</v>
      </c>
      <c r="M42" s="44">
        <f t="shared" si="20"/>
        <v>0</v>
      </c>
      <c r="N42" s="44">
        <f t="shared" si="20"/>
        <v>0</v>
      </c>
      <c r="O42" s="56">
        <f t="shared" si="20"/>
        <v>0</v>
      </c>
      <c r="P42" s="56">
        <f t="shared" si="20"/>
        <v>0</v>
      </c>
      <c r="Q42" s="56">
        <f t="shared" si="20"/>
        <v>0</v>
      </c>
      <c r="R42" s="56">
        <f t="shared" si="20"/>
        <v>0</v>
      </c>
      <c r="S42" s="56">
        <f t="shared" si="20"/>
        <v>0</v>
      </c>
      <c r="T42" s="56">
        <f t="shared" si="20"/>
        <v>0</v>
      </c>
      <c r="U42" s="56">
        <f t="shared" si="20"/>
        <v>0</v>
      </c>
      <c r="V42" s="56">
        <f t="shared" si="20"/>
        <v>0</v>
      </c>
      <c r="W42" s="56">
        <f t="shared" si="20"/>
        <v>0</v>
      </c>
      <c r="X42" s="56">
        <f t="shared" si="20"/>
        <v>0</v>
      </c>
      <c r="Y42" s="56">
        <f t="shared" si="20"/>
        <v>0</v>
      </c>
      <c r="Z42" s="56">
        <f t="shared" si="20"/>
        <v>0</v>
      </c>
      <c r="AA42" s="56">
        <f t="shared" si="20"/>
        <v>0</v>
      </c>
      <c r="AB42" s="56">
        <f t="shared" si="20"/>
        <v>0</v>
      </c>
      <c r="AC42" s="56">
        <f t="shared" si="20"/>
        <v>0</v>
      </c>
      <c r="AD42" s="56">
        <f t="shared" si="20"/>
        <v>0</v>
      </c>
      <c r="AE42" s="56">
        <f t="shared" si="20"/>
        <v>0</v>
      </c>
      <c r="AF42" s="56">
        <f t="shared" si="20"/>
        <v>0</v>
      </c>
      <c r="AG42" s="56">
        <f t="shared" si="20"/>
        <v>0</v>
      </c>
      <c r="AH42" s="56">
        <f t="shared" si="20"/>
        <v>0</v>
      </c>
      <c r="AI42" s="56">
        <f t="shared" si="20"/>
        <v>0</v>
      </c>
      <c r="AJ42" s="56">
        <f t="shared" si="20"/>
        <v>0</v>
      </c>
      <c r="AK42" s="56">
        <f t="shared" si="20"/>
        <v>0</v>
      </c>
      <c r="AL42" s="56">
        <f t="shared" si="20"/>
        <v>0</v>
      </c>
      <c r="AM42" s="56">
        <f t="shared" si="20"/>
        <v>0</v>
      </c>
      <c r="AN42" s="56">
        <f t="shared" si="20"/>
        <v>0</v>
      </c>
      <c r="AO42" s="56">
        <f t="shared" si="20"/>
        <v>0</v>
      </c>
      <c r="AP42" s="56">
        <f t="shared" si="20"/>
        <v>0</v>
      </c>
      <c r="AQ42" s="56">
        <f t="shared" si="20"/>
        <v>0</v>
      </c>
      <c r="AR42" s="56">
        <f t="shared" si="20"/>
        <v>0</v>
      </c>
      <c r="AS42" s="56">
        <f t="shared" si="20"/>
        <v>0</v>
      </c>
      <c r="AT42" s="56">
        <f t="shared" si="20"/>
        <v>0</v>
      </c>
      <c r="AU42" s="56">
        <f t="shared" si="20"/>
        <v>0</v>
      </c>
      <c r="AV42" s="56">
        <f t="shared" si="20"/>
        <v>0</v>
      </c>
      <c r="AW42" s="56">
        <f t="shared" si="20"/>
        <v>0</v>
      </c>
      <c r="AX42" s="56">
        <f t="shared" si="20"/>
        <v>0</v>
      </c>
      <c r="AY42" s="56">
        <f t="shared" si="20"/>
        <v>0</v>
      </c>
      <c r="AZ42" s="56">
        <f t="shared" si="20"/>
        <v>0</v>
      </c>
      <c r="BA42" s="56">
        <f t="shared" si="20"/>
        <v>0</v>
      </c>
    </row>
    <row r="43" spans="2:53" x14ac:dyDescent="0.2">
      <c r="B43" s="57" t="s">
        <v>3</v>
      </c>
      <c r="C43" s="65" t="s">
        <v>75</v>
      </c>
      <c r="D43" s="44"/>
      <c r="E43" s="44"/>
      <c r="F43" s="44"/>
      <c r="G43" s="44">
        <v>0</v>
      </c>
      <c r="H43" s="44">
        <f>+$C$9*G40</f>
        <v>0</v>
      </c>
      <c r="I43" s="44">
        <f t="shared" ref="I43:BA43" si="21">+$C$9*H40</f>
        <v>0</v>
      </c>
      <c r="J43" s="44">
        <f t="shared" si="21"/>
        <v>0</v>
      </c>
      <c r="K43" s="44">
        <f t="shared" si="21"/>
        <v>0</v>
      </c>
      <c r="L43" s="44">
        <f t="shared" si="21"/>
        <v>0</v>
      </c>
      <c r="M43" s="44">
        <f t="shared" si="21"/>
        <v>0</v>
      </c>
      <c r="N43" s="44">
        <f t="shared" si="21"/>
        <v>0</v>
      </c>
      <c r="O43" s="56">
        <f t="shared" si="21"/>
        <v>0</v>
      </c>
      <c r="P43" s="56">
        <f t="shared" si="21"/>
        <v>0</v>
      </c>
      <c r="Q43" s="56">
        <f t="shared" si="21"/>
        <v>0</v>
      </c>
      <c r="R43" s="56">
        <f t="shared" si="21"/>
        <v>0</v>
      </c>
      <c r="S43" s="56">
        <f t="shared" si="21"/>
        <v>0</v>
      </c>
      <c r="T43" s="56">
        <f t="shared" si="21"/>
        <v>0</v>
      </c>
      <c r="U43" s="56">
        <f t="shared" si="21"/>
        <v>0</v>
      </c>
      <c r="V43" s="56">
        <f t="shared" si="21"/>
        <v>0</v>
      </c>
      <c r="W43" s="56">
        <f t="shared" si="21"/>
        <v>0</v>
      </c>
      <c r="X43" s="56">
        <f t="shared" si="21"/>
        <v>0</v>
      </c>
      <c r="Y43" s="56">
        <f t="shared" si="21"/>
        <v>0</v>
      </c>
      <c r="Z43" s="56">
        <f t="shared" si="21"/>
        <v>0</v>
      </c>
      <c r="AA43" s="56">
        <f t="shared" si="21"/>
        <v>0</v>
      </c>
      <c r="AB43" s="56">
        <f t="shared" si="21"/>
        <v>0</v>
      </c>
      <c r="AC43" s="56">
        <f t="shared" si="21"/>
        <v>0</v>
      </c>
      <c r="AD43" s="56">
        <f t="shared" si="21"/>
        <v>0</v>
      </c>
      <c r="AE43" s="56">
        <f t="shared" si="21"/>
        <v>0</v>
      </c>
      <c r="AF43" s="56">
        <f t="shared" si="21"/>
        <v>0</v>
      </c>
      <c r="AG43" s="56">
        <f t="shared" si="21"/>
        <v>0</v>
      </c>
      <c r="AH43" s="56">
        <f t="shared" si="21"/>
        <v>0</v>
      </c>
      <c r="AI43" s="56">
        <f t="shared" si="21"/>
        <v>0</v>
      </c>
      <c r="AJ43" s="56">
        <f t="shared" si="21"/>
        <v>0</v>
      </c>
      <c r="AK43" s="56">
        <f t="shared" si="21"/>
        <v>0</v>
      </c>
      <c r="AL43" s="56">
        <f t="shared" si="21"/>
        <v>0</v>
      </c>
      <c r="AM43" s="56">
        <f t="shared" si="21"/>
        <v>0</v>
      </c>
      <c r="AN43" s="56">
        <f t="shared" si="21"/>
        <v>0</v>
      </c>
      <c r="AO43" s="56">
        <f t="shared" si="21"/>
        <v>0</v>
      </c>
      <c r="AP43" s="56">
        <f t="shared" si="21"/>
        <v>0</v>
      </c>
      <c r="AQ43" s="56">
        <f t="shared" si="21"/>
        <v>0</v>
      </c>
      <c r="AR43" s="56">
        <f t="shared" si="21"/>
        <v>0</v>
      </c>
      <c r="AS43" s="56">
        <f t="shared" si="21"/>
        <v>0</v>
      </c>
      <c r="AT43" s="56">
        <f t="shared" si="21"/>
        <v>0</v>
      </c>
      <c r="AU43" s="56">
        <f t="shared" si="21"/>
        <v>0</v>
      </c>
      <c r="AV43" s="56">
        <f t="shared" si="21"/>
        <v>0</v>
      </c>
      <c r="AW43" s="56">
        <f t="shared" si="21"/>
        <v>0</v>
      </c>
      <c r="AX43" s="56">
        <f t="shared" si="21"/>
        <v>0</v>
      </c>
      <c r="AY43" s="56">
        <f t="shared" si="21"/>
        <v>0</v>
      </c>
      <c r="AZ43" s="56">
        <f t="shared" si="21"/>
        <v>0</v>
      </c>
      <c r="BA43" s="56">
        <f t="shared" si="21"/>
        <v>0</v>
      </c>
    </row>
    <row r="44" spans="2:53" x14ac:dyDescent="0.2">
      <c r="B44" s="57"/>
      <c r="D44" s="44"/>
      <c r="E44" s="44"/>
      <c r="F44" s="44"/>
      <c r="G44" s="44"/>
      <c r="H44" s="44"/>
      <c r="I44" s="44"/>
      <c r="J44" s="44"/>
      <c r="K44" s="44"/>
      <c r="L44" s="44"/>
      <c r="M44" s="44"/>
      <c r="N44" s="44"/>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row>
    <row r="45" spans="2:53" x14ac:dyDescent="0.2">
      <c r="B45" s="46" t="s">
        <v>49</v>
      </c>
      <c r="C45" s="65" t="s">
        <v>75</v>
      </c>
      <c r="D45" s="44"/>
      <c r="E45" s="44"/>
      <c r="F45" s="44"/>
      <c r="G45" s="6"/>
      <c r="H45" s="44">
        <f>H18</f>
        <v>0</v>
      </c>
      <c r="I45" s="44">
        <f t="shared" ref="I45:BA45" si="22">+H45-I47</f>
        <v>0</v>
      </c>
      <c r="J45" s="44">
        <f t="shared" si="22"/>
        <v>0</v>
      </c>
      <c r="K45" s="44">
        <f t="shared" si="22"/>
        <v>0</v>
      </c>
      <c r="L45" s="44">
        <f t="shared" si="22"/>
        <v>0</v>
      </c>
      <c r="M45" s="44">
        <f t="shared" si="22"/>
        <v>0</v>
      </c>
      <c r="N45" s="44">
        <f t="shared" si="22"/>
        <v>0</v>
      </c>
      <c r="O45" s="56">
        <f t="shared" si="22"/>
        <v>0</v>
      </c>
      <c r="P45" s="56">
        <f t="shared" si="22"/>
        <v>0</v>
      </c>
      <c r="Q45" s="56">
        <f t="shared" si="22"/>
        <v>0</v>
      </c>
      <c r="R45" s="56">
        <f t="shared" si="22"/>
        <v>0</v>
      </c>
      <c r="S45" s="56">
        <f t="shared" si="22"/>
        <v>0</v>
      </c>
      <c r="T45" s="56">
        <f t="shared" si="22"/>
        <v>0</v>
      </c>
      <c r="U45" s="56">
        <f t="shared" si="22"/>
        <v>0</v>
      </c>
      <c r="V45" s="56">
        <f t="shared" si="22"/>
        <v>0</v>
      </c>
      <c r="W45" s="56">
        <f t="shared" si="22"/>
        <v>0</v>
      </c>
      <c r="X45" s="56">
        <f t="shared" si="22"/>
        <v>0</v>
      </c>
      <c r="Y45" s="56">
        <f t="shared" si="22"/>
        <v>0</v>
      </c>
      <c r="Z45" s="56">
        <f t="shared" si="22"/>
        <v>0</v>
      </c>
      <c r="AA45" s="56">
        <f t="shared" si="22"/>
        <v>0</v>
      </c>
      <c r="AB45" s="56">
        <f t="shared" si="22"/>
        <v>0</v>
      </c>
      <c r="AC45" s="56">
        <f t="shared" si="22"/>
        <v>0</v>
      </c>
      <c r="AD45" s="56">
        <f t="shared" si="22"/>
        <v>0</v>
      </c>
      <c r="AE45" s="56">
        <f t="shared" si="22"/>
        <v>0</v>
      </c>
      <c r="AF45" s="56">
        <f t="shared" si="22"/>
        <v>0</v>
      </c>
      <c r="AG45" s="56">
        <f t="shared" si="22"/>
        <v>0</v>
      </c>
      <c r="AH45" s="56">
        <f t="shared" si="22"/>
        <v>0</v>
      </c>
      <c r="AI45" s="56">
        <f t="shared" si="22"/>
        <v>0</v>
      </c>
      <c r="AJ45" s="56">
        <f t="shared" si="22"/>
        <v>0</v>
      </c>
      <c r="AK45" s="56">
        <f t="shared" si="22"/>
        <v>0</v>
      </c>
      <c r="AL45" s="56">
        <f t="shared" si="22"/>
        <v>0</v>
      </c>
      <c r="AM45" s="56">
        <f t="shared" si="22"/>
        <v>0</v>
      </c>
      <c r="AN45" s="56">
        <f t="shared" si="22"/>
        <v>0</v>
      </c>
      <c r="AO45" s="56">
        <f t="shared" si="22"/>
        <v>0</v>
      </c>
      <c r="AP45" s="56">
        <f t="shared" si="22"/>
        <v>0</v>
      </c>
      <c r="AQ45" s="56">
        <f t="shared" si="22"/>
        <v>0</v>
      </c>
      <c r="AR45" s="56">
        <f t="shared" si="22"/>
        <v>0</v>
      </c>
      <c r="AS45" s="56">
        <f t="shared" si="22"/>
        <v>0</v>
      </c>
      <c r="AT45" s="56">
        <f t="shared" si="22"/>
        <v>0</v>
      </c>
      <c r="AU45" s="56">
        <f t="shared" si="22"/>
        <v>0</v>
      </c>
      <c r="AV45" s="56">
        <f t="shared" si="22"/>
        <v>0</v>
      </c>
      <c r="AW45" s="56">
        <f t="shared" si="22"/>
        <v>0</v>
      </c>
      <c r="AX45" s="56">
        <f t="shared" si="22"/>
        <v>0</v>
      </c>
      <c r="AY45" s="56">
        <f t="shared" si="22"/>
        <v>0</v>
      </c>
      <c r="AZ45" s="56">
        <f t="shared" si="22"/>
        <v>0</v>
      </c>
      <c r="BA45" s="56">
        <f t="shared" si="22"/>
        <v>0</v>
      </c>
    </row>
    <row r="46" spans="2:53" x14ac:dyDescent="0.2">
      <c r="B46" s="57" t="s">
        <v>29</v>
      </c>
      <c r="C46" s="64">
        <f>+H45/((1-(1/(1+$C$9)^$C$8))/$C$9)</f>
        <v>0</v>
      </c>
      <c r="D46" s="44"/>
      <c r="E46" s="44"/>
      <c r="F46" s="44"/>
      <c r="G46" s="6"/>
      <c r="H46" s="44">
        <v>0</v>
      </c>
      <c r="I46" s="44">
        <f>+IF(H45&lt;0.01,0,$C46)</f>
        <v>0</v>
      </c>
      <c r="J46" s="44">
        <f t="shared" ref="J46:BA46" si="23">+IF(I45&lt;0.01,0,$C$46)</f>
        <v>0</v>
      </c>
      <c r="K46" s="44">
        <f t="shared" si="23"/>
        <v>0</v>
      </c>
      <c r="L46" s="44">
        <f t="shared" si="23"/>
        <v>0</v>
      </c>
      <c r="M46" s="44">
        <f t="shared" si="23"/>
        <v>0</v>
      </c>
      <c r="N46" s="44">
        <f t="shared" si="23"/>
        <v>0</v>
      </c>
      <c r="O46" s="56">
        <f t="shared" si="23"/>
        <v>0</v>
      </c>
      <c r="P46" s="56">
        <f t="shared" si="23"/>
        <v>0</v>
      </c>
      <c r="Q46" s="56">
        <f t="shared" si="23"/>
        <v>0</v>
      </c>
      <c r="R46" s="56">
        <f t="shared" si="23"/>
        <v>0</v>
      </c>
      <c r="S46" s="56">
        <f t="shared" si="23"/>
        <v>0</v>
      </c>
      <c r="T46" s="56">
        <f t="shared" si="23"/>
        <v>0</v>
      </c>
      <c r="U46" s="56">
        <f t="shared" si="23"/>
        <v>0</v>
      </c>
      <c r="V46" s="56">
        <f t="shared" si="23"/>
        <v>0</v>
      </c>
      <c r="W46" s="56">
        <f t="shared" si="23"/>
        <v>0</v>
      </c>
      <c r="X46" s="56">
        <f t="shared" si="23"/>
        <v>0</v>
      </c>
      <c r="Y46" s="56">
        <f t="shared" si="23"/>
        <v>0</v>
      </c>
      <c r="Z46" s="56">
        <f t="shared" si="23"/>
        <v>0</v>
      </c>
      <c r="AA46" s="56">
        <f t="shared" si="23"/>
        <v>0</v>
      </c>
      <c r="AB46" s="56">
        <f t="shared" si="23"/>
        <v>0</v>
      </c>
      <c r="AC46" s="56">
        <f t="shared" si="23"/>
        <v>0</v>
      </c>
      <c r="AD46" s="56">
        <f t="shared" si="23"/>
        <v>0</v>
      </c>
      <c r="AE46" s="56">
        <f t="shared" si="23"/>
        <v>0</v>
      </c>
      <c r="AF46" s="56">
        <f t="shared" si="23"/>
        <v>0</v>
      </c>
      <c r="AG46" s="56">
        <f t="shared" si="23"/>
        <v>0</v>
      </c>
      <c r="AH46" s="56">
        <f t="shared" si="23"/>
        <v>0</v>
      </c>
      <c r="AI46" s="56">
        <f t="shared" si="23"/>
        <v>0</v>
      </c>
      <c r="AJ46" s="56">
        <f t="shared" si="23"/>
        <v>0</v>
      </c>
      <c r="AK46" s="56">
        <f t="shared" si="23"/>
        <v>0</v>
      </c>
      <c r="AL46" s="56">
        <f t="shared" si="23"/>
        <v>0</v>
      </c>
      <c r="AM46" s="56">
        <f t="shared" si="23"/>
        <v>0</v>
      </c>
      <c r="AN46" s="56">
        <f t="shared" si="23"/>
        <v>0</v>
      </c>
      <c r="AO46" s="56">
        <f t="shared" si="23"/>
        <v>0</v>
      </c>
      <c r="AP46" s="56">
        <f t="shared" si="23"/>
        <v>0</v>
      </c>
      <c r="AQ46" s="56">
        <f t="shared" si="23"/>
        <v>0</v>
      </c>
      <c r="AR46" s="56">
        <f t="shared" si="23"/>
        <v>0</v>
      </c>
      <c r="AS46" s="56">
        <f t="shared" si="23"/>
        <v>0</v>
      </c>
      <c r="AT46" s="56">
        <f t="shared" si="23"/>
        <v>0</v>
      </c>
      <c r="AU46" s="56">
        <f t="shared" si="23"/>
        <v>0</v>
      </c>
      <c r="AV46" s="56">
        <f t="shared" si="23"/>
        <v>0</v>
      </c>
      <c r="AW46" s="56">
        <f t="shared" si="23"/>
        <v>0</v>
      </c>
      <c r="AX46" s="56">
        <f t="shared" si="23"/>
        <v>0</v>
      </c>
      <c r="AY46" s="56">
        <f t="shared" si="23"/>
        <v>0</v>
      </c>
      <c r="AZ46" s="56">
        <f t="shared" si="23"/>
        <v>0</v>
      </c>
      <c r="BA46" s="56">
        <f t="shared" si="23"/>
        <v>0</v>
      </c>
    </row>
    <row r="47" spans="2:53" x14ac:dyDescent="0.2">
      <c r="B47" s="57" t="s">
        <v>30</v>
      </c>
      <c r="C47" s="65" t="s">
        <v>75</v>
      </c>
      <c r="D47" s="44"/>
      <c r="E47" s="44"/>
      <c r="F47" s="44"/>
      <c r="G47" s="6"/>
      <c r="H47" s="44">
        <v>0</v>
      </c>
      <c r="I47" s="44">
        <f>+I46-I48</f>
        <v>0</v>
      </c>
      <c r="J47" s="44">
        <f t="shared" ref="J47:BA47" si="24">+J46-J48</f>
        <v>0</v>
      </c>
      <c r="K47" s="44">
        <f t="shared" si="24"/>
        <v>0</v>
      </c>
      <c r="L47" s="44">
        <f t="shared" si="24"/>
        <v>0</v>
      </c>
      <c r="M47" s="44">
        <f t="shared" si="24"/>
        <v>0</v>
      </c>
      <c r="N47" s="44">
        <f t="shared" si="24"/>
        <v>0</v>
      </c>
      <c r="O47" s="56">
        <f t="shared" si="24"/>
        <v>0</v>
      </c>
      <c r="P47" s="56">
        <f t="shared" si="24"/>
        <v>0</v>
      </c>
      <c r="Q47" s="56">
        <f t="shared" si="24"/>
        <v>0</v>
      </c>
      <c r="R47" s="56">
        <f t="shared" si="24"/>
        <v>0</v>
      </c>
      <c r="S47" s="56">
        <f t="shared" si="24"/>
        <v>0</v>
      </c>
      <c r="T47" s="56">
        <f t="shared" si="24"/>
        <v>0</v>
      </c>
      <c r="U47" s="56">
        <f t="shared" si="24"/>
        <v>0</v>
      </c>
      <c r="V47" s="56">
        <f t="shared" si="24"/>
        <v>0</v>
      </c>
      <c r="W47" s="56">
        <f t="shared" si="24"/>
        <v>0</v>
      </c>
      <c r="X47" s="56">
        <f t="shared" si="24"/>
        <v>0</v>
      </c>
      <c r="Y47" s="56">
        <f t="shared" si="24"/>
        <v>0</v>
      </c>
      <c r="Z47" s="56">
        <f t="shared" si="24"/>
        <v>0</v>
      </c>
      <c r="AA47" s="56">
        <f t="shared" si="24"/>
        <v>0</v>
      </c>
      <c r="AB47" s="56">
        <f t="shared" si="24"/>
        <v>0</v>
      </c>
      <c r="AC47" s="56">
        <f t="shared" si="24"/>
        <v>0</v>
      </c>
      <c r="AD47" s="56">
        <f t="shared" si="24"/>
        <v>0</v>
      </c>
      <c r="AE47" s="56">
        <f t="shared" si="24"/>
        <v>0</v>
      </c>
      <c r="AF47" s="56">
        <f t="shared" si="24"/>
        <v>0</v>
      </c>
      <c r="AG47" s="56">
        <f t="shared" si="24"/>
        <v>0</v>
      </c>
      <c r="AH47" s="56">
        <f t="shared" si="24"/>
        <v>0</v>
      </c>
      <c r="AI47" s="56">
        <f t="shared" si="24"/>
        <v>0</v>
      </c>
      <c r="AJ47" s="56">
        <f t="shared" si="24"/>
        <v>0</v>
      </c>
      <c r="AK47" s="56">
        <f t="shared" si="24"/>
        <v>0</v>
      </c>
      <c r="AL47" s="56">
        <f t="shared" si="24"/>
        <v>0</v>
      </c>
      <c r="AM47" s="56">
        <f t="shared" si="24"/>
        <v>0</v>
      </c>
      <c r="AN47" s="56">
        <f t="shared" si="24"/>
        <v>0</v>
      </c>
      <c r="AO47" s="56">
        <f t="shared" si="24"/>
        <v>0</v>
      </c>
      <c r="AP47" s="56">
        <f t="shared" si="24"/>
        <v>0</v>
      </c>
      <c r="AQ47" s="56">
        <f t="shared" si="24"/>
        <v>0</v>
      </c>
      <c r="AR47" s="56">
        <f t="shared" si="24"/>
        <v>0</v>
      </c>
      <c r="AS47" s="56">
        <f t="shared" si="24"/>
        <v>0</v>
      </c>
      <c r="AT47" s="56">
        <f t="shared" si="24"/>
        <v>0</v>
      </c>
      <c r="AU47" s="56">
        <f t="shared" si="24"/>
        <v>0</v>
      </c>
      <c r="AV47" s="56">
        <f t="shared" si="24"/>
        <v>0</v>
      </c>
      <c r="AW47" s="56">
        <f t="shared" si="24"/>
        <v>0</v>
      </c>
      <c r="AX47" s="56">
        <f t="shared" si="24"/>
        <v>0</v>
      </c>
      <c r="AY47" s="56">
        <f t="shared" si="24"/>
        <v>0</v>
      </c>
      <c r="AZ47" s="56">
        <f t="shared" si="24"/>
        <v>0</v>
      </c>
      <c r="BA47" s="56">
        <f t="shared" si="24"/>
        <v>0</v>
      </c>
    </row>
    <row r="48" spans="2:53" x14ac:dyDescent="0.2">
      <c r="B48" s="57" t="s">
        <v>3</v>
      </c>
      <c r="C48" s="65" t="s">
        <v>75</v>
      </c>
      <c r="D48" s="44"/>
      <c r="E48" s="44"/>
      <c r="F48" s="44"/>
      <c r="G48" s="6"/>
      <c r="H48" s="44">
        <v>0</v>
      </c>
      <c r="I48" s="44">
        <f t="shared" ref="I48:BA48" si="25">+$C$9*H45</f>
        <v>0</v>
      </c>
      <c r="J48" s="44">
        <f t="shared" si="25"/>
        <v>0</v>
      </c>
      <c r="K48" s="44">
        <f t="shared" si="25"/>
        <v>0</v>
      </c>
      <c r="L48" s="44">
        <f t="shared" si="25"/>
        <v>0</v>
      </c>
      <c r="M48" s="44">
        <f t="shared" si="25"/>
        <v>0</v>
      </c>
      <c r="N48" s="44">
        <f t="shared" si="25"/>
        <v>0</v>
      </c>
      <c r="O48" s="56">
        <f t="shared" si="25"/>
        <v>0</v>
      </c>
      <c r="P48" s="56">
        <f t="shared" si="25"/>
        <v>0</v>
      </c>
      <c r="Q48" s="56">
        <f t="shared" si="25"/>
        <v>0</v>
      </c>
      <c r="R48" s="56">
        <f t="shared" si="25"/>
        <v>0</v>
      </c>
      <c r="S48" s="56">
        <f t="shared" si="25"/>
        <v>0</v>
      </c>
      <c r="T48" s="56">
        <f t="shared" si="25"/>
        <v>0</v>
      </c>
      <c r="U48" s="56">
        <f t="shared" si="25"/>
        <v>0</v>
      </c>
      <c r="V48" s="56">
        <f t="shared" si="25"/>
        <v>0</v>
      </c>
      <c r="W48" s="56">
        <f t="shared" si="25"/>
        <v>0</v>
      </c>
      <c r="X48" s="56">
        <f t="shared" si="25"/>
        <v>0</v>
      </c>
      <c r="Y48" s="56">
        <f t="shared" si="25"/>
        <v>0</v>
      </c>
      <c r="Z48" s="56">
        <f t="shared" si="25"/>
        <v>0</v>
      </c>
      <c r="AA48" s="56">
        <f t="shared" si="25"/>
        <v>0</v>
      </c>
      <c r="AB48" s="56">
        <f t="shared" si="25"/>
        <v>0</v>
      </c>
      <c r="AC48" s="56">
        <f t="shared" si="25"/>
        <v>0</v>
      </c>
      <c r="AD48" s="56">
        <f t="shared" si="25"/>
        <v>0</v>
      </c>
      <c r="AE48" s="56">
        <f t="shared" si="25"/>
        <v>0</v>
      </c>
      <c r="AF48" s="56">
        <f t="shared" si="25"/>
        <v>0</v>
      </c>
      <c r="AG48" s="56">
        <f t="shared" si="25"/>
        <v>0</v>
      </c>
      <c r="AH48" s="56">
        <f t="shared" si="25"/>
        <v>0</v>
      </c>
      <c r="AI48" s="56">
        <f t="shared" si="25"/>
        <v>0</v>
      </c>
      <c r="AJ48" s="56">
        <f t="shared" si="25"/>
        <v>0</v>
      </c>
      <c r="AK48" s="56">
        <f t="shared" si="25"/>
        <v>0</v>
      </c>
      <c r="AL48" s="56">
        <f t="shared" si="25"/>
        <v>0</v>
      </c>
      <c r="AM48" s="56">
        <f t="shared" si="25"/>
        <v>0</v>
      </c>
      <c r="AN48" s="56">
        <f t="shared" si="25"/>
        <v>0</v>
      </c>
      <c r="AO48" s="56">
        <f t="shared" si="25"/>
        <v>0</v>
      </c>
      <c r="AP48" s="56">
        <f t="shared" si="25"/>
        <v>0</v>
      </c>
      <c r="AQ48" s="56">
        <f t="shared" si="25"/>
        <v>0</v>
      </c>
      <c r="AR48" s="56">
        <f t="shared" si="25"/>
        <v>0</v>
      </c>
      <c r="AS48" s="56">
        <f t="shared" si="25"/>
        <v>0</v>
      </c>
      <c r="AT48" s="56">
        <f t="shared" si="25"/>
        <v>0</v>
      </c>
      <c r="AU48" s="56">
        <f t="shared" si="25"/>
        <v>0</v>
      </c>
      <c r="AV48" s="56">
        <f t="shared" si="25"/>
        <v>0</v>
      </c>
      <c r="AW48" s="56">
        <f t="shared" si="25"/>
        <v>0</v>
      </c>
      <c r="AX48" s="56">
        <f t="shared" si="25"/>
        <v>0</v>
      </c>
      <c r="AY48" s="56">
        <f t="shared" si="25"/>
        <v>0</v>
      </c>
      <c r="AZ48" s="56">
        <f t="shared" si="25"/>
        <v>0</v>
      </c>
      <c r="BA48" s="56">
        <f t="shared" si="25"/>
        <v>0</v>
      </c>
    </row>
    <row r="49" spans="2:53" x14ac:dyDescent="0.2">
      <c r="B49" s="57"/>
      <c r="D49" s="44"/>
      <c r="E49" s="44"/>
      <c r="F49" s="44"/>
      <c r="G49" s="44"/>
      <c r="H49" s="44"/>
      <c r="I49" s="44"/>
      <c r="J49" s="44"/>
      <c r="K49" s="44"/>
      <c r="L49" s="44"/>
      <c r="M49" s="44"/>
      <c r="N49" s="44"/>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row>
    <row r="50" spans="2:53" x14ac:dyDescent="0.2">
      <c r="B50" s="46" t="s">
        <v>50</v>
      </c>
      <c r="C50" s="65" t="s">
        <v>75</v>
      </c>
      <c r="D50" s="44"/>
      <c r="E50" s="44"/>
      <c r="F50" s="44"/>
      <c r="G50" s="6"/>
      <c r="H50" s="6"/>
      <c r="I50" s="44">
        <f>I18</f>
        <v>0</v>
      </c>
      <c r="J50" s="44">
        <f t="shared" ref="J50:BA50" si="26">+I50-J52</f>
        <v>0</v>
      </c>
      <c r="K50" s="44">
        <f t="shared" si="26"/>
        <v>0</v>
      </c>
      <c r="L50" s="44">
        <f t="shared" si="26"/>
        <v>0</v>
      </c>
      <c r="M50" s="44">
        <f t="shared" si="26"/>
        <v>0</v>
      </c>
      <c r="N50" s="44">
        <f t="shared" si="26"/>
        <v>0</v>
      </c>
      <c r="O50" s="56">
        <f t="shared" si="26"/>
        <v>0</v>
      </c>
      <c r="P50" s="56">
        <f t="shared" si="26"/>
        <v>0</v>
      </c>
      <c r="Q50" s="56">
        <f t="shared" si="26"/>
        <v>0</v>
      </c>
      <c r="R50" s="56">
        <f t="shared" si="26"/>
        <v>0</v>
      </c>
      <c r="S50" s="56">
        <f t="shared" si="26"/>
        <v>0</v>
      </c>
      <c r="T50" s="56">
        <f t="shared" si="26"/>
        <v>0</v>
      </c>
      <c r="U50" s="56">
        <f t="shared" si="26"/>
        <v>0</v>
      </c>
      <c r="V50" s="56">
        <f t="shared" si="26"/>
        <v>0</v>
      </c>
      <c r="W50" s="56">
        <f t="shared" si="26"/>
        <v>0</v>
      </c>
      <c r="X50" s="56">
        <f t="shared" si="26"/>
        <v>0</v>
      </c>
      <c r="Y50" s="56">
        <f t="shared" si="26"/>
        <v>0</v>
      </c>
      <c r="Z50" s="56">
        <f t="shared" si="26"/>
        <v>0</v>
      </c>
      <c r="AA50" s="56">
        <f t="shared" si="26"/>
        <v>0</v>
      </c>
      <c r="AB50" s="56">
        <f t="shared" si="26"/>
        <v>0</v>
      </c>
      <c r="AC50" s="56">
        <f t="shared" si="26"/>
        <v>0</v>
      </c>
      <c r="AD50" s="56">
        <f t="shared" si="26"/>
        <v>0</v>
      </c>
      <c r="AE50" s="56">
        <f t="shared" si="26"/>
        <v>0</v>
      </c>
      <c r="AF50" s="56">
        <f t="shared" si="26"/>
        <v>0</v>
      </c>
      <c r="AG50" s="56">
        <f t="shared" si="26"/>
        <v>0</v>
      </c>
      <c r="AH50" s="56">
        <f t="shared" si="26"/>
        <v>0</v>
      </c>
      <c r="AI50" s="56">
        <f t="shared" si="26"/>
        <v>0</v>
      </c>
      <c r="AJ50" s="56">
        <f t="shared" si="26"/>
        <v>0</v>
      </c>
      <c r="AK50" s="56">
        <f t="shared" si="26"/>
        <v>0</v>
      </c>
      <c r="AL50" s="56">
        <f t="shared" si="26"/>
        <v>0</v>
      </c>
      <c r="AM50" s="56">
        <f t="shared" si="26"/>
        <v>0</v>
      </c>
      <c r="AN50" s="56">
        <f t="shared" si="26"/>
        <v>0</v>
      </c>
      <c r="AO50" s="56">
        <f t="shared" si="26"/>
        <v>0</v>
      </c>
      <c r="AP50" s="56">
        <f t="shared" si="26"/>
        <v>0</v>
      </c>
      <c r="AQ50" s="56">
        <f t="shared" si="26"/>
        <v>0</v>
      </c>
      <c r="AR50" s="56">
        <f t="shared" si="26"/>
        <v>0</v>
      </c>
      <c r="AS50" s="56">
        <f t="shared" si="26"/>
        <v>0</v>
      </c>
      <c r="AT50" s="56">
        <f t="shared" si="26"/>
        <v>0</v>
      </c>
      <c r="AU50" s="56">
        <f t="shared" si="26"/>
        <v>0</v>
      </c>
      <c r="AV50" s="56">
        <f t="shared" si="26"/>
        <v>0</v>
      </c>
      <c r="AW50" s="56">
        <f t="shared" si="26"/>
        <v>0</v>
      </c>
      <c r="AX50" s="56">
        <f t="shared" si="26"/>
        <v>0</v>
      </c>
      <c r="AY50" s="56">
        <f t="shared" si="26"/>
        <v>0</v>
      </c>
      <c r="AZ50" s="56">
        <f t="shared" si="26"/>
        <v>0</v>
      </c>
      <c r="BA50" s="56">
        <f t="shared" si="26"/>
        <v>0</v>
      </c>
    </row>
    <row r="51" spans="2:53" x14ac:dyDescent="0.2">
      <c r="B51" s="57" t="s">
        <v>29</v>
      </c>
      <c r="C51" s="64">
        <f>+I50/((1-(1/(1+$C$9)^$C$8))/$C$9)</f>
        <v>0</v>
      </c>
      <c r="D51" s="44"/>
      <c r="E51" s="44"/>
      <c r="F51" s="44"/>
      <c r="G51" s="6"/>
      <c r="H51" s="6"/>
      <c r="I51" s="44">
        <v>0</v>
      </c>
      <c r="J51" s="44">
        <f>+IF(I50&lt;0.01,0,$C$51)</f>
        <v>0</v>
      </c>
      <c r="K51" s="44">
        <f t="shared" ref="K51:BA51" si="27">+IF(J50&lt;0.01,0,$C$51)</f>
        <v>0</v>
      </c>
      <c r="L51" s="44">
        <f t="shared" si="27"/>
        <v>0</v>
      </c>
      <c r="M51" s="44">
        <f t="shared" si="27"/>
        <v>0</v>
      </c>
      <c r="N51" s="44">
        <f t="shared" si="27"/>
        <v>0</v>
      </c>
      <c r="O51" s="56">
        <f t="shared" si="27"/>
        <v>0</v>
      </c>
      <c r="P51" s="56">
        <f t="shared" si="27"/>
        <v>0</v>
      </c>
      <c r="Q51" s="56">
        <f t="shared" si="27"/>
        <v>0</v>
      </c>
      <c r="R51" s="56">
        <f t="shared" si="27"/>
        <v>0</v>
      </c>
      <c r="S51" s="56">
        <f t="shared" si="27"/>
        <v>0</v>
      </c>
      <c r="T51" s="56">
        <f t="shared" si="27"/>
        <v>0</v>
      </c>
      <c r="U51" s="56">
        <f t="shared" si="27"/>
        <v>0</v>
      </c>
      <c r="V51" s="56">
        <f t="shared" si="27"/>
        <v>0</v>
      </c>
      <c r="W51" s="56">
        <f t="shared" si="27"/>
        <v>0</v>
      </c>
      <c r="X51" s="56">
        <f t="shared" si="27"/>
        <v>0</v>
      </c>
      <c r="Y51" s="56">
        <f t="shared" si="27"/>
        <v>0</v>
      </c>
      <c r="Z51" s="56">
        <f t="shared" si="27"/>
        <v>0</v>
      </c>
      <c r="AA51" s="56">
        <f t="shared" si="27"/>
        <v>0</v>
      </c>
      <c r="AB51" s="56">
        <f t="shared" si="27"/>
        <v>0</v>
      </c>
      <c r="AC51" s="56">
        <f t="shared" si="27"/>
        <v>0</v>
      </c>
      <c r="AD51" s="56">
        <f t="shared" si="27"/>
        <v>0</v>
      </c>
      <c r="AE51" s="56">
        <f t="shared" si="27"/>
        <v>0</v>
      </c>
      <c r="AF51" s="56">
        <f t="shared" si="27"/>
        <v>0</v>
      </c>
      <c r="AG51" s="56">
        <f t="shared" si="27"/>
        <v>0</v>
      </c>
      <c r="AH51" s="56">
        <f t="shared" si="27"/>
        <v>0</v>
      </c>
      <c r="AI51" s="56">
        <f t="shared" si="27"/>
        <v>0</v>
      </c>
      <c r="AJ51" s="56">
        <f t="shared" si="27"/>
        <v>0</v>
      </c>
      <c r="AK51" s="56">
        <f t="shared" si="27"/>
        <v>0</v>
      </c>
      <c r="AL51" s="56">
        <f t="shared" si="27"/>
        <v>0</v>
      </c>
      <c r="AM51" s="56">
        <f t="shared" si="27"/>
        <v>0</v>
      </c>
      <c r="AN51" s="56">
        <f t="shared" si="27"/>
        <v>0</v>
      </c>
      <c r="AO51" s="56">
        <f t="shared" si="27"/>
        <v>0</v>
      </c>
      <c r="AP51" s="56">
        <f t="shared" si="27"/>
        <v>0</v>
      </c>
      <c r="AQ51" s="56">
        <f t="shared" si="27"/>
        <v>0</v>
      </c>
      <c r="AR51" s="56">
        <f t="shared" si="27"/>
        <v>0</v>
      </c>
      <c r="AS51" s="56">
        <f t="shared" si="27"/>
        <v>0</v>
      </c>
      <c r="AT51" s="56">
        <f t="shared" si="27"/>
        <v>0</v>
      </c>
      <c r="AU51" s="56">
        <f t="shared" si="27"/>
        <v>0</v>
      </c>
      <c r="AV51" s="56">
        <f t="shared" si="27"/>
        <v>0</v>
      </c>
      <c r="AW51" s="56">
        <f t="shared" si="27"/>
        <v>0</v>
      </c>
      <c r="AX51" s="56">
        <f t="shared" si="27"/>
        <v>0</v>
      </c>
      <c r="AY51" s="56">
        <f t="shared" si="27"/>
        <v>0</v>
      </c>
      <c r="AZ51" s="56">
        <f t="shared" si="27"/>
        <v>0</v>
      </c>
      <c r="BA51" s="56">
        <f t="shared" si="27"/>
        <v>0</v>
      </c>
    </row>
    <row r="52" spans="2:53" x14ac:dyDescent="0.2">
      <c r="B52" s="57" t="s">
        <v>30</v>
      </c>
      <c r="C52" s="65" t="s">
        <v>75</v>
      </c>
      <c r="D52" s="44"/>
      <c r="E52" s="44"/>
      <c r="F52" s="44"/>
      <c r="G52" s="6"/>
      <c r="H52" s="6"/>
      <c r="I52" s="44">
        <v>0</v>
      </c>
      <c r="J52" s="44">
        <f>+J51-J53</f>
        <v>0</v>
      </c>
      <c r="K52" s="44">
        <f t="shared" ref="K52:BA52" si="28">+K51-K53</f>
        <v>0</v>
      </c>
      <c r="L52" s="44">
        <f t="shared" si="28"/>
        <v>0</v>
      </c>
      <c r="M52" s="44">
        <f t="shared" si="28"/>
        <v>0</v>
      </c>
      <c r="N52" s="44">
        <f t="shared" si="28"/>
        <v>0</v>
      </c>
      <c r="O52" s="56">
        <f t="shared" si="28"/>
        <v>0</v>
      </c>
      <c r="P52" s="56">
        <f t="shared" si="28"/>
        <v>0</v>
      </c>
      <c r="Q52" s="56">
        <f t="shared" si="28"/>
        <v>0</v>
      </c>
      <c r="R52" s="56">
        <f t="shared" si="28"/>
        <v>0</v>
      </c>
      <c r="S52" s="56">
        <f t="shared" si="28"/>
        <v>0</v>
      </c>
      <c r="T52" s="56">
        <f t="shared" si="28"/>
        <v>0</v>
      </c>
      <c r="U52" s="56">
        <f t="shared" si="28"/>
        <v>0</v>
      </c>
      <c r="V52" s="56">
        <f t="shared" si="28"/>
        <v>0</v>
      </c>
      <c r="W52" s="56">
        <f t="shared" si="28"/>
        <v>0</v>
      </c>
      <c r="X52" s="56">
        <f t="shared" si="28"/>
        <v>0</v>
      </c>
      <c r="Y52" s="56">
        <f t="shared" si="28"/>
        <v>0</v>
      </c>
      <c r="Z52" s="56">
        <f t="shared" si="28"/>
        <v>0</v>
      </c>
      <c r="AA52" s="56">
        <f t="shared" si="28"/>
        <v>0</v>
      </c>
      <c r="AB52" s="56">
        <f t="shared" si="28"/>
        <v>0</v>
      </c>
      <c r="AC52" s="56">
        <f t="shared" si="28"/>
        <v>0</v>
      </c>
      <c r="AD52" s="56">
        <f t="shared" si="28"/>
        <v>0</v>
      </c>
      <c r="AE52" s="56">
        <f t="shared" si="28"/>
        <v>0</v>
      </c>
      <c r="AF52" s="56">
        <f t="shared" si="28"/>
        <v>0</v>
      </c>
      <c r="AG52" s="56">
        <f t="shared" si="28"/>
        <v>0</v>
      </c>
      <c r="AH52" s="56">
        <f t="shared" si="28"/>
        <v>0</v>
      </c>
      <c r="AI52" s="56">
        <f t="shared" si="28"/>
        <v>0</v>
      </c>
      <c r="AJ52" s="56">
        <f t="shared" si="28"/>
        <v>0</v>
      </c>
      <c r="AK52" s="56">
        <f t="shared" si="28"/>
        <v>0</v>
      </c>
      <c r="AL52" s="56">
        <f t="shared" si="28"/>
        <v>0</v>
      </c>
      <c r="AM52" s="56">
        <f t="shared" si="28"/>
        <v>0</v>
      </c>
      <c r="AN52" s="56">
        <f t="shared" si="28"/>
        <v>0</v>
      </c>
      <c r="AO52" s="56">
        <f t="shared" si="28"/>
        <v>0</v>
      </c>
      <c r="AP52" s="56">
        <f t="shared" si="28"/>
        <v>0</v>
      </c>
      <c r="AQ52" s="56">
        <f t="shared" si="28"/>
        <v>0</v>
      </c>
      <c r="AR52" s="56">
        <f t="shared" si="28"/>
        <v>0</v>
      </c>
      <c r="AS52" s="56">
        <f t="shared" si="28"/>
        <v>0</v>
      </c>
      <c r="AT52" s="56">
        <f t="shared" si="28"/>
        <v>0</v>
      </c>
      <c r="AU52" s="56">
        <f t="shared" si="28"/>
        <v>0</v>
      </c>
      <c r="AV52" s="56">
        <f t="shared" si="28"/>
        <v>0</v>
      </c>
      <c r="AW52" s="56">
        <f t="shared" si="28"/>
        <v>0</v>
      </c>
      <c r="AX52" s="56">
        <f t="shared" si="28"/>
        <v>0</v>
      </c>
      <c r="AY52" s="56">
        <f t="shared" si="28"/>
        <v>0</v>
      </c>
      <c r="AZ52" s="56">
        <f t="shared" si="28"/>
        <v>0</v>
      </c>
      <c r="BA52" s="56">
        <f t="shared" si="28"/>
        <v>0</v>
      </c>
    </row>
    <row r="53" spans="2:53" x14ac:dyDescent="0.2">
      <c r="B53" s="57" t="s">
        <v>3</v>
      </c>
      <c r="C53" s="65" t="s">
        <v>75</v>
      </c>
      <c r="D53" s="44"/>
      <c r="E53" s="44"/>
      <c r="F53" s="44"/>
      <c r="G53" s="6"/>
      <c r="H53" s="6"/>
      <c r="I53" s="44">
        <v>0</v>
      </c>
      <c r="J53" s="44">
        <f t="shared" ref="J53:BA53" si="29">+$C$9*I50</f>
        <v>0</v>
      </c>
      <c r="K53" s="44">
        <f t="shared" si="29"/>
        <v>0</v>
      </c>
      <c r="L53" s="44">
        <f t="shared" si="29"/>
        <v>0</v>
      </c>
      <c r="M53" s="44">
        <f t="shared" si="29"/>
        <v>0</v>
      </c>
      <c r="N53" s="44">
        <f t="shared" si="29"/>
        <v>0</v>
      </c>
      <c r="O53" s="56">
        <f t="shared" si="29"/>
        <v>0</v>
      </c>
      <c r="P53" s="56">
        <f t="shared" si="29"/>
        <v>0</v>
      </c>
      <c r="Q53" s="56">
        <f t="shared" si="29"/>
        <v>0</v>
      </c>
      <c r="R53" s="56">
        <f t="shared" si="29"/>
        <v>0</v>
      </c>
      <c r="S53" s="56">
        <f t="shared" si="29"/>
        <v>0</v>
      </c>
      <c r="T53" s="56">
        <f t="shared" si="29"/>
        <v>0</v>
      </c>
      <c r="U53" s="56">
        <f t="shared" si="29"/>
        <v>0</v>
      </c>
      <c r="V53" s="56">
        <f t="shared" si="29"/>
        <v>0</v>
      </c>
      <c r="W53" s="56">
        <f t="shared" si="29"/>
        <v>0</v>
      </c>
      <c r="X53" s="56">
        <f t="shared" si="29"/>
        <v>0</v>
      </c>
      <c r="Y53" s="56">
        <f t="shared" si="29"/>
        <v>0</v>
      </c>
      <c r="Z53" s="56">
        <f t="shared" si="29"/>
        <v>0</v>
      </c>
      <c r="AA53" s="56">
        <f t="shared" si="29"/>
        <v>0</v>
      </c>
      <c r="AB53" s="56">
        <f t="shared" si="29"/>
        <v>0</v>
      </c>
      <c r="AC53" s="56">
        <f t="shared" si="29"/>
        <v>0</v>
      </c>
      <c r="AD53" s="56">
        <f t="shared" si="29"/>
        <v>0</v>
      </c>
      <c r="AE53" s="56">
        <f t="shared" si="29"/>
        <v>0</v>
      </c>
      <c r="AF53" s="56">
        <f t="shared" si="29"/>
        <v>0</v>
      </c>
      <c r="AG53" s="56">
        <f t="shared" si="29"/>
        <v>0</v>
      </c>
      <c r="AH53" s="56">
        <f t="shared" si="29"/>
        <v>0</v>
      </c>
      <c r="AI53" s="56">
        <f t="shared" si="29"/>
        <v>0</v>
      </c>
      <c r="AJ53" s="56">
        <f t="shared" si="29"/>
        <v>0</v>
      </c>
      <c r="AK53" s="56">
        <f t="shared" si="29"/>
        <v>0</v>
      </c>
      <c r="AL53" s="56">
        <f t="shared" si="29"/>
        <v>0</v>
      </c>
      <c r="AM53" s="56">
        <f t="shared" si="29"/>
        <v>0</v>
      </c>
      <c r="AN53" s="56">
        <f t="shared" si="29"/>
        <v>0</v>
      </c>
      <c r="AO53" s="56">
        <f t="shared" si="29"/>
        <v>0</v>
      </c>
      <c r="AP53" s="56">
        <f t="shared" si="29"/>
        <v>0</v>
      </c>
      <c r="AQ53" s="56">
        <f t="shared" si="29"/>
        <v>0</v>
      </c>
      <c r="AR53" s="56">
        <f t="shared" si="29"/>
        <v>0</v>
      </c>
      <c r="AS53" s="56">
        <f t="shared" si="29"/>
        <v>0</v>
      </c>
      <c r="AT53" s="56">
        <f t="shared" si="29"/>
        <v>0</v>
      </c>
      <c r="AU53" s="56">
        <f t="shared" si="29"/>
        <v>0</v>
      </c>
      <c r="AV53" s="56">
        <f t="shared" si="29"/>
        <v>0</v>
      </c>
      <c r="AW53" s="56">
        <f t="shared" si="29"/>
        <v>0</v>
      </c>
      <c r="AX53" s="56">
        <f t="shared" si="29"/>
        <v>0</v>
      </c>
      <c r="AY53" s="56">
        <f t="shared" si="29"/>
        <v>0</v>
      </c>
      <c r="AZ53" s="56">
        <f t="shared" si="29"/>
        <v>0</v>
      </c>
      <c r="BA53" s="56">
        <f t="shared" si="29"/>
        <v>0</v>
      </c>
    </row>
    <row r="54" spans="2:53" x14ac:dyDescent="0.2">
      <c r="B54" s="57"/>
      <c r="D54" s="44"/>
      <c r="E54" s="44"/>
      <c r="F54" s="44"/>
      <c r="G54" s="44"/>
      <c r="H54" s="44"/>
      <c r="I54" s="44"/>
      <c r="J54" s="44"/>
      <c r="K54" s="44"/>
      <c r="L54" s="44"/>
      <c r="M54" s="44"/>
      <c r="N54" s="44"/>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row>
    <row r="55" spans="2:53" x14ac:dyDescent="0.2">
      <c r="B55" s="46" t="s">
        <v>51</v>
      </c>
      <c r="C55" s="65" t="s">
        <v>75</v>
      </c>
      <c r="D55" s="44"/>
      <c r="E55" s="44"/>
      <c r="F55" s="44"/>
      <c r="G55" s="6"/>
      <c r="H55" s="6"/>
      <c r="I55" s="6"/>
      <c r="J55" s="44">
        <f>J18</f>
        <v>0</v>
      </c>
      <c r="K55" s="44">
        <f t="shared" ref="K55:BA55" si="30">+J55-K57</f>
        <v>0</v>
      </c>
      <c r="L55" s="44">
        <f t="shared" si="30"/>
        <v>0</v>
      </c>
      <c r="M55" s="44">
        <f t="shared" si="30"/>
        <v>0</v>
      </c>
      <c r="N55" s="44">
        <f t="shared" si="30"/>
        <v>0</v>
      </c>
      <c r="O55" s="56">
        <f t="shared" si="30"/>
        <v>0</v>
      </c>
      <c r="P55" s="56">
        <f t="shared" si="30"/>
        <v>0</v>
      </c>
      <c r="Q55" s="56">
        <f t="shared" si="30"/>
        <v>0</v>
      </c>
      <c r="R55" s="56">
        <f t="shared" si="30"/>
        <v>0</v>
      </c>
      <c r="S55" s="56">
        <f t="shared" si="30"/>
        <v>0</v>
      </c>
      <c r="T55" s="56">
        <f t="shared" si="30"/>
        <v>0</v>
      </c>
      <c r="U55" s="56">
        <f t="shared" si="30"/>
        <v>0</v>
      </c>
      <c r="V55" s="56">
        <f t="shared" si="30"/>
        <v>0</v>
      </c>
      <c r="W55" s="56">
        <f t="shared" si="30"/>
        <v>0</v>
      </c>
      <c r="X55" s="56">
        <f t="shared" si="30"/>
        <v>0</v>
      </c>
      <c r="Y55" s="56">
        <f t="shared" si="30"/>
        <v>0</v>
      </c>
      <c r="Z55" s="56">
        <f t="shared" si="30"/>
        <v>0</v>
      </c>
      <c r="AA55" s="56">
        <f t="shared" si="30"/>
        <v>0</v>
      </c>
      <c r="AB55" s="56">
        <f t="shared" si="30"/>
        <v>0</v>
      </c>
      <c r="AC55" s="56">
        <f t="shared" si="30"/>
        <v>0</v>
      </c>
      <c r="AD55" s="56">
        <f t="shared" si="30"/>
        <v>0</v>
      </c>
      <c r="AE55" s="56">
        <f t="shared" si="30"/>
        <v>0</v>
      </c>
      <c r="AF55" s="56">
        <f t="shared" si="30"/>
        <v>0</v>
      </c>
      <c r="AG55" s="56">
        <f t="shared" si="30"/>
        <v>0</v>
      </c>
      <c r="AH55" s="56">
        <f t="shared" si="30"/>
        <v>0</v>
      </c>
      <c r="AI55" s="56">
        <f t="shared" si="30"/>
        <v>0</v>
      </c>
      <c r="AJ55" s="56">
        <f t="shared" si="30"/>
        <v>0</v>
      </c>
      <c r="AK55" s="56">
        <f t="shared" si="30"/>
        <v>0</v>
      </c>
      <c r="AL55" s="56">
        <f t="shared" si="30"/>
        <v>0</v>
      </c>
      <c r="AM55" s="56">
        <f t="shared" si="30"/>
        <v>0</v>
      </c>
      <c r="AN55" s="56">
        <f t="shared" si="30"/>
        <v>0</v>
      </c>
      <c r="AO55" s="56">
        <f t="shared" si="30"/>
        <v>0</v>
      </c>
      <c r="AP55" s="56">
        <f t="shared" si="30"/>
        <v>0</v>
      </c>
      <c r="AQ55" s="56">
        <f t="shared" si="30"/>
        <v>0</v>
      </c>
      <c r="AR55" s="56">
        <f t="shared" si="30"/>
        <v>0</v>
      </c>
      <c r="AS55" s="56">
        <f t="shared" si="30"/>
        <v>0</v>
      </c>
      <c r="AT55" s="56">
        <f t="shared" si="30"/>
        <v>0</v>
      </c>
      <c r="AU55" s="56">
        <f t="shared" si="30"/>
        <v>0</v>
      </c>
      <c r="AV55" s="56">
        <f t="shared" si="30"/>
        <v>0</v>
      </c>
      <c r="AW55" s="56">
        <f t="shared" si="30"/>
        <v>0</v>
      </c>
      <c r="AX55" s="56">
        <f t="shared" si="30"/>
        <v>0</v>
      </c>
      <c r="AY55" s="56">
        <f t="shared" si="30"/>
        <v>0</v>
      </c>
      <c r="AZ55" s="56">
        <f t="shared" si="30"/>
        <v>0</v>
      </c>
      <c r="BA55" s="56">
        <f t="shared" si="30"/>
        <v>0</v>
      </c>
    </row>
    <row r="56" spans="2:53" x14ac:dyDescent="0.2">
      <c r="B56" s="57" t="s">
        <v>29</v>
      </c>
      <c r="C56" s="64">
        <f>+J55/((1-(1/(1+$C$9)^$C$8))/$C$9)</f>
        <v>0</v>
      </c>
      <c r="D56" s="44"/>
      <c r="E56" s="44"/>
      <c r="F56" s="44"/>
      <c r="G56" s="6"/>
      <c r="H56" s="6"/>
      <c r="I56" s="6"/>
      <c r="J56" s="44">
        <v>0</v>
      </c>
      <c r="K56" s="44">
        <f>+IF(J55&lt;0.01,0,$C$56)</f>
        <v>0</v>
      </c>
      <c r="L56" s="44">
        <f t="shared" ref="L56:BA56" si="31">+IF(K55&lt;0.01,0,$C$56)</f>
        <v>0</v>
      </c>
      <c r="M56" s="44">
        <f t="shared" si="31"/>
        <v>0</v>
      </c>
      <c r="N56" s="44">
        <f t="shared" si="31"/>
        <v>0</v>
      </c>
      <c r="O56" s="56">
        <f t="shared" si="31"/>
        <v>0</v>
      </c>
      <c r="P56" s="56">
        <f t="shared" si="31"/>
        <v>0</v>
      </c>
      <c r="Q56" s="56">
        <f t="shared" si="31"/>
        <v>0</v>
      </c>
      <c r="R56" s="56">
        <f t="shared" si="31"/>
        <v>0</v>
      </c>
      <c r="S56" s="56">
        <f t="shared" si="31"/>
        <v>0</v>
      </c>
      <c r="T56" s="56">
        <f t="shared" si="31"/>
        <v>0</v>
      </c>
      <c r="U56" s="56">
        <f t="shared" si="31"/>
        <v>0</v>
      </c>
      <c r="V56" s="56">
        <f t="shared" si="31"/>
        <v>0</v>
      </c>
      <c r="W56" s="56">
        <f t="shared" si="31"/>
        <v>0</v>
      </c>
      <c r="X56" s="56">
        <f t="shared" si="31"/>
        <v>0</v>
      </c>
      <c r="Y56" s="56">
        <f t="shared" si="31"/>
        <v>0</v>
      </c>
      <c r="Z56" s="56">
        <f t="shared" si="31"/>
        <v>0</v>
      </c>
      <c r="AA56" s="56">
        <f t="shared" si="31"/>
        <v>0</v>
      </c>
      <c r="AB56" s="56">
        <f t="shared" si="31"/>
        <v>0</v>
      </c>
      <c r="AC56" s="56">
        <f t="shared" si="31"/>
        <v>0</v>
      </c>
      <c r="AD56" s="56">
        <f t="shared" si="31"/>
        <v>0</v>
      </c>
      <c r="AE56" s="56">
        <f t="shared" si="31"/>
        <v>0</v>
      </c>
      <c r="AF56" s="56">
        <f t="shared" si="31"/>
        <v>0</v>
      </c>
      <c r="AG56" s="56">
        <f t="shared" si="31"/>
        <v>0</v>
      </c>
      <c r="AH56" s="56">
        <f t="shared" si="31"/>
        <v>0</v>
      </c>
      <c r="AI56" s="56">
        <f t="shared" si="31"/>
        <v>0</v>
      </c>
      <c r="AJ56" s="56">
        <f t="shared" si="31"/>
        <v>0</v>
      </c>
      <c r="AK56" s="56">
        <f t="shared" si="31"/>
        <v>0</v>
      </c>
      <c r="AL56" s="56">
        <f t="shared" si="31"/>
        <v>0</v>
      </c>
      <c r="AM56" s="56">
        <f t="shared" si="31"/>
        <v>0</v>
      </c>
      <c r="AN56" s="56">
        <f t="shared" si="31"/>
        <v>0</v>
      </c>
      <c r="AO56" s="56">
        <f t="shared" si="31"/>
        <v>0</v>
      </c>
      <c r="AP56" s="56">
        <f t="shared" si="31"/>
        <v>0</v>
      </c>
      <c r="AQ56" s="56">
        <f t="shared" si="31"/>
        <v>0</v>
      </c>
      <c r="AR56" s="56">
        <f t="shared" si="31"/>
        <v>0</v>
      </c>
      <c r="AS56" s="56">
        <f t="shared" si="31"/>
        <v>0</v>
      </c>
      <c r="AT56" s="56">
        <f t="shared" si="31"/>
        <v>0</v>
      </c>
      <c r="AU56" s="56">
        <f t="shared" si="31"/>
        <v>0</v>
      </c>
      <c r="AV56" s="56">
        <f t="shared" si="31"/>
        <v>0</v>
      </c>
      <c r="AW56" s="56">
        <f t="shared" si="31"/>
        <v>0</v>
      </c>
      <c r="AX56" s="56">
        <f t="shared" si="31"/>
        <v>0</v>
      </c>
      <c r="AY56" s="56">
        <f t="shared" si="31"/>
        <v>0</v>
      </c>
      <c r="AZ56" s="56">
        <f t="shared" si="31"/>
        <v>0</v>
      </c>
      <c r="BA56" s="56">
        <f t="shared" si="31"/>
        <v>0</v>
      </c>
    </row>
    <row r="57" spans="2:53" x14ac:dyDescent="0.2">
      <c r="B57" s="57" t="s">
        <v>30</v>
      </c>
      <c r="C57" s="65" t="s">
        <v>75</v>
      </c>
      <c r="D57" s="44"/>
      <c r="E57" s="44"/>
      <c r="F57" s="44"/>
      <c r="G57" s="6"/>
      <c r="H57" s="6"/>
      <c r="I57" s="6"/>
      <c r="J57" s="44">
        <v>0</v>
      </c>
      <c r="K57" s="44">
        <f>+K56-K58</f>
        <v>0</v>
      </c>
      <c r="L57" s="44">
        <f t="shared" ref="L57:BA57" si="32">+L56-L58</f>
        <v>0</v>
      </c>
      <c r="M57" s="44">
        <f t="shared" si="32"/>
        <v>0</v>
      </c>
      <c r="N57" s="44">
        <f t="shared" si="32"/>
        <v>0</v>
      </c>
      <c r="O57" s="56">
        <f t="shared" si="32"/>
        <v>0</v>
      </c>
      <c r="P57" s="56">
        <f t="shared" si="32"/>
        <v>0</v>
      </c>
      <c r="Q57" s="56">
        <f t="shared" si="32"/>
        <v>0</v>
      </c>
      <c r="R57" s="56">
        <f t="shared" si="32"/>
        <v>0</v>
      </c>
      <c r="S57" s="56">
        <f t="shared" si="32"/>
        <v>0</v>
      </c>
      <c r="T57" s="56">
        <f t="shared" si="32"/>
        <v>0</v>
      </c>
      <c r="U57" s="56">
        <f t="shared" si="32"/>
        <v>0</v>
      </c>
      <c r="V57" s="56">
        <f t="shared" si="32"/>
        <v>0</v>
      </c>
      <c r="W57" s="56">
        <f t="shared" si="32"/>
        <v>0</v>
      </c>
      <c r="X57" s="56">
        <f t="shared" si="32"/>
        <v>0</v>
      </c>
      <c r="Y57" s="56">
        <f t="shared" si="32"/>
        <v>0</v>
      </c>
      <c r="Z57" s="56">
        <f t="shared" si="32"/>
        <v>0</v>
      </c>
      <c r="AA57" s="56">
        <f t="shared" si="32"/>
        <v>0</v>
      </c>
      <c r="AB57" s="56">
        <f t="shared" si="32"/>
        <v>0</v>
      </c>
      <c r="AC57" s="56">
        <f t="shared" si="32"/>
        <v>0</v>
      </c>
      <c r="AD57" s="56">
        <f t="shared" si="32"/>
        <v>0</v>
      </c>
      <c r="AE57" s="56">
        <f t="shared" si="32"/>
        <v>0</v>
      </c>
      <c r="AF57" s="56">
        <f t="shared" si="32"/>
        <v>0</v>
      </c>
      <c r="AG57" s="56">
        <f t="shared" si="32"/>
        <v>0</v>
      </c>
      <c r="AH57" s="56">
        <f t="shared" si="32"/>
        <v>0</v>
      </c>
      <c r="AI57" s="56">
        <f t="shared" si="32"/>
        <v>0</v>
      </c>
      <c r="AJ57" s="56">
        <f t="shared" si="32"/>
        <v>0</v>
      </c>
      <c r="AK57" s="56">
        <f t="shared" si="32"/>
        <v>0</v>
      </c>
      <c r="AL57" s="56">
        <f t="shared" si="32"/>
        <v>0</v>
      </c>
      <c r="AM57" s="56">
        <f t="shared" si="32"/>
        <v>0</v>
      </c>
      <c r="AN57" s="56">
        <f t="shared" si="32"/>
        <v>0</v>
      </c>
      <c r="AO57" s="56">
        <f t="shared" si="32"/>
        <v>0</v>
      </c>
      <c r="AP57" s="56">
        <f t="shared" si="32"/>
        <v>0</v>
      </c>
      <c r="AQ57" s="56">
        <f t="shared" si="32"/>
        <v>0</v>
      </c>
      <c r="AR57" s="56">
        <f t="shared" si="32"/>
        <v>0</v>
      </c>
      <c r="AS57" s="56">
        <f t="shared" si="32"/>
        <v>0</v>
      </c>
      <c r="AT57" s="56">
        <f t="shared" si="32"/>
        <v>0</v>
      </c>
      <c r="AU57" s="56">
        <f t="shared" si="32"/>
        <v>0</v>
      </c>
      <c r="AV57" s="56">
        <f t="shared" si="32"/>
        <v>0</v>
      </c>
      <c r="AW57" s="56">
        <f t="shared" si="32"/>
        <v>0</v>
      </c>
      <c r="AX57" s="56">
        <f t="shared" si="32"/>
        <v>0</v>
      </c>
      <c r="AY57" s="56">
        <f t="shared" si="32"/>
        <v>0</v>
      </c>
      <c r="AZ57" s="56">
        <f t="shared" si="32"/>
        <v>0</v>
      </c>
      <c r="BA57" s="56">
        <f t="shared" si="32"/>
        <v>0</v>
      </c>
    </row>
    <row r="58" spans="2:53" x14ac:dyDescent="0.2">
      <c r="B58" s="57" t="s">
        <v>3</v>
      </c>
      <c r="C58" s="65" t="s">
        <v>75</v>
      </c>
      <c r="D58" s="44"/>
      <c r="E58" s="44"/>
      <c r="F58" s="44"/>
      <c r="G58" s="6"/>
      <c r="H58" s="6"/>
      <c r="I58" s="6"/>
      <c r="J58" s="44">
        <v>0</v>
      </c>
      <c r="K58" s="44">
        <f t="shared" ref="K58:BA58" si="33">+$C$9*J55</f>
        <v>0</v>
      </c>
      <c r="L58" s="44">
        <f t="shared" si="33"/>
        <v>0</v>
      </c>
      <c r="M58" s="44">
        <f t="shared" si="33"/>
        <v>0</v>
      </c>
      <c r="N58" s="44">
        <f t="shared" si="33"/>
        <v>0</v>
      </c>
      <c r="O58" s="56">
        <f t="shared" si="33"/>
        <v>0</v>
      </c>
      <c r="P58" s="56">
        <f t="shared" si="33"/>
        <v>0</v>
      </c>
      <c r="Q58" s="56">
        <f t="shared" si="33"/>
        <v>0</v>
      </c>
      <c r="R58" s="56">
        <f t="shared" si="33"/>
        <v>0</v>
      </c>
      <c r="S58" s="56">
        <f t="shared" si="33"/>
        <v>0</v>
      </c>
      <c r="T58" s="56">
        <f t="shared" si="33"/>
        <v>0</v>
      </c>
      <c r="U58" s="56">
        <f t="shared" si="33"/>
        <v>0</v>
      </c>
      <c r="V58" s="56">
        <f t="shared" si="33"/>
        <v>0</v>
      </c>
      <c r="W58" s="56">
        <f t="shared" si="33"/>
        <v>0</v>
      </c>
      <c r="X58" s="56">
        <f t="shared" si="33"/>
        <v>0</v>
      </c>
      <c r="Y58" s="56">
        <f t="shared" si="33"/>
        <v>0</v>
      </c>
      <c r="Z58" s="56">
        <f t="shared" si="33"/>
        <v>0</v>
      </c>
      <c r="AA58" s="56">
        <f t="shared" si="33"/>
        <v>0</v>
      </c>
      <c r="AB58" s="56">
        <f t="shared" si="33"/>
        <v>0</v>
      </c>
      <c r="AC58" s="56">
        <f t="shared" si="33"/>
        <v>0</v>
      </c>
      <c r="AD58" s="56">
        <f t="shared" si="33"/>
        <v>0</v>
      </c>
      <c r="AE58" s="56">
        <f t="shared" si="33"/>
        <v>0</v>
      </c>
      <c r="AF58" s="56">
        <f t="shared" si="33"/>
        <v>0</v>
      </c>
      <c r="AG58" s="56">
        <f t="shared" si="33"/>
        <v>0</v>
      </c>
      <c r="AH58" s="56">
        <f t="shared" si="33"/>
        <v>0</v>
      </c>
      <c r="AI58" s="56">
        <f t="shared" si="33"/>
        <v>0</v>
      </c>
      <c r="AJ58" s="56">
        <f t="shared" si="33"/>
        <v>0</v>
      </c>
      <c r="AK58" s="56">
        <f t="shared" si="33"/>
        <v>0</v>
      </c>
      <c r="AL58" s="56">
        <f t="shared" si="33"/>
        <v>0</v>
      </c>
      <c r="AM58" s="56">
        <f t="shared" si="33"/>
        <v>0</v>
      </c>
      <c r="AN58" s="56">
        <f t="shared" si="33"/>
        <v>0</v>
      </c>
      <c r="AO58" s="56">
        <f t="shared" si="33"/>
        <v>0</v>
      </c>
      <c r="AP58" s="56">
        <f t="shared" si="33"/>
        <v>0</v>
      </c>
      <c r="AQ58" s="56">
        <f t="shared" si="33"/>
        <v>0</v>
      </c>
      <c r="AR58" s="56">
        <f t="shared" si="33"/>
        <v>0</v>
      </c>
      <c r="AS58" s="56">
        <f t="shared" si="33"/>
        <v>0</v>
      </c>
      <c r="AT58" s="56">
        <f t="shared" si="33"/>
        <v>0</v>
      </c>
      <c r="AU58" s="56">
        <f t="shared" si="33"/>
        <v>0</v>
      </c>
      <c r="AV58" s="56">
        <f t="shared" si="33"/>
        <v>0</v>
      </c>
      <c r="AW58" s="56">
        <f t="shared" si="33"/>
        <v>0</v>
      </c>
      <c r="AX58" s="56">
        <f t="shared" si="33"/>
        <v>0</v>
      </c>
      <c r="AY58" s="56">
        <f t="shared" si="33"/>
        <v>0</v>
      </c>
      <c r="AZ58" s="56">
        <f t="shared" si="33"/>
        <v>0</v>
      </c>
      <c r="BA58" s="56">
        <f t="shared" si="33"/>
        <v>0</v>
      </c>
    </row>
    <row r="59" spans="2:53" x14ac:dyDescent="0.2">
      <c r="B59" s="57"/>
      <c r="D59" s="44"/>
      <c r="E59" s="44"/>
      <c r="F59" s="44"/>
      <c r="G59" s="44"/>
      <c r="H59" s="44"/>
      <c r="I59" s="44"/>
      <c r="J59" s="44"/>
      <c r="K59" s="44"/>
      <c r="L59" s="44"/>
      <c r="M59" s="44"/>
      <c r="N59" s="44"/>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row>
    <row r="60" spans="2:53" x14ac:dyDescent="0.2">
      <c r="B60" s="46" t="s">
        <v>52</v>
      </c>
      <c r="C60" s="65" t="s">
        <v>75</v>
      </c>
      <c r="D60" s="44"/>
      <c r="E60" s="44"/>
      <c r="F60" s="44"/>
      <c r="G60" s="6"/>
      <c r="H60" s="6"/>
      <c r="I60" s="6"/>
      <c r="J60" s="6"/>
      <c r="K60" s="44">
        <f>K18</f>
        <v>0</v>
      </c>
      <c r="L60" s="44">
        <f t="shared" ref="L60:BA60" si="34">+K60-L62</f>
        <v>0</v>
      </c>
      <c r="M60" s="44">
        <f t="shared" si="34"/>
        <v>0</v>
      </c>
      <c r="N60" s="44">
        <f t="shared" si="34"/>
        <v>0</v>
      </c>
      <c r="O60" s="56">
        <f t="shared" si="34"/>
        <v>0</v>
      </c>
      <c r="P60" s="56">
        <f t="shared" si="34"/>
        <v>0</v>
      </c>
      <c r="Q60" s="56">
        <f t="shared" si="34"/>
        <v>0</v>
      </c>
      <c r="R60" s="56">
        <f t="shared" si="34"/>
        <v>0</v>
      </c>
      <c r="S60" s="56">
        <f t="shared" si="34"/>
        <v>0</v>
      </c>
      <c r="T60" s="56">
        <f t="shared" si="34"/>
        <v>0</v>
      </c>
      <c r="U60" s="56">
        <f t="shared" si="34"/>
        <v>0</v>
      </c>
      <c r="V60" s="56">
        <f t="shared" si="34"/>
        <v>0</v>
      </c>
      <c r="W60" s="56">
        <f t="shared" si="34"/>
        <v>0</v>
      </c>
      <c r="X60" s="56">
        <f t="shared" si="34"/>
        <v>0</v>
      </c>
      <c r="Y60" s="56">
        <f t="shared" si="34"/>
        <v>0</v>
      </c>
      <c r="Z60" s="56">
        <f t="shared" si="34"/>
        <v>0</v>
      </c>
      <c r="AA60" s="56">
        <f t="shared" si="34"/>
        <v>0</v>
      </c>
      <c r="AB60" s="56">
        <f t="shared" si="34"/>
        <v>0</v>
      </c>
      <c r="AC60" s="56">
        <f t="shared" si="34"/>
        <v>0</v>
      </c>
      <c r="AD60" s="56">
        <f t="shared" si="34"/>
        <v>0</v>
      </c>
      <c r="AE60" s="56">
        <f t="shared" si="34"/>
        <v>0</v>
      </c>
      <c r="AF60" s="56">
        <f t="shared" si="34"/>
        <v>0</v>
      </c>
      <c r="AG60" s="56">
        <f t="shared" si="34"/>
        <v>0</v>
      </c>
      <c r="AH60" s="56">
        <f t="shared" si="34"/>
        <v>0</v>
      </c>
      <c r="AI60" s="56">
        <f t="shared" si="34"/>
        <v>0</v>
      </c>
      <c r="AJ60" s="56">
        <f t="shared" si="34"/>
        <v>0</v>
      </c>
      <c r="AK60" s="56">
        <f t="shared" si="34"/>
        <v>0</v>
      </c>
      <c r="AL60" s="56">
        <f t="shared" si="34"/>
        <v>0</v>
      </c>
      <c r="AM60" s="56">
        <f t="shared" si="34"/>
        <v>0</v>
      </c>
      <c r="AN60" s="56">
        <f t="shared" si="34"/>
        <v>0</v>
      </c>
      <c r="AO60" s="56">
        <f t="shared" si="34"/>
        <v>0</v>
      </c>
      <c r="AP60" s="56">
        <f t="shared" si="34"/>
        <v>0</v>
      </c>
      <c r="AQ60" s="56">
        <f t="shared" si="34"/>
        <v>0</v>
      </c>
      <c r="AR60" s="56">
        <f t="shared" si="34"/>
        <v>0</v>
      </c>
      <c r="AS60" s="56">
        <f t="shared" si="34"/>
        <v>0</v>
      </c>
      <c r="AT60" s="56">
        <f t="shared" si="34"/>
        <v>0</v>
      </c>
      <c r="AU60" s="56">
        <f t="shared" si="34"/>
        <v>0</v>
      </c>
      <c r="AV60" s="56">
        <f t="shared" si="34"/>
        <v>0</v>
      </c>
      <c r="AW60" s="56">
        <f t="shared" si="34"/>
        <v>0</v>
      </c>
      <c r="AX60" s="56">
        <f t="shared" si="34"/>
        <v>0</v>
      </c>
      <c r="AY60" s="56">
        <f t="shared" si="34"/>
        <v>0</v>
      </c>
      <c r="AZ60" s="56">
        <f t="shared" si="34"/>
        <v>0</v>
      </c>
      <c r="BA60" s="56">
        <f t="shared" si="34"/>
        <v>0</v>
      </c>
    </row>
    <row r="61" spans="2:53" x14ac:dyDescent="0.2">
      <c r="B61" s="57" t="s">
        <v>29</v>
      </c>
      <c r="C61" s="64">
        <f>+K60/((1-(1/(1+$C$9)^$C$8))/$C$9)</f>
        <v>0</v>
      </c>
      <c r="D61" s="44"/>
      <c r="E61" s="44"/>
      <c r="F61" s="44"/>
      <c r="G61" s="6"/>
      <c r="H61" s="6"/>
      <c r="I61" s="6"/>
      <c r="J61" s="6"/>
      <c r="K61" s="44">
        <v>0</v>
      </c>
      <c r="L61" s="44">
        <f>+IF(K60&lt;0.01,0,$C$61)</f>
        <v>0</v>
      </c>
      <c r="M61" s="44">
        <f t="shared" ref="M61:BA61" si="35">+IF(L60&lt;0.01,0,$C$61)</f>
        <v>0</v>
      </c>
      <c r="N61" s="44">
        <f t="shared" si="35"/>
        <v>0</v>
      </c>
      <c r="O61" s="56">
        <f t="shared" si="35"/>
        <v>0</v>
      </c>
      <c r="P61" s="56">
        <f t="shared" si="35"/>
        <v>0</v>
      </c>
      <c r="Q61" s="56">
        <f t="shared" si="35"/>
        <v>0</v>
      </c>
      <c r="R61" s="56">
        <f t="shared" si="35"/>
        <v>0</v>
      </c>
      <c r="S61" s="56">
        <f t="shared" si="35"/>
        <v>0</v>
      </c>
      <c r="T61" s="56">
        <f t="shared" si="35"/>
        <v>0</v>
      </c>
      <c r="U61" s="56">
        <f t="shared" si="35"/>
        <v>0</v>
      </c>
      <c r="V61" s="56">
        <f t="shared" si="35"/>
        <v>0</v>
      </c>
      <c r="W61" s="56">
        <f t="shared" si="35"/>
        <v>0</v>
      </c>
      <c r="X61" s="56">
        <f t="shared" si="35"/>
        <v>0</v>
      </c>
      <c r="Y61" s="56">
        <f t="shared" si="35"/>
        <v>0</v>
      </c>
      <c r="Z61" s="56">
        <f t="shared" si="35"/>
        <v>0</v>
      </c>
      <c r="AA61" s="56">
        <f t="shared" si="35"/>
        <v>0</v>
      </c>
      <c r="AB61" s="56">
        <f t="shared" si="35"/>
        <v>0</v>
      </c>
      <c r="AC61" s="56">
        <f t="shared" si="35"/>
        <v>0</v>
      </c>
      <c r="AD61" s="56">
        <f t="shared" si="35"/>
        <v>0</v>
      </c>
      <c r="AE61" s="56">
        <f t="shared" si="35"/>
        <v>0</v>
      </c>
      <c r="AF61" s="56">
        <f t="shared" si="35"/>
        <v>0</v>
      </c>
      <c r="AG61" s="56">
        <f t="shared" si="35"/>
        <v>0</v>
      </c>
      <c r="AH61" s="56">
        <f t="shared" si="35"/>
        <v>0</v>
      </c>
      <c r="AI61" s="56">
        <f t="shared" si="35"/>
        <v>0</v>
      </c>
      <c r="AJ61" s="56">
        <f t="shared" si="35"/>
        <v>0</v>
      </c>
      <c r="AK61" s="56">
        <f t="shared" si="35"/>
        <v>0</v>
      </c>
      <c r="AL61" s="56">
        <f t="shared" si="35"/>
        <v>0</v>
      </c>
      <c r="AM61" s="56">
        <f t="shared" si="35"/>
        <v>0</v>
      </c>
      <c r="AN61" s="56">
        <f t="shared" si="35"/>
        <v>0</v>
      </c>
      <c r="AO61" s="56">
        <f t="shared" si="35"/>
        <v>0</v>
      </c>
      <c r="AP61" s="56">
        <f t="shared" si="35"/>
        <v>0</v>
      </c>
      <c r="AQ61" s="56">
        <f t="shared" si="35"/>
        <v>0</v>
      </c>
      <c r="AR61" s="56">
        <f t="shared" si="35"/>
        <v>0</v>
      </c>
      <c r="AS61" s="56">
        <f t="shared" si="35"/>
        <v>0</v>
      </c>
      <c r="AT61" s="56">
        <f t="shared" si="35"/>
        <v>0</v>
      </c>
      <c r="AU61" s="56">
        <f t="shared" si="35"/>
        <v>0</v>
      </c>
      <c r="AV61" s="56">
        <f t="shared" si="35"/>
        <v>0</v>
      </c>
      <c r="AW61" s="56">
        <f t="shared" si="35"/>
        <v>0</v>
      </c>
      <c r="AX61" s="56">
        <f t="shared" si="35"/>
        <v>0</v>
      </c>
      <c r="AY61" s="56">
        <f t="shared" si="35"/>
        <v>0</v>
      </c>
      <c r="AZ61" s="56">
        <f t="shared" si="35"/>
        <v>0</v>
      </c>
      <c r="BA61" s="56">
        <f t="shared" si="35"/>
        <v>0</v>
      </c>
    </row>
    <row r="62" spans="2:53" x14ac:dyDescent="0.2">
      <c r="B62" s="57" t="s">
        <v>30</v>
      </c>
      <c r="C62" s="65" t="s">
        <v>75</v>
      </c>
      <c r="D62" s="44"/>
      <c r="E62" s="44"/>
      <c r="F62" s="44"/>
      <c r="G62" s="6"/>
      <c r="H62" s="6"/>
      <c r="I62" s="6"/>
      <c r="J62" s="6"/>
      <c r="K62" s="44">
        <v>0</v>
      </c>
      <c r="L62" s="44">
        <f>+L61-L63</f>
        <v>0</v>
      </c>
      <c r="M62" s="44">
        <f t="shared" ref="M62:BA62" si="36">+M61-M63</f>
        <v>0</v>
      </c>
      <c r="N62" s="44">
        <f t="shared" si="36"/>
        <v>0</v>
      </c>
      <c r="O62" s="56">
        <f t="shared" si="36"/>
        <v>0</v>
      </c>
      <c r="P62" s="56">
        <f t="shared" si="36"/>
        <v>0</v>
      </c>
      <c r="Q62" s="56">
        <f t="shared" si="36"/>
        <v>0</v>
      </c>
      <c r="R62" s="56">
        <f t="shared" si="36"/>
        <v>0</v>
      </c>
      <c r="S62" s="56">
        <f t="shared" si="36"/>
        <v>0</v>
      </c>
      <c r="T62" s="56">
        <f t="shared" si="36"/>
        <v>0</v>
      </c>
      <c r="U62" s="56">
        <f t="shared" si="36"/>
        <v>0</v>
      </c>
      <c r="V62" s="56">
        <f t="shared" si="36"/>
        <v>0</v>
      </c>
      <c r="W62" s="56">
        <f t="shared" si="36"/>
        <v>0</v>
      </c>
      <c r="X62" s="56">
        <f t="shared" si="36"/>
        <v>0</v>
      </c>
      <c r="Y62" s="56">
        <f t="shared" si="36"/>
        <v>0</v>
      </c>
      <c r="Z62" s="56">
        <f t="shared" si="36"/>
        <v>0</v>
      </c>
      <c r="AA62" s="56">
        <f t="shared" si="36"/>
        <v>0</v>
      </c>
      <c r="AB62" s="56">
        <f t="shared" si="36"/>
        <v>0</v>
      </c>
      <c r="AC62" s="56">
        <f t="shared" si="36"/>
        <v>0</v>
      </c>
      <c r="AD62" s="56">
        <f t="shared" si="36"/>
        <v>0</v>
      </c>
      <c r="AE62" s="56">
        <f t="shared" si="36"/>
        <v>0</v>
      </c>
      <c r="AF62" s="56">
        <f t="shared" si="36"/>
        <v>0</v>
      </c>
      <c r="AG62" s="56">
        <f t="shared" si="36"/>
        <v>0</v>
      </c>
      <c r="AH62" s="56">
        <f t="shared" si="36"/>
        <v>0</v>
      </c>
      <c r="AI62" s="56">
        <f t="shared" si="36"/>
        <v>0</v>
      </c>
      <c r="AJ62" s="56">
        <f t="shared" si="36"/>
        <v>0</v>
      </c>
      <c r="AK62" s="56">
        <f t="shared" si="36"/>
        <v>0</v>
      </c>
      <c r="AL62" s="56">
        <f t="shared" si="36"/>
        <v>0</v>
      </c>
      <c r="AM62" s="56">
        <f t="shared" si="36"/>
        <v>0</v>
      </c>
      <c r="AN62" s="56">
        <f t="shared" si="36"/>
        <v>0</v>
      </c>
      <c r="AO62" s="56">
        <f t="shared" si="36"/>
        <v>0</v>
      </c>
      <c r="AP62" s="56">
        <f t="shared" si="36"/>
        <v>0</v>
      </c>
      <c r="AQ62" s="56">
        <f t="shared" si="36"/>
        <v>0</v>
      </c>
      <c r="AR62" s="56">
        <f t="shared" si="36"/>
        <v>0</v>
      </c>
      <c r="AS62" s="56">
        <f t="shared" si="36"/>
        <v>0</v>
      </c>
      <c r="AT62" s="56">
        <f t="shared" si="36"/>
        <v>0</v>
      </c>
      <c r="AU62" s="56">
        <f t="shared" si="36"/>
        <v>0</v>
      </c>
      <c r="AV62" s="56">
        <f t="shared" si="36"/>
        <v>0</v>
      </c>
      <c r="AW62" s="56">
        <f t="shared" si="36"/>
        <v>0</v>
      </c>
      <c r="AX62" s="56">
        <f t="shared" si="36"/>
        <v>0</v>
      </c>
      <c r="AY62" s="56">
        <f t="shared" si="36"/>
        <v>0</v>
      </c>
      <c r="AZ62" s="56">
        <f t="shared" si="36"/>
        <v>0</v>
      </c>
      <c r="BA62" s="56">
        <f t="shared" si="36"/>
        <v>0</v>
      </c>
    </row>
    <row r="63" spans="2:53" x14ac:dyDescent="0.2">
      <c r="B63" s="57" t="s">
        <v>3</v>
      </c>
      <c r="C63" s="65" t="s">
        <v>75</v>
      </c>
      <c r="D63" s="44"/>
      <c r="E63" s="44"/>
      <c r="F63" s="44"/>
      <c r="G63" s="6"/>
      <c r="H63" s="6"/>
      <c r="I63" s="6"/>
      <c r="J63" s="6"/>
      <c r="K63" s="44">
        <v>0</v>
      </c>
      <c r="L63" s="44">
        <f t="shared" ref="L63:BA63" si="37">+$C$9*K60</f>
        <v>0</v>
      </c>
      <c r="M63" s="44">
        <f t="shared" si="37"/>
        <v>0</v>
      </c>
      <c r="N63" s="44">
        <f t="shared" si="37"/>
        <v>0</v>
      </c>
      <c r="O63" s="56">
        <f t="shared" si="37"/>
        <v>0</v>
      </c>
      <c r="P63" s="56">
        <f t="shared" si="37"/>
        <v>0</v>
      </c>
      <c r="Q63" s="56">
        <f t="shared" si="37"/>
        <v>0</v>
      </c>
      <c r="R63" s="56">
        <f t="shared" si="37"/>
        <v>0</v>
      </c>
      <c r="S63" s="56">
        <f t="shared" si="37"/>
        <v>0</v>
      </c>
      <c r="T63" s="56">
        <f t="shared" si="37"/>
        <v>0</v>
      </c>
      <c r="U63" s="56">
        <f t="shared" si="37"/>
        <v>0</v>
      </c>
      <c r="V63" s="56">
        <f t="shared" si="37"/>
        <v>0</v>
      </c>
      <c r="W63" s="56">
        <f t="shared" si="37"/>
        <v>0</v>
      </c>
      <c r="X63" s="56">
        <f t="shared" si="37"/>
        <v>0</v>
      </c>
      <c r="Y63" s="56">
        <f t="shared" si="37"/>
        <v>0</v>
      </c>
      <c r="Z63" s="56">
        <f t="shared" si="37"/>
        <v>0</v>
      </c>
      <c r="AA63" s="56">
        <f t="shared" si="37"/>
        <v>0</v>
      </c>
      <c r="AB63" s="56">
        <f t="shared" si="37"/>
        <v>0</v>
      </c>
      <c r="AC63" s="56">
        <f t="shared" si="37"/>
        <v>0</v>
      </c>
      <c r="AD63" s="56">
        <f t="shared" si="37"/>
        <v>0</v>
      </c>
      <c r="AE63" s="56">
        <f t="shared" si="37"/>
        <v>0</v>
      </c>
      <c r="AF63" s="56">
        <f t="shared" si="37"/>
        <v>0</v>
      </c>
      <c r="AG63" s="56">
        <f t="shared" si="37"/>
        <v>0</v>
      </c>
      <c r="AH63" s="56">
        <f t="shared" si="37"/>
        <v>0</v>
      </c>
      <c r="AI63" s="56">
        <f t="shared" si="37"/>
        <v>0</v>
      </c>
      <c r="AJ63" s="56">
        <f t="shared" si="37"/>
        <v>0</v>
      </c>
      <c r="AK63" s="56">
        <f t="shared" si="37"/>
        <v>0</v>
      </c>
      <c r="AL63" s="56">
        <f t="shared" si="37"/>
        <v>0</v>
      </c>
      <c r="AM63" s="56">
        <f t="shared" si="37"/>
        <v>0</v>
      </c>
      <c r="AN63" s="56">
        <f t="shared" si="37"/>
        <v>0</v>
      </c>
      <c r="AO63" s="56">
        <f t="shared" si="37"/>
        <v>0</v>
      </c>
      <c r="AP63" s="56">
        <f t="shared" si="37"/>
        <v>0</v>
      </c>
      <c r="AQ63" s="56">
        <f t="shared" si="37"/>
        <v>0</v>
      </c>
      <c r="AR63" s="56">
        <f t="shared" si="37"/>
        <v>0</v>
      </c>
      <c r="AS63" s="56">
        <f t="shared" si="37"/>
        <v>0</v>
      </c>
      <c r="AT63" s="56">
        <f t="shared" si="37"/>
        <v>0</v>
      </c>
      <c r="AU63" s="56">
        <f t="shared" si="37"/>
        <v>0</v>
      </c>
      <c r="AV63" s="56">
        <f t="shared" si="37"/>
        <v>0</v>
      </c>
      <c r="AW63" s="56">
        <f t="shared" si="37"/>
        <v>0</v>
      </c>
      <c r="AX63" s="56">
        <f t="shared" si="37"/>
        <v>0</v>
      </c>
      <c r="AY63" s="56">
        <f t="shared" si="37"/>
        <v>0</v>
      </c>
      <c r="AZ63" s="56">
        <f t="shared" si="37"/>
        <v>0</v>
      </c>
      <c r="BA63" s="56">
        <f t="shared" si="37"/>
        <v>0</v>
      </c>
    </row>
    <row r="64" spans="2:53" x14ac:dyDescent="0.2">
      <c r="B64" s="57"/>
      <c r="D64" s="44"/>
      <c r="E64" s="44"/>
      <c r="F64" s="44"/>
      <c r="G64" s="6"/>
      <c r="H64" s="6"/>
      <c r="I64" s="6"/>
      <c r="J64" s="6"/>
      <c r="K64" s="44"/>
      <c r="L64" s="44"/>
      <c r="M64" s="44"/>
      <c r="N64" s="44"/>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row>
    <row r="65" spans="2:53" x14ac:dyDescent="0.2">
      <c r="B65" s="46" t="s">
        <v>53</v>
      </c>
      <c r="C65" s="65" t="s">
        <v>75</v>
      </c>
      <c r="D65" s="44"/>
      <c r="E65" s="44"/>
      <c r="F65" s="44"/>
      <c r="G65" s="6"/>
      <c r="H65" s="6"/>
      <c r="I65" s="6"/>
      <c r="J65" s="6"/>
      <c r="K65" s="6"/>
      <c r="L65" s="44">
        <f>L18</f>
        <v>0</v>
      </c>
      <c r="M65" s="44">
        <f t="shared" ref="M65:BA65" si="38">+L65-M67</f>
        <v>0</v>
      </c>
      <c r="N65" s="44">
        <f t="shared" si="38"/>
        <v>0</v>
      </c>
      <c r="O65" s="56">
        <f t="shared" si="38"/>
        <v>0</v>
      </c>
      <c r="P65" s="56">
        <f t="shared" si="38"/>
        <v>0</v>
      </c>
      <c r="Q65" s="56">
        <f t="shared" si="38"/>
        <v>0</v>
      </c>
      <c r="R65" s="56">
        <f t="shared" si="38"/>
        <v>0</v>
      </c>
      <c r="S65" s="56">
        <f t="shared" si="38"/>
        <v>0</v>
      </c>
      <c r="T65" s="56">
        <f t="shared" si="38"/>
        <v>0</v>
      </c>
      <c r="U65" s="56">
        <f t="shared" si="38"/>
        <v>0</v>
      </c>
      <c r="V65" s="56">
        <f t="shared" si="38"/>
        <v>0</v>
      </c>
      <c r="W65" s="56">
        <f t="shared" si="38"/>
        <v>0</v>
      </c>
      <c r="X65" s="56">
        <f t="shared" si="38"/>
        <v>0</v>
      </c>
      <c r="Y65" s="56">
        <f t="shared" si="38"/>
        <v>0</v>
      </c>
      <c r="Z65" s="56">
        <f t="shared" si="38"/>
        <v>0</v>
      </c>
      <c r="AA65" s="56">
        <f t="shared" si="38"/>
        <v>0</v>
      </c>
      <c r="AB65" s="56">
        <f t="shared" si="38"/>
        <v>0</v>
      </c>
      <c r="AC65" s="56">
        <f t="shared" si="38"/>
        <v>0</v>
      </c>
      <c r="AD65" s="56">
        <f t="shared" si="38"/>
        <v>0</v>
      </c>
      <c r="AE65" s="56">
        <f t="shared" si="38"/>
        <v>0</v>
      </c>
      <c r="AF65" s="56">
        <f t="shared" si="38"/>
        <v>0</v>
      </c>
      <c r="AG65" s="56">
        <f t="shared" si="38"/>
        <v>0</v>
      </c>
      <c r="AH65" s="56">
        <f t="shared" si="38"/>
        <v>0</v>
      </c>
      <c r="AI65" s="56">
        <f t="shared" si="38"/>
        <v>0</v>
      </c>
      <c r="AJ65" s="56">
        <f t="shared" si="38"/>
        <v>0</v>
      </c>
      <c r="AK65" s="56">
        <f t="shared" si="38"/>
        <v>0</v>
      </c>
      <c r="AL65" s="56">
        <f t="shared" si="38"/>
        <v>0</v>
      </c>
      <c r="AM65" s="56">
        <f t="shared" si="38"/>
        <v>0</v>
      </c>
      <c r="AN65" s="56">
        <f t="shared" si="38"/>
        <v>0</v>
      </c>
      <c r="AO65" s="56">
        <f t="shared" si="38"/>
        <v>0</v>
      </c>
      <c r="AP65" s="56">
        <f t="shared" si="38"/>
        <v>0</v>
      </c>
      <c r="AQ65" s="56">
        <f t="shared" si="38"/>
        <v>0</v>
      </c>
      <c r="AR65" s="56">
        <f t="shared" si="38"/>
        <v>0</v>
      </c>
      <c r="AS65" s="56">
        <f t="shared" si="38"/>
        <v>0</v>
      </c>
      <c r="AT65" s="56">
        <f t="shared" si="38"/>
        <v>0</v>
      </c>
      <c r="AU65" s="56">
        <f t="shared" si="38"/>
        <v>0</v>
      </c>
      <c r="AV65" s="56">
        <f t="shared" si="38"/>
        <v>0</v>
      </c>
      <c r="AW65" s="56">
        <f t="shared" si="38"/>
        <v>0</v>
      </c>
      <c r="AX65" s="56">
        <f t="shared" si="38"/>
        <v>0</v>
      </c>
      <c r="AY65" s="56">
        <f t="shared" si="38"/>
        <v>0</v>
      </c>
      <c r="AZ65" s="56">
        <f t="shared" si="38"/>
        <v>0</v>
      </c>
      <c r="BA65" s="56">
        <f t="shared" si="38"/>
        <v>0</v>
      </c>
    </row>
    <row r="66" spans="2:53" x14ac:dyDescent="0.2">
      <c r="B66" s="57" t="s">
        <v>29</v>
      </c>
      <c r="C66" s="64">
        <f>+L65/((1-(1/(1+$C$9)^$C$8))/$C$9)</f>
        <v>0</v>
      </c>
      <c r="D66" s="44"/>
      <c r="E66" s="44"/>
      <c r="F66" s="44"/>
      <c r="G66" s="6"/>
      <c r="H66" s="6"/>
      <c r="I66" s="6"/>
      <c r="J66" s="6"/>
      <c r="K66" s="6"/>
      <c r="L66" s="44">
        <v>0</v>
      </c>
      <c r="M66" s="44">
        <f>+IF(L65&lt;0.01,0,$C$66)</f>
        <v>0</v>
      </c>
      <c r="N66" s="44">
        <f t="shared" ref="N66:BA66" si="39">+IF(M65&lt;0.01,0,$C$66)</f>
        <v>0</v>
      </c>
      <c r="O66" s="56">
        <f t="shared" si="39"/>
        <v>0</v>
      </c>
      <c r="P66" s="56">
        <f t="shared" si="39"/>
        <v>0</v>
      </c>
      <c r="Q66" s="56">
        <f t="shared" si="39"/>
        <v>0</v>
      </c>
      <c r="R66" s="56">
        <f t="shared" si="39"/>
        <v>0</v>
      </c>
      <c r="S66" s="56">
        <f t="shared" si="39"/>
        <v>0</v>
      </c>
      <c r="T66" s="56">
        <f t="shared" si="39"/>
        <v>0</v>
      </c>
      <c r="U66" s="56">
        <f t="shared" si="39"/>
        <v>0</v>
      </c>
      <c r="V66" s="56">
        <f t="shared" si="39"/>
        <v>0</v>
      </c>
      <c r="W66" s="56">
        <f t="shared" si="39"/>
        <v>0</v>
      </c>
      <c r="X66" s="56">
        <f t="shared" si="39"/>
        <v>0</v>
      </c>
      <c r="Y66" s="56">
        <f t="shared" si="39"/>
        <v>0</v>
      </c>
      <c r="Z66" s="56">
        <f t="shared" si="39"/>
        <v>0</v>
      </c>
      <c r="AA66" s="56">
        <f t="shared" si="39"/>
        <v>0</v>
      </c>
      <c r="AB66" s="56">
        <f t="shared" si="39"/>
        <v>0</v>
      </c>
      <c r="AC66" s="56">
        <f t="shared" si="39"/>
        <v>0</v>
      </c>
      <c r="AD66" s="56">
        <f t="shared" si="39"/>
        <v>0</v>
      </c>
      <c r="AE66" s="56">
        <f t="shared" si="39"/>
        <v>0</v>
      </c>
      <c r="AF66" s="56">
        <f t="shared" si="39"/>
        <v>0</v>
      </c>
      <c r="AG66" s="56">
        <f t="shared" si="39"/>
        <v>0</v>
      </c>
      <c r="AH66" s="56">
        <f t="shared" si="39"/>
        <v>0</v>
      </c>
      <c r="AI66" s="56">
        <f t="shared" si="39"/>
        <v>0</v>
      </c>
      <c r="AJ66" s="56">
        <f t="shared" si="39"/>
        <v>0</v>
      </c>
      <c r="AK66" s="56">
        <f t="shared" si="39"/>
        <v>0</v>
      </c>
      <c r="AL66" s="56">
        <f t="shared" si="39"/>
        <v>0</v>
      </c>
      <c r="AM66" s="56">
        <f t="shared" si="39"/>
        <v>0</v>
      </c>
      <c r="AN66" s="56">
        <f t="shared" si="39"/>
        <v>0</v>
      </c>
      <c r="AO66" s="56">
        <f t="shared" si="39"/>
        <v>0</v>
      </c>
      <c r="AP66" s="56">
        <f t="shared" si="39"/>
        <v>0</v>
      </c>
      <c r="AQ66" s="56">
        <f t="shared" si="39"/>
        <v>0</v>
      </c>
      <c r="AR66" s="56">
        <f t="shared" si="39"/>
        <v>0</v>
      </c>
      <c r="AS66" s="56">
        <f t="shared" si="39"/>
        <v>0</v>
      </c>
      <c r="AT66" s="56">
        <f t="shared" si="39"/>
        <v>0</v>
      </c>
      <c r="AU66" s="56">
        <f t="shared" si="39"/>
        <v>0</v>
      </c>
      <c r="AV66" s="56">
        <f t="shared" si="39"/>
        <v>0</v>
      </c>
      <c r="AW66" s="56">
        <f t="shared" si="39"/>
        <v>0</v>
      </c>
      <c r="AX66" s="56">
        <f t="shared" si="39"/>
        <v>0</v>
      </c>
      <c r="AY66" s="56">
        <f t="shared" si="39"/>
        <v>0</v>
      </c>
      <c r="AZ66" s="56">
        <f t="shared" si="39"/>
        <v>0</v>
      </c>
      <c r="BA66" s="56">
        <f t="shared" si="39"/>
        <v>0</v>
      </c>
    </row>
    <row r="67" spans="2:53" x14ac:dyDescent="0.2">
      <c r="B67" s="57" t="s">
        <v>30</v>
      </c>
      <c r="C67" s="65" t="s">
        <v>75</v>
      </c>
      <c r="D67" s="44"/>
      <c r="E67" s="44"/>
      <c r="F67" s="44"/>
      <c r="G67" s="6"/>
      <c r="H67" s="6"/>
      <c r="I67" s="6"/>
      <c r="J67" s="6"/>
      <c r="K67" s="6"/>
      <c r="L67" s="44">
        <v>0</v>
      </c>
      <c r="M67" s="44">
        <f>+M66-M68</f>
        <v>0</v>
      </c>
      <c r="N67" s="44">
        <f t="shared" ref="N67:BA67" si="40">+N66-N68</f>
        <v>0</v>
      </c>
      <c r="O67" s="56">
        <f t="shared" si="40"/>
        <v>0</v>
      </c>
      <c r="P67" s="56">
        <f t="shared" si="40"/>
        <v>0</v>
      </c>
      <c r="Q67" s="56">
        <f t="shared" si="40"/>
        <v>0</v>
      </c>
      <c r="R67" s="56">
        <f t="shared" si="40"/>
        <v>0</v>
      </c>
      <c r="S67" s="56">
        <f t="shared" si="40"/>
        <v>0</v>
      </c>
      <c r="T67" s="56">
        <f t="shared" si="40"/>
        <v>0</v>
      </c>
      <c r="U67" s="56">
        <f t="shared" si="40"/>
        <v>0</v>
      </c>
      <c r="V67" s="56">
        <f t="shared" si="40"/>
        <v>0</v>
      </c>
      <c r="W67" s="56">
        <f t="shared" si="40"/>
        <v>0</v>
      </c>
      <c r="X67" s="56">
        <f t="shared" si="40"/>
        <v>0</v>
      </c>
      <c r="Y67" s="56">
        <f t="shared" si="40"/>
        <v>0</v>
      </c>
      <c r="Z67" s="56">
        <f t="shared" si="40"/>
        <v>0</v>
      </c>
      <c r="AA67" s="56">
        <f t="shared" si="40"/>
        <v>0</v>
      </c>
      <c r="AB67" s="56">
        <f t="shared" si="40"/>
        <v>0</v>
      </c>
      <c r="AC67" s="56">
        <f t="shared" si="40"/>
        <v>0</v>
      </c>
      <c r="AD67" s="56">
        <f t="shared" si="40"/>
        <v>0</v>
      </c>
      <c r="AE67" s="56">
        <f t="shared" si="40"/>
        <v>0</v>
      </c>
      <c r="AF67" s="56">
        <f t="shared" si="40"/>
        <v>0</v>
      </c>
      <c r="AG67" s="56">
        <f t="shared" si="40"/>
        <v>0</v>
      </c>
      <c r="AH67" s="56">
        <f t="shared" si="40"/>
        <v>0</v>
      </c>
      <c r="AI67" s="56">
        <f t="shared" si="40"/>
        <v>0</v>
      </c>
      <c r="AJ67" s="56">
        <f t="shared" si="40"/>
        <v>0</v>
      </c>
      <c r="AK67" s="56">
        <f t="shared" si="40"/>
        <v>0</v>
      </c>
      <c r="AL67" s="56">
        <f t="shared" si="40"/>
        <v>0</v>
      </c>
      <c r="AM67" s="56">
        <f t="shared" si="40"/>
        <v>0</v>
      </c>
      <c r="AN67" s="56">
        <f t="shared" si="40"/>
        <v>0</v>
      </c>
      <c r="AO67" s="56">
        <f t="shared" si="40"/>
        <v>0</v>
      </c>
      <c r="AP67" s="56">
        <f t="shared" si="40"/>
        <v>0</v>
      </c>
      <c r="AQ67" s="56">
        <f t="shared" si="40"/>
        <v>0</v>
      </c>
      <c r="AR67" s="56">
        <f t="shared" si="40"/>
        <v>0</v>
      </c>
      <c r="AS67" s="56">
        <f t="shared" si="40"/>
        <v>0</v>
      </c>
      <c r="AT67" s="56">
        <f t="shared" si="40"/>
        <v>0</v>
      </c>
      <c r="AU67" s="56">
        <f t="shared" si="40"/>
        <v>0</v>
      </c>
      <c r="AV67" s="56">
        <f t="shared" si="40"/>
        <v>0</v>
      </c>
      <c r="AW67" s="56">
        <f t="shared" si="40"/>
        <v>0</v>
      </c>
      <c r="AX67" s="56">
        <f t="shared" si="40"/>
        <v>0</v>
      </c>
      <c r="AY67" s="56">
        <f t="shared" si="40"/>
        <v>0</v>
      </c>
      <c r="AZ67" s="56">
        <f t="shared" si="40"/>
        <v>0</v>
      </c>
      <c r="BA67" s="56">
        <f t="shared" si="40"/>
        <v>0</v>
      </c>
    </row>
    <row r="68" spans="2:53" x14ac:dyDescent="0.2">
      <c r="B68" s="57" t="s">
        <v>3</v>
      </c>
      <c r="C68" s="65" t="s">
        <v>75</v>
      </c>
      <c r="D68" s="44"/>
      <c r="E68" s="44"/>
      <c r="F68" s="44"/>
      <c r="G68" s="6"/>
      <c r="H68" s="6"/>
      <c r="I68" s="6"/>
      <c r="J68" s="6"/>
      <c r="K68" s="6"/>
      <c r="L68" s="44">
        <v>0</v>
      </c>
      <c r="M68" s="44">
        <f t="shared" ref="M68:BA68" si="41">+$C$9*L65</f>
        <v>0</v>
      </c>
      <c r="N68" s="44">
        <f t="shared" si="41"/>
        <v>0</v>
      </c>
      <c r="O68" s="56">
        <f t="shared" si="41"/>
        <v>0</v>
      </c>
      <c r="P68" s="56">
        <f t="shared" si="41"/>
        <v>0</v>
      </c>
      <c r="Q68" s="56">
        <f t="shared" si="41"/>
        <v>0</v>
      </c>
      <c r="R68" s="56">
        <f t="shared" si="41"/>
        <v>0</v>
      </c>
      <c r="S68" s="56">
        <f t="shared" si="41"/>
        <v>0</v>
      </c>
      <c r="T68" s="56">
        <f t="shared" si="41"/>
        <v>0</v>
      </c>
      <c r="U68" s="56">
        <f t="shared" si="41"/>
        <v>0</v>
      </c>
      <c r="V68" s="56">
        <f t="shared" si="41"/>
        <v>0</v>
      </c>
      <c r="W68" s="56">
        <f t="shared" si="41"/>
        <v>0</v>
      </c>
      <c r="X68" s="56">
        <f t="shared" si="41"/>
        <v>0</v>
      </c>
      <c r="Y68" s="56">
        <f t="shared" si="41"/>
        <v>0</v>
      </c>
      <c r="Z68" s="56">
        <f t="shared" si="41"/>
        <v>0</v>
      </c>
      <c r="AA68" s="56">
        <f t="shared" si="41"/>
        <v>0</v>
      </c>
      <c r="AB68" s="56">
        <f t="shared" si="41"/>
        <v>0</v>
      </c>
      <c r="AC68" s="56">
        <f t="shared" si="41"/>
        <v>0</v>
      </c>
      <c r="AD68" s="56">
        <f t="shared" si="41"/>
        <v>0</v>
      </c>
      <c r="AE68" s="56">
        <f t="shared" si="41"/>
        <v>0</v>
      </c>
      <c r="AF68" s="56">
        <f t="shared" si="41"/>
        <v>0</v>
      </c>
      <c r="AG68" s="56">
        <f t="shared" si="41"/>
        <v>0</v>
      </c>
      <c r="AH68" s="56">
        <f t="shared" si="41"/>
        <v>0</v>
      </c>
      <c r="AI68" s="56">
        <f t="shared" si="41"/>
        <v>0</v>
      </c>
      <c r="AJ68" s="56">
        <f t="shared" si="41"/>
        <v>0</v>
      </c>
      <c r="AK68" s="56">
        <f t="shared" si="41"/>
        <v>0</v>
      </c>
      <c r="AL68" s="56">
        <f t="shared" si="41"/>
        <v>0</v>
      </c>
      <c r="AM68" s="56">
        <f t="shared" si="41"/>
        <v>0</v>
      </c>
      <c r="AN68" s="56">
        <f t="shared" si="41"/>
        <v>0</v>
      </c>
      <c r="AO68" s="56">
        <f t="shared" si="41"/>
        <v>0</v>
      </c>
      <c r="AP68" s="56">
        <f t="shared" si="41"/>
        <v>0</v>
      </c>
      <c r="AQ68" s="56">
        <f t="shared" si="41"/>
        <v>0</v>
      </c>
      <c r="AR68" s="56">
        <f t="shared" si="41"/>
        <v>0</v>
      </c>
      <c r="AS68" s="56">
        <f t="shared" si="41"/>
        <v>0</v>
      </c>
      <c r="AT68" s="56">
        <f t="shared" si="41"/>
        <v>0</v>
      </c>
      <c r="AU68" s="56">
        <f t="shared" si="41"/>
        <v>0</v>
      </c>
      <c r="AV68" s="56">
        <f t="shared" si="41"/>
        <v>0</v>
      </c>
      <c r="AW68" s="56">
        <f t="shared" si="41"/>
        <v>0</v>
      </c>
      <c r="AX68" s="56">
        <f t="shared" si="41"/>
        <v>0</v>
      </c>
      <c r="AY68" s="56">
        <f t="shared" si="41"/>
        <v>0</v>
      </c>
      <c r="AZ68" s="56">
        <f t="shared" si="41"/>
        <v>0</v>
      </c>
      <c r="BA68" s="56">
        <f t="shared" si="41"/>
        <v>0</v>
      </c>
    </row>
    <row r="69" spans="2:53" x14ac:dyDescent="0.2">
      <c r="B69" s="57"/>
      <c r="D69" s="44"/>
      <c r="E69" s="44"/>
      <c r="F69" s="44"/>
      <c r="G69" s="44"/>
      <c r="H69" s="44"/>
      <c r="I69" s="44"/>
      <c r="J69" s="6"/>
      <c r="K69" s="6"/>
      <c r="L69" s="44"/>
      <c r="M69" s="44"/>
      <c r="N69" s="44"/>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row>
    <row r="70" spans="2:53" x14ac:dyDescent="0.2">
      <c r="B70" s="46" t="s">
        <v>54</v>
      </c>
      <c r="C70" s="65" t="s">
        <v>75</v>
      </c>
      <c r="D70" s="44"/>
      <c r="E70" s="44"/>
      <c r="F70" s="44"/>
      <c r="G70" s="6"/>
      <c r="H70" s="6"/>
      <c r="I70" s="6"/>
      <c r="J70" s="6"/>
      <c r="K70" s="6"/>
      <c r="L70" s="6"/>
      <c r="M70" s="44">
        <f>M18</f>
        <v>0</v>
      </c>
      <c r="N70" s="44">
        <f t="shared" ref="N70:BA70" si="42">+M70-N72</f>
        <v>0</v>
      </c>
      <c r="O70" s="56">
        <f t="shared" si="42"/>
        <v>0</v>
      </c>
      <c r="P70" s="56">
        <f t="shared" si="42"/>
        <v>0</v>
      </c>
      <c r="Q70" s="56">
        <f t="shared" si="42"/>
        <v>0</v>
      </c>
      <c r="R70" s="56">
        <f t="shared" si="42"/>
        <v>0</v>
      </c>
      <c r="S70" s="56">
        <f t="shared" si="42"/>
        <v>0</v>
      </c>
      <c r="T70" s="56">
        <f t="shared" si="42"/>
        <v>0</v>
      </c>
      <c r="U70" s="56">
        <f t="shared" si="42"/>
        <v>0</v>
      </c>
      <c r="V70" s="56">
        <f t="shared" si="42"/>
        <v>0</v>
      </c>
      <c r="W70" s="56">
        <f t="shared" si="42"/>
        <v>0</v>
      </c>
      <c r="X70" s="56">
        <f t="shared" si="42"/>
        <v>0</v>
      </c>
      <c r="Y70" s="56">
        <f t="shared" si="42"/>
        <v>0</v>
      </c>
      <c r="Z70" s="56">
        <f t="shared" si="42"/>
        <v>0</v>
      </c>
      <c r="AA70" s="56">
        <f t="shared" si="42"/>
        <v>0</v>
      </c>
      <c r="AB70" s="56">
        <f t="shared" si="42"/>
        <v>0</v>
      </c>
      <c r="AC70" s="56">
        <f t="shared" si="42"/>
        <v>0</v>
      </c>
      <c r="AD70" s="56">
        <f t="shared" si="42"/>
        <v>0</v>
      </c>
      <c r="AE70" s="56">
        <f t="shared" si="42"/>
        <v>0</v>
      </c>
      <c r="AF70" s="56">
        <f t="shared" si="42"/>
        <v>0</v>
      </c>
      <c r="AG70" s="56">
        <f t="shared" si="42"/>
        <v>0</v>
      </c>
      <c r="AH70" s="56">
        <f t="shared" si="42"/>
        <v>0</v>
      </c>
      <c r="AI70" s="56">
        <f t="shared" si="42"/>
        <v>0</v>
      </c>
      <c r="AJ70" s="56">
        <f t="shared" si="42"/>
        <v>0</v>
      </c>
      <c r="AK70" s="56">
        <f t="shared" si="42"/>
        <v>0</v>
      </c>
      <c r="AL70" s="56">
        <f t="shared" si="42"/>
        <v>0</v>
      </c>
      <c r="AM70" s="56">
        <f t="shared" si="42"/>
        <v>0</v>
      </c>
      <c r="AN70" s="56">
        <f t="shared" si="42"/>
        <v>0</v>
      </c>
      <c r="AO70" s="56">
        <f t="shared" si="42"/>
        <v>0</v>
      </c>
      <c r="AP70" s="56">
        <f t="shared" si="42"/>
        <v>0</v>
      </c>
      <c r="AQ70" s="56">
        <f t="shared" si="42"/>
        <v>0</v>
      </c>
      <c r="AR70" s="56">
        <f t="shared" si="42"/>
        <v>0</v>
      </c>
      <c r="AS70" s="56">
        <f t="shared" si="42"/>
        <v>0</v>
      </c>
      <c r="AT70" s="56">
        <f t="shared" si="42"/>
        <v>0</v>
      </c>
      <c r="AU70" s="56">
        <f t="shared" si="42"/>
        <v>0</v>
      </c>
      <c r="AV70" s="56">
        <f t="shared" si="42"/>
        <v>0</v>
      </c>
      <c r="AW70" s="56">
        <f t="shared" si="42"/>
        <v>0</v>
      </c>
      <c r="AX70" s="56">
        <f t="shared" si="42"/>
        <v>0</v>
      </c>
      <c r="AY70" s="56">
        <f t="shared" si="42"/>
        <v>0</v>
      </c>
      <c r="AZ70" s="56">
        <f t="shared" si="42"/>
        <v>0</v>
      </c>
      <c r="BA70" s="56">
        <f t="shared" si="42"/>
        <v>0</v>
      </c>
    </row>
    <row r="71" spans="2:53" x14ac:dyDescent="0.2">
      <c r="B71" s="57" t="s">
        <v>29</v>
      </c>
      <c r="C71" s="64">
        <f>+M70/((1-(1/(1+$C$9)^$C$8))/$C$9)</f>
        <v>0</v>
      </c>
      <c r="D71" s="44"/>
      <c r="E71" s="44"/>
      <c r="F71" s="44"/>
      <c r="G71" s="6"/>
      <c r="H71" s="6"/>
      <c r="I71" s="6"/>
      <c r="J71" s="6"/>
      <c r="K71" s="6"/>
      <c r="L71" s="6"/>
      <c r="M71" s="44">
        <v>0</v>
      </c>
      <c r="N71" s="44">
        <f>+IF(M70&lt;0.01,0,$C$71)</f>
        <v>0</v>
      </c>
      <c r="O71" s="56">
        <f t="shared" ref="O71:BA71" si="43">+IF(N70&lt;0.01,0,$C$71)</f>
        <v>0</v>
      </c>
      <c r="P71" s="56">
        <f t="shared" si="43"/>
        <v>0</v>
      </c>
      <c r="Q71" s="56">
        <f t="shared" si="43"/>
        <v>0</v>
      </c>
      <c r="R71" s="56">
        <f t="shared" si="43"/>
        <v>0</v>
      </c>
      <c r="S71" s="56">
        <f t="shared" si="43"/>
        <v>0</v>
      </c>
      <c r="T71" s="56">
        <f t="shared" si="43"/>
        <v>0</v>
      </c>
      <c r="U71" s="56">
        <f t="shared" si="43"/>
        <v>0</v>
      </c>
      <c r="V71" s="56">
        <f t="shared" si="43"/>
        <v>0</v>
      </c>
      <c r="W71" s="56">
        <f t="shared" si="43"/>
        <v>0</v>
      </c>
      <c r="X71" s="56">
        <f t="shared" si="43"/>
        <v>0</v>
      </c>
      <c r="Y71" s="56">
        <f t="shared" si="43"/>
        <v>0</v>
      </c>
      <c r="Z71" s="56">
        <f t="shared" si="43"/>
        <v>0</v>
      </c>
      <c r="AA71" s="56">
        <f t="shared" si="43"/>
        <v>0</v>
      </c>
      <c r="AB71" s="56">
        <f t="shared" si="43"/>
        <v>0</v>
      </c>
      <c r="AC71" s="56">
        <f t="shared" si="43"/>
        <v>0</v>
      </c>
      <c r="AD71" s="56">
        <f t="shared" si="43"/>
        <v>0</v>
      </c>
      <c r="AE71" s="56">
        <f t="shared" si="43"/>
        <v>0</v>
      </c>
      <c r="AF71" s="56">
        <f t="shared" si="43"/>
        <v>0</v>
      </c>
      <c r="AG71" s="56">
        <f t="shared" si="43"/>
        <v>0</v>
      </c>
      <c r="AH71" s="56">
        <f t="shared" si="43"/>
        <v>0</v>
      </c>
      <c r="AI71" s="56">
        <f t="shared" si="43"/>
        <v>0</v>
      </c>
      <c r="AJ71" s="56">
        <f t="shared" si="43"/>
        <v>0</v>
      </c>
      <c r="AK71" s="56">
        <f t="shared" si="43"/>
        <v>0</v>
      </c>
      <c r="AL71" s="56">
        <f t="shared" si="43"/>
        <v>0</v>
      </c>
      <c r="AM71" s="56">
        <f t="shared" si="43"/>
        <v>0</v>
      </c>
      <c r="AN71" s="56">
        <f t="shared" si="43"/>
        <v>0</v>
      </c>
      <c r="AO71" s="56">
        <f t="shared" si="43"/>
        <v>0</v>
      </c>
      <c r="AP71" s="56">
        <f t="shared" si="43"/>
        <v>0</v>
      </c>
      <c r="AQ71" s="56">
        <f t="shared" si="43"/>
        <v>0</v>
      </c>
      <c r="AR71" s="56">
        <f t="shared" si="43"/>
        <v>0</v>
      </c>
      <c r="AS71" s="56">
        <f t="shared" si="43"/>
        <v>0</v>
      </c>
      <c r="AT71" s="56">
        <f t="shared" si="43"/>
        <v>0</v>
      </c>
      <c r="AU71" s="56">
        <f t="shared" si="43"/>
        <v>0</v>
      </c>
      <c r="AV71" s="56">
        <f t="shared" si="43"/>
        <v>0</v>
      </c>
      <c r="AW71" s="56">
        <f t="shared" si="43"/>
        <v>0</v>
      </c>
      <c r="AX71" s="56">
        <f t="shared" si="43"/>
        <v>0</v>
      </c>
      <c r="AY71" s="56">
        <f t="shared" si="43"/>
        <v>0</v>
      </c>
      <c r="AZ71" s="56">
        <f t="shared" si="43"/>
        <v>0</v>
      </c>
      <c r="BA71" s="56">
        <f t="shared" si="43"/>
        <v>0</v>
      </c>
    </row>
    <row r="72" spans="2:53" x14ac:dyDescent="0.2">
      <c r="B72" s="57" t="s">
        <v>30</v>
      </c>
      <c r="C72" s="65" t="s">
        <v>75</v>
      </c>
      <c r="D72" s="44"/>
      <c r="E72" s="44"/>
      <c r="F72" s="44"/>
      <c r="G72" s="6"/>
      <c r="H72" s="6"/>
      <c r="I72" s="6"/>
      <c r="J72" s="6"/>
      <c r="K72" s="6"/>
      <c r="L72" s="6"/>
      <c r="M72" s="44">
        <v>0</v>
      </c>
      <c r="N72" s="44">
        <f t="shared" ref="N72:BA72" si="44">+N71-N73</f>
        <v>0</v>
      </c>
      <c r="O72" s="56">
        <f t="shared" si="44"/>
        <v>0</v>
      </c>
      <c r="P72" s="56">
        <f t="shared" si="44"/>
        <v>0</v>
      </c>
      <c r="Q72" s="56">
        <f t="shared" si="44"/>
        <v>0</v>
      </c>
      <c r="R72" s="56">
        <f t="shared" si="44"/>
        <v>0</v>
      </c>
      <c r="S72" s="56">
        <f t="shared" si="44"/>
        <v>0</v>
      </c>
      <c r="T72" s="56">
        <f t="shared" si="44"/>
        <v>0</v>
      </c>
      <c r="U72" s="56">
        <f t="shared" si="44"/>
        <v>0</v>
      </c>
      <c r="V72" s="56">
        <f t="shared" si="44"/>
        <v>0</v>
      </c>
      <c r="W72" s="56">
        <f t="shared" si="44"/>
        <v>0</v>
      </c>
      <c r="X72" s="56">
        <f t="shared" si="44"/>
        <v>0</v>
      </c>
      <c r="Y72" s="56">
        <f t="shared" si="44"/>
        <v>0</v>
      </c>
      <c r="Z72" s="56">
        <f t="shared" si="44"/>
        <v>0</v>
      </c>
      <c r="AA72" s="56">
        <f t="shared" si="44"/>
        <v>0</v>
      </c>
      <c r="AB72" s="56">
        <f t="shared" si="44"/>
        <v>0</v>
      </c>
      <c r="AC72" s="56">
        <f t="shared" si="44"/>
        <v>0</v>
      </c>
      <c r="AD72" s="56">
        <f t="shared" si="44"/>
        <v>0</v>
      </c>
      <c r="AE72" s="56">
        <f t="shared" si="44"/>
        <v>0</v>
      </c>
      <c r="AF72" s="56">
        <f t="shared" si="44"/>
        <v>0</v>
      </c>
      <c r="AG72" s="56">
        <f t="shared" si="44"/>
        <v>0</v>
      </c>
      <c r="AH72" s="56">
        <f t="shared" si="44"/>
        <v>0</v>
      </c>
      <c r="AI72" s="56">
        <f t="shared" si="44"/>
        <v>0</v>
      </c>
      <c r="AJ72" s="56">
        <f t="shared" si="44"/>
        <v>0</v>
      </c>
      <c r="AK72" s="56">
        <f t="shared" si="44"/>
        <v>0</v>
      </c>
      <c r="AL72" s="56">
        <f t="shared" si="44"/>
        <v>0</v>
      </c>
      <c r="AM72" s="56">
        <f t="shared" si="44"/>
        <v>0</v>
      </c>
      <c r="AN72" s="56">
        <f t="shared" si="44"/>
        <v>0</v>
      </c>
      <c r="AO72" s="56">
        <f t="shared" si="44"/>
        <v>0</v>
      </c>
      <c r="AP72" s="56">
        <f t="shared" si="44"/>
        <v>0</v>
      </c>
      <c r="AQ72" s="56">
        <f t="shared" si="44"/>
        <v>0</v>
      </c>
      <c r="AR72" s="56">
        <f t="shared" si="44"/>
        <v>0</v>
      </c>
      <c r="AS72" s="56">
        <f t="shared" si="44"/>
        <v>0</v>
      </c>
      <c r="AT72" s="56">
        <f t="shared" si="44"/>
        <v>0</v>
      </c>
      <c r="AU72" s="56">
        <f t="shared" si="44"/>
        <v>0</v>
      </c>
      <c r="AV72" s="56">
        <f t="shared" si="44"/>
        <v>0</v>
      </c>
      <c r="AW72" s="56">
        <f t="shared" si="44"/>
        <v>0</v>
      </c>
      <c r="AX72" s="56">
        <f t="shared" si="44"/>
        <v>0</v>
      </c>
      <c r="AY72" s="56">
        <f t="shared" si="44"/>
        <v>0</v>
      </c>
      <c r="AZ72" s="56">
        <f t="shared" si="44"/>
        <v>0</v>
      </c>
      <c r="BA72" s="56">
        <f t="shared" si="44"/>
        <v>0</v>
      </c>
    </row>
    <row r="73" spans="2:53" x14ac:dyDescent="0.2">
      <c r="B73" s="57" t="s">
        <v>3</v>
      </c>
      <c r="C73" s="65" t="s">
        <v>75</v>
      </c>
      <c r="D73" s="44"/>
      <c r="E73" s="44"/>
      <c r="F73" s="44"/>
      <c r="G73" s="6"/>
      <c r="H73" s="6"/>
      <c r="I73" s="6"/>
      <c r="J73" s="6"/>
      <c r="K73" s="6"/>
      <c r="L73" s="6"/>
      <c r="M73" s="44">
        <v>0</v>
      </c>
      <c r="N73" s="44">
        <f t="shared" ref="N73:BA73" si="45">+$C$9*M70</f>
        <v>0</v>
      </c>
      <c r="O73" s="56">
        <f t="shared" si="45"/>
        <v>0</v>
      </c>
      <c r="P73" s="56">
        <f t="shared" si="45"/>
        <v>0</v>
      </c>
      <c r="Q73" s="56">
        <f t="shared" si="45"/>
        <v>0</v>
      </c>
      <c r="R73" s="56">
        <f t="shared" si="45"/>
        <v>0</v>
      </c>
      <c r="S73" s="56">
        <f t="shared" si="45"/>
        <v>0</v>
      </c>
      <c r="T73" s="56">
        <f t="shared" si="45"/>
        <v>0</v>
      </c>
      <c r="U73" s="56">
        <f t="shared" si="45"/>
        <v>0</v>
      </c>
      <c r="V73" s="56">
        <f t="shared" si="45"/>
        <v>0</v>
      </c>
      <c r="W73" s="56">
        <f t="shared" si="45"/>
        <v>0</v>
      </c>
      <c r="X73" s="56">
        <f t="shared" si="45"/>
        <v>0</v>
      </c>
      <c r="Y73" s="56">
        <f t="shared" si="45"/>
        <v>0</v>
      </c>
      <c r="Z73" s="56">
        <f t="shared" si="45"/>
        <v>0</v>
      </c>
      <c r="AA73" s="56">
        <f t="shared" si="45"/>
        <v>0</v>
      </c>
      <c r="AB73" s="56">
        <f t="shared" si="45"/>
        <v>0</v>
      </c>
      <c r="AC73" s="56">
        <f t="shared" si="45"/>
        <v>0</v>
      </c>
      <c r="AD73" s="56">
        <f t="shared" si="45"/>
        <v>0</v>
      </c>
      <c r="AE73" s="56">
        <f t="shared" si="45"/>
        <v>0</v>
      </c>
      <c r="AF73" s="56">
        <f t="shared" si="45"/>
        <v>0</v>
      </c>
      <c r="AG73" s="56">
        <f t="shared" si="45"/>
        <v>0</v>
      </c>
      <c r="AH73" s="56">
        <f t="shared" si="45"/>
        <v>0</v>
      </c>
      <c r="AI73" s="56">
        <f t="shared" si="45"/>
        <v>0</v>
      </c>
      <c r="AJ73" s="56">
        <f t="shared" si="45"/>
        <v>0</v>
      </c>
      <c r="AK73" s="56">
        <f t="shared" si="45"/>
        <v>0</v>
      </c>
      <c r="AL73" s="56">
        <f t="shared" si="45"/>
        <v>0</v>
      </c>
      <c r="AM73" s="56">
        <f t="shared" si="45"/>
        <v>0</v>
      </c>
      <c r="AN73" s="56">
        <f t="shared" si="45"/>
        <v>0</v>
      </c>
      <c r="AO73" s="56">
        <f t="shared" si="45"/>
        <v>0</v>
      </c>
      <c r="AP73" s="56">
        <f t="shared" si="45"/>
        <v>0</v>
      </c>
      <c r="AQ73" s="56">
        <f t="shared" si="45"/>
        <v>0</v>
      </c>
      <c r="AR73" s="56">
        <f t="shared" si="45"/>
        <v>0</v>
      </c>
      <c r="AS73" s="56">
        <f t="shared" si="45"/>
        <v>0</v>
      </c>
      <c r="AT73" s="56">
        <f t="shared" si="45"/>
        <v>0</v>
      </c>
      <c r="AU73" s="56">
        <f t="shared" si="45"/>
        <v>0</v>
      </c>
      <c r="AV73" s="56">
        <f t="shared" si="45"/>
        <v>0</v>
      </c>
      <c r="AW73" s="56">
        <f t="shared" si="45"/>
        <v>0</v>
      </c>
      <c r="AX73" s="56">
        <f t="shared" si="45"/>
        <v>0</v>
      </c>
      <c r="AY73" s="56">
        <f t="shared" si="45"/>
        <v>0</v>
      </c>
      <c r="AZ73" s="56">
        <f t="shared" si="45"/>
        <v>0</v>
      </c>
      <c r="BA73" s="56">
        <f t="shared" si="45"/>
        <v>0</v>
      </c>
    </row>
    <row r="74" spans="2:53" x14ac:dyDescent="0.2">
      <c r="D74" s="6"/>
      <c r="E74" s="6"/>
      <c r="F74" s="6"/>
      <c r="G74" s="6"/>
      <c r="H74" s="6"/>
      <c r="I74" s="6"/>
      <c r="J74" s="6"/>
      <c r="K74" s="6"/>
      <c r="L74" s="6"/>
      <c r="M74" s="6"/>
      <c r="N74" s="6"/>
    </row>
    <row r="75" spans="2:53" x14ac:dyDescent="0.2">
      <c r="B75" s="46" t="s">
        <v>55</v>
      </c>
      <c r="C75" s="65" t="s">
        <v>75</v>
      </c>
      <c r="D75" s="44"/>
      <c r="E75" s="44"/>
      <c r="F75" s="44"/>
      <c r="G75" s="44"/>
      <c r="H75" s="44"/>
      <c r="I75" s="44"/>
      <c r="J75" s="44"/>
      <c r="K75" s="44"/>
      <c r="L75" s="44"/>
      <c r="M75" s="44"/>
      <c r="N75" s="44">
        <f>N18</f>
        <v>0</v>
      </c>
      <c r="O75" s="56">
        <f t="shared" ref="O75:BA75" si="46">+N75-O77</f>
        <v>0</v>
      </c>
      <c r="P75" s="56">
        <f t="shared" si="46"/>
        <v>0</v>
      </c>
      <c r="Q75" s="56">
        <f t="shared" si="46"/>
        <v>0</v>
      </c>
      <c r="R75" s="56">
        <f t="shared" si="46"/>
        <v>0</v>
      </c>
      <c r="S75" s="56">
        <f t="shared" si="46"/>
        <v>0</v>
      </c>
      <c r="T75" s="56">
        <f t="shared" si="46"/>
        <v>0</v>
      </c>
      <c r="U75" s="56">
        <f t="shared" si="46"/>
        <v>0</v>
      </c>
      <c r="V75" s="56">
        <f t="shared" si="46"/>
        <v>0</v>
      </c>
      <c r="W75" s="56">
        <f t="shared" si="46"/>
        <v>0</v>
      </c>
      <c r="X75" s="56">
        <f t="shared" si="46"/>
        <v>0</v>
      </c>
      <c r="Y75" s="56">
        <f t="shared" si="46"/>
        <v>0</v>
      </c>
      <c r="Z75" s="56">
        <f t="shared" si="46"/>
        <v>0</v>
      </c>
      <c r="AA75" s="56">
        <f t="shared" si="46"/>
        <v>0</v>
      </c>
      <c r="AB75" s="56">
        <f t="shared" si="46"/>
        <v>0</v>
      </c>
      <c r="AC75" s="56">
        <f t="shared" si="46"/>
        <v>0</v>
      </c>
      <c r="AD75" s="56">
        <f t="shared" si="46"/>
        <v>0</v>
      </c>
      <c r="AE75" s="56">
        <f t="shared" si="46"/>
        <v>0</v>
      </c>
      <c r="AF75" s="56">
        <f t="shared" si="46"/>
        <v>0</v>
      </c>
      <c r="AG75" s="56">
        <f t="shared" si="46"/>
        <v>0</v>
      </c>
      <c r="AH75" s="56">
        <f t="shared" si="46"/>
        <v>0</v>
      </c>
      <c r="AI75" s="56">
        <f t="shared" si="46"/>
        <v>0</v>
      </c>
      <c r="AJ75" s="56">
        <f t="shared" si="46"/>
        <v>0</v>
      </c>
      <c r="AK75" s="56">
        <f t="shared" si="46"/>
        <v>0</v>
      </c>
      <c r="AL75" s="56">
        <f t="shared" si="46"/>
        <v>0</v>
      </c>
      <c r="AM75" s="56">
        <f t="shared" si="46"/>
        <v>0</v>
      </c>
      <c r="AN75" s="56">
        <f t="shared" si="46"/>
        <v>0</v>
      </c>
      <c r="AO75" s="56">
        <f t="shared" si="46"/>
        <v>0</v>
      </c>
      <c r="AP75" s="56">
        <f t="shared" si="46"/>
        <v>0</v>
      </c>
      <c r="AQ75" s="56">
        <f t="shared" si="46"/>
        <v>0</v>
      </c>
      <c r="AR75" s="56">
        <f t="shared" si="46"/>
        <v>0</v>
      </c>
      <c r="AS75" s="56">
        <f t="shared" si="46"/>
        <v>0</v>
      </c>
      <c r="AT75" s="56">
        <f t="shared" si="46"/>
        <v>0</v>
      </c>
      <c r="AU75" s="56">
        <f t="shared" si="46"/>
        <v>0</v>
      </c>
      <c r="AV75" s="56">
        <f t="shared" si="46"/>
        <v>0</v>
      </c>
      <c r="AW75" s="56">
        <f t="shared" si="46"/>
        <v>0</v>
      </c>
      <c r="AX75" s="56">
        <f t="shared" si="46"/>
        <v>0</v>
      </c>
      <c r="AY75" s="56">
        <f t="shared" si="46"/>
        <v>0</v>
      </c>
      <c r="AZ75" s="56">
        <f t="shared" si="46"/>
        <v>0</v>
      </c>
      <c r="BA75" s="56">
        <f t="shared" si="46"/>
        <v>0</v>
      </c>
    </row>
    <row r="76" spans="2:53" x14ac:dyDescent="0.2">
      <c r="B76" s="57" t="s">
        <v>29</v>
      </c>
      <c r="C76" s="64">
        <f>+N75/((1-(1/(1+$C$9)^$C$8))/$C$9)</f>
        <v>0</v>
      </c>
      <c r="D76" s="44"/>
      <c r="E76" s="44"/>
      <c r="F76" s="44"/>
      <c r="G76" s="44"/>
      <c r="H76" s="44"/>
      <c r="I76" s="44"/>
      <c r="J76" s="44"/>
      <c r="K76" s="44"/>
      <c r="L76" s="44"/>
      <c r="M76" s="44"/>
      <c r="N76" s="44">
        <v>0</v>
      </c>
      <c r="O76" s="56">
        <f>+IF(N75&lt;0.01,0,$C$76)</f>
        <v>0</v>
      </c>
      <c r="P76" s="56">
        <f t="shared" ref="P76:BA76" si="47">+IF(O75&lt;0.01,0,$C$76)</f>
        <v>0</v>
      </c>
      <c r="Q76" s="56">
        <f t="shared" si="47"/>
        <v>0</v>
      </c>
      <c r="R76" s="56">
        <f t="shared" si="47"/>
        <v>0</v>
      </c>
      <c r="S76" s="56">
        <f t="shared" si="47"/>
        <v>0</v>
      </c>
      <c r="T76" s="56">
        <f t="shared" si="47"/>
        <v>0</v>
      </c>
      <c r="U76" s="56">
        <f t="shared" si="47"/>
        <v>0</v>
      </c>
      <c r="V76" s="56">
        <f t="shared" si="47"/>
        <v>0</v>
      </c>
      <c r="W76" s="56">
        <f t="shared" si="47"/>
        <v>0</v>
      </c>
      <c r="X76" s="56">
        <f t="shared" si="47"/>
        <v>0</v>
      </c>
      <c r="Y76" s="56">
        <f t="shared" si="47"/>
        <v>0</v>
      </c>
      <c r="Z76" s="56">
        <f t="shared" si="47"/>
        <v>0</v>
      </c>
      <c r="AA76" s="56">
        <f t="shared" si="47"/>
        <v>0</v>
      </c>
      <c r="AB76" s="56">
        <f t="shared" si="47"/>
        <v>0</v>
      </c>
      <c r="AC76" s="56">
        <f t="shared" si="47"/>
        <v>0</v>
      </c>
      <c r="AD76" s="56">
        <f t="shared" si="47"/>
        <v>0</v>
      </c>
      <c r="AE76" s="56">
        <f t="shared" si="47"/>
        <v>0</v>
      </c>
      <c r="AF76" s="56">
        <f t="shared" si="47"/>
        <v>0</v>
      </c>
      <c r="AG76" s="56">
        <f t="shared" si="47"/>
        <v>0</v>
      </c>
      <c r="AH76" s="56">
        <f t="shared" si="47"/>
        <v>0</v>
      </c>
      <c r="AI76" s="56">
        <f t="shared" si="47"/>
        <v>0</v>
      </c>
      <c r="AJ76" s="56">
        <f t="shared" si="47"/>
        <v>0</v>
      </c>
      <c r="AK76" s="56">
        <f t="shared" si="47"/>
        <v>0</v>
      </c>
      <c r="AL76" s="56">
        <f t="shared" si="47"/>
        <v>0</v>
      </c>
      <c r="AM76" s="56">
        <f t="shared" si="47"/>
        <v>0</v>
      </c>
      <c r="AN76" s="56">
        <f t="shared" si="47"/>
        <v>0</v>
      </c>
      <c r="AO76" s="56">
        <f t="shared" si="47"/>
        <v>0</v>
      </c>
      <c r="AP76" s="56">
        <f t="shared" si="47"/>
        <v>0</v>
      </c>
      <c r="AQ76" s="56">
        <f t="shared" si="47"/>
        <v>0</v>
      </c>
      <c r="AR76" s="56">
        <f t="shared" si="47"/>
        <v>0</v>
      </c>
      <c r="AS76" s="56">
        <f t="shared" si="47"/>
        <v>0</v>
      </c>
      <c r="AT76" s="56">
        <f t="shared" si="47"/>
        <v>0</v>
      </c>
      <c r="AU76" s="56">
        <f t="shared" si="47"/>
        <v>0</v>
      </c>
      <c r="AV76" s="56">
        <f t="shared" si="47"/>
        <v>0</v>
      </c>
      <c r="AW76" s="56">
        <f t="shared" si="47"/>
        <v>0</v>
      </c>
      <c r="AX76" s="56">
        <f t="shared" si="47"/>
        <v>0</v>
      </c>
      <c r="AY76" s="56">
        <f t="shared" si="47"/>
        <v>0</v>
      </c>
      <c r="AZ76" s="56">
        <f t="shared" si="47"/>
        <v>0</v>
      </c>
      <c r="BA76" s="56">
        <f t="shared" si="47"/>
        <v>0</v>
      </c>
    </row>
    <row r="77" spans="2:53" x14ac:dyDescent="0.2">
      <c r="B77" s="57" t="s">
        <v>30</v>
      </c>
      <c r="C77" s="65" t="s">
        <v>75</v>
      </c>
      <c r="D77" s="44"/>
      <c r="E77" s="44"/>
      <c r="F77" s="44"/>
      <c r="G77" s="44"/>
      <c r="H77" s="44"/>
      <c r="I77" s="44"/>
      <c r="J77" s="44"/>
      <c r="K77" s="44"/>
      <c r="L77" s="44"/>
      <c r="M77" s="44"/>
      <c r="N77" s="44">
        <v>0</v>
      </c>
      <c r="O77" s="56">
        <f t="shared" ref="O77:BA77" si="48">+O76-O78</f>
        <v>0</v>
      </c>
      <c r="P77" s="56">
        <f t="shared" si="48"/>
        <v>0</v>
      </c>
      <c r="Q77" s="56">
        <f t="shared" si="48"/>
        <v>0</v>
      </c>
      <c r="R77" s="56">
        <f t="shared" si="48"/>
        <v>0</v>
      </c>
      <c r="S77" s="56">
        <f t="shared" si="48"/>
        <v>0</v>
      </c>
      <c r="T77" s="56">
        <f t="shared" si="48"/>
        <v>0</v>
      </c>
      <c r="U77" s="56">
        <f t="shared" si="48"/>
        <v>0</v>
      </c>
      <c r="V77" s="56">
        <f t="shared" si="48"/>
        <v>0</v>
      </c>
      <c r="W77" s="56">
        <f t="shared" si="48"/>
        <v>0</v>
      </c>
      <c r="X77" s="56">
        <f t="shared" si="48"/>
        <v>0</v>
      </c>
      <c r="Y77" s="56">
        <f t="shared" si="48"/>
        <v>0</v>
      </c>
      <c r="Z77" s="56">
        <f t="shared" si="48"/>
        <v>0</v>
      </c>
      <c r="AA77" s="56">
        <f t="shared" si="48"/>
        <v>0</v>
      </c>
      <c r="AB77" s="56">
        <f t="shared" si="48"/>
        <v>0</v>
      </c>
      <c r="AC77" s="56">
        <f t="shared" si="48"/>
        <v>0</v>
      </c>
      <c r="AD77" s="56">
        <f t="shared" si="48"/>
        <v>0</v>
      </c>
      <c r="AE77" s="56">
        <f t="shared" si="48"/>
        <v>0</v>
      </c>
      <c r="AF77" s="56">
        <f t="shared" si="48"/>
        <v>0</v>
      </c>
      <c r="AG77" s="56">
        <f t="shared" si="48"/>
        <v>0</v>
      </c>
      <c r="AH77" s="56">
        <f t="shared" si="48"/>
        <v>0</v>
      </c>
      <c r="AI77" s="56">
        <f t="shared" si="48"/>
        <v>0</v>
      </c>
      <c r="AJ77" s="56">
        <f t="shared" si="48"/>
        <v>0</v>
      </c>
      <c r="AK77" s="56">
        <f t="shared" si="48"/>
        <v>0</v>
      </c>
      <c r="AL77" s="56">
        <f t="shared" si="48"/>
        <v>0</v>
      </c>
      <c r="AM77" s="56">
        <f t="shared" si="48"/>
        <v>0</v>
      </c>
      <c r="AN77" s="56">
        <f t="shared" si="48"/>
        <v>0</v>
      </c>
      <c r="AO77" s="56">
        <f t="shared" si="48"/>
        <v>0</v>
      </c>
      <c r="AP77" s="56">
        <f t="shared" si="48"/>
        <v>0</v>
      </c>
      <c r="AQ77" s="56">
        <f t="shared" si="48"/>
        <v>0</v>
      </c>
      <c r="AR77" s="56">
        <f t="shared" si="48"/>
        <v>0</v>
      </c>
      <c r="AS77" s="56">
        <f t="shared" si="48"/>
        <v>0</v>
      </c>
      <c r="AT77" s="56">
        <f t="shared" si="48"/>
        <v>0</v>
      </c>
      <c r="AU77" s="56">
        <f t="shared" si="48"/>
        <v>0</v>
      </c>
      <c r="AV77" s="56">
        <f t="shared" si="48"/>
        <v>0</v>
      </c>
      <c r="AW77" s="56">
        <f t="shared" si="48"/>
        <v>0</v>
      </c>
      <c r="AX77" s="56">
        <f t="shared" si="48"/>
        <v>0</v>
      </c>
      <c r="AY77" s="56">
        <f t="shared" si="48"/>
        <v>0</v>
      </c>
      <c r="AZ77" s="56">
        <f t="shared" si="48"/>
        <v>0</v>
      </c>
      <c r="BA77" s="56">
        <f t="shared" si="48"/>
        <v>0</v>
      </c>
    </row>
    <row r="78" spans="2:53" x14ac:dyDescent="0.2">
      <c r="B78" s="57" t="s">
        <v>3</v>
      </c>
      <c r="C78" s="65" t="s">
        <v>75</v>
      </c>
      <c r="D78" s="44"/>
      <c r="E78" s="44"/>
      <c r="F78" s="44"/>
      <c r="G78" s="44"/>
      <c r="H78" s="44"/>
      <c r="I78" s="44"/>
      <c r="J78" s="44"/>
      <c r="K78" s="44"/>
      <c r="L78" s="44"/>
      <c r="M78" s="44"/>
      <c r="N78" s="44">
        <v>0</v>
      </c>
      <c r="O78" s="56">
        <f t="shared" ref="O78:BA78" si="49">+$C$9*N75</f>
        <v>0</v>
      </c>
      <c r="P78" s="56">
        <f t="shared" si="49"/>
        <v>0</v>
      </c>
      <c r="Q78" s="56">
        <f t="shared" si="49"/>
        <v>0</v>
      </c>
      <c r="R78" s="56">
        <f t="shared" si="49"/>
        <v>0</v>
      </c>
      <c r="S78" s="56">
        <f t="shared" si="49"/>
        <v>0</v>
      </c>
      <c r="T78" s="56">
        <f t="shared" si="49"/>
        <v>0</v>
      </c>
      <c r="U78" s="56">
        <f t="shared" si="49"/>
        <v>0</v>
      </c>
      <c r="V78" s="56">
        <f t="shared" si="49"/>
        <v>0</v>
      </c>
      <c r="W78" s="56">
        <f t="shared" si="49"/>
        <v>0</v>
      </c>
      <c r="X78" s="56">
        <f t="shared" si="49"/>
        <v>0</v>
      </c>
      <c r="Y78" s="56">
        <f t="shared" si="49"/>
        <v>0</v>
      </c>
      <c r="Z78" s="56">
        <f t="shared" si="49"/>
        <v>0</v>
      </c>
      <c r="AA78" s="56">
        <f t="shared" si="49"/>
        <v>0</v>
      </c>
      <c r="AB78" s="56">
        <f t="shared" si="49"/>
        <v>0</v>
      </c>
      <c r="AC78" s="56">
        <f t="shared" si="49"/>
        <v>0</v>
      </c>
      <c r="AD78" s="56">
        <f t="shared" si="49"/>
        <v>0</v>
      </c>
      <c r="AE78" s="56">
        <f t="shared" si="49"/>
        <v>0</v>
      </c>
      <c r="AF78" s="56">
        <f t="shared" si="49"/>
        <v>0</v>
      </c>
      <c r="AG78" s="56">
        <f t="shared" si="49"/>
        <v>0</v>
      </c>
      <c r="AH78" s="56">
        <f t="shared" si="49"/>
        <v>0</v>
      </c>
      <c r="AI78" s="56">
        <f t="shared" si="49"/>
        <v>0</v>
      </c>
      <c r="AJ78" s="56">
        <f t="shared" si="49"/>
        <v>0</v>
      </c>
      <c r="AK78" s="56">
        <f t="shared" si="49"/>
        <v>0</v>
      </c>
      <c r="AL78" s="56">
        <f t="shared" si="49"/>
        <v>0</v>
      </c>
      <c r="AM78" s="56">
        <f t="shared" si="49"/>
        <v>0</v>
      </c>
      <c r="AN78" s="56">
        <f t="shared" si="49"/>
        <v>0</v>
      </c>
      <c r="AO78" s="56">
        <f t="shared" si="49"/>
        <v>0</v>
      </c>
      <c r="AP78" s="56">
        <f t="shared" si="49"/>
        <v>0</v>
      </c>
      <c r="AQ78" s="56">
        <f t="shared" si="49"/>
        <v>0</v>
      </c>
      <c r="AR78" s="56">
        <f t="shared" si="49"/>
        <v>0</v>
      </c>
      <c r="AS78" s="56">
        <f t="shared" si="49"/>
        <v>0</v>
      </c>
      <c r="AT78" s="56">
        <f t="shared" si="49"/>
        <v>0</v>
      </c>
      <c r="AU78" s="56">
        <f t="shared" si="49"/>
        <v>0</v>
      </c>
      <c r="AV78" s="56">
        <f t="shared" si="49"/>
        <v>0</v>
      </c>
      <c r="AW78" s="56">
        <f t="shared" si="49"/>
        <v>0</v>
      </c>
      <c r="AX78" s="56">
        <f t="shared" si="49"/>
        <v>0</v>
      </c>
      <c r="AY78" s="56">
        <f t="shared" si="49"/>
        <v>0</v>
      </c>
      <c r="AZ78" s="56">
        <f t="shared" si="49"/>
        <v>0</v>
      </c>
      <c r="BA78" s="56">
        <f t="shared" si="49"/>
        <v>0</v>
      </c>
    </row>
    <row r="79" spans="2:53" x14ac:dyDescent="0.2">
      <c r="B79" s="57"/>
      <c r="D79" s="44"/>
      <c r="E79" s="44"/>
      <c r="F79" s="44"/>
      <c r="G79" s="44"/>
      <c r="H79" s="44"/>
      <c r="I79" s="44"/>
      <c r="J79" s="44"/>
      <c r="K79" s="44"/>
      <c r="L79" s="44"/>
      <c r="M79" s="44"/>
      <c r="N79" s="44"/>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row>
    <row r="80" spans="2:53" x14ac:dyDescent="0.2">
      <c r="B80" s="46" t="s">
        <v>56</v>
      </c>
      <c r="C80" s="65" t="s">
        <v>75</v>
      </c>
      <c r="D80" s="44"/>
      <c r="E80" s="44"/>
      <c r="F80" s="44"/>
      <c r="G80" s="44"/>
      <c r="H80" s="44"/>
      <c r="I80" s="44"/>
      <c r="J80" s="44"/>
      <c r="K80" s="44"/>
      <c r="L80" s="44"/>
      <c r="M80" s="44"/>
      <c r="N80" s="44"/>
      <c r="O80" s="56">
        <f>O18</f>
        <v>0</v>
      </c>
      <c r="P80" s="56">
        <f t="shared" ref="P80:BA80" si="50">+O80-P82</f>
        <v>0</v>
      </c>
      <c r="Q80" s="56">
        <f t="shared" si="50"/>
        <v>0</v>
      </c>
      <c r="R80" s="56">
        <f t="shared" si="50"/>
        <v>0</v>
      </c>
      <c r="S80" s="56">
        <f t="shared" si="50"/>
        <v>0</v>
      </c>
      <c r="T80" s="56">
        <f t="shared" si="50"/>
        <v>0</v>
      </c>
      <c r="U80" s="56">
        <f t="shared" si="50"/>
        <v>0</v>
      </c>
      <c r="V80" s="56">
        <f t="shared" si="50"/>
        <v>0</v>
      </c>
      <c r="W80" s="56">
        <f t="shared" si="50"/>
        <v>0</v>
      </c>
      <c r="X80" s="56">
        <f t="shared" si="50"/>
        <v>0</v>
      </c>
      <c r="Y80" s="56">
        <f t="shared" si="50"/>
        <v>0</v>
      </c>
      <c r="Z80" s="56">
        <f t="shared" si="50"/>
        <v>0</v>
      </c>
      <c r="AA80" s="56">
        <f t="shared" si="50"/>
        <v>0</v>
      </c>
      <c r="AB80" s="56">
        <f t="shared" si="50"/>
        <v>0</v>
      </c>
      <c r="AC80" s="56">
        <f t="shared" si="50"/>
        <v>0</v>
      </c>
      <c r="AD80" s="56">
        <f t="shared" si="50"/>
        <v>0</v>
      </c>
      <c r="AE80" s="56">
        <f t="shared" si="50"/>
        <v>0</v>
      </c>
      <c r="AF80" s="56">
        <f t="shared" si="50"/>
        <v>0</v>
      </c>
      <c r="AG80" s="56">
        <f t="shared" si="50"/>
        <v>0</v>
      </c>
      <c r="AH80" s="56">
        <f t="shared" si="50"/>
        <v>0</v>
      </c>
      <c r="AI80" s="56">
        <f t="shared" si="50"/>
        <v>0</v>
      </c>
      <c r="AJ80" s="56">
        <f t="shared" si="50"/>
        <v>0</v>
      </c>
      <c r="AK80" s="56">
        <f t="shared" si="50"/>
        <v>0</v>
      </c>
      <c r="AL80" s="56">
        <f t="shared" si="50"/>
        <v>0</v>
      </c>
      <c r="AM80" s="56">
        <f t="shared" si="50"/>
        <v>0</v>
      </c>
      <c r="AN80" s="56">
        <f t="shared" si="50"/>
        <v>0</v>
      </c>
      <c r="AO80" s="56">
        <f t="shared" si="50"/>
        <v>0</v>
      </c>
      <c r="AP80" s="56">
        <f t="shared" si="50"/>
        <v>0</v>
      </c>
      <c r="AQ80" s="56">
        <f t="shared" si="50"/>
        <v>0</v>
      </c>
      <c r="AR80" s="56">
        <f t="shared" si="50"/>
        <v>0</v>
      </c>
      <c r="AS80" s="56">
        <f t="shared" si="50"/>
        <v>0</v>
      </c>
      <c r="AT80" s="56">
        <f t="shared" si="50"/>
        <v>0</v>
      </c>
      <c r="AU80" s="56">
        <f t="shared" si="50"/>
        <v>0</v>
      </c>
      <c r="AV80" s="56">
        <f t="shared" si="50"/>
        <v>0</v>
      </c>
      <c r="AW80" s="56">
        <f t="shared" si="50"/>
        <v>0</v>
      </c>
      <c r="AX80" s="56">
        <f t="shared" si="50"/>
        <v>0</v>
      </c>
      <c r="AY80" s="56">
        <f t="shared" si="50"/>
        <v>0</v>
      </c>
      <c r="AZ80" s="56">
        <f t="shared" si="50"/>
        <v>0</v>
      </c>
      <c r="BA80" s="56">
        <f t="shared" si="50"/>
        <v>0</v>
      </c>
    </row>
    <row r="81" spans="2:53" x14ac:dyDescent="0.2">
      <c r="B81" s="57" t="s">
        <v>29</v>
      </c>
      <c r="C81" s="64">
        <f>+O80/((1-(1/(1+$C$9)^$C$8))/$C$9)</f>
        <v>0</v>
      </c>
      <c r="D81" s="44"/>
      <c r="E81" s="44"/>
      <c r="F81" s="44"/>
      <c r="G81" s="44"/>
      <c r="H81" s="44"/>
      <c r="I81" s="44"/>
      <c r="J81" s="44"/>
      <c r="K81" s="44"/>
      <c r="L81" s="44"/>
      <c r="M81" s="44"/>
      <c r="N81" s="44"/>
      <c r="O81" s="56">
        <v>0</v>
      </c>
      <c r="P81" s="56">
        <f>+IF(O80&lt;0.01,0,$C$81)</f>
        <v>0</v>
      </c>
      <c r="Q81" s="56">
        <f t="shared" ref="Q81:BA81" si="51">+IF(P80&lt;0.01,0,$C$81)</f>
        <v>0</v>
      </c>
      <c r="R81" s="56">
        <f t="shared" si="51"/>
        <v>0</v>
      </c>
      <c r="S81" s="56">
        <f t="shared" si="51"/>
        <v>0</v>
      </c>
      <c r="T81" s="56">
        <f t="shared" si="51"/>
        <v>0</v>
      </c>
      <c r="U81" s="56">
        <f t="shared" si="51"/>
        <v>0</v>
      </c>
      <c r="V81" s="56">
        <f t="shared" si="51"/>
        <v>0</v>
      </c>
      <c r="W81" s="56">
        <f t="shared" si="51"/>
        <v>0</v>
      </c>
      <c r="X81" s="56">
        <f t="shared" si="51"/>
        <v>0</v>
      </c>
      <c r="Y81" s="56">
        <f t="shared" si="51"/>
        <v>0</v>
      </c>
      <c r="Z81" s="56">
        <f t="shared" si="51"/>
        <v>0</v>
      </c>
      <c r="AA81" s="56">
        <f t="shared" si="51"/>
        <v>0</v>
      </c>
      <c r="AB81" s="56">
        <f t="shared" si="51"/>
        <v>0</v>
      </c>
      <c r="AC81" s="56">
        <f t="shared" si="51"/>
        <v>0</v>
      </c>
      <c r="AD81" s="56">
        <f t="shared" si="51"/>
        <v>0</v>
      </c>
      <c r="AE81" s="56">
        <f t="shared" si="51"/>
        <v>0</v>
      </c>
      <c r="AF81" s="56">
        <f t="shared" si="51"/>
        <v>0</v>
      </c>
      <c r="AG81" s="56">
        <f t="shared" si="51"/>
        <v>0</v>
      </c>
      <c r="AH81" s="56">
        <f t="shared" si="51"/>
        <v>0</v>
      </c>
      <c r="AI81" s="56">
        <f t="shared" si="51"/>
        <v>0</v>
      </c>
      <c r="AJ81" s="56">
        <f t="shared" si="51"/>
        <v>0</v>
      </c>
      <c r="AK81" s="56">
        <f t="shared" si="51"/>
        <v>0</v>
      </c>
      <c r="AL81" s="56">
        <f t="shared" si="51"/>
        <v>0</v>
      </c>
      <c r="AM81" s="56">
        <f t="shared" si="51"/>
        <v>0</v>
      </c>
      <c r="AN81" s="56">
        <f t="shared" si="51"/>
        <v>0</v>
      </c>
      <c r="AO81" s="56">
        <f t="shared" si="51"/>
        <v>0</v>
      </c>
      <c r="AP81" s="56">
        <f t="shared" si="51"/>
        <v>0</v>
      </c>
      <c r="AQ81" s="56">
        <f t="shared" si="51"/>
        <v>0</v>
      </c>
      <c r="AR81" s="56">
        <f t="shared" si="51"/>
        <v>0</v>
      </c>
      <c r="AS81" s="56">
        <f t="shared" si="51"/>
        <v>0</v>
      </c>
      <c r="AT81" s="56">
        <f t="shared" si="51"/>
        <v>0</v>
      </c>
      <c r="AU81" s="56">
        <f t="shared" si="51"/>
        <v>0</v>
      </c>
      <c r="AV81" s="56">
        <f t="shared" si="51"/>
        <v>0</v>
      </c>
      <c r="AW81" s="56">
        <f t="shared" si="51"/>
        <v>0</v>
      </c>
      <c r="AX81" s="56">
        <f t="shared" si="51"/>
        <v>0</v>
      </c>
      <c r="AY81" s="56">
        <f t="shared" si="51"/>
        <v>0</v>
      </c>
      <c r="AZ81" s="56">
        <f t="shared" si="51"/>
        <v>0</v>
      </c>
      <c r="BA81" s="56">
        <f t="shared" si="51"/>
        <v>0</v>
      </c>
    </row>
    <row r="82" spans="2:53" x14ac:dyDescent="0.2">
      <c r="B82" s="57" t="s">
        <v>30</v>
      </c>
      <c r="C82" s="65" t="s">
        <v>75</v>
      </c>
      <c r="D82" s="44"/>
      <c r="E82" s="44"/>
      <c r="F82" s="44"/>
      <c r="G82" s="44"/>
      <c r="H82" s="44"/>
      <c r="I82" s="44"/>
      <c r="J82" s="44"/>
      <c r="K82" s="44"/>
      <c r="L82" s="44"/>
      <c r="M82" s="44"/>
      <c r="N82" s="44"/>
      <c r="O82" s="56">
        <v>0</v>
      </c>
      <c r="P82" s="56">
        <f t="shared" ref="P82:BA82" si="52">+P81-P83</f>
        <v>0</v>
      </c>
      <c r="Q82" s="56">
        <f t="shared" si="52"/>
        <v>0</v>
      </c>
      <c r="R82" s="56">
        <f t="shared" si="52"/>
        <v>0</v>
      </c>
      <c r="S82" s="56">
        <f t="shared" si="52"/>
        <v>0</v>
      </c>
      <c r="T82" s="56">
        <f t="shared" si="52"/>
        <v>0</v>
      </c>
      <c r="U82" s="56">
        <f t="shared" si="52"/>
        <v>0</v>
      </c>
      <c r="V82" s="56">
        <f t="shared" si="52"/>
        <v>0</v>
      </c>
      <c r="W82" s="56">
        <f t="shared" si="52"/>
        <v>0</v>
      </c>
      <c r="X82" s="56">
        <f t="shared" si="52"/>
        <v>0</v>
      </c>
      <c r="Y82" s="56">
        <f t="shared" si="52"/>
        <v>0</v>
      </c>
      <c r="Z82" s="56">
        <f t="shared" si="52"/>
        <v>0</v>
      </c>
      <c r="AA82" s="56">
        <f t="shared" si="52"/>
        <v>0</v>
      </c>
      <c r="AB82" s="56">
        <f t="shared" si="52"/>
        <v>0</v>
      </c>
      <c r="AC82" s="56">
        <f t="shared" si="52"/>
        <v>0</v>
      </c>
      <c r="AD82" s="56">
        <f t="shared" si="52"/>
        <v>0</v>
      </c>
      <c r="AE82" s="56">
        <f t="shared" si="52"/>
        <v>0</v>
      </c>
      <c r="AF82" s="56">
        <f t="shared" si="52"/>
        <v>0</v>
      </c>
      <c r="AG82" s="56">
        <f t="shared" si="52"/>
        <v>0</v>
      </c>
      <c r="AH82" s="56">
        <f t="shared" si="52"/>
        <v>0</v>
      </c>
      <c r="AI82" s="56">
        <f t="shared" si="52"/>
        <v>0</v>
      </c>
      <c r="AJ82" s="56">
        <f t="shared" si="52"/>
        <v>0</v>
      </c>
      <c r="AK82" s="56">
        <f t="shared" si="52"/>
        <v>0</v>
      </c>
      <c r="AL82" s="56">
        <f t="shared" si="52"/>
        <v>0</v>
      </c>
      <c r="AM82" s="56">
        <f t="shared" si="52"/>
        <v>0</v>
      </c>
      <c r="AN82" s="56">
        <f t="shared" si="52"/>
        <v>0</v>
      </c>
      <c r="AO82" s="56">
        <f t="shared" si="52"/>
        <v>0</v>
      </c>
      <c r="AP82" s="56">
        <f t="shared" si="52"/>
        <v>0</v>
      </c>
      <c r="AQ82" s="56">
        <f t="shared" si="52"/>
        <v>0</v>
      </c>
      <c r="AR82" s="56">
        <f t="shared" si="52"/>
        <v>0</v>
      </c>
      <c r="AS82" s="56">
        <f t="shared" si="52"/>
        <v>0</v>
      </c>
      <c r="AT82" s="56">
        <f t="shared" si="52"/>
        <v>0</v>
      </c>
      <c r="AU82" s="56">
        <f t="shared" si="52"/>
        <v>0</v>
      </c>
      <c r="AV82" s="56">
        <f t="shared" si="52"/>
        <v>0</v>
      </c>
      <c r="AW82" s="56">
        <f t="shared" si="52"/>
        <v>0</v>
      </c>
      <c r="AX82" s="56">
        <f t="shared" si="52"/>
        <v>0</v>
      </c>
      <c r="AY82" s="56">
        <f t="shared" si="52"/>
        <v>0</v>
      </c>
      <c r="AZ82" s="56">
        <f t="shared" si="52"/>
        <v>0</v>
      </c>
      <c r="BA82" s="56">
        <f t="shared" si="52"/>
        <v>0</v>
      </c>
    </row>
    <row r="83" spans="2:53" x14ac:dyDescent="0.2">
      <c r="B83" s="57" t="s">
        <v>3</v>
      </c>
      <c r="C83" s="65" t="s">
        <v>75</v>
      </c>
      <c r="D83" s="44"/>
      <c r="E83" s="44"/>
      <c r="F83" s="44"/>
      <c r="G83" s="44"/>
      <c r="H83" s="44"/>
      <c r="I83" s="44"/>
      <c r="J83" s="44"/>
      <c r="K83" s="44"/>
      <c r="L83" s="44"/>
      <c r="M83" s="44"/>
      <c r="N83" s="44"/>
      <c r="O83" s="56">
        <v>0</v>
      </c>
      <c r="P83" s="56">
        <f t="shared" ref="P83:BA83" si="53">+$C$9*O80</f>
        <v>0</v>
      </c>
      <c r="Q83" s="56">
        <f t="shared" si="53"/>
        <v>0</v>
      </c>
      <c r="R83" s="56">
        <f t="shared" si="53"/>
        <v>0</v>
      </c>
      <c r="S83" s="56">
        <f t="shared" si="53"/>
        <v>0</v>
      </c>
      <c r="T83" s="56">
        <f t="shared" si="53"/>
        <v>0</v>
      </c>
      <c r="U83" s="56">
        <f t="shared" si="53"/>
        <v>0</v>
      </c>
      <c r="V83" s="56">
        <f t="shared" si="53"/>
        <v>0</v>
      </c>
      <c r="W83" s="56">
        <f t="shared" si="53"/>
        <v>0</v>
      </c>
      <c r="X83" s="56">
        <f t="shared" si="53"/>
        <v>0</v>
      </c>
      <c r="Y83" s="56">
        <f t="shared" si="53"/>
        <v>0</v>
      </c>
      <c r="Z83" s="56">
        <f t="shared" si="53"/>
        <v>0</v>
      </c>
      <c r="AA83" s="56">
        <f t="shared" si="53"/>
        <v>0</v>
      </c>
      <c r="AB83" s="56">
        <f t="shared" si="53"/>
        <v>0</v>
      </c>
      <c r="AC83" s="56">
        <f t="shared" si="53"/>
        <v>0</v>
      </c>
      <c r="AD83" s="56">
        <f t="shared" si="53"/>
        <v>0</v>
      </c>
      <c r="AE83" s="56">
        <f t="shared" si="53"/>
        <v>0</v>
      </c>
      <c r="AF83" s="56">
        <f t="shared" si="53"/>
        <v>0</v>
      </c>
      <c r="AG83" s="56">
        <f t="shared" si="53"/>
        <v>0</v>
      </c>
      <c r="AH83" s="56">
        <f t="shared" si="53"/>
        <v>0</v>
      </c>
      <c r="AI83" s="56">
        <f t="shared" si="53"/>
        <v>0</v>
      </c>
      <c r="AJ83" s="56">
        <f t="shared" si="53"/>
        <v>0</v>
      </c>
      <c r="AK83" s="56">
        <f t="shared" si="53"/>
        <v>0</v>
      </c>
      <c r="AL83" s="56">
        <f t="shared" si="53"/>
        <v>0</v>
      </c>
      <c r="AM83" s="56">
        <f t="shared" si="53"/>
        <v>0</v>
      </c>
      <c r="AN83" s="56">
        <f t="shared" si="53"/>
        <v>0</v>
      </c>
      <c r="AO83" s="56">
        <f t="shared" si="53"/>
        <v>0</v>
      </c>
      <c r="AP83" s="56">
        <f t="shared" si="53"/>
        <v>0</v>
      </c>
      <c r="AQ83" s="56">
        <f t="shared" si="53"/>
        <v>0</v>
      </c>
      <c r="AR83" s="56">
        <f t="shared" si="53"/>
        <v>0</v>
      </c>
      <c r="AS83" s="56">
        <f t="shared" si="53"/>
        <v>0</v>
      </c>
      <c r="AT83" s="56">
        <f t="shared" si="53"/>
        <v>0</v>
      </c>
      <c r="AU83" s="56">
        <f t="shared" si="53"/>
        <v>0</v>
      </c>
      <c r="AV83" s="56">
        <f t="shared" si="53"/>
        <v>0</v>
      </c>
      <c r="AW83" s="56">
        <f t="shared" si="53"/>
        <v>0</v>
      </c>
      <c r="AX83" s="56">
        <f t="shared" si="53"/>
        <v>0</v>
      </c>
      <c r="AY83" s="56">
        <f t="shared" si="53"/>
        <v>0</v>
      </c>
      <c r="AZ83" s="56">
        <f t="shared" si="53"/>
        <v>0</v>
      </c>
      <c r="BA83" s="56">
        <f t="shared" si="53"/>
        <v>0</v>
      </c>
    </row>
    <row r="84" spans="2:53" x14ac:dyDescent="0.2">
      <c r="B84" s="57"/>
      <c r="D84" s="44"/>
      <c r="E84" s="44"/>
      <c r="F84" s="44"/>
      <c r="G84" s="44"/>
      <c r="H84" s="44"/>
      <c r="I84" s="44"/>
      <c r="J84" s="44"/>
      <c r="K84" s="44"/>
      <c r="L84" s="44"/>
      <c r="M84" s="44"/>
      <c r="N84" s="44"/>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row>
    <row r="85" spans="2:53" x14ac:dyDescent="0.2">
      <c r="B85" s="46" t="s">
        <v>57</v>
      </c>
      <c r="C85" s="65" t="s">
        <v>75</v>
      </c>
      <c r="D85" s="44"/>
      <c r="E85" s="44"/>
      <c r="F85" s="44"/>
      <c r="G85" s="44"/>
      <c r="H85" s="44"/>
      <c r="I85" s="44"/>
      <c r="J85" s="44"/>
      <c r="K85" s="44"/>
      <c r="L85" s="44"/>
      <c r="M85" s="44"/>
      <c r="N85" s="44"/>
      <c r="O85" s="56"/>
      <c r="P85" s="56">
        <f>P18</f>
        <v>0</v>
      </c>
      <c r="Q85" s="56">
        <f t="shared" ref="Q85:BA85" si="54">+P85-Q87</f>
        <v>0</v>
      </c>
      <c r="R85" s="56">
        <f t="shared" si="54"/>
        <v>0</v>
      </c>
      <c r="S85" s="56">
        <f t="shared" si="54"/>
        <v>0</v>
      </c>
      <c r="T85" s="56">
        <f t="shared" si="54"/>
        <v>0</v>
      </c>
      <c r="U85" s="56">
        <f t="shared" si="54"/>
        <v>0</v>
      </c>
      <c r="V85" s="56">
        <f t="shared" si="54"/>
        <v>0</v>
      </c>
      <c r="W85" s="56">
        <f t="shared" si="54"/>
        <v>0</v>
      </c>
      <c r="X85" s="56">
        <f t="shared" si="54"/>
        <v>0</v>
      </c>
      <c r="Y85" s="56">
        <f t="shared" si="54"/>
        <v>0</v>
      </c>
      <c r="Z85" s="56">
        <f t="shared" si="54"/>
        <v>0</v>
      </c>
      <c r="AA85" s="56">
        <f t="shared" si="54"/>
        <v>0</v>
      </c>
      <c r="AB85" s="56">
        <f t="shared" si="54"/>
        <v>0</v>
      </c>
      <c r="AC85" s="56">
        <f t="shared" si="54"/>
        <v>0</v>
      </c>
      <c r="AD85" s="56">
        <f t="shared" si="54"/>
        <v>0</v>
      </c>
      <c r="AE85" s="56">
        <f t="shared" si="54"/>
        <v>0</v>
      </c>
      <c r="AF85" s="56">
        <f t="shared" si="54"/>
        <v>0</v>
      </c>
      <c r="AG85" s="56">
        <f t="shared" si="54"/>
        <v>0</v>
      </c>
      <c r="AH85" s="56">
        <f t="shared" si="54"/>
        <v>0</v>
      </c>
      <c r="AI85" s="56">
        <f t="shared" si="54"/>
        <v>0</v>
      </c>
      <c r="AJ85" s="56">
        <f t="shared" si="54"/>
        <v>0</v>
      </c>
      <c r="AK85" s="56">
        <f t="shared" si="54"/>
        <v>0</v>
      </c>
      <c r="AL85" s="56">
        <f t="shared" si="54"/>
        <v>0</v>
      </c>
      <c r="AM85" s="56">
        <f t="shared" si="54"/>
        <v>0</v>
      </c>
      <c r="AN85" s="56">
        <f t="shared" si="54"/>
        <v>0</v>
      </c>
      <c r="AO85" s="56">
        <f t="shared" si="54"/>
        <v>0</v>
      </c>
      <c r="AP85" s="56">
        <f t="shared" si="54"/>
        <v>0</v>
      </c>
      <c r="AQ85" s="56">
        <f t="shared" si="54"/>
        <v>0</v>
      </c>
      <c r="AR85" s="56">
        <f t="shared" si="54"/>
        <v>0</v>
      </c>
      <c r="AS85" s="56">
        <f t="shared" si="54"/>
        <v>0</v>
      </c>
      <c r="AT85" s="56">
        <f t="shared" si="54"/>
        <v>0</v>
      </c>
      <c r="AU85" s="56">
        <f t="shared" si="54"/>
        <v>0</v>
      </c>
      <c r="AV85" s="56">
        <f t="shared" si="54"/>
        <v>0</v>
      </c>
      <c r="AW85" s="56">
        <f t="shared" si="54"/>
        <v>0</v>
      </c>
      <c r="AX85" s="56">
        <f t="shared" si="54"/>
        <v>0</v>
      </c>
      <c r="AY85" s="56">
        <f t="shared" si="54"/>
        <v>0</v>
      </c>
      <c r="AZ85" s="56">
        <f t="shared" si="54"/>
        <v>0</v>
      </c>
      <c r="BA85" s="56">
        <f t="shared" si="54"/>
        <v>0</v>
      </c>
    </row>
    <row r="86" spans="2:53" x14ac:dyDescent="0.2">
      <c r="B86" s="57" t="s">
        <v>29</v>
      </c>
      <c r="C86" s="64">
        <f>+P85/((1-(1/(1+$C$9)^$C$8))/$C$9)</f>
        <v>0</v>
      </c>
      <c r="D86" s="44"/>
      <c r="E86" s="44"/>
      <c r="F86" s="44"/>
      <c r="G86" s="44"/>
      <c r="H86" s="44"/>
      <c r="I86" s="44"/>
      <c r="J86" s="44"/>
      <c r="K86" s="44"/>
      <c r="L86" s="44"/>
      <c r="M86" s="44"/>
      <c r="N86" s="44"/>
      <c r="O86" s="56"/>
      <c r="P86" s="56">
        <v>0</v>
      </c>
      <c r="Q86" s="56">
        <f>+IF(P85&lt;0.01,0,$C$86)</f>
        <v>0</v>
      </c>
      <c r="R86" s="56">
        <f t="shared" ref="R86:BA86" si="55">+IF(Q85&lt;0.01,0,$C$86)</f>
        <v>0</v>
      </c>
      <c r="S86" s="56">
        <f t="shared" si="55"/>
        <v>0</v>
      </c>
      <c r="T86" s="56">
        <f t="shared" si="55"/>
        <v>0</v>
      </c>
      <c r="U86" s="56">
        <f t="shared" si="55"/>
        <v>0</v>
      </c>
      <c r="V86" s="56">
        <f t="shared" si="55"/>
        <v>0</v>
      </c>
      <c r="W86" s="56">
        <f t="shared" si="55"/>
        <v>0</v>
      </c>
      <c r="X86" s="56">
        <f t="shared" si="55"/>
        <v>0</v>
      </c>
      <c r="Y86" s="56">
        <f t="shared" si="55"/>
        <v>0</v>
      </c>
      <c r="Z86" s="56">
        <f t="shared" si="55"/>
        <v>0</v>
      </c>
      <c r="AA86" s="56">
        <f t="shared" si="55"/>
        <v>0</v>
      </c>
      <c r="AB86" s="56">
        <f t="shared" si="55"/>
        <v>0</v>
      </c>
      <c r="AC86" s="56">
        <f t="shared" si="55"/>
        <v>0</v>
      </c>
      <c r="AD86" s="56">
        <f t="shared" si="55"/>
        <v>0</v>
      </c>
      <c r="AE86" s="56">
        <f t="shared" si="55"/>
        <v>0</v>
      </c>
      <c r="AF86" s="56">
        <f t="shared" si="55"/>
        <v>0</v>
      </c>
      <c r="AG86" s="56">
        <f t="shared" si="55"/>
        <v>0</v>
      </c>
      <c r="AH86" s="56">
        <f t="shared" si="55"/>
        <v>0</v>
      </c>
      <c r="AI86" s="56">
        <f t="shared" si="55"/>
        <v>0</v>
      </c>
      <c r="AJ86" s="56">
        <f t="shared" si="55"/>
        <v>0</v>
      </c>
      <c r="AK86" s="56">
        <f t="shared" si="55"/>
        <v>0</v>
      </c>
      <c r="AL86" s="56">
        <f t="shared" si="55"/>
        <v>0</v>
      </c>
      <c r="AM86" s="56">
        <f t="shared" si="55"/>
        <v>0</v>
      </c>
      <c r="AN86" s="56">
        <f t="shared" si="55"/>
        <v>0</v>
      </c>
      <c r="AO86" s="56">
        <f t="shared" si="55"/>
        <v>0</v>
      </c>
      <c r="AP86" s="56">
        <f t="shared" si="55"/>
        <v>0</v>
      </c>
      <c r="AQ86" s="56">
        <f t="shared" si="55"/>
        <v>0</v>
      </c>
      <c r="AR86" s="56">
        <f t="shared" si="55"/>
        <v>0</v>
      </c>
      <c r="AS86" s="56">
        <f t="shared" si="55"/>
        <v>0</v>
      </c>
      <c r="AT86" s="56">
        <f t="shared" si="55"/>
        <v>0</v>
      </c>
      <c r="AU86" s="56">
        <f t="shared" si="55"/>
        <v>0</v>
      </c>
      <c r="AV86" s="56">
        <f t="shared" si="55"/>
        <v>0</v>
      </c>
      <c r="AW86" s="56">
        <f t="shared" si="55"/>
        <v>0</v>
      </c>
      <c r="AX86" s="56">
        <f t="shared" si="55"/>
        <v>0</v>
      </c>
      <c r="AY86" s="56">
        <f t="shared" si="55"/>
        <v>0</v>
      </c>
      <c r="AZ86" s="56">
        <f t="shared" si="55"/>
        <v>0</v>
      </c>
      <c r="BA86" s="56">
        <f t="shared" si="55"/>
        <v>0</v>
      </c>
    </row>
    <row r="87" spans="2:53" x14ac:dyDescent="0.2">
      <c r="B87" s="57" t="s">
        <v>30</v>
      </c>
      <c r="C87" s="65" t="s">
        <v>75</v>
      </c>
      <c r="D87" s="44"/>
      <c r="E87" s="44"/>
      <c r="F87" s="44"/>
      <c r="G87" s="44"/>
      <c r="H87" s="44"/>
      <c r="I87" s="44"/>
      <c r="J87" s="44"/>
      <c r="K87" s="44"/>
      <c r="L87" s="44"/>
      <c r="M87" s="44"/>
      <c r="N87" s="44"/>
      <c r="O87" s="56"/>
      <c r="P87" s="56">
        <v>0</v>
      </c>
      <c r="Q87" s="56">
        <f t="shared" ref="Q87:BA87" si="56">+Q86-Q88</f>
        <v>0</v>
      </c>
      <c r="R87" s="56">
        <f t="shared" si="56"/>
        <v>0</v>
      </c>
      <c r="S87" s="56">
        <f t="shared" si="56"/>
        <v>0</v>
      </c>
      <c r="T87" s="56">
        <f t="shared" si="56"/>
        <v>0</v>
      </c>
      <c r="U87" s="56">
        <f t="shared" si="56"/>
        <v>0</v>
      </c>
      <c r="V87" s="56">
        <f t="shared" si="56"/>
        <v>0</v>
      </c>
      <c r="W87" s="56">
        <f t="shared" si="56"/>
        <v>0</v>
      </c>
      <c r="X87" s="56">
        <f t="shared" si="56"/>
        <v>0</v>
      </c>
      <c r="Y87" s="56">
        <f t="shared" si="56"/>
        <v>0</v>
      </c>
      <c r="Z87" s="56">
        <f t="shared" si="56"/>
        <v>0</v>
      </c>
      <c r="AA87" s="56">
        <f t="shared" si="56"/>
        <v>0</v>
      </c>
      <c r="AB87" s="56">
        <f t="shared" si="56"/>
        <v>0</v>
      </c>
      <c r="AC87" s="56">
        <f t="shared" si="56"/>
        <v>0</v>
      </c>
      <c r="AD87" s="56">
        <f t="shared" si="56"/>
        <v>0</v>
      </c>
      <c r="AE87" s="56">
        <f t="shared" si="56"/>
        <v>0</v>
      </c>
      <c r="AF87" s="56">
        <f t="shared" si="56"/>
        <v>0</v>
      </c>
      <c r="AG87" s="56">
        <f t="shared" si="56"/>
        <v>0</v>
      </c>
      <c r="AH87" s="56">
        <f t="shared" si="56"/>
        <v>0</v>
      </c>
      <c r="AI87" s="56">
        <f t="shared" si="56"/>
        <v>0</v>
      </c>
      <c r="AJ87" s="56">
        <f t="shared" si="56"/>
        <v>0</v>
      </c>
      <c r="AK87" s="56">
        <f t="shared" si="56"/>
        <v>0</v>
      </c>
      <c r="AL87" s="56">
        <f t="shared" si="56"/>
        <v>0</v>
      </c>
      <c r="AM87" s="56">
        <f t="shared" si="56"/>
        <v>0</v>
      </c>
      <c r="AN87" s="56">
        <f t="shared" si="56"/>
        <v>0</v>
      </c>
      <c r="AO87" s="56">
        <f t="shared" si="56"/>
        <v>0</v>
      </c>
      <c r="AP87" s="56">
        <f t="shared" si="56"/>
        <v>0</v>
      </c>
      <c r="AQ87" s="56">
        <f t="shared" si="56"/>
        <v>0</v>
      </c>
      <c r="AR87" s="56">
        <f t="shared" si="56"/>
        <v>0</v>
      </c>
      <c r="AS87" s="56">
        <f t="shared" si="56"/>
        <v>0</v>
      </c>
      <c r="AT87" s="56">
        <f t="shared" si="56"/>
        <v>0</v>
      </c>
      <c r="AU87" s="56">
        <f t="shared" si="56"/>
        <v>0</v>
      </c>
      <c r="AV87" s="56">
        <f t="shared" si="56"/>
        <v>0</v>
      </c>
      <c r="AW87" s="56">
        <f t="shared" si="56"/>
        <v>0</v>
      </c>
      <c r="AX87" s="56">
        <f t="shared" si="56"/>
        <v>0</v>
      </c>
      <c r="AY87" s="56">
        <f t="shared" si="56"/>
        <v>0</v>
      </c>
      <c r="AZ87" s="56">
        <f t="shared" si="56"/>
        <v>0</v>
      </c>
      <c r="BA87" s="56">
        <f t="shared" si="56"/>
        <v>0</v>
      </c>
    </row>
    <row r="88" spans="2:53" x14ac:dyDescent="0.2">
      <c r="B88" s="57" t="s">
        <v>3</v>
      </c>
      <c r="C88" s="65" t="s">
        <v>75</v>
      </c>
      <c r="D88" s="44"/>
      <c r="E88" s="44"/>
      <c r="F88" s="44"/>
      <c r="G88" s="44"/>
      <c r="H88" s="44"/>
      <c r="I88" s="44"/>
      <c r="J88" s="44"/>
      <c r="K88" s="44"/>
      <c r="L88" s="44"/>
      <c r="M88" s="44"/>
      <c r="N88" s="44"/>
      <c r="O88" s="56"/>
      <c r="P88" s="56">
        <v>0</v>
      </c>
      <c r="Q88" s="56">
        <f t="shared" ref="Q88:BA88" si="57">+$C$9*P85</f>
        <v>0</v>
      </c>
      <c r="R88" s="56">
        <f t="shared" si="57"/>
        <v>0</v>
      </c>
      <c r="S88" s="56">
        <f t="shared" si="57"/>
        <v>0</v>
      </c>
      <c r="T88" s="56">
        <f t="shared" si="57"/>
        <v>0</v>
      </c>
      <c r="U88" s="56">
        <f t="shared" si="57"/>
        <v>0</v>
      </c>
      <c r="V88" s="56">
        <f t="shared" si="57"/>
        <v>0</v>
      </c>
      <c r="W88" s="56">
        <f t="shared" si="57"/>
        <v>0</v>
      </c>
      <c r="X88" s="56">
        <f t="shared" si="57"/>
        <v>0</v>
      </c>
      <c r="Y88" s="56">
        <f t="shared" si="57"/>
        <v>0</v>
      </c>
      <c r="Z88" s="56">
        <f t="shared" si="57"/>
        <v>0</v>
      </c>
      <c r="AA88" s="56">
        <f t="shared" si="57"/>
        <v>0</v>
      </c>
      <c r="AB88" s="56">
        <f t="shared" si="57"/>
        <v>0</v>
      </c>
      <c r="AC88" s="56">
        <f t="shared" si="57"/>
        <v>0</v>
      </c>
      <c r="AD88" s="56">
        <f t="shared" si="57"/>
        <v>0</v>
      </c>
      <c r="AE88" s="56">
        <f t="shared" si="57"/>
        <v>0</v>
      </c>
      <c r="AF88" s="56">
        <f t="shared" si="57"/>
        <v>0</v>
      </c>
      <c r="AG88" s="56">
        <f t="shared" si="57"/>
        <v>0</v>
      </c>
      <c r="AH88" s="56">
        <f t="shared" si="57"/>
        <v>0</v>
      </c>
      <c r="AI88" s="56">
        <f t="shared" si="57"/>
        <v>0</v>
      </c>
      <c r="AJ88" s="56">
        <f t="shared" si="57"/>
        <v>0</v>
      </c>
      <c r="AK88" s="56">
        <f t="shared" si="57"/>
        <v>0</v>
      </c>
      <c r="AL88" s="56">
        <f t="shared" si="57"/>
        <v>0</v>
      </c>
      <c r="AM88" s="56">
        <f t="shared" si="57"/>
        <v>0</v>
      </c>
      <c r="AN88" s="56">
        <f t="shared" si="57"/>
        <v>0</v>
      </c>
      <c r="AO88" s="56">
        <f t="shared" si="57"/>
        <v>0</v>
      </c>
      <c r="AP88" s="56">
        <f t="shared" si="57"/>
        <v>0</v>
      </c>
      <c r="AQ88" s="56">
        <f t="shared" si="57"/>
        <v>0</v>
      </c>
      <c r="AR88" s="56">
        <f t="shared" si="57"/>
        <v>0</v>
      </c>
      <c r="AS88" s="56">
        <f t="shared" si="57"/>
        <v>0</v>
      </c>
      <c r="AT88" s="56">
        <f t="shared" si="57"/>
        <v>0</v>
      </c>
      <c r="AU88" s="56">
        <f t="shared" si="57"/>
        <v>0</v>
      </c>
      <c r="AV88" s="56">
        <f t="shared" si="57"/>
        <v>0</v>
      </c>
      <c r="AW88" s="56">
        <f t="shared" si="57"/>
        <v>0</v>
      </c>
      <c r="AX88" s="56">
        <f t="shared" si="57"/>
        <v>0</v>
      </c>
      <c r="AY88" s="56">
        <f t="shared" si="57"/>
        <v>0</v>
      </c>
      <c r="AZ88" s="56">
        <f t="shared" si="57"/>
        <v>0</v>
      </c>
      <c r="BA88" s="56">
        <f t="shared" si="57"/>
        <v>0</v>
      </c>
    </row>
    <row r="89" spans="2:53" x14ac:dyDescent="0.2">
      <c r="B89" s="57"/>
      <c r="D89" s="44"/>
      <c r="E89" s="44"/>
      <c r="F89" s="44"/>
      <c r="G89" s="44"/>
      <c r="H89" s="44"/>
      <c r="I89" s="44"/>
      <c r="J89" s="44"/>
      <c r="K89" s="44"/>
      <c r="L89" s="44"/>
      <c r="M89" s="44"/>
      <c r="N89" s="44"/>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row>
    <row r="90" spans="2:53" x14ac:dyDescent="0.2">
      <c r="B90" s="46" t="s">
        <v>58</v>
      </c>
      <c r="C90" s="65" t="s">
        <v>75</v>
      </c>
      <c r="D90" s="44"/>
      <c r="E90" s="44"/>
      <c r="F90" s="44"/>
      <c r="G90" s="44"/>
      <c r="H90" s="44"/>
      <c r="I90" s="44"/>
      <c r="J90" s="44"/>
      <c r="K90" s="44"/>
      <c r="L90" s="44"/>
      <c r="M90" s="44"/>
      <c r="N90" s="44"/>
      <c r="O90" s="56"/>
      <c r="P90" s="56"/>
      <c r="Q90" s="56">
        <f>Q18</f>
        <v>0</v>
      </c>
      <c r="R90" s="56">
        <f t="shared" ref="R90:BA90" si="58">+Q90-R92</f>
        <v>0</v>
      </c>
      <c r="S90" s="56">
        <f t="shared" si="58"/>
        <v>0</v>
      </c>
      <c r="T90" s="56">
        <f t="shared" si="58"/>
        <v>0</v>
      </c>
      <c r="U90" s="56">
        <f t="shared" si="58"/>
        <v>0</v>
      </c>
      <c r="V90" s="56">
        <f t="shared" si="58"/>
        <v>0</v>
      </c>
      <c r="W90" s="56">
        <f t="shared" si="58"/>
        <v>0</v>
      </c>
      <c r="X90" s="56">
        <f t="shared" si="58"/>
        <v>0</v>
      </c>
      <c r="Y90" s="56">
        <f t="shared" si="58"/>
        <v>0</v>
      </c>
      <c r="Z90" s="56">
        <f t="shared" si="58"/>
        <v>0</v>
      </c>
      <c r="AA90" s="56">
        <f t="shared" si="58"/>
        <v>0</v>
      </c>
      <c r="AB90" s="56">
        <f t="shared" si="58"/>
        <v>0</v>
      </c>
      <c r="AC90" s="56">
        <f t="shared" si="58"/>
        <v>0</v>
      </c>
      <c r="AD90" s="56">
        <f t="shared" si="58"/>
        <v>0</v>
      </c>
      <c r="AE90" s="56">
        <f t="shared" si="58"/>
        <v>0</v>
      </c>
      <c r="AF90" s="56">
        <f t="shared" si="58"/>
        <v>0</v>
      </c>
      <c r="AG90" s="56">
        <f t="shared" si="58"/>
        <v>0</v>
      </c>
      <c r="AH90" s="56">
        <f t="shared" si="58"/>
        <v>0</v>
      </c>
      <c r="AI90" s="56">
        <f t="shared" si="58"/>
        <v>0</v>
      </c>
      <c r="AJ90" s="56">
        <f t="shared" si="58"/>
        <v>0</v>
      </c>
      <c r="AK90" s="56">
        <f t="shared" si="58"/>
        <v>0</v>
      </c>
      <c r="AL90" s="56">
        <f t="shared" si="58"/>
        <v>0</v>
      </c>
      <c r="AM90" s="56">
        <f t="shared" si="58"/>
        <v>0</v>
      </c>
      <c r="AN90" s="56">
        <f t="shared" si="58"/>
        <v>0</v>
      </c>
      <c r="AO90" s="56">
        <f t="shared" si="58"/>
        <v>0</v>
      </c>
      <c r="AP90" s="56">
        <f t="shared" si="58"/>
        <v>0</v>
      </c>
      <c r="AQ90" s="56">
        <f t="shared" si="58"/>
        <v>0</v>
      </c>
      <c r="AR90" s="56">
        <f t="shared" si="58"/>
        <v>0</v>
      </c>
      <c r="AS90" s="56">
        <f t="shared" si="58"/>
        <v>0</v>
      </c>
      <c r="AT90" s="56">
        <f t="shared" si="58"/>
        <v>0</v>
      </c>
      <c r="AU90" s="56">
        <f t="shared" si="58"/>
        <v>0</v>
      </c>
      <c r="AV90" s="56">
        <f t="shared" si="58"/>
        <v>0</v>
      </c>
      <c r="AW90" s="56">
        <f t="shared" si="58"/>
        <v>0</v>
      </c>
      <c r="AX90" s="56">
        <f t="shared" si="58"/>
        <v>0</v>
      </c>
      <c r="AY90" s="56">
        <f t="shared" si="58"/>
        <v>0</v>
      </c>
      <c r="AZ90" s="56">
        <f t="shared" si="58"/>
        <v>0</v>
      </c>
      <c r="BA90" s="56">
        <f t="shared" si="58"/>
        <v>0</v>
      </c>
    </row>
    <row r="91" spans="2:53" x14ac:dyDescent="0.2">
      <c r="B91" s="57" t="s">
        <v>29</v>
      </c>
      <c r="C91" s="64">
        <f>+Q90/((1-(1/(1+$C$9)^$C$8))/$C$9)</f>
        <v>0</v>
      </c>
      <c r="D91" s="44"/>
      <c r="E91" s="44"/>
      <c r="F91" s="44"/>
      <c r="G91" s="44"/>
      <c r="H91" s="44"/>
      <c r="I91" s="44"/>
      <c r="J91" s="44"/>
      <c r="K91" s="44"/>
      <c r="L91" s="44"/>
      <c r="M91" s="44"/>
      <c r="N91" s="44"/>
      <c r="O91" s="56"/>
      <c r="P91" s="56"/>
      <c r="Q91" s="56">
        <v>0</v>
      </c>
      <c r="R91" s="56">
        <f>+IF(Q90&lt;0.01,0,$C$91)</f>
        <v>0</v>
      </c>
      <c r="S91" s="56">
        <f t="shared" ref="S91:BA91" si="59">+IF(R90&lt;0.01,0,$C$91)</f>
        <v>0</v>
      </c>
      <c r="T91" s="56">
        <f t="shared" si="59"/>
        <v>0</v>
      </c>
      <c r="U91" s="56">
        <f t="shared" si="59"/>
        <v>0</v>
      </c>
      <c r="V91" s="56">
        <f t="shared" si="59"/>
        <v>0</v>
      </c>
      <c r="W91" s="56">
        <f t="shared" si="59"/>
        <v>0</v>
      </c>
      <c r="X91" s="56">
        <f t="shared" si="59"/>
        <v>0</v>
      </c>
      <c r="Y91" s="56">
        <f t="shared" si="59"/>
        <v>0</v>
      </c>
      <c r="Z91" s="56">
        <f t="shared" si="59"/>
        <v>0</v>
      </c>
      <c r="AA91" s="56">
        <f t="shared" si="59"/>
        <v>0</v>
      </c>
      <c r="AB91" s="56">
        <f t="shared" si="59"/>
        <v>0</v>
      </c>
      <c r="AC91" s="56">
        <f t="shared" si="59"/>
        <v>0</v>
      </c>
      <c r="AD91" s="56">
        <f t="shared" si="59"/>
        <v>0</v>
      </c>
      <c r="AE91" s="56">
        <f t="shared" si="59"/>
        <v>0</v>
      </c>
      <c r="AF91" s="56">
        <f t="shared" si="59"/>
        <v>0</v>
      </c>
      <c r="AG91" s="56">
        <f t="shared" si="59"/>
        <v>0</v>
      </c>
      <c r="AH91" s="56">
        <f t="shared" si="59"/>
        <v>0</v>
      </c>
      <c r="AI91" s="56">
        <f t="shared" si="59"/>
        <v>0</v>
      </c>
      <c r="AJ91" s="56">
        <f t="shared" si="59"/>
        <v>0</v>
      </c>
      <c r="AK91" s="56">
        <f t="shared" si="59"/>
        <v>0</v>
      </c>
      <c r="AL91" s="56">
        <f t="shared" si="59"/>
        <v>0</v>
      </c>
      <c r="AM91" s="56">
        <f t="shared" si="59"/>
        <v>0</v>
      </c>
      <c r="AN91" s="56">
        <f t="shared" si="59"/>
        <v>0</v>
      </c>
      <c r="AO91" s="56">
        <f t="shared" si="59"/>
        <v>0</v>
      </c>
      <c r="AP91" s="56">
        <f t="shared" si="59"/>
        <v>0</v>
      </c>
      <c r="AQ91" s="56">
        <f t="shared" si="59"/>
        <v>0</v>
      </c>
      <c r="AR91" s="56">
        <f t="shared" si="59"/>
        <v>0</v>
      </c>
      <c r="AS91" s="56">
        <f t="shared" si="59"/>
        <v>0</v>
      </c>
      <c r="AT91" s="56">
        <f t="shared" si="59"/>
        <v>0</v>
      </c>
      <c r="AU91" s="56">
        <f t="shared" si="59"/>
        <v>0</v>
      </c>
      <c r="AV91" s="56">
        <f t="shared" si="59"/>
        <v>0</v>
      </c>
      <c r="AW91" s="56">
        <f t="shared" si="59"/>
        <v>0</v>
      </c>
      <c r="AX91" s="56">
        <f t="shared" si="59"/>
        <v>0</v>
      </c>
      <c r="AY91" s="56">
        <f t="shared" si="59"/>
        <v>0</v>
      </c>
      <c r="AZ91" s="56">
        <f t="shared" si="59"/>
        <v>0</v>
      </c>
      <c r="BA91" s="56">
        <f t="shared" si="59"/>
        <v>0</v>
      </c>
    </row>
    <row r="92" spans="2:53" x14ac:dyDescent="0.2">
      <c r="B92" s="57" t="s">
        <v>30</v>
      </c>
      <c r="C92" s="65" t="s">
        <v>75</v>
      </c>
      <c r="D92" s="44"/>
      <c r="E92" s="44"/>
      <c r="F92" s="44"/>
      <c r="G92" s="44"/>
      <c r="H92" s="44"/>
      <c r="I92" s="44"/>
      <c r="J92" s="44"/>
      <c r="K92" s="44"/>
      <c r="L92" s="44"/>
      <c r="M92" s="44"/>
      <c r="N92" s="44"/>
      <c r="O92" s="56"/>
      <c r="P92" s="56"/>
      <c r="Q92" s="56">
        <v>0</v>
      </c>
      <c r="R92" s="56">
        <f t="shared" ref="R92:BA92" si="60">+R91-R93</f>
        <v>0</v>
      </c>
      <c r="S92" s="56">
        <f t="shared" si="60"/>
        <v>0</v>
      </c>
      <c r="T92" s="56">
        <f t="shared" si="60"/>
        <v>0</v>
      </c>
      <c r="U92" s="56">
        <f t="shared" si="60"/>
        <v>0</v>
      </c>
      <c r="V92" s="56">
        <f t="shared" si="60"/>
        <v>0</v>
      </c>
      <c r="W92" s="56">
        <f t="shared" si="60"/>
        <v>0</v>
      </c>
      <c r="X92" s="56">
        <f t="shared" si="60"/>
        <v>0</v>
      </c>
      <c r="Y92" s="56">
        <f t="shared" si="60"/>
        <v>0</v>
      </c>
      <c r="Z92" s="56">
        <f t="shared" si="60"/>
        <v>0</v>
      </c>
      <c r="AA92" s="56">
        <f t="shared" si="60"/>
        <v>0</v>
      </c>
      <c r="AB92" s="56">
        <f t="shared" si="60"/>
        <v>0</v>
      </c>
      <c r="AC92" s="56">
        <f t="shared" si="60"/>
        <v>0</v>
      </c>
      <c r="AD92" s="56">
        <f t="shared" si="60"/>
        <v>0</v>
      </c>
      <c r="AE92" s="56">
        <f t="shared" si="60"/>
        <v>0</v>
      </c>
      <c r="AF92" s="56">
        <f t="shared" si="60"/>
        <v>0</v>
      </c>
      <c r="AG92" s="56">
        <f t="shared" si="60"/>
        <v>0</v>
      </c>
      <c r="AH92" s="56">
        <f t="shared" si="60"/>
        <v>0</v>
      </c>
      <c r="AI92" s="56">
        <f t="shared" si="60"/>
        <v>0</v>
      </c>
      <c r="AJ92" s="56">
        <f t="shared" si="60"/>
        <v>0</v>
      </c>
      <c r="AK92" s="56">
        <f t="shared" si="60"/>
        <v>0</v>
      </c>
      <c r="AL92" s="56">
        <f t="shared" si="60"/>
        <v>0</v>
      </c>
      <c r="AM92" s="56">
        <f t="shared" si="60"/>
        <v>0</v>
      </c>
      <c r="AN92" s="56">
        <f t="shared" si="60"/>
        <v>0</v>
      </c>
      <c r="AO92" s="56">
        <f t="shared" si="60"/>
        <v>0</v>
      </c>
      <c r="AP92" s="56">
        <f t="shared" si="60"/>
        <v>0</v>
      </c>
      <c r="AQ92" s="56">
        <f t="shared" si="60"/>
        <v>0</v>
      </c>
      <c r="AR92" s="56">
        <f t="shared" si="60"/>
        <v>0</v>
      </c>
      <c r="AS92" s="56">
        <f t="shared" si="60"/>
        <v>0</v>
      </c>
      <c r="AT92" s="56">
        <f t="shared" si="60"/>
        <v>0</v>
      </c>
      <c r="AU92" s="56">
        <f t="shared" si="60"/>
        <v>0</v>
      </c>
      <c r="AV92" s="56">
        <f t="shared" si="60"/>
        <v>0</v>
      </c>
      <c r="AW92" s="56">
        <f t="shared" si="60"/>
        <v>0</v>
      </c>
      <c r="AX92" s="56">
        <f t="shared" si="60"/>
        <v>0</v>
      </c>
      <c r="AY92" s="56">
        <f t="shared" si="60"/>
        <v>0</v>
      </c>
      <c r="AZ92" s="56">
        <f t="shared" si="60"/>
        <v>0</v>
      </c>
      <c r="BA92" s="56">
        <f t="shared" si="60"/>
        <v>0</v>
      </c>
    </row>
    <row r="93" spans="2:53" x14ac:dyDescent="0.2">
      <c r="B93" s="57" t="s">
        <v>3</v>
      </c>
      <c r="C93" s="65" t="s">
        <v>75</v>
      </c>
      <c r="D93" s="44"/>
      <c r="E93" s="44"/>
      <c r="F93" s="44"/>
      <c r="G93" s="44"/>
      <c r="H93" s="44"/>
      <c r="I93" s="44"/>
      <c r="J93" s="44"/>
      <c r="K93" s="44"/>
      <c r="L93" s="44"/>
      <c r="M93" s="44"/>
      <c r="N93" s="44"/>
      <c r="O93" s="56"/>
      <c r="P93" s="56"/>
      <c r="Q93" s="56">
        <v>0</v>
      </c>
      <c r="R93" s="56">
        <f t="shared" ref="R93:BA93" si="61">+$C$9*Q90</f>
        <v>0</v>
      </c>
      <c r="S93" s="56">
        <f t="shared" si="61"/>
        <v>0</v>
      </c>
      <c r="T93" s="56">
        <f t="shared" si="61"/>
        <v>0</v>
      </c>
      <c r="U93" s="56">
        <f t="shared" si="61"/>
        <v>0</v>
      </c>
      <c r="V93" s="56">
        <f t="shared" si="61"/>
        <v>0</v>
      </c>
      <c r="W93" s="56">
        <f t="shared" si="61"/>
        <v>0</v>
      </c>
      <c r="X93" s="56">
        <f t="shared" si="61"/>
        <v>0</v>
      </c>
      <c r="Y93" s="56">
        <f t="shared" si="61"/>
        <v>0</v>
      </c>
      <c r="Z93" s="56">
        <f t="shared" si="61"/>
        <v>0</v>
      </c>
      <c r="AA93" s="56">
        <f t="shared" si="61"/>
        <v>0</v>
      </c>
      <c r="AB93" s="56">
        <f t="shared" si="61"/>
        <v>0</v>
      </c>
      <c r="AC93" s="56">
        <f t="shared" si="61"/>
        <v>0</v>
      </c>
      <c r="AD93" s="56">
        <f t="shared" si="61"/>
        <v>0</v>
      </c>
      <c r="AE93" s="56">
        <f t="shared" si="61"/>
        <v>0</v>
      </c>
      <c r="AF93" s="56">
        <f t="shared" si="61"/>
        <v>0</v>
      </c>
      <c r="AG93" s="56">
        <f t="shared" si="61"/>
        <v>0</v>
      </c>
      <c r="AH93" s="56">
        <f t="shared" si="61"/>
        <v>0</v>
      </c>
      <c r="AI93" s="56">
        <f t="shared" si="61"/>
        <v>0</v>
      </c>
      <c r="AJ93" s="56">
        <f t="shared" si="61"/>
        <v>0</v>
      </c>
      <c r="AK93" s="56">
        <f t="shared" si="61"/>
        <v>0</v>
      </c>
      <c r="AL93" s="56">
        <f t="shared" si="61"/>
        <v>0</v>
      </c>
      <c r="AM93" s="56">
        <f t="shared" si="61"/>
        <v>0</v>
      </c>
      <c r="AN93" s="56">
        <f t="shared" si="61"/>
        <v>0</v>
      </c>
      <c r="AO93" s="56">
        <f t="shared" si="61"/>
        <v>0</v>
      </c>
      <c r="AP93" s="56">
        <f t="shared" si="61"/>
        <v>0</v>
      </c>
      <c r="AQ93" s="56">
        <f t="shared" si="61"/>
        <v>0</v>
      </c>
      <c r="AR93" s="56">
        <f t="shared" si="61"/>
        <v>0</v>
      </c>
      <c r="AS93" s="56">
        <f t="shared" si="61"/>
        <v>0</v>
      </c>
      <c r="AT93" s="56">
        <f t="shared" si="61"/>
        <v>0</v>
      </c>
      <c r="AU93" s="56">
        <f t="shared" si="61"/>
        <v>0</v>
      </c>
      <c r="AV93" s="56">
        <f t="shared" si="61"/>
        <v>0</v>
      </c>
      <c r="AW93" s="56">
        <f t="shared" si="61"/>
        <v>0</v>
      </c>
      <c r="AX93" s="56">
        <f t="shared" si="61"/>
        <v>0</v>
      </c>
      <c r="AY93" s="56">
        <f t="shared" si="61"/>
        <v>0</v>
      </c>
      <c r="AZ93" s="56">
        <f t="shared" si="61"/>
        <v>0</v>
      </c>
      <c r="BA93" s="56">
        <f t="shared" si="61"/>
        <v>0</v>
      </c>
    </row>
    <row r="94" spans="2:53" x14ac:dyDescent="0.2">
      <c r="B94" s="57"/>
      <c r="D94" s="44"/>
      <c r="E94" s="44"/>
      <c r="F94" s="44"/>
      <c r="G94" s="44"/>
      <c r="H94" s="44"/>
      <c r="I94" s="44"/>
      <c r="J94" s="44"/>
      <c r="K94" s="44"/>
      <c r="L94" s="44"/>
      <c r="M94" s="44"/>
      <c r="N94" s="44"/>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row>
    <row r="95" spans="2:53" x14ac:dyDescent="0.2">
      <c r="B95" s="46" t="s">
        <v>59</v>
      </c>
      <c r="C95" s="65" t="s">
        <v>75</v>
      </c>
      <c r="D95" s="44"/>
      <c r="E95" s="44"/>
      <c r="F95" s="44"/>
      <c r="G95" s="6"/>
      <c r="H95" s="44"/>
      <c r="I95" s="44"/>
      <c r="J95" s="44"/>
      <c r="K95" s="44"/>
      <c r="L95" s="44"/>
      <c r="M95" s="44"/>
      <c r="N95" s="44"/>
      <c r="O95" s="56"/>
      <c r="P95" s="56"/>
      <c r="Q95" s="56"/>
      <c r="R95" s="56">
        <f>R18</f>
        <v>0</v>
      </c>
      <c r="S95" s="56">
        <f t="shared" ref="S95:BA95" si="62">+R95-S97</f>
        <v>0</v>
      </c>
      <c r="T95" s="56">
        <f t="shared" si="62"/>
        <v>0</v>
      </c>
      <c r="U95" s="56">
        <f t="shared" si="62"/>
        <v>0</v>
      </c>
      <c r="V95" s="56">
        <f t="shared" si="62"/>
        <v>0</v>
      </c>
      <c r="W95" s="56">
        <f t="shared" si="62"/>
        <v>0</v>
      </c>
      <c r="X95" s="56">
        <f t="shared" si="62"/>
        <v>0</v>
      </c>
      <c r="Y95" s="56">
        <f t="shared" si="62"/>
        <v>0</v>
      </c>
      <c r="Z95" s="56">
        <f t="shared" si="62"/>
        <v>0</v>
      </c>
      <c r="AA95" s="56">
        <f t="shared" si="62"/>
        <v>0</v>
      </c>
      <c r="AB95" s="56">
        <f t="shared" si="62"/>
        <v>0</v>
      </c>
      <c r="AC95" s="56">
        <f t="shared" si="62"/>
        <v>0</v>
      </c>
      <c r="AD95" s="56">
        <f t="shared" si="62"/>
        <v>0</v>
      </c>
      <c r="AE95" s="56">
        <f t="shared" si="62"/>
        <v>0</v>
      </c>
      <c r="AF95" s="56">
        <f t="shared" si="62"/>
        <v>0</v>
      </c>
      <c r="AG95" s="56">
        <f t="shared" si="62"/>
        <v>0</v>
      </c>
      <c r="AH95" s="56">
        <f t="shared" si="62"/>
        <v>0</v>
      </c>
      <c r="AI95" s="56">
        <f t="shared" si="62"/>
        <v>0</v>
      </c>
      <c r="AJ95" s="56">
        <f t="shared" si="62"/>
        <v>0</v>
      </c>
      <c r="AK95" s="56">
        <f t="shared" si="62"/>
        <v>0</v>
      </c>
      <c r="AL95" s="56">
        <f t="shared" si="62"/>
        <v>0</v>
      </c>
      <c r="AM95" s="56">
        <f t="shared" si="62"/>
        <v>0</v>
      </c>
      <c r="AN95" s="56">
        <f t="shared" si="62"/>
        <v>0</v>
      </c>
      <c r="AO95" s="56">
        <f t="shared" si="62"/>
        <v>0</v>
      </c>
      <c r="AP95" s="56">
        <f t="shared" si="62"/>
        <v>0</v>
      </c>
      <c r="AQ95" s="56">
        <f t="shared" si="62"/>
        <v>0</v>
      </c>
      <c r="AR95" s="56">
        <f t="shared" si="62"/>
        <v>0</v>
      </c>
      <c r="AS95" s="56">
        <f t="shared" si="62"/>
        <v>0</v>
      </c>
      <c r="AT95" s="56">
        <f t="shared" si="62"/>
        <v>0</v>
      </c>
      <c r="AU95" s="56">
        <f t="shared" si="62"/>
        <v>0</v>
      </c>
      <c r="AV95" s="56">
        <f t="shared" si="62"/>
        <v>0</v>
      </c>
      <c r="AW95" s="56">
        <f t="shared" si="62"/>
        <v>0</v>
      </c>
      <c r="AX95" s="56">
        <f t="shared" si="62"/>
        <v>0</v>
      </c>
      <c r="AY95" s="56">
        <f t="shared" si="62"/>
        <v>0</v>
      </c>
      <c r="AZ95" s="56">
        <f t="shared" si="62"/>
        <v>0</v>
      </c>
      <c r="BA95" s="56">
        <f t="shared" si="62"/>
        <v>0</v>
      </c>
    </row>
    <row r="96" spans="2:53" x14ac:dyDescent="0.2">
      <c r="B96" s="57" t="s">
        <v>29</v>
      </c>
      <c r="C96" s="64">
        <f>+R95/((1-(1/(1+$C$9)^$C$8))/$C$9)</f>
        <v>0</v>
      </c>
      <c r="D96" s="44"/>
      <c r="E96" s="44"/>
      <c r="F96" s="44"/>
      <c r="G96" s="6"/>
      <c r="H96" s="44"/>
      <c r="I96" s="44"/>
      <c r="J96" s="44"/>
      <c r="K96" s="44"/>
      <c r="L96" s="44"/>
      <c r="M96" s="44"/>
      <c r="N96" s="44"/>
      <c r="O96" s="56"/>
      <c r="P96" s="56"/>
      <c r="Q96" s="56"/>
      <c r="R96" s="56">
        <v>0</v>
      </c>
      <c r="S96" s="56">
        <f>+IF(R95&lt;0.01,0,$C$96)</f>
        <v>0</v>
      </c>
      <c r="T96" s="56">
        <f t="shared" ref="T96:BA96" si="63">+IF(S95&lt;0.01,0,$C$96)</f>
        <v>0</v>
      </c>
      <c r="U96" s="56">
        <f t="shared" si="63"/>
        <v>0</v>
      </c>
      <c r="V96" s="56">
        <f t="shared" si="63"/>
        <v>0</v>
      </c>
      <c r="W96" s="56">
        <f t="shared" si="63"/>
        <v>0</v>
      </c>
      <c r="X96" s="56">
        <f t="shared" si="63"/>
        <v>0</v>
      </c>
      <c r="Y96" s="56">
        <f t="shared" si="63"/>
        <v>0</v>
      </c>
      <c r="Z96" s="56">
        <f t="shared" si="63"/>
        <v>0</v>
      </c>
      <c r="AA96" s="56">
        <f t="shared" si="63"/>
        <v>0</v>
      </c>
      <c r="AB96" s="56">
        <f t="shared" si="63"/>
        <v>0</v>
      </c>
      <c r="AC96" s="56">
        <f t="shared" si="63"/>
        <v>0</v>
      </c>
      <c r="AD96" s="56">
        <f t="shared" si="63"/>
        <v>0</v>
      </c>
      <c r="AE96" s="56">
        <f t="shared" si="63"/>
        <v>0</v>
      </c>
      <c r="AF96" s="56">
        <f t="shared" si="63"/>
        <v>0</v>
      </c>
      <c r="AG96" s="56">
        <f t="shared" si="63"/>
        <v>0</v>
      </c>
      <c r="AH96" s="56">
        <f t="shared" si="63"/>
        <v>0</v>
      </c>
      <c r="AI96" s="56">
        <f t="shared" si="63"/>
        <v>0</v>
      </c>
      <c r="AJ96" s="56">
        <f t="shared" si="63"/>
        <v>0</v>
      </c>
      <c r="AK96" s="56">
        <f t="shared" si="63"/>
        <v>0</v>
      </c>
      <c r="AL96" s="56">
        <f t="shared" si="63"/>
        <v>0</v>
      </c>
      <c r="AM96" s="56">
        <f t="shared" si="63"/>
        <v>0</v>
      </c>
      <c r="AN96" s="56">
        <f t="shared" si="63"/>
        <v>0</v>
      </c>
      <c r="AO96" s="56">
        <f t="shared" si="63"/>
        <v>0</v>
      </c>
      <c r="AP96" s="56">
        <f t="shared" si="63"/>
        <v>0</v>
      </c>
      <c r="AQ96" s="56">
        <f t="shared" si="63"/>
        <v>0</v>
      </c>
      <c r="AR96" s="56">
        <f t="shared" si="63"/>
        <v>0</v>
      </c>
      <c r="AS96" s="56">
        <f t="shared" si="63"/>
        <v>0</v>
      </c>
      <c r="AT96" s="56">
        <f t="shared" si="63"/>
        <v>0</v>
      </c>
      <c r="AU96" s="56">
        <f t="shared" si="63"/>
        <v>0</v>
      </c>
      <c r="AV96" s="56">
        <f t="shared" si="63"/>
        <v>0</v>
      </c>
      <c r="AW96" s="56">
        <f t="shared" si="63"/>
        <v>0</v>
      </c>
      <c r="AX96" s="56">
        <f t="shared" si="63"/>
        <v>0</v>
      </c>
      <c r="AY96" s="56">
        <f t="shared" si="63"/>
        <v>0</v>
      </c>
      <c r="AZ96" s="56">
        <f t="shared" si="63"/>
        <v>0</v>
      </c>
      <c r="BA96" s="56">
        <f t="shared" si="63"/>
        <v>0</v>
      </c>
    </row>
    <row r="97" spans="2:53" x14ac:dyDescent="0.2">
      <c r="B97" s="57" t="s">
        <v>30</v>
      </c>
      <c r="C97" s="65" t="s">
        <v>75</v>
      </c>
      <c r="D97" s="44"/>
      <c r="E97" s="44"/>
      <c r="F97" s="44"/>
      <c r="G97" s="6"/>
      <c r="H97" s="44"/>
      <c r="I97" s="44"/>
      <c r="J97" s="44"/>
      <c r="K97" s="44"/>
      <c r="L97" s="44"/>
      <c r="M97" s="44"/>
      <c r="N97" s="44"/>
      <c r="O97" s="56"/>
      <c r="P97" s="56"/>
      <c r="Q97" s="56"/>
      <c r="R97" s="56">
        <v>0</v>
      </c>
      <c r="S97" s="56">
        <f t="shared" ref="S97:BA97" si="64">+S96-S98</f>
        <v>0</v>
      </c>
      <c r="T97" s="56">
        <f t="shared" si="64"/>
        <v>0</v>
      </c>
      <c r="U97" s="56">
        <f t="shared" si="64"/>
        <v>0</v>
      </c>
      <c r="V97" s="56">
        <f t="shared" si="64"/>
        <v>0</v>
      </c>
      <c r="W97" s="56">
        <f t="shared" si="64"/>
        <v>0</v>
      </c>
      <c r="X97" s="56">
        <f t="shared" si="64"/>
        <v>0</v>
      </c>
      <c r="Y97" s="56">
        <f t="shared" si="64"/>
        <v>0</v>
      </c>
      <c r="Z97" s="56">
        <f t="shared" si="64"/>
        <v>0</v>
      </c>
      <c r="AA97" s="56">
        <f t="shared" si="64"/>
        <v>0</v>
      </c>
      <c r="AB97" s="56">
        <f t="shared" si="64"/>
        <v>0</v>
      </c>
      <c r="AC97" s="56">
        <f t="shared" si="64"/>
        <v>0</v>
      </c>
      <c r="AD97" s="56">
        <f t="shared" si="64"/>
        <v>0</v>
      </c>
      <c r="AE97" s="56">
        <f t="shared" si="64"/>
        <v>0</v>
      </c>
      <c r="AF97" s="56">
        <f t="shared" si="64"/>
        <v>0</v>
      </c>
      <c r="AG97" s="56">
        <f t="shared" si="64"/>
        <v>0</v>
      </c>
      <c r="AH97" s="56">
        <f t="shared" si="64"/>
        <v>0</v>
      </c>
      <c r="AI97" s="56">
        <f t="shared" si="64"/>
        <v>0</v>
      </c>
      <c r="AJ97" s="56">
        <f t="shared" si="64"/>
        <v>0</v>
      </c>
      <c r="AK97" s="56">
        <f t="shared" si="64"/>
        <v>0</v>
      </c>
      <c r="AL97" s="56">
        <f t="shared" si="64"/>
        <v>0</v>
      </c>
      <c r="AM97" s="56">
        <f t="shared" si="64"/>
        <v>0</v>
      </c>
      <c r="AN97" s="56">
        <f t="shared" si="64"/>
        <v>0</v>
      </c>
      <c r="AO97" s="56">
        <f t="shared" si="64"/>
        <v>0</v>
      </c>
      <c r="AP97" s="56">
        <f t="shared" si="64"/>
        <v>0</v>
      </c>
      <c r="AQ97" s="56">
        <f t="shared" si="64"/>
        <v>0</v>
      </c>
      <c r="AR97" s="56">
        <f t="shared" si="64"/>
        <v>0</v>
      </c>
      <c r="AS97" s="56">
        <f t="shared" si="64"/>
        <v>0</v>
      </c>
      <c r="AT97" s="56">
        <f t="shared" si="64"/>
        <v>0</v>
      </c>
      <c r="AU97" s="56">
        <f t="shared" si="64"/>
        <v>0</v>
      </c>
      <c r="AV97" s="56">
        <f t="shared" si="64"/>
        <v>0</v>
      </c>
      <c r="AW97" s="56">
        <f t="shared" si="64"/>
        <v>0</v>
      </c>
      <c r="AX97" s="56">
        <f t="shared" si="64"/>
        <v>0</v>
      </c>
      <c r="AY97" s="56">
        <f t="shared" si="64"/>
        <v>0</v>
      </c>
      <c r="AZ97" s="56">
        <f t="shared" si="64"/>
        <v>0</v>
      </c>
      <c r="BA97" s="56">
        <f t="shared" si="64"/>
        <v>0</v>
      </c>
    </row>
    <row r="98" spans="2:53" x14ac:dyDescent="0.2">
      <c r="B98" s="57" t="s">
        <v>3</v>
      </c>
      <c r="C98" s="65" t="s">
        <v>75</v>
      </c>
      <c r="D98" s="44"/>
      <c r="E98" s="44"/>
      <c r="F98" s="44"/>
      <c r="G98" s="6"/>
      <c r="H98" s="44"/>
      <c r="I98" s="44"/>
      <c r="J98" s="44"/>
      <c r="K98" s="44"/>
      <c r="L98" s="44"/>
      <c r="M98" s="44"/>
      <c r="N98" s="44"/>
      <c r="O98" s="56"/>
      <c r="P98" s="56"/>
      <c r="Q98" s="56"/>
      <c r="R98" s="56">
        <v>0</v>
      </c>
      <c r="S98" s="56">
        <f t="shared" ref="S98:BA98" si="65">+$C$9*R95</f>
        <v>0</v>
      </c>
      <c r="T98" s="56">
        <f t="shared" si="65"/>
        <v>0</v>
      </c>
      <c r="U98" s="56">
        <f t="shared" si="65"/>
        <v>0</v>
      </c>
      <c r="V98" s="56">
        <f t="shared" si="65"/>
        <v>0</v>
      </c>
      <c r="W98" s="56">
        <f t="shared" si="65"/>
        <v>0</v>
      </c>
      <c r="X98" s="56">
        <f t="shared" si="65"/>
        <v>0</v>
      </c>
      <c r="Y98" s="56">
        <f t="shared" si="65"/>
        <v>0</v>
      </c>
      <c r="Z98" s="56">
        <f t="shared" si="65"/>
        <v>0</v>
      </c>
      <c r="AA98" s="56">
        <f t="shared" si="65"/>
        <v>0</v>
      </c>
      <c r="AB98" s="56">
        <f t="shared" si="65"/>
        <v>0</v>
      </c>
      <c r="AC98" s="56">
        <f t="shared" si="65"/>
        <v>0</v>
      </c>
      <c r="AD98" s="56">
        <f t="shared" si="65"/>
        <v>0</v>
      </c>
      <c r="AE98" s="56">
        <f t="shared" si="65"/>
        <v>0</v>
      </c>
      <c r="AF98" s="56">
        <f t="shared" si="65"/>
        <v>0</v>
      </c>
      <c r="AG98" s="56">
        <f t="shared" si="65"/>
        <v>0</v>
      </c>
      <c r="AH98" s="56">
        <f t="shared" si="65"/>
        <v>0</v>
      </c>
      <c r="AI98" s="56">
        <f t="shared" si="65"/>
        <v>0</v>
      </c>
      <c r="AJ98" s="56">
        <f t="shared" si="65"/>
        <v>0</v>
      </c>
      <c r="AK98" s="56">
        <f t="shared" si="65"/>
        <v>0</v>
      </c>
      <c r="AL98" s="56">
        <f t="shared" si="65"/>
        <v>0</v>
      </c>
      <c r="AM98" s="56">
        <f t="shared" si="65"/>
        <v>0</v>
      </c>
      <c r="AN98" s="56">
        <f t="shared" si="65"/>
        <v>0</v>
      </c>
      <c r="AO98" s="56">
        <f t="shared" si="65"/>
        <v>0</v>
      </c>
      <c r="AP98" s="56">
        <f t="shared" si="65"/>
        <v>0</v>
      </c>
      <c r="AQ98" s="56">
        <f t="shared" si="65"/>
        <v>0</v>
      </c>
      <c r="AR98" s="56">
        <f t="shared" si="65"/>
        <v>0</v>
      </c>
      <c r="AS98" s="56">
        <f t="shared" si="65"/>
        <v>0</v>
      </c>
      <c r="AT98" s="56">
        <f t="shared" si="65"/>
        <v>0</v>
      </c>
      <c r="AU98" s="56">
        <f t="shared" si="65"/>
        <v>0</v>
      </c>
      <c r="AV98" s="56">
        <f t="shared" si="65"/>
        <v>0</v>
      </c>
      <c r="AW98" s="56">
        <f t="shared" si="65"/>
        <v>0</v>
      </c>
      <c r="AX98" s="56">
        <f t="shared" si="65"/>
        <v>0</v>
      </c>
      <c r="AY98" s="56">
        <f t="shared" si="65"/>
        <v>0</v>
      </c>
      <c r="AZ98" s="56">
        <f t="shared" si="65"/>
        <v>0</v>
      </c>
      <c r="BA98" s="56">
        <f t="shared" si="65"/>
        <v>0</v>
      </c>
    </row>
    <row r="99" spans="2:53" x14ac:dyDescent="0.2">
      <c r="B99" s="57"/>
      <c r="D99" s="44"/>
      <c r="E99" s="44"/>
      <c r="F99" s="44"/>
      <c r="G99" s="44"/>
      <c r="H99" s="44"/>
      <c r="I99" s="44"/>
      <c r="J99" s="44"/>
      <c r="K99" s="44"/>
      <c r="L99" s="44"/>
      <c r="M99" s="44"/>
      <c r="N99" s="44"/>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row>
    <row r="100" spans="2:53" x14ac:dyDescent="0.2">
      <c r="B100" s="46" t="s">
        <v>60</v>
      </c>
      <c r="C100" s="65" t="s">
        <v>75</v>
      </c>
      <c r="D100" s="44"/>
      <c r="E100" s="44"/>
      <c r="F100" s="44"/>
      <c r="G100" s="6"/>
      <c r="H100" s="6"/>
      <c r="I100" s="44"/>
      <c r="J100" s="44"/>
      <c r="K100" s="44"/>
      <c r="L100" s="44"/>
      <c r="M100" s="44"/>
      <c r="N100" s="44"/>
      <c r="O100" s="56"/>
      <c r="P100" s="56"/>
      <c r="Q100" s="56"/>
      <c r="R100" s="56"/>
      <c r="S100" s="56">
        <f>S18</f>
        <v>0</v>
      </c>
      <c r="T100" s="56">
        <f t="shared" ref="T100:BA100" si="66">+S100-T102</f>
        <v>0</v>
      </c>
      <c r="U100" s="56">
        <f t="shared" si="66"/>
        <v>0</v>
      </c>
      <c r="V100" s="56">
        <f t="shared" si="66"/>
        <v>0</v>
      </c>
      <c r="W100" s="56">
        <f t="shared" si="66"/>
        <v>0</v>
      </c>
      <c r="X100" s="56">
        <f t="shared" si="66"/>
        <v>0</v>
      </c>
      <c r="Y100" s="56">
        <f t="shared" si="66"/>
        <v>0</v>
      </c>
      <c r="Z100" s="56">
        <f t="shared" si="66"/>
        <v>0</v>
      </c>
      <c r="AA100" s="56">
        <f t="shared" si="66"/>
        <v>0</v>
      </c>
      <c r="AB100" s="56">
        <f t="shared" si="66"/>
        <v>0</v>
      </c>
      <c r="AC100" s="56">
        <f t="shared" si="66"/>
        <v>0</v>
      </c>
      <c r="AD100" s="56">
        <f t="shared" si="66"/>
        <v>0</v>
      </c>
      <c r="AE100" s="56">
        <f t="shared" si="66"/>
        <v>0</v>
      </c>
      <c r="AF100" s="56">
        <f t="shared" si="66"/>
        <v>0</v>
      </c>
      <c r="AG100" s="56">
        <f t="shared" si="66"/>
        <v>0</v>
      </c>
      <c r="AH100" s="56">
        <f t="shared" si="66"/>
        <v>0</v>
      </c>
      <c r="AI100" s="56">
        <f t="shared" si="66"/>
        <v>0</v>
      </c>
      <c r="AJ100" s="56">
        <f t="shared" si="66"/>
        <v>0</v>
      </c>
      <c r="AK100" s="56">
        <f t="shared" si="66"/>
        <v>0</v>
      </c>
      <c r="AL100" s="56">
        <f t="shared" si="66"/>
        <v>0</v>
      </c>
      <c r="AM100" s="56">
        <f t="shared" si="66"/>
        <v>0</v>
      </c>
      <c r="AN100" s="56">
        <f t="shared" si="66"/>
        <v>0</v>
      </c>
      <c r="AO100" s="56">
        <f t="shared" si="66"/>
        <v>0</v>
      </c>
      <c r="AP100" s="56">
        <f t="shared" si="66"/>
        <v>0</v>
      </c>
      <c r="AQ100" s="56">
        <f t="shared" si="66"/>
        <v>0</v>
      </c>
      <c r="AR100" s="56">
        <f t="shared" si="66"/>
        <v>0</v>
      </c>
      <c r="AS100" s="56">
        <f t="shared" si="66"/>
        <v>0</v>
      </c>
      <c r="AT100" s="56">
        <f t="shared" si="66"/>
        <v>0</v>
      </c>
      <c r="AU100" s="56">
        <f t="shared" si="66"/>
        <v>0</v>
      </c>
      <c r="AV100" s="56">
        <f t="shared" si="66"/>
        <v>0</v>
      </c>
      <c r="AW100" s="56">
        <f t="shared" si="66"/>
        <v>0</v>
      </c>
      <c r="AX100" s="56">
        <f t="shared" si="66"/>
        <v>0</v>
      </c>
      <c r="AY100" s="56">
        <f t="shared" si="66"/>
        <v>0</v>
      </c>
      <c r="AZ100" s="56">
        <f t="shared" si="66"/>
        <v>0</v>
      </c>
      <c r="BA100" s="56">
        <f t="shared" si="66"/>
        <v>0</v>
      </c>
    </row>
    <row r="101" spans="2:53" x14ac:dyDescent="0.2">
      <c r="B101" s="57" t="s">
        <v>29</v>
      </c>
      <c r="C101" s="64">
        <f>+S100/((1-(1/(1+$C$9)^$C$8))/$C$9)</f>
        <v>0</v>
      </c>
      <c r="D101" s="44"/>
      <c r="E101" s="44"/>
      <c r="F101" s="44"/>
      <c r="G101" s="6"/>
      <c r="H101" s="6"/>
      <c r="I101" s="44"/>
      <c r="J101" s="44"/>
      <c r="K101" s="44"/>
      <c r="L101" s="44"/>
      <c r="M101" s="44"/>
      <c r="N101" s="44"/>
      <c r="O101" s="56"/>
      <c r="P101" s="56"/>
      <c r="Q101" s="56"/>
      <c r="R101" s="56"/>
      <c r="S101" s="56">
        <v>0</v>
      </c>
      <c r="T101" s="56">
        <f>+IF(S100&lt;0.01,0,$C$101)</f>
        <v>0</v>
      </c>
      <c r="U101" s="56">
        <f t="shared" ref="U101:BA101" si="67">+IF(T100&lt;0.01,0,$C$101)</f>
        <v>0</v>
      </c>
      <c r="V101" s="56">
        <f t="shared" si="67"/>
        <v>0</v>
      </c>
      <c r="W101" s="56">
        <f t="shared" si="67"/>
        <v>0</v>
      </c>
      <c r="X101" s="56">
        <f t="shared" si="67"/>
        <v>0</v>
      </c>
      <c r="Y101" s="56">
        <f t="shared" si="67"/>
        <v>0</v>
      </c>
      <c r="Z101" s="56">
        <f t="shared" si="67"/>
        <v>0</v>
      </c>
      <c r="AA101" s="56">
        <f t="shared" si="67"/>
        <v>0</v>
      </c>
      <c r="AB101" s="56">
        <f t="shared" si="67"/>
        <v>0</v>
      </c>
      <c r="AC101" s="56">
        <f t="shared" si="67"/>
        <v>0</v>
      </c>
      <c r="AD101" s="56">
        <f t="shared" si="67"/>
        <v>0</v>
      </c>
      <c r="AE101" s="56">
        <f t="shared" si="67"/>
        <v>0</v>
      </c>
      <c r="AF101" s="56">
        <f t="shared" si="67"/>
        <v>0</v>
      </c>
      <c r="AG101" s="56">
        <f t="shared" si="67"/>
        <v>0</v>
      </c>
      <c r="AH101" s="56">
        <f t="shared" si="67"/>
        <v>0</v>
      </c>
      <c r="AI101" s="56">
        <f t="shared" si="67"/>
        <v>0</v>
      </c>
      <c r="AJ101" s="56">
        <f t="shared" si="67"/>
        <v>0</v>
      </c>
      <c r="AK101" s="56">
        <f t="shared" si="67"/>
        <v>0</v>
      </c>
      <c r="AL101" s="56">
        <f t="shared" si="67"/>
        <v>0</v>
      </c>
      <c r="AM101" s="56">
        <f t="shared" si="67"/>
        <v>0</v>
      </c>
      <c r="AN101" s="56">
        <f t="shared" si="67"/>
        <v>0</v>
      </c>
      <c r="AO101" s="56">
        <f t="shared" si="67"/>
        <v>0</v>
      </c>
      <c r="AP101" s="56">
        <f t="shared" si="67"/>
        <v>0</v>
      </c>
      <c r="AQ101" s="56">
        <f t="shared" si="67"/>
        <v>0</v>
      </c>
      <c r="AR101" s="56">
        <f t="shared" si="67"/>
        <v>0</v>
      </c>
      <c r="AS101" s="56">
        <f t="shared" si="67"/>
        <v>0</v>
      </c>
      <c r="AT101" s="56">
        <f t="shared" si="67"/>
        <v>0</v>
      </c>
      <c r="AU101" s="56">
        <f t="shared" si="67"/>
        <v>0</v>
      </c>
      <c r="AV101" s="56">
        <f t="shared" si="67"/>
        <v>0</v>
      </c>
      <c r="AW101" s="56">
        <f t="shared" si="67"/>
        <v>0</v>
      </c>
      <c r="AX101" s="56">
        <f t="shared" si="67"/>
        <v>0</v>
      </c>
      <c r="AY101" s="56">
        <f t="shared" si="67"/>
        <v>0</v>
      </c>
      <c r="AZ101" s="56">
        <f t="shared" si="67"/>
        <v>0</v>
      </c>
      <c r="BA101" s="56">
        <f t="shared" si="67"/>
        <v>0</v>
      </c>
    </row>
    <row r="102" spans="2:53" x14ac:dyDescent="0.2">
      <c r="B102" s="57" t="s">
        <v>30</v>
      </c>
      <c r="C102" s="65" t="s">
        <v>75</v>
      </c>
      <c r="D102" s="44"/>
      <c r="E102" s="44"/>
      <c r="F102" s="44"/>
      <c r="G102" s="6"/>
      <c r="H102" s="6"/>
      <c r="I102" s="44"/>
      <c r="J102" s="44"/>
      <c r="K102" s="44"/>
      <c r="L102" s="44"/>
      <c r="M102" s="44"/>
      <c r="N102" s="44"/>
      <c r="O102" s="56"/>
      <c r="P102" s="56"/>
      <c r="Q102" s="56"/>
      <c r="R102" s="56"/>
      <c r="S102" s="56">
        <v>0</v>
      </c>
      <c r="T102" s="56">
        <f t="shared" ref="T102:BA102" si="68">+T101-T103</f>
        <v>0</v>
      </c>
      <c r="U102" s="56">
        <f t="shared" si="68"/>
        <v>0</v>
      </c>
      <c r="V102" s="56">
        <f t="shared" si="68"/>
        <v>0</v>
      </c>
      <c r="W102" s="56">
        <f t="shared" si="68"/>
        <v>0</v>
      </c>
      <c r="X102" s="56">
        <f t="shared" si="68"/>
        <v>0</v>
      </c>
      <c r="Y102" s="56">
        <f t="shared" si="68"/>
        <v>0</v>
      </c>
      <c r="Z102" s="56">
        <f t="shared" si="68"/>
        <v>0</v>
      </c>
      <c r="AA102" s="56">
        <f t="shared" si="68"/>
        <v>0</v>
      </c>
      <c r="AB102" s="56">
        <f t="shared" si="68"/>
        <v>0</v>
      </c>
      <c r="AC102" s="56">
        <f t="shared" si="68"/>
        <v>0</v>
      </c>
      <c r="AD102" s="56">
        <f t="shared" si="68"/>
        <v>0</v>
      </c>
      <c r="AE102" s="56">
        <f t="shared" si="68"/>
        <v>0</v>
      </c>
      <c r="AF102" s="56">
        <f t="shared" si="68"/>
        <v>0</v>
      </c>
      <c r="AG102" s="56">
        <f t="shared" si="68"/>
        <v>0</v>
      </c>
      <c r="AH102" s="56">
        <f t="shared" si="68"/>
        <v>0</v>
      </c>
      <c r="AI102" s="56">
        <f t="shared" si="68"/>
        <v>0</v>
      </c>
      <c r="AJ102" s="56">
        <f t="shared" si="68"/>
        <v>0</v>
      </c>
      <c r="AK102" s="56">
        <f t="shared" si="68"/>
        <v>0</v>
      </c>
      <c r="AL102" s="56">
        <f t="shared" si="68"/>
        <v>0</v>
      </c>
      <c r="AM102" s="56">
        <f t="shared" si="68"/>
        <v>0</v>
      </c>
      <c r="AN102" s="56">
        <f t="shared" si="68"/>
        <v>0</v>
      </c>
      <c r="AO102" s="56">
        <f t="shared" si="68"/>
        <v>0</v>
      </c>
      <c r="AP102" s="56">
        <f t="shared" si="68"/>
        <v>0</v>
      </c>
      <c r="AQ102" s="56">
        <f t="shared" si="68"/>
        <v>0</v>
      </c>
      <c r="AR102" s="56">
        <f t="shared" si="68"/>
        <v>0</v>
      </c>
      <c r="AS102" s="56">
        <f t="shared" si="68"/>
        <v>0</v>
      </c>
      <c r="AT102" s="56">
        <f t="shared" si="68"/>
        <v>0</v>
      </c>
      <c r="AU102" s="56">
        <f t="shared" si="68"/>
        <v>0</v>
      </c>
      <c r="AV102" s="56">
        <f t="shared" si="68"/>
        <v>0</v>
      </c>
      <c r="AW102" s="56">
        <f t="shared" si="68"/>
        <v>0</v>
      </c>
      <c r="AX102" s="56">
        <f t="shared" si="68"/>
        <v>0</v>
      </c>
      <c r="AY102" s="56">
        <f t="shared" si="68"/>
        <v>0</v>
      </c>
      <c r="AZ102" s="56">
        <f t="shared" si="68"/>
        <v>0</v>
      </c>
      <c r="BA102" s="56">
        <f t="shared" si="68"/>
        <v>0</v>
      </c>
    </row>
    <row r="103" spans="2:53" x14ac:dyDescent="0.2">
      <c r="B103" s="57" t="s">
        <v>3</v>
      </c>
      <c r="C103" s="65" t="s">
        <v>75</v>
      </c>
      <c r="D103" s="44"/>
      <c r="E103" s="44"/>
      <c r="F103" s="44"/>
      <c r="G103" s="6"/>
      <c r="H103" s="6"/>
      <c r="I103" s="44"/>
      <c r="J103" s="44"/>
      <c r="K103" s="44"/>
      <c r="L103" s="44"/>
      <c r="M103" s="44"/>
      <c r="N103" s="44"/>
      <c r="O103" s="56"/>
      <c r="P103" s="56"/>
      <c r="Q103" s="56"/>
      <c r="R103" s="56"/>
      <c r="S103" s="56">
        <v>0</v>
      </c>
      <c r="T103" s="56">
        <f t="shared" ref="T103:BA103" si="69">+$C$9*S100</f>
        <v>0</v>
      </c>
      <c r="U103" s="56">
        <f t="shared" si="69"/>
        <v>0</v>
      </c>
      <c r="V103" s="56">
        <f t="shared" si="69"/>
        <v>0</v>
      </c>
      <c r="W103" s="56">
        <f t="shared" si="69"/>
        <v>0</v>
      </c>
      <c r="X103" s="56">
        <f t="shared" si="69"/>
        <v>0</v>
      </c>
      <c r="Y103" s="56">
        <f t="shared" si="69"/>
        <v>0</v>
      </c>
      <c r="Z103" s="56">
        <f t="shared" si="69"/>
        <v>0</v>
      </c>
      <c r="AA103" s="56">
        <f t="shared" si="69"/>
        <v>0</v>
      </c>
      <c r="AB103" s="56">
        <f t="shared" si="69"/>
        <v>0</v>
      </c>
      <c r="AC103" s="56">
        <f t="shared" si="69"/>
        <v>0</v>
      </c>
      <c r="AD103" s="56">
        <f t="shared" si="69"/>
        <v>0</v>
      </c>
      <c r="AE103" s="56">
        <f t="shared" si="69"/>
        <v>0</v>
      </c>
      <c r="AF103" s="56">
        <f t="shared" si="69"/>
        <v>0</v>
      </c>
      <c r="AG103" s="56">
        <f t="shared" si="69"/>
        <v>0</v>
      </c>
      <c r="AH103" s="56">
        <f t="shared" si="69"/>
        <v>0</v>
      </c>
      <c r="AI103" s="56">
        <f t="shared" si="69"/>
        <v>0</v>
      </c>
      <c r="AJ103" s="56">
        <f t="shared" si="69"/>
        <v>0</v>
      </c>
      <c r="AK103" s="56">
        <f t="shared" si="69"/>
        <v>0</v>
      </c>
      <c r="AL103" s="56">
        <f t="shared" si="69"/>
        <v>0</v>
      </c>
      <c r="AM103" s="56">
        <f t="shared" si="69"/>
        <v>0</v>
      </c>
      <c r="AN103" s="56">
        <f t="shared" si="69"/>
        <v>0</v>
      </c>
      <c r="AO103" s="56">
        <f t="shared" si="69"/>
        <v>0</v>
      </c>
      <c r="AP103" s="56">
        <f t="shared" si="69"/>
        <v>0</v>
      </c>
      <c r="AQ103" s="56">
        <f t="shared" si="69"/>
        <v>0</v>
      </c>
      <c r="AR103" s="56">
        <f t="shared" si="69"/>
        <v>0</v>
      </c>
      <c r="AS103" s="56">
        <f t="shared" si="69"/>
        <v>0</v>
      </c>
      <c r="AT103" s="56">
        <f t="shared" si="69"/>
        <v>0</v>
      </c>
      <c r="AU103" s="56">
        <f t="shared" si="69"/>
        <v>0</v>
      </c>
      <c r="AV103" s="56">
        <f t="shared" si="69"/>
        <v>0</v>
      </c>
      <c r="AW103" s="56">
        <f t="shared" si="69"/>
        <v>0</v>
      </c>
      <c r="AX103" s="56">
        <f t="shared" si="69"/>
        <v>0</v>
      </c>
      <c r="AY103" s="56">
        <f t="shared" si="69"/>
        <v>0</v>
      </c>
      <c r="AZ103" s="56">
        <f t="shared" si="69"/>
        <v>0</v>
      </c>
      <c r="BA103" s="56">
        <f t="shared" si="69"/>
        <v>0</v>
      </c>
    </row>
    <row r="104" spans="2:53" x14ac:dyDescent="0.2">
      <c r="B104" s="57"/>
      <c r="D104" s="44"/>
      <c r="E104" s="44"/>
      <c r="F104" s="44"/>
      <c r="G104" s="44"/>
      <c r="H104" s="44"/>
      <c r="I104" s="44"/>
      <c r="J104" s="44"/>
      <c r="K104" s="44"/>
      <c r="L104" s="44"/>
      <c r="M104" s="44"/>
      <c r="N104" s="44"/>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row>
    <row r="105" spans="2:53" x14ac:dyDescent="0.2">
      <c r="B105" s="46" t="s">
        <v>61</v>
      </c>
      <c r="C105" s="65" t="s">
        <v>75</v>
      </c>
      <c r="D105" s="44"/>
      <c r="E105" s="44"/>
      <c r="F105" s="44"/>
      <c r="G105" s="6"/>
      <c r="H105" s="6"/>
      <c r="I105" s="6"/>
      <c r="J105" s="44"/>
      <c r="K105" s="44"/>
      <c r="L105" s="44"/>
      <c r="M105" s="44"/>
      <c r="N105" s="44"/>
      <c r="O105" s="56"/>
      <c r="P105" s="56"/>
      <c r="Q105" s="56"/>
      <c r="R105" s="56"/>
      <c r="S105" s="56"/>
      <c r="T105" s="56">
        <f>T18</f>
        <v>0</v>
      </c>
      <c r="U105" s="56">
        <f t="shared" ref="U105:BA105" si="70">+T105-U107</f>
        <v>0</v>
      </c>
      <c r="V105" s="56">
        <f t="shared" si="70"/>
        <v>0</v>
      </c>
      <c r="W105" s="56">
        <f t="shared" si="70"/>
        <v>0</v>
      </c>
      <c r="X105" s="56">
        <f t="shared" si="70"/>
        <v>0</v>
      </c>
      <c r="Y105" s="56">
        <f t="shared" si="70"/>
        <v>0</v>
      </c>
      <c r="Z105" s="56">
        <f t="shared" si="70"/>
        <v>0</v>
      </c>
      <c r="AA105" s="56">
        <f t="shared" si="70"/>
        <v>0</v>
      </c>
      <c r="AB105" s="56">
        <f t="shared" si="70"/>
        <v>0</v>
      </c>
      <c r="AC105" s="56">
        <f t="shared" si="70"/>
        <v>0</v>
      </c>
      <c r="AD105" s="56">
        <f t="shared" si="70"/>
        <v>0</v>
      </c>
      <c r="AE105" s="56">
        <f t="shared" si="70"/>
        <v>0</v>
      </c>
      <c r="AF105" s="56">
        <f t="shared" si="70"/>
        <v>0</v>
      </c>
      <c r="AG105" s="56">
        <f t="shared" si="70"/>
        <v>0</v>
      </c>
      <c r="AH105" s="56">
        <f t="shared" si="70"/>
        <v>0</v>
      </c>
      <c r="AI105" s="56">
        <f t="shared" si="70"/>
        <v>0</v>
      </c>
      <c r="AJ105" s="56">
        <f t="shared" si="70"/>
        <v>0</v>
      </c>
      <c r="AK105" s="56">
        <f t="shared" si="70"/>
        <v>0</v>
      </c>
      <c r="AL105" s="56">
        <f t="shared" si="70"/>
        <v>0</v>
      </c>
      <c r="AM105" s="56">
        <f t="shared" si="70"/>
        <v>0</v>
      </c>
      <c r="AN105" s="56">
        <f t="shared" si="70"/>
        <v>0</v>
      </c>
      <c r="AO105" s="56">
        <f t="shared" si="70"/>
        <v>0</v>
      </c>
      <c r="AP105" s="56">
        <f t="shared" si="70"/>
        <v>0</v>
      </c>
      <c r="AQ105" s="56">
        <f t="shared" si="70"/>
        <v>0</v>
      </c>
      <c r="AR105" s="56">
        <f t="shared" si="70"/>
        <v>0</v>
      </c>
      <c r="AS105" s="56">
        <f t="shared" si="70"/>
        <v>0</v>
      </c>
      <c r="AT105" s="56">
        <f t="shared" si="70"/>
        <v>0</v>
      </c>
      <c r="AU105" s="56">
        <f t="shared" si="70"/>
        <v>0</v>
      </c>
      <c r="AV105" s="56">
        <f t="shared" si="70"/>
        <v>0</v>
      </c>
      <c r="AW105" s="56">
        <f t="shared" si="70"/>
        <v>0</v>
      </c>
      <c r="AX105" s="56">
        <f t="shared" si="70"/>
        <v>0</v>
      </c>
      <c r="AY105" s="56">
        <f t="shared" si="70"/>
        <v>0</v>
      </c>
      <c r="AZ105" s="56">
        <f t="shared" si="70"/>
        <v>0</v>
      </c>
      <c r="BA105" s="56">
        <f t="shared" si="70"/>
        <v>0</v>
      </c>
    </row>
    <row r="106" spans="2:53" x14ac:dyDescent="0.2">
      <c r="B106" s="57" t="s">
        <v>29</v>
      </c>
      <c r="C106" s="64">
        <f>+T105/((1-(1/(1+$C$9)^$C$8))/$C$9)</f>
        <v>0</v>
      </c>
      <c r="D106" s="44"/>
      <c r="E106" s="44"/>
      <c r="F106" s="44"/>
      <c r="G106" s="6"/>
      <c r="H106" s="6"/>
      <c r="I106" s="6"/>
      <c r="J106" s="44"/>
      <c r="K106" s="44"/>
      <c r="L106" s="44"/>
      <c r="M106" s="44"/>
      <c r="N106" s="44"/>
      <c r="O106" s="56"/>
      <c r="P106" s="56"/>
      <c r="Q106" s="56"/>
      <c r="R106" s="56"/>
      <c r="S106" s="56"/>
      <c r="T106" s="56">
        <v>0</v>
      </c>
      <c r="U106" s="56">
        <f>+IF(T105&lt;0.01,0,$C$106)</f>
        <v>0</v>
      </c>
      <c r="V106" s="56">
        <f t="shared" ref="V106:BA106" si="71">+IF(U105&lt;0.01,0,$C$106)</f>
        <v>0</v>
      </c>
      <c r="W106" s="56">
        <f t="shared" si="71"/>
        <v>0</v>
      </c>
      <c r="X106" s="56">
        <f t="shared" si="71"/>
        <v>0</v>
      </c>
      <c r="Y106" s="56">
        <f t="shared" si="71"/>
        <v>0</v>
      </c>
      <c r="Z106" s="56">
        <f t="shared" si="71"/>
        <v>0</v>
      </c>
      <c r="AA106" s="56">
        <f t="shared" si="71"/>
        <v>0</v>
      </c>
      <c r="AB106" s="56">
        <f t="shared" si="71"/>
        <v>0</v>
      </c>
      <c r="AC106" s="56">
        <f t="shared" si="71"/>
        <v>0</v>
      </c>
      <c r="AD106" s="56">
        <f t="shared" si="71"/>
        <v>0</v>
      </c>
      <c r="AE106" s="56">
        <f t="shared" si="71"/>
        <v>0</v>
      </c>
      <c r="AF106" s="56">
        <f t="shared" si="71"/>
        <v>0</v>
      </c>
      <c r="AG106" s="56">
        <f t="shared" si="71"/>
        <v>0</v>
      </c>
      <c r="AH106" s="56">
        <f t="shared" si="71"/>
        <v>0</v>
      </c>
      <c r="AI106" s="56">
        <f t="shared" si="71"/>
        <v>0</v>
      </c>
      <c r="AJ106" s="56">
        <f t="shared" si="71"/>
        <v>0</v>
      </c>
      <c r="AK106" s="56">
        <f t="shared" si="71"/>
        <v>0</v>
      </c>
      <c r="AL106" s="56">
        <f t="shared" si="71"/>
        <v>0</v>
      </c>
      <c r="AM106" s="56">
        <f t="shared" si="71"/>
        <v>0</v>
      </c>
      <c r="AN106" s="56">
        <f t="shared" si="71"/>
        <v>0</v>
      </c>
      <c r="AO106" s="56">
        <f t="shared" si="71"/>
        <v>0</v>
      </c>
      <c r="AP106" s="56">
        <f t="shared" si="71"/>
        <v>0</v>
      </c>
      <c r="AQ106" s="56">
        <f t="shared" si="71"/>
        <v>0</v>
      </c>
      <c r="AR106" s="56">
        <f t="shared" si="71"/>
        <v>0</v>
      </c>
      <c r="AS106" s="56">
        <f t="shared" si="71"/>
        <v>0</v>
      </c>
      <c r="AT106" s="56">
        <f t="shared" si="71"/>
        <v>0</v>
      </c>
      <c r="AU106" s="56">
        <f t="shared" si="71"/>
        <v>0</v>
      </c>
      <c r="AV106" s="56">
        <f t="shared" si="71"/>
        <v>0</v>
      </c>
      <c r="AW106" s="56">
        <f t="shared" si="71"/>
        <v>0</v>
      </c>
      <c r="AX106" s="56">
        <f t="shared" si="71"/>
        <v>0</v>
      </c>
      <c r="AY106" s="56">
        <f t="shared" si="71"/>
        <v>0</v>
      </c>
      <c r="AZ106" s="56">
        <f t="shared" si="71"/>
        <v>0</v>
      </c>
      <c r="BA106" s="56">
        <f t="shared" si="71"/>
        <v>0</v>
      </c>
    </row>
    <row r="107" spans="2:53" x14ac:dyDescent="0.2">
      <c r="B107" s="57" t="s">
        <v>30</v>
      </c>
      <c r="C107" s="65" t="s">
        <v>75</v>
      </c>
      <c r="D107" s="44"/>
      <c r="E107" s="44"/>
      <c r="F107" s="44"/>
      <c r="G107" s="6"/>
      <c r="H107" s="6"/>
      <c r="I107" s="6"/>
      <c r="J107" s="44"/>
      <c r="K107" s="44"/>
      <c r="L107" s="44"/>
      <c r="M107" s="44"/>
      <c r="N107" s="44"/>
      <c r="O107" s="56"/>
      <c r="P107" s="56"/>
      <c r="Q107" s="56"/>
      <c r="R107" s="56"/>
      <c r="S107" s="56"/>
      <c r="T107" s="56">
        <v>0</v>
      </c>
      <c r="U107" s="56">
        <f t="shared" ref="U107:BA107" si="72">+U106-U108</f>
        <v>0</v>
      </c>
      <c r="V107" s="56">
        <f t="shared" si="72"/>
        <v>0</v>
      </c>
      <c r="W107" s="56">
        <f t="shared" si="72"/>
        <v>0</v>
      </c>
      <c r="X107" s="56">
        <f t="shared" si="72"/>
        <v>0</v>
      </c>
      <c r="Y107" s="56">
        <f t="shared" si="72"/>
        <v>0</v>
      </c>
      <c r="Z107" s="56">
        <f t="shared" si="72"/>
        <v>0</v>
      </c>
      <c r="AA107" s="56">
        <f t="shared" si="72"/>
        <v>0</v>
      </c>
      <c r="AB107" s="56">
        <f t="shared" si="72"/>
        <v>0</v>
      </c>
      <c r="AC107" s="56">
        <f t="shared" si="72"/>
        <v>0</v>
      </c>
      <c r="AD107" s="56">
        <f t="shared" si="72"/>
        <v>0</v>
      </c>
      <c r="AE107" s="56">
        <f t="shared" si="72"/>
        <v>0</v>
      </c>
      <c r="AF107" s="56">
        <f t="shared" si="72"/>
        <v>0</v>
      </c>
      <c r="AG107" s="56">
        <f t="shared" si="72"/>
        <v>0</v>
      </c>
      <c r="AH107" s="56">
        <f t="shared" si="72"/>
        <v>0</v>
      </c>
      <c r="AI107" s="56">
        <f t="shared" si="72"/>
        <v>0</v>
      </c>
      <c r="AJ107" s="56">
        <f t="shared" si="72"/>
        <v>0</v>
      </c>
      <c r="AK107" s="56">
        <f t="shared" si="72"/>
        <v>0</v>
      </c>
      <c r="AL107" s="56">
        <f t="shared" si="72"/>
        <v>0</v>
      </c>
      <c r="AM107" s="56">
        <f t="shared" si="72"/>
        <v>0</v>
      </c>
      <c r="AN107" s="56">
        <f t="shared" si="72"/>
        <v>0</v>
      </c>
      <c r="AO107" s="56">
        <f t="shared" si="72"/>
        <v>0</v>
      </c>
      <c r="AP107" s="56">
        <f t="shared" si="72"/>
        <v>0</v>
      </c>
      <c r="AQ107" s="56">
        <f t="shared" si="72"/>
        <v>0</v>
      </c>
      <c r="AR107" s="56">
        <f t="shared" si="72"/>
        <v>0</v>
      </c>
      <c r="AS107" s="56">
        <f t="shared" si="72"/>
        <v>0</v>
      </c>
      <c r="AT107" s="56">
        <f t="shared" si="72"/>
        <v>0</v>
      </c>
      <c r="AU107" s="56">
        <f t="shared" si="72"/>
        <v>0</v>
      </c>
      <c r="AV107" s="56">
        <f t="shared" si="72"/>
        <v>0</v>
      </c>
      <c r="AW107" s="56">
        <f t="shared" si="72"/>
        <v>0</v>
      </c>
      <c r="AX107" s="56">
        <f t="shared" si="72"/>
        <v>0</v>
      </c>
      <c r="AY107" s="56">
        <f t="shared" si="72"/>
        <v>0</v>
      </c>
      <c r="AZ107" s="56">
        <f t="shared" si="72"/>
        <v>0</v>
      </c>
      <c r="BA107" s="56">
        <f t="shared" si="72"/>
        <v>0</v>
      </c>
    </row>
    <row r="108" spans="2:53" x14ac:dyDescent="0.2">
      <c r="B108" s="57" t="s">
        <v>3</v>
      </c>
      <c r="C108" s="65" t="s">
        <v>75</v>
      </c>
      <c r="D108" s="44"/>
      <c r="E108" s="44"/>
      <c r="F108" s="44"/>
      <c r="G108" s="6"/>
      <c r="H108" s="6"/>
      <c r="I108" s="6"/>
      <c r="J108" s="44"/>
      <c r="K108" s="44"/>
      <c r="L108" s="44"/>
      <c r="M108" s="44"/>
      <c r="N108" s="44"/>
      <c r="O108" s="56"/>
      <c r="P108" s="56"/>
      <c r="Q108" s="56"/>
      <c r="R108" s="56"/>
      <c r="S108" s="56"/>
      <c r="T108" s="56">
        <v>0</v>
      </c>
      <c r="U108" s="56">
        <f t="shared" ref="U108:BA108" si="73">+$C$9*T105</f>
        <v>0</v>
      </c>
      <c r="V108" s="56">
        <f t="shared" si="73"/>
        <v>0</v>
      </c>
      <c r="W108" s="56">
        <f t="shared" si="73"/>
        <v>0</v>
      </c>
      <c r="X108" s="56">
        <f t="shared" si="73"/>
        <v>0</v>
      </c>
      <c r="Y108" s="56">
        <f t="shared" si="73"/>
        <v>0</v>
      </c>
      <c r="Z108" s="56">
        <f t="shared" si="73"/>
        <v>0</v>
      </c>
      <c r="AA108" s="56">
        <f t="shared" si="73"/>
        <v>0</v>
      </c>
      <c r="AB108" s="56">
        <f t="shared" si="73"/>
        <v>0</v>
      </c>
      <c r="AC108" s="56">
        <f t="shared" si="73"/>
        <v>0</v>
      </c>
      <c r="AD108" s="56">
        <f t="shared" si="73"/>
        <v>0</v>
      </c>
      <c r="AE108" s="56">
        <f t="shared" si="73"/>
        <v>0</v>
      </c>
      <c r="AF108" s="56">
        <f t="shared" si="73"/>
        <v>0</v>
      </c>
      <c r="AG108" s="56">
        <f t="shared" si="73"/>
        <v>0</v>
      </c>
      <c r="AH108" s="56">
        <f t="shared" si="73"/>
        <v>0</v>
      </c>
      <c r="AI108" s="56">
        <f t="shared" si="73"/>
        <v>0</v>
      </c>
      <c r="AJ108" s="56">
        <f t="shared" si="73"/>
        <v>0</v>
      </c>
      <c r="AK108" s="56">
        <f t="shared" si="73"/>
        <v>0</v>
      </c>
      <c r="AL108" s="56">
        <f t="shared" si="73"/>
        <v>0</v>
      </c>
      <c r="AM108" s="56">
        <f t="shared" si="73"/>
        <v>0</v>
      </c>
      <c r="AN108" s="56">
        <f t="shared" si="73"/>
        <v>0</v>
      </c>
      <c r="AO108" s="56">
        <f t="shared" si="73"/>
        <v>0</v>
      </c>
      <c r="AP108" s="56">
        <f t="shared" si="73"/>
        <v>0</v>
      </c>
      <c r="AQ108" s="56">
        <f t="shared" si="73"/>
        <v>0</v>
      </c>
      <c r="AR108" s="56">
        <f t="shared" si="73"/>
        <v>0</v>
      </c>
      <c r="AS108" s="56">
        <f t="shared" si="73"/>
        <v>0</v>
      </c>
      <c r="AT108" s="56">
        <f t="shared" si="73"/>
        <v>0</v>
      </c>
      <c r="AU108" s="56">
        <f t="shared" si="73"/>
        <v>0</v>
      </c>
      <c r="AV108" s="56">
        <f t="shared" si="73"/>
        <v>0</v>
      </c>
      <c r="AW108" s="56">
        <f t="shared" si="73"/>
        <v>0</v>
      </c>
      <c r="AX108" s="56">
        <f t="shared" si="73"/>
        <v>0</v>
      </c>
      <c r="AY108" s="56">
        <f t="shared" si="73"/>
        <v>0</v>
      </c>
      <c r="AZ108" s="56">
        <f t="shared" si="73"/>
        <v>0</v>
      </c>
      <c r="BA108" s="56">
        <f t="shared" si="73"/>
        <v>0</v>
      </c>
    </row>
    <row r="109" spans="2:53" x14ac:dyDescent="0.2">
      <c r="B109" s="57"/>
      <c r="D109" s="44"/>
      <c r="E109" s="44"/>
      <c r="F109" s="44"/>
      <c r="G109" s="44"/>
      <c r="H109" s="44"/>
      <c r="I109" s="44"/>
      <c r="J109" s="44"/>
      <c r="K109" s="44"/>
      <c r="L109" s="44"/>
      <c r="M109" s="44"/>
      <c r="N109" s="44"/>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row>
    <row r="110" spans="2:53" x14ac:dyDescent="0.2">
      <c r="B110" s="46" t="s">
        <v>62</v>
      </c>
      <c r="C110" s="65" t="s">
        <v>75</v>
      </c>
      <c r="D110" s="44"/>
      <c r="E110" s="44"/>
      <c r="F110" s="44"/>
      <c r="G110" s="6"/>
      <c r="H110" s="6"/>
      <c r="I110" s="6"/>
      <c r="J110" s="6"/>
      <c r="K110" s="44"/>
      <c r="L110" s="44"/>
      <c r="M110" s="44"/>
      <c r="N110" s="44"/>
      <c r="O110" s="56"/>
      <c r="P110" s="56"/>
      <c r="Q110" s="56"/>
      <c r="R110" s="56"/>
      <c r="S110" s="56"/>
      <c r="T110" s="56"/>
      <c r="U110" s="56">
        <f>U18</f>
        <v>0</v>
      </c>
      <c r="V110" s="56">
        <f t="shared" ref="V110:BA110" si="74">+U110-V112</f>
        <v>0</v>
      </c>
      <c r="W110" s="56">
        <f t="shared" si="74"/>
        <v>0</v>
      </c>
      <c r="X110" s="56">
        <f t="shared" si="74"/>
        <v>0</v>
      </c>
      <c r="Y110" s="56">
        <f t="shared" si="74"/>
        <v>0</v>
      </c>
      <c r="Z110" s="56">
        <f t="shared" si="74"/>
        <v>0</v>
      </c>
      <c r="AA110" s="56">
        <f t="shared" si="74"/>
        <v>0</v>
      </c>
      <c r="AB110" s="56">
        <f t="shared" si="74"/>
        <v>0</v>
      </c>
      <c r="AC110" s="56">
        <f t="shared" si="74"/>
        <v>0</v>
      </c>
      <c r="AD110" s="56">
        <f t="shared" si="74"/>
        <v>0</v>
      </c>
      <c r="AE110" s="56">
        <f t="shared" si="74"/>
        <v>0</v>
      </c>
      <c r="AF110" s="56">
        <f t="shared" si="74"/>
        <v>0</v>
      </c>
      <c r="AG110" s="56">
        <f t="shared" si="74"/>
        <v>0</v>
      </c>
      <c r="AH110" s="56">
        <f t="shared" si="74"/>
        <v>0</v>
      </c>
      <c r="AI110" s="56">
        <f t="shared" si="74"/>
        <v>0</v>
      </c>
      <c r="AJ110" s="56">
        <f t="shared" si="74"/>
        <v>0</v>
      </c>
      <c r="AK110" s="56">
        <f t="shared" si="74"/>
        <v>0</v>
      </c>
      <c r="AL110" s="56">
        <f t="shared" si="74"/>
        <v>0</v>
      </c>
      <c r="AM110" s="56">
        <f t="shared" si="74"/>
        <v>0</v>
      </c>
      <c r="AN110" s="56">
        <f t="shared" si="74"/>
        <v>0</v>
      </c>
      <c r="AO110" s="56">
        <f t="shared" si="74"/>
        <v>0</v>
      </c>
      <c r="AP110" s="56">
        <f t="shared" si="74"/>
        <v>0</v>
      </c>
      <c r="AQ110" s="56">
        <f t="shared" si="74"/>
        <v>0</v>
      </c>
      <c r="AR110" s="56">
        <f t="shared" si="74"/>
        <v>0</v>
      </c>
      <c r="AS110" s="56">
        <f t="shared" si="74"/>
        <v>0</v>
      </c>
      <c r="AT110" s="56">
        <f t="shared" si="74"/>
        <v>0</v>
      </c>
      <c r="AU110" s="56">
        <f t="shared" si="74"/>
        <v>0</v>
      </c>
      <c r="AV110" s="56">
        <f t="shared" si="74"/>
        <v>0</v>
      </c>
      <c r="AW110" s="56">
        <f t="shared" si="74"/>
        <v>0</v>
      </c>
      <c r="AX110" s="56">
        <f t="shared" si="74"/>
        <v>0</v>
      </c>
      <c r="AY110" s="56">
        <f t="shared" si="74"/>
        <v>0</v>
      </c>
      <c r="AZ110" s="56">
        <f t="shared" si="74"/>
        <v>0</v>
      </c>
      <c r="BA110" s="56">
        <f t="shared" si="74"/>
        <v>0</v>
      </c>
    </row>
    <row r="111" spans="2:53" x14ac:dyDescent="0.2">
      <c r="B111" s="57" t="s">
        <v>29</v>
      </c>
      <c r="C111" s="64">
        <f>+U110/((1-(1/(1+$C$9)^$C$8))/$C$9)</f>
        <v>0</v>
      </c>
      <c r="D111" s="44"/>
      <c r="E111" s="44"/>
      <c r="F111" s="44"/>
      <c r="G111" s="6"/>
      <c r="H111" s="6"/>
      <c r="I111" s="6"/>
      <c r="J111" s="6"/>
      <c r="K111" s="44"/>
      <c r="L111" s="44"/>
      <c r="M111" s="44"/>
      <c r="N111" s="44"/>
      <c r="O111" s="56"/>
      <c r="P111" s="56"/>
      <c r="Q111" s="56"/>
      <c r="R111" s="56"/>
      <c r="S111" s="56"/>
      <c r="T111" s="56"/>
      <c r="U111" s="56">
        <v>0</v>
      </c>
      <c r="V111" s="56">
        <f>+IF(U110&lt;0.01,0,$C$111)</f>
        <v>0</v>
      </c>
      <c r="W111" s="56">
        <f t="shared" ref="W111:BA111" si="75">+IF(V110&lt;0.01,0,$C$111)</f>
        <v>0</v>
      </c>
      <c r="X111" s="56">
        <f t="shared" si="75"/>
        <v>0</v>
      </c>
      <c r="Y111" s="56">
        <f t="shared" si="75"/>
        <v>0</v>
      </c>
      <c r="Z111" s="56">
        <f t="shared" si="75"/>
        <v>0</v>
      </c>
      <c r="AA111" s="56">
        <f t="shared" si="75"/>
        <v>0</v>
      </c>
      <c r="AB111" s="56">
        <f t="shared" si="75"/>
        <v>0</v>
      </c>
      <c r="AC111" s="56">
        <f t="shared" si="75"/>
        <v>0</v>
      </c>
      <c r="AD111" s="56">
        <f t="shared" si="75"/>
        <v>0</v>
      </c>
      <c r="AE111" s="56">
        <f t="shared" si="75"/>
        <v>0</v>
      </c>
      <c r="AF111" s="56">
        <f t="shared" si="75"/>
        <v>0</v>
      </c>
      <c r="AG111" s="56">
        <f t="shared" si="75"/>
        <v>0</v>
      </c>
      <c r="AH111" s="56">
        <f t="shared" si="75"/>
        <v>0</v>
      </c>
      <c r="AI111" s="56">
        <f t="shared" si="75"/>
        <v>0</v>
      </c>
      <c r="AJ111" s="56">
        <f t="shared" si="75"/>
        <v>0</v>
      </c>
      <c r="AK111" s="56">
        <f t="shared" si="75"/>
        <v>0</v>
      </c>
      <c r="AL111" s="56">
        <f t="shared" si="75"/>
        <v>0</v>
      </c>
      <c r="AM111" s="56">
        <f t="shared" si="75"/>
        <v>0</v>
      </c>
      <c r="AN111" s="56">
        <f t="shared" si="75"/>
        <v>0</v>
      </c>
      <c r="AO111" s="56">
        <f t="shared" si="75"/>
        <v>0</v>
      </c>
      <c r="AP111" s="56">
        <f t="shared" si="75"/>
        <v>0</v>
      </c>
      <c r="AQ111" s="56">
        <f t="shared" si="75"/>
        <v>0</v>
      </c>
      <c r="AR111" s="56">
        <f t="shared" si="75"/>
        <v>0</v>
      </c>
      <c r="AS111" s="56">
        <f t="shared" si="75"/>
        <v>0</v>
      </c>
      <c r="AT111" s="56">
        <f t="shared" si="75"/>
        <v>0</v>
      </c>
      <c r="AU111" s="56">
        <f t="shared" si="75"/>
        <v>0</v>
      </c>
      <c r="AV111" s="56">
        <f t="shared" si="75"/>
        <v>0</v>
      </c>
      <c r="AW111" s="56">
        <f t="shared" si="75"/>
        <v>0</v>
      </c>
      <c r="AX111" s="56">
        <f t="shared" si="75"/>
        <v>0</v>
      </c>
      <c r="AY111" s="56">
        <f t="shared" si="75"/>
        <v>0</v>
      </c>
      <c r="AZ111" s="56">
        <f t="shared" si="75"/>
        <v>0</v>
      </c>
      <c r="BA111" s="56">
        <f t="shared" si="75"/>
        <v>0</v>
      </c>
    </row>
    <row r="112" spans="2:53" x14ac:dyDescent="0.2">
      <c r="B112" s="57" t="s">
        <v>30</v>
      </c>
      <c r="C112" s="65" t="s">
        <v>75</v>
      </c>
      <c r="D112" s="44"/>
      <c r="E112" s="44"/>
      <c r="F112" s="44"/>
      <c r="G112" s="6"/>
      <c r="H112" s="6"/>
      <c r="I112" s="6"/>
      <c r="J112" s="6"/>
      <c r="K112" s="44"/>
      <c r="L112" s="44"/>
      <c r="M112" s="44"/>
      <c r="N112" s="44"/>
      <c r="O112" s="56"/>
      <c r="P112" s="56"/>
      <c r="Q112" s="56"/>
      <c r="R112" s="56"/>
      <c r="S112" s="56"/>
      <c r="T112" s="56"/>
      <c r="U112" s="56">
        <v>0</v>
      </c>
      <c r="V112" s="56">
        <f t="shared" ref="V112:BA112" si="76">+V111-V113</f>
        <v>0</v>
      </c>
      <c r="W112" s="56">
        <f t="shared" si="76"/>
        <v>0</v>
      </c>
      <c r="X112" s="56">
        <f t="shared" si="76"/>
        <v>0</v>
      </c>
      <c r="Y112" s="56">
        <f t="shared" si="76"/>
        <v>0</v>
      </c>
      <c r="Z112" s="56">
        <f t="shared" si="76"/>
        <v>0</v>
      </c>
      <c r="AA112" s="56">
        <f t="shared" si="76"/>
        <v>0</v>
      </c>
      <c r="AB112" s="56">
        <f t="shared" si="76"/>
        <v>0</v>
      </c>
      <c r="AC112" s="56">
        <f t="shared" si="76"/>
        <v>0</v>
      </c>
      <c r="AD112" s="56">
        <f t="shared" si="76"/>
        <v>0</v>
      </c>
      <c r="AE112" s="56">
        <f t="shared" si="76"/>
        <v>0</v>
      </c>
      <c r="AF112" s="56">
        <f t="shared" si="76"/>
        <v>0</v>
      </c>
      <c r="AG112" s="56">
        <f t="shared" si="76"/>
        <v>0</v>
      </c>
      <c r="AH112" s="56">
        <f t="shared" si="76"/>
        <v>0</v>
      </c>
      <c r="AI112" s="56">
        <f t="shared" si="76"/>
        <v>0</v>
      </c>
      <c r="AJ112" s="56">
        <f t="shared" si="76"/>
        <v>0</v>
      </c>
      <c r="AK112" s="56">
        <f t="shared" si="76"/>
        <v>0</v>
      </c>
      <c r="AL112" s="56">
        <f t="shared" si="76"/>
        <v>0</v>
      </c>
      <c r="AM112" s="56">
        <f t="shared" si="76"/>
        <v>0</v>
      </c>
      <c r="AN112" s="56">
        <f t="shared" si="76"/>
        <v>0</v>
      </c>
      <c r="AO112" s="56">
        <f t="shared" si="76"/>
        <v>0</v>
      </c>
      <c r="AP112" s="56">
        <f t="shared" si="76"/>
        <v>0</v>
      </c>
      <c r="AQ112" s="56">
        <f t="shared" si="76"/>
        <v>0</v>
      </c>
      <c r="AR112" s="56">
        <f t="shared" si="76"/>
        <v>0</v>
      </c>
      <c r="AS112" s="56">
        <f t="shared" si="76"/>
        <v>0</v>
      </c>
      <c r="AT112" s="56">
        <f t="shared" si="76"/>
        <v>0</v>
      </c>
      <c r="AU112" s="56">
        <f t="shared" si="76"/>
        <v>0</v>
      </c>
      <c r="AV112" s="56">
        <f t="shared" si="76"/>
        <v>0</v>
      </c>
      <c r="AW112" s="56">
        <f t="shared" si="76"/>
        <v>0</v>
      </c>
      <c r="AX112" s="56">
        <f t="shared" si="76"/>
        <v>0</v>
      </c>
      <c r="AY112" s="56">
        <f t="shared" si="76"/>
        <v>0</v>
      </c>
      <c r="AZ112" s="56">
        <f t="shared" si="76"/>
        <v>0</v>
      </c>
      <c r="BA112" s="56">
        <f t="shared" si="76"/>
        <v>0</v>
      </c>
    </row>
    <row r="113" spans="2:53" x14ac:dyDescent="0.2">
      <c r="B113" s="57" t="s">
        <v>3</v>
      </c>
      <c r="C113" s="65" t="s">
        <v>75</v>
      </c>
      <c r="D113" s="44"/>
      <c r="E113" s="44"/>
      <c r="F113" s="44"/>
      <c r="G113" s="6"/>
      <c r="H113" s="6"/>
      <c r="I113" s="6"/>
      <c r="J113" s="6"/>
      <c r="K113" s="44"/>
      <c r="L113" s="44"/>
      <c r="M113" s="44"/>
      <c r="N113" s="44"/>
      <c r="O113" s="56"/>
      <c r="P113" s="56"/>
      <c r="Q113" s="56"/>
      <c r="R113" s="56"/>
      <c r="S113" s="56"/>
      <c r="T113" s="56"/>
      <c r="U113" s="56">
        <v>0</v>
      </c>
      <c r="V113" s="56">
        <f t="shared" ref="V113:BA113" si="77">+$C$9*U110</f>
        <v>0</v>
      </c>
      <c r="W113" s="56">
        <f t="shared" si="77"/>
        <v>0</v>
      </c>
      <c r="X113" s="56">
        <f t="shared" si="77"/>
        <v>0</v>
      </c>
      <c r="Y113" s="56">
        <f t="shared" si="77"/>
        <v>0</v>
      </c>
      <c r="Z113" s="56">
        <f t="shared" si="77"/>
        <v>0</v>
      </c>
      <c r="AA113" s="56">
        <f t="shared" si="77"/>
        <v>0</v>
      </c>
      <c r="AB113" s="56">
        <f t="shared" si="77"/>
        <v>0</v>
      </c>
      <c r="AC113" s="56">
        <f t="shared" si="77"/>
        <v>0</v>
      </c>
      <c r="AD113" s="56">
        <f t="shared" si="77"/>
        <v>0</v>
      </c>
      <c r="AE113" s="56">
        <f t="shared" si="77"/>
        <v>0</v>
      </c>
      <c r="AF113" s="56">
        <f t="shared" si="77"/>
        <v>0</v>
      </c>
      <c r="AG113" s="56">
        <f t="shared" si="77"/>
        <v>0</v>
      </c>
      <c r="AH113" s="56">
        <f t="shared" si="77"/>
        <v>0</v>
      </c>
      <c r="AI113" s="56">
        <f t="shared" si="77"/>
        <v>0</v>
      </c>
      <c r="AJ113" s="56">
        <f t="shared" si="77"/>
        <v>0</v>
      </c>
      <c r="AK113" s="56">
        <f t="shared" si="77"/>
        <v>0</v>
      </c>
      <c r="AL113" s="56">
        <f t="shared" si="77"/>
        <v>0</v>
      </c>
      <c r="AM113" s="56">
        <f t="shared" si="77"/>
        <v>0</v>
      </c>
      <c r="AN113" s="56">
        <f t="shared" si="77"/>
        <v>0</v>
      </c>
      <c r="AO113" s="56">
        <f t="shared" si="77"/>
        <v>0</v>
      </c>
      <c r="AP113" s="56">
        <f t="shared" si="77"/>
        <v>0</v>
      </c>
      <c r="AQ113" s="56">
        <f t="shared" si="77"/>
        <v>0</v>
      </c>
      <c r="AR113" s="56">
        <f t="shared" si="77"/>
        <v>0</v>
      </c>
      <c r="AS113" s="56">
        <f t="shared" si="77"/>
        <v>0</v>
      </c>
      <c r="AT113" s="56">
        <f t="shared" si="77"/>
        <v>0</v>
      </c>
      <c r="AU113" s="56">
        <f t="shared" si="77"/>
        <v>0</v>
      </c>
      <c r="AV113" s="56">
        <f t="shared" si="77"/>
        <v>0</v>
      </c>
      <c r="AW113" s="56">
        <f t="shared" si="77"/>
        <v>0</v>
      </c>
      <c r="AX113" s="56">
        <f t="shared" si="77"/>
        <v>0</v>
      </c>
      <c r="AY113" s="56">
        <f t="shared" si="77"/>
        <v>0</v>
      </c>
      <c r="AZ113" s="56">
        <f t="shared" si="77"/>
        <v>0</v>
      </c>
      <c r="BA113" s="56">
        <f t="shared" si="77"/>
        <v>0</v>
      </c>
    </row>
    <row r="114" spans="2:53" x14ac:dyDescent="0.2">
      <c r="B114" s="57"/>
      <c r="D114" s="44"/>
      <c r="E114" s="44"/>
      <c r="F114" s="44"/>
      <c r="G114" s="6"/>
      <c r="H114" s="6"/>
      <c r="I114" s="6"/>
      <c r="J114" s="6"/>
      <c r="K114" s="44"/>
      <c r="L114" s="44"/>
      <c r="M114" s="44"/>
      <c r="N114" s="44"/>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row>
    <row r="115" spans="2:53" x14ac:dyDescent="0.2">
      <c r="B115" s="46" t="s">
        <v>63</v>
      </c>
      <c r="C115" s="65" t="s">
        <v>75</v>
      </c>
      <c r="D115" s="44"/>
      <c r="E115" s="44"/>
      <c r="F115" s="44"/>
      <c r="G115" s="6"/>
      <c r="H115" s="6"/>
      <c r="I115" s="6"/>
      <c r="J115" s="6"/>
      <c r="K115" s="6"/>
      <c r="L115" s="44"/>
      <c r="M115" s="44"/>
      <c r="N115" s="44"/>
      <c r="O115" s="56"/>
      <c r="P115" s="56"/>
      <c r="Q115" s="56"/>
      <c r="R115" s="56"/>
      <c r="S115" s="56"/>
      <c r="T115" s="56"/>
      <c r="U115" s="56"/>
      <c r="V115" s="56">
        <f>V18</f>
        <v>0</v>
      </c>
      <c r="W115" s="56">
        <f t="shared" ref="W115:BA115" si="78">+V115-W117</f>
        <v>0</v>
      </c>
      <c r="X115" s="56">
        <f t="shared" si="78"/>
        <v>0</v>
      </c>
      <c r="Y115" s="56">
        <f t="shared" si="78"/>
        <v>0</v>
      </c>
      <c r="Z115" s="56">
        <f t="shared" si="78"/>
        <v>0</v>
      </c>
      <c r="AA115" s="56">
        <f t="shared" si="78"/>
        <v>0</v>
      </c>
      <c r="AB115" s="56">
        <f t="shared" si="78"/>
        <v>0</v>
      </c>
      <c r="AC115" s="56">
        <f t="shared" si="78"/>
        <v>0</v>
      </c>
      <c r="AD115" s="56">
        <f t="shared" si="78"/>
        <v>0</v>
      </c>
      <c r="AE115" s="56">
        <f t="shared" si="78"/>
        <v>0</v>
      </c>
      <c r="AF115" s="56">
        <f t="shared" si="78"/>
        <v>0</v>
      </c>
      <c r="AG115" s="56">
        <f t="shared" si="78"/>
        <v>0</v>
      </c>
      <c r="AH115" s="56">
        <f t="shared" si="78"/>
        <v>0</v>
      </c>
      <c r="AI115" s="56">
        <f t="shared" si="78"/>
        <v>0</v>
      </c>
      <c r="AJ115" s="56">
        <f t="shared" si="78"/>
        <v>0</v>
      </c>
      <c r="AK115" s="56">
        <f t="shared" si="78"/>
        <v>0</v>
      </c>
      <c r="AL115" s="56">
        <f t="shared" si="78"/>
        <v>0</v>
      </c>
      <c r="AM115" s="56">
        <f t="shared" si="78"/>
        <v>0</v>
      </c>
      <c r="AN115" s="56">
        <f t="shared" si="78"/>
        <v>0</v>
      </c>
      <c r="AO115" s="56">
        <f t="shared" si="78"/>
        <v>0</v>
      </c>
      <c r="AP115" s="56">
        <f t="shared" si="78"/>
        <v>0</v>
      </c>
      <c r="AQ115" s="56">
        <f t="shared" si="78"/>
        <v>0</v>
      </c>
      <c r="AR115" s="56">
        <f t="shared" si="78"/>
        <v>0</v>
      </c>
      <c r="AS115" s="56">
        <f t="shared" si="78"/>
        <v>0</v>
      </c>
      <c r="AT115" s="56">
        <f t="shared" si="78"/>
        <v>0</v>
      </c>
      <c r="AU115" s="56">
        <f t="shared" si="78"/>
        <v>0</v>
      </c>
      <c r="AV115" s="56">
        <f t="shared" si="78"/>
        <v>0</v>
      </c>
      <c r="AW115" s="56">
        <f t="shared" si="78"/>
        <v>0</v>
      </c>
      <c r="AX115" s="56">
        <f t="shared" si="78"/>
        <v>0</v>
      </c>
      <c r="AY115" s="56">
        <f t="shared" si="78"/>
        <v>0</v>
      </c>
      <c r="AZ115" s="56">
        <f t="shared" si="78"/>
        <v>0</v>
      </c>
      <c r="BA115" s="56">
        <f t="shared" si="78"/>
        <v>0</v>
      </c>
    </row>
    <row r="116" spans="2:53" x14ac:dyDescent="0.2">
      <c r="B116" s="57" t="s">
        <v>29</v>
      </c>
      <c r="C116" s="64">
        <f>+V115/((1-(1/(1+$C$9)^$C$8))/$C$9)</f>
        <v>0</v>
      </c>
      <c r="D116" s="44"/>
      <c r="E116" s="44"/>
      <c r="F116" s="44"/>
      <c r="G116" s="6"/>
      <c r="H116" s="6"/>
      <c r="I116" s="6"/>
      <c r="J116" s="6"/>
      <c r="K116" s="6"/>
      <c r="L116" s="44"/>
      <c r="M116" s="44"/>
      <c r="N116" s="44"/>
      <c r="O116" s="56"/>
      <c r="P116" s="56"/>
      <c r="Q116" s="56"/>
      <c r="R116" s="56"/>
      <c r="S116" s="56"/>
      <c r="T116" s="56"/>
      <c r="U116" s="56"/>
      <c r="V116" s="56">
        <v>0</v>
      </c>
      <c r="W116" s="56">
        <f>+IF(V115&lt;0.01,0,$C$116)</f>
        <v>0</v>
      </c>
      <c r="X116" s="56">
        <f t="shared" ref="X116:BA116" si="79">+IF(W115&lt;0.01,0,$C$116)</f>
        <v>0</v>
      </c>
      <c r="Y116" s="56">
        <f t="shared" si="79"/>
        <v>0</v>
      </c>
      <c r="Z116" s="56">
        <f t="shared" si="79"/>
        <v>0</v>
      </c>
      <c r="AA116" s="56">
        <f t="shared" si="79"/>
        <v>0</v>
      </c>
      <c r="AB116" s="56">
        <f t="shared" si="79"/>
        <v>0</v>
      </c>
      <c r="AC116" s="56">
        <f t="shared" si="79"/>
        <v>0</v>
      </c>
      <c r="AD116" s="56">
        <f t="shared" si="79"/>
        <v>0</v>
      </c>
      <c r="AE116" s="56">
        <f t="shared" si="79"/>
        <v>0</v>
      </c>
      <c r="AF116" s="56">
        <f t="shared" si="79"/>
        <v>0</v>
      </c>
      <c r="AG116" s="56">
        <f t="shared" si="79"/>
        <v>0</v>
      </c>
      <c r="AH116" s="56">
        <f t="shared" si="79"/>
        <v>0</v>
      </c>
      <c r="AI116" s="56">
        <f t="shared" si="79"/>
        <v>0</v>
      </c>
      <c r="AJ116" s="56">
        <f t="shared" si="79"/>
        <v>0</v>
      </c>
      <c r="AK116" s="56">
        <f t="shared" si="79"/>
        <v>0</v>
      </c>
      <c r="AL116" s="56">
        <f t="shared" si="79"/>
        <v>0</v>
      </c>
      <c r="AM116" s="56">
        <f t="shared" si="79"/>
        <v>0</v>
      </c>
      <c r="AN116" s="56">
        <f t="shared" si="79"/>
        <v>0</v>
      </c>
      <c r="AO116" s="56">
        <f t="shared" si="79"/>
        <v>0</v>
      </c>
      <c r="AP116" s="56">
        <f t="shared" si="79"/>
        <v>0</v>
      </c>
      <c r="AQ116" s="56">
        <f t="shared" si="79"/>
        <v>0</v>
      </c>
      <c r="AR116" s="56">
        <f t="shared" si="79"/>
        <v>0</v>
      </c>
      <c r="AS116" s="56">
        <f t="shared" si="79"/>
        <v>0</v>
      </c>
      <c r="AT116" s="56">
        <f t="shared" si="79"/>
        <v>0</v>
      </c>
      <c r="AU116" s="56">
        <f t="shared" si="79"/>
        <v>0</v>
      </c>
      <c r="AV116" s="56">
        <f t="shared" si="79"/>
        <v>0</v>
      </c>
      <c r="AW116" s="56">
        <f t="shared" si="79"/>
        <v>0</v>
      </c>
      <c r="AX116" s="56">
        <f t="shared" si="79"/>
        <v>0</v>
      </c>
      <c r="AY116" s="56">
        <f t="shared" si="79"/>
        <v>0</v>
      </c>
      <c r="AZ116" s="56">
        <f t="shared" si="79"/>
        <v>0</v>
      </c>
      <c r="BA116" s="56">
        <f t="shared" si="79"/>
        <v>0</v>
      </c>
    </row>
    <row r="117" spans="2:53" x14ac:dyDescent="0.2">
      <c r="B117" s="57" t="s">
        <v>30</v>
      </c>
      <c r="C117" s="65" t="s">
        <v>75</v>
      </c>
      <c r="D117" s="44"/>
      <c r="E117" s="44"/>
      <c r="F117" s="44"/>
      <c r="G117" s="6"/>
      <c r="H117" s="6"/>
      <c r="I117" s="6"/>
      <c r="J117" s="6"/>
      <c r="K117" s="6"/>
      <c r="L117" s="44"/>
      <c r="M117" s="44"/>
      <c r="N117" s="44"/>
      <c r="O117" s="56"/>
      <c r="P117" s="56"/>
      <c r="Q117" s="56"/>
      <c r="R117" s="56"/>
      <c r="S117" s="56"/>
      <c r="T117" s="56"/>
      <c r="U117" s="56"/>
      <c r="V117" s="56">
        <v>0</v>
      </c>
      <c r="W117" s="56">
        <f t="shared" ref="W117:BA117" si="80">+W116-W118</f>
        <v>0</v>
      </c>
      <c r="X117" s="56">
        <f t="shared" si="80"/>
        <v>0</v>
      </c>
      <c r="Y117" s="56">
        <f t="shared" si="80"/>
        <v>0</v>
      </c>
      <c r="Z117" s="56">
        <f t="shared" si="80"/>
        <v>0</v>
      </c>
      <c r="AA117" s="56">
        <f t="shared" si="80"/>
        <v>0</v>
      </c>
      <c r="AB117" s="56">
        <f t="shared" si="80"/>
        <v>0</v>
      </c>
      <c r="AC117" s="56">
        <f t="shared" si="80"/>
        <v>0</v>
      </c>
      <c r="AD117" s="56">
        <f t="shared" si="80"/>
        <v>0</v>
      </c>
      <c r="AE117" s="56">
        <f t="shared" si="80"/>
        <v>0</v>
      </c>
      <c r="AF117" s="56">
        <f t="shared" si="80"/>
        <v>0</v>
      </c>
      <c r="AG117" s="56">
        <f t="shared" si="80"/>
        <v>0</v>
      </c>
      <c r="AH117" s="56">
        <f t="shared" si="80"/>
        <v>0</v>
      </c>
      <c r="AI117" s="56">
        <f t="shared" si="80"/>
        <v>0</v>
      </c>
      <c r="AJ117" s="56">
        <f t="shared" si="80"/>
        <v>0</v>
      </c>
      <c r="AK117" s="56">
        <f t="shared" si="80"/>
        <v>0</v>
      </c>
      <c r="AL117" s="56">
        <f t="shared" si="80"/>
        <v>0</v>
      </c>
      <c r="AM117" s="56">
        <f t="shared" si="80"/>
        <v>0</v>
      </c>
      <c r="AN117" s="56">
        <f t="shared" si="80"/>
        <v>0</v>
      </c>
      <c r="AO117" s="56">
        <f t="shared" si="80"/>
        <v>0</v>
      </c>
      <c r="AP117" s="56">
        <f t="shared" si="80"/>
        <v>0</v>
      </c>
      <c r="AQ117" s="56">
        <f t="shared" si="80"/>
        <v>0</v>
      </c>
      <c r="AR117" s="56">
        <f t="shared" si="80"/>
        <v>0</v>
      </c>
      <c r="AS117" s="56">
        <f t="shared" si="80"/>
        <v>0</v>
      </c>
      <c r="AT117" s="56">
        <f t="shared" si="80"/>
        <v>0</v>
      </c>
      <c r="AU117" s="56">
        <f t="shared" si="80"/>
        <v>0</v>
      </c>
      <c r="AV117" s="56">
        <f t="shared" si="80"/>
        <v>0</v>
      </c>
      <c r="AW117" s="56">
        <f t="shared" si="80"/>
        <v>0</v>
      </c>
      <c r="AX117" s="56">
        <f t="shared" si="80"/>
        <v>0</v>
      </c>
      <c r="AY117" s="56">
        <f t="shared" si="80"/>
        <v>0</v>
      </c>
      <c r="AZ117" s="56">
        <f t="shared" si="80"/>
        <v>0</v>
      </c>
      <c r="BA117" s="56">
        <f t="shared" si="80"/>
        <v>0</v>
      </c>
    </row>
    <row r="118" spans="2:53" x14ac:dyDescent="0.2">
      <c r="B118" s="57" t="s">
        <v>3</v>
      </c>
      <c r="C118" s="65" t="s">
        <v>75</v>
      </c>
      <c r="D118" s="44"/>
      <c r="E118" s="44"/>
      <c r="F118" s="44"/>
      <c r="G118" s="6"/>
      <c r="H118" s="6"/>
      <c r="I118" s="6"/>
      <c r="J118" s="6"/>
      <c r="K118" s="6"/>
      <c r="L118" s="44"/>
      <c r="M118" s="44"/>
      <c r="N118" s="44"/>
      <c r="O118" s="56"/>
      <c r="P118" s="56"/>
      <c r="Q118" s="56"/>
      <c r="R118" s="56"/>
      <c r="S118" s="56"/>
      <c r="T118" s="56"/>
      <c r="U118" s="56"/>
      <c r="V118" s="56">
        <v>0</v>
      </c>
      <c r="W118" s="56">
        <f t="shared" ref="W118:BA118" si="81">+$C$9*V115</f>
        <v>0</v>
      </c>
      <c r="X118" s="56">
        <f t="shared" si="81"/>
        <v>0</v>
      </c>
      <c r="Y118" s="56">
        <f t="shared" si="81"/>
        <v>0</v>
      </c>
      <c r="Z118" s="56">
        <f t="shared" si="81"/>
        <v>0</v>
      </c>
      <c r="AA118" s="56">
        <f t="shared" si="81"/>
        <v>0</v>
      </c>
      <c r="AB118" s="56">
        <f t="shared" si="81"/>
        <v>0</v>
      </c>
      <c r="AC118" s="56">
        <f t="shared" si="81"/>
        <v>0</v>
      </c>
      <c r="AD118" s="56">
        <f t="shared" si="81"/>
        <v>0</v>
      </c>
      <c r="AE118" s="56">
        <f t="shared" si="81"/>
        <v>0</v>
      </c>
      <c r="AF118" s="56">
        <f t="shared" si="81"/>
        <v>0</v>
      </c>
      <c r="AG118" s="56">
        <f t="shared" si="81"/>
        <v>0</v>
      </c>
      <c r="AH118" s="56">
        <f t="shared" si="81"/>
        <v>0</v>
      </c>
      <c r="AI118" s="56">
        <f t="shared" si="81"/>
        <v>0</v>
      </c>
      <c r="AJ118" s="56">
        <f t="shared" si="81"/>
        <v>0</v>
      </c>
      <c r="AK118" s="56">
        <f t="shared" si="81"/>
        <v>0</v>
      </c>
      <c r="AL118" s="56">
        <f t="shared" si="81"/>
        <v>0</v>
      </c>
      <c r="AM118" s="56">
        <f t="shared" si="81"/>
        <v>0</v>
      </c>
      <c r="AN118" s="56">
        <f t="shared" si="81"/>
        <v>0</v>
      </c>
      <c r="AO118" s="56">
        <f t="shared" si="81"/>
        <v>0</v>
      </c>
      <c r="AP118" s="56">
        <f t="shared" si="81"/>
        <v>0</v>
      </c>
      <c r="AQ118" s="56">
        <f t="shared" si="81"/>
        <v>0</v>
      </c>
      <c r="AR118" s="56">
        <f t="shared" si="81"/>
        <v>0</v>
      </c>
      <c r="AS118" s="56">
        <f t="shared" si="81"/>
        <v>0</v>
      </c>
      <c r="AT118" s="56">
        <f t="shared" si="81"/>
        <v>0</v>
      </c>
      <c r="AU118" s="56">
        <f t="shared" si="81"/>
        <v>0</v>
      </c>
      <c r="AV118" s="56">
        <f t="shared" si="81"/>
        <v>0</v>
      </c>
      <c r="AW118" s="56">
        <f t="shared" si="81"/>
        <v>0</v>
      </c>
      <c r="AX118" s="56">
        <f t="shared" si="81"/>
        <v>0</v>
      </c>
      <c r="AY118" s="56">
        <f t="shared" si="81"/>
        <v>0</v>
      </c>
      <c r="AZ118" s="56">
        <f t="shared" si="81"/>
        <v>0</v>
      </c>
      <c r="BA118" s="56">
        <f t="shared" si="81"/>
        <v>0</v>
      </c>
    </row>
    <row r="119" spans="2:53" x14ac:dyDescent="0.2">
      <c r="B119" s="57"/>
      <c r="D119" s="44"/>
      <c r="E119" s="44"/>
      <c r="F119" s="44"/>
      <c r="G119" s="44"/>
      <c r="H119" s="44"/>
      <c r="I119" s="44"/>
      <c r="J119" s="6"/>
      <c r="K119" s="6"/>
      <c r="L119" s="44"/>
      <c r="M119" s="44"/>
      <c r="N119" s="44"/>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row>
    <row r="120" spans="2:53" x14ac:dyDescent="0.2">
      <c r="B120" s="46" t="s">
        <v>64</v>
      </c>
      <c r="C120" s="65" t="s">
        <v>75</v>
      </c>
      <c r="D120" s="44"/>
      <c r="E120" s="44"/>
      <c r="F120" s="44"/>
      <c r="G120" s="6"/>
      <c r="H120" s="6"/>
      <c r="I120" s="6"/>
      <c r="J120" s="6"/>
      <c r="K120" s="6"/>
      <c r="L120" s="6"/>
      <c r="M120" s="44"/>
      <c r="N120" s="44"/>
      <c r="O120" s="56"/>
      <c r="P120" s="56"/>
      <c r="Q120" s="56"/>
      <c r="R120" s="56"/>
      <c r="S120" s="56"/>
      <c r="T120" s="56"/>
      <c r="U120" s="56"/>
      <c r="V120" s="56"/>
      <c r="W120" s="56">
        <f>W18</f>
        <v>0</v>
      </c>
      <c r="X120" s="56">
        <f t="shared" ref="X120:BA120" si="82">+W120-X122</f>
        <v>0</v>
      </c>
      <c r="Y120" s="56">
        <f t="shared" si="82"/>
        <v>0</v>
      </c>
      <c r="Z120" s="56">
        <f t="shared" si="82"/>
        <v>0</v>
      </c>
      <c r="AA120" s="56">
        <f t="shared" si="82"/>
        <v>0</v>
      </c>
      <c r="AB120" s="56">
        <f t="shared" si="82"/>
        <v>0</v>
      </c>
      <c r="AC120" s="56">
        <f t="shared" si="82"/>
        <v>0</v>
      </c>
      <c r="AD120" s="56">
        <f t="shared" si="82"/>
        <v>0</v>
      </c>
      <c r="AE120" s="56">
        <f t="shared" si="82"/>
        <v>0</v>
      </c>
      <c r="AF120" s="56">
        <f t="shared" si="82"/>
        <v>0</v>
      </c>
      <c r="AG120" s="56">
        <f t="shared" si="82"/>
        <v>0</v>
      </c>
      <c r="AH120" s="56">
        <f t="shared" si="82"/>
        <v>0</v>
      </c>
      <c r="AI120" s="56">
        <f t="shared" si="82"/>
        <v>0</v>
      </c>
      <c r="AJ120" s="56">
        <f t="shared" si="82"/>
        <v>0</v>
      </c>
      <c r="AK120" s="56">
        <f t="shared" si="82"/>
        <v>0</v>
      </c>
      <c r="AL120" s="56">
        <f t="shared" si="82"/>
        <v>0</v>
      </c>
      <c r="AM120" s="56">
        <f t="shared" si="82"/>
        <v>0</v>
      </c>
      <c r="AN120" s="56">
        <f t="shared" si="82"/>
        <v>0</v>
      </c>
      <c r="AO120" s="56">
        <f t="shared" si="82"/>
        <v>0</v>
      </c>
      <c r="AP120" s="56">
        <f t="shared" si="82"/>
        <v>0</v>
      </c>
      <c r="AQ120" s="56">
        <f t="shared" si="82"/>
        <v>0</v>
      </c>
      <c r="AR120" s="56">
        <f t="shared" si="82"/>
        <v>0</v>
      </c>
      <c r="AS120" s="56">
        <f t="shared" si="82"/>
        <v>0</v>
      </c>
      <c r="AT120" s="56">
        <f t="shared" si="82"/>
        <v>0</v>
      </c>
      <c r="AU120" s="56">
        <f t="shared" si="82"/>
        <v>0</v>
      </c>
      <c r="AV120" s="56">
        <f t="shared" si="82"/>
        <v>0</v>
      </c>
      <c r="AW120" s="56">
        <f t="shared" si="82"/>
        <v>0</v>
      </c>
      <c r="AX120" s="56">
        <f t="shared" si="82"/>
        <v>0</v>
      </c>
      <c r="AY120" s="56">
        <f t="shared" si="82"/>
        <v>0</v>
      </c>
      <c r="AZ120" s="56">
        <f t="shared" si="82"/>
        <v>0</v>
      </c>
      <c r="BA120" s="56">
        <f t="shared" si="82"/>
        <v>0</v>
      </c>
    </row>
    <row r="121" spans="2:53" x14ac:dyDescent="0.2">
      <c r="B121" s="57" t="s">
        <v>29</v>
      </c>
      <c r="C121" s="64">
        <f>+W120/((1-(1/(1+$C$9)^$C$8))/$C$9)</f>
        <v>0</v>
      </c>
      <c r="D121" s="44"/>
      <c r="E121" s="44"/>
      <c r="F121" s="44"/>
      <c r="G121" s="6"/>
      <c r="H121" s="6"/>
      <c r="I121" s="6"/>
      <c r="J121" s="6"/>
      <c r="K121" s="6"/>
      <c r="L121" s="6"/>
      <c r="M121" s="44"/>
      <c r="N121" s="44"/>
      <c r="O121" s="56"/>
      <c r="P121" s="56"/>
      <c r="Q121" s="56"/>
      <c r="R121" s="56"/>
      <c r="S121" s="56"/>
      <c r="T121" s="56"/>
      <c r="U121" s="56"/>
      <c r="V121" s="56"/>
      <c r="W121" s="56">
        <v>0</v>
      </c>
      <c r="X121" s="56">
        <f>+IF(W120&lt;0.01,0,$C$121)</f>
        <v>0</v>
      </c>
      <c r="Y121" s="56">
        <f t="shared" ref="Y121:BA121" si="83">+IF(X120&lt;0.01,0,$C$121)</f>
        <v>0</v>
      </c>
      <c r="Z121" s="56">
        <f t="shared" si="83"/>
        <v>0</v>
      </c>
      <c r="AA121" s="56">
        <f t="shared" si="83"/>
        <v>0</v>
      </c>
      <c r="AB121" s="56">
        <f t="shared" si="83"/>
        <v>0</v>
      </c>
      <c r="AC121" s="56">
        <f t="shared" si="83"/>
        <v>0</v>
      </c>
      <c r="AD121" s="56">
        <f t="shared" si="83"/>
        <v>0</v>
      </c>
      <c r="AE121" s="56">
        <f t="shared" si="83"/>
        <v>0</v>
      </c>
      <c r="AF121" s="56">
        <f t="shared" si="83"/>
        <v>0</v>
      </c>
      <c r="AG121" s="56">
        <f t="shared" si="83"/>
        <v>0</v>
      </c>
      <c r="AH121" s="56">
        <f t="shared" si="83"/>
        <v>0</v>
      </c>
      <c r="AI121" s="56">
        <f t="shared" si="83"/>
        <v>0</v>
      </c>
      <c r="AJ121" s="56">
        <f t="shared" si="83"/>
        <v>0</v>
      </c>
      <c r="AK121" s="56">
        <f t="shared" si="83"/>
        <v>0</v>
      </c>
      <c r="AL121" s="56">
        <f t="shared" si="83"/>
        <v>0</v>
      </c>
      <c r="AM121" s="56">
        <f t="shared" si="83"/>
        <v>0</v>
      </c>
      <c r="AN121" s="56">
        <f t="shared" si="83"/>
        <v>0</v>
      </c>
      <c r="AO121" s="56">
        <f t="shared" si="83"/>
        <v>0</v>
      </c>
      <c r="AP121" s="56">
        <f t="shared" si="83"/>
        <v>0</v>
      </c>
      <c r="AQ121" s="56">
        <f t="shared" si="83"/>
        <v>0</v>
      </c>
      <c r="AR121" s="56">
        <f t="shared" si="83"/>
        <v>0</v>
      </c>
      <c r="AS121" s="56">
        <f t="shared" si="83"/>
        <v>0</v>
      </c>
      <c r="AT121" s="56">
        <f t="shared" si="83"/>
        <v>0</v>
      </c>
      <c r="AU121" s="56">
        <f t="shared" si="83"/>
        <v>0</v>
      </c>
      <c r="AV121" s="56">
        <f t="shared" si="83"/>
        <v>0</v>
      </c>
      <c r="AW121" s="56">
        <f t="shared" si="83"/>
        <v>0</v>
      </c>
      <c r="AX121" s="56">
        <f t="shared" si="83"/>
        <v>0</v>
      </c>
      <c r="AY121" s="56">
        <f t="shared" si="83"/>
        <v>0</v>
      </c>
      <c r="AZ121" s="56">
        <f t="shared" si="83"/>
        <v>0</v>
      </c>
      <c r="BA121" s="56">
        <f t="shared" si="83"/>
        <v>0</v>
      </c>
    </row>
    <row r="122" spans="2:53" x14ac:dyDescent="0.2">
      <c r="B122" s="57" t="s">
        <v>30</v>
      </c>
      <c r="C122" s="65" t="s">
        <v>75</v>
      </c>
      <c r="D122" s="44"/>
      <c r="E122" s="44"/>
      <c r="F122" s="44"/>
      <c r="G122" s="6"/>
      <c r="H122" s="6"/>
      <c r="I122" s="6"/>
      <c r="J122" s="6"/>
      <c r="K122" s="6"/>
      <c r="L122" s="6"/>
      <c r="M122" s="44"/>
      <c r="N122" s="44"/>
      <c r="O122" s="56"/>
      <c r="P122" s="56"/>
      <c r="Q122" s="56"/>
      <c r="R122" s="56"/>
      <c r="S122" s="56"/>
      <c r="T122" s="56"/>
      <c r="U122" s="56"/>
      <c r="V122" s="56"/>
      <c r="W122" s="56">
        <v>0</v>
      </c>
      <c r="X122" s="56">
        <f t="shared" ref="X122:BA122" si="84">+X121-X123</f>
        <v>0</v>
      </c>
      <c r="Y122" s="56">
        <f t="shared" si="84"/>
        <v>0</v>
      </c>
      <c r="Z122" s="56">
        <f t="shared" si="84"/>
        <v>0</v>
      </c>
      <c r="AA122" s="56">
        <f t="shared" si="84"/>
        <v>0</v>
      </c>
      <c r="AB122" s="56">
        <f t="shared" si="84"/>
        <v>0</v>
      </c>
      <c r="AC122" s="56">
        <f t="shared" si="84"/>
        <v>0</v>
      </c>
      <c r="AD122" s="56">
        <f t="shared" si="84"/>
        <v>0</v>
      </c>
      <c r="AE122" s="56">
        <f t="shared" si="84"/>
        <v>0</v>
      </c>
      <c r="AF122" s="56">
        <f t="shared" si="84"/>
        <v>0</v>
      </c>
      <c r="AG122" s="56">
        <f t="shared" si="84"/>
        <v>0</v>
      </c>
      <c r="AH122" s="56">
        <f t="shared" si="84"/>
        <v>0</v>
      </c>
      <c r="AI122" s="56">
        <f t="shared" si="84"/>
        <v>0</v>
      </c>
      <c r="AJ122" s="56">
        <f t="shared" si="84"/>
        <v>0</v>
      </c>
      <c r="AK122" s="56">
        <f t="shared" si="84"/>
        <v>0</v>
      </c>
      <c r="AL122" s="56">
        <f t="shared" si="84"/>
        <v>0</v>
      </c>
      <c r="AM122" s="56">
        <f t="shared" si="84"/>
        <v>0</v>
      </c>
      <c r="AN122" s="56">
        <f t="shared" si="84"/>
        <v>0</v>
      </c>
      <c r="AO122" s="56">
        <f t="shared" si="84"/>
        <v>0</v>
      </c>
      <c r="AP122" s="56">
        <f t="shared" si="84"/>
        <v>0</v>
      </c>
      <c r="AQ122" s="56">
        <f t="shared" si="84"/>
        <v>0</v>
      </c>
      <c r="AR122" s="56">
        <f t="shared" si="84"/>
        <v>0</v>
      </c>
      <c r="AS122" s="56">
        <f t="shared" si="84"/>
        <v>0</v>
      </c>
      <c r="AT122" s="56">
        <f t="shared" si="84"/>
        <v>0</v>
      </c>
      <c r="AU122" s="56">
        <f t="shared" si="84"/>
        <v>0</v>
      </c>
      <c r="AV122" s="56">
        <f t="shared" si="84"/>
        <v>0</v>
      </c>
      <c r="AW122" s="56">
        <f t="shared" si="84"/>
        <v>0</v>
      </c>
      <c r="AX122" s="56">
        <f t="shared" si="84"/>
        <v>0</v>
      </c>
      <c r="AY122" s="56">
        <f t="shared" si="84"/>
        <v>0</v>
      </c>
      <c r="AZ122" s="56">
        <f t="shared" si="84"/>
        <v>0</v>
      </c>
      <c r="BA122" s="56">
        <f t="shared" si="84"/>
        <v>0</v>
      </c>
    </row>
    <row r="123" spans="2:53" x14ac:dyDescent="0.2">
      <c r="B123" s="57" t="s">
        <v>3</v>
      </c>
      <c r="C123" s="65" t="s">
        <v>75</v>
      </c>
      <c r="D123" s="44"/>
      <c r="E123" s="44"/>
      <c r="F123" s="44"/>
      <c r="G123" s="6"/>
      <c r="H123" s="6"/>
      <c r="I123" s="6"/>
      <c r="J123" s="6"/>
      <c r="K123" s="6"/>
      <c r="L123" s="6"/>
      <c r="M123" s="44"/>
      <c r="N123" s="44"/>
      <c r="O123" s="56"/>
      <c r="P123" s="56"/>
      <c r="Q123" s="56"/>
      <c r="R123" s="56"/>
      <c r="S123" s="56"/>
      <c r="T123" s="56"/>
      <c r="U123" s="56"/>
      <c r="V123" s="56"/>
      <c r="W123" s="56">
        <v>0</v>
      </c>
      <c r="X123" s="56">
        <f t="shared" ref="X123:BA123" si="85">+$C$9*W120</f>
        <v>0</v>
      </c>
      <c r="Y123" s="56">
        <f t="shared" si="85"/>
        <v>0</v>
      </c>
      <c r="Z123" s="56">
        <f t="shared" si="85"/>
        <v>0</v>
      </c>
      <c r="AA123" s="56">
        <f t="shared" si="85"/>
        <v>0</v>
      </c>
      <c r="AB123" s="56">
        <f t="shared" si="85"/>
        <v>0</v>
      </c>
      <c r="AC123" s="56">
        <f t="shared" si="85"/>
        <v>0</v>
      </c>
      <c r="AD123" s="56">
        <f t="shared" si="85"/>
        <v>0</v>
      </c>
      <c r="AE123" s="56">
        <f t="shared" si="85"/>
        <v>0</v>
      </c>
      <c r="AF123" s="56">
        <f t="shared" si="85"/>
        <v>0</v>
      </c>
      <c r="AG123" s="56">
        <f t="shared" si="85"/>
        <v>0</v>
      </c>
      <c r="AH123" s="56">
        <f t="shared" si="85"/>
        <v>0</v>
      </c>
      <c r="AI123" s="56">
        <f t="shared" si="85"/>
        <v>0</v>
      </c>
      <c r="AJ123" s="56">
        <f t="shared" si="85"/>
        <v>0</v>
      </c>
      <c r="AK123" s="56">
        <f t="shared" si="85"/>
        <v>0</v>
      </c>
      <c r="AL123" s="56">
        <f t="shared" si="85"/>
        <v>0</v>
      </c>
      <c r="AM123" s="56">
        <f t="shared" si="85"/>
        <v>0</v>
      </c>
      <c r="AN123" s="56">
        <f t="shared" si="85"/>
        <v>0</v>
      </c>
      <c r="AO123" s="56">
        <f t="shared" si="85"/>
        <v>0</v>
      </c>
      <c r="AP123" s="56">
        <f t="shared" si="85"/>
        <v>0</v>
      </c>
      <c r="AQ123" s="56">
        <f t="shared" si="85"/>
        <v>0</v>
      </c>
      <c r="AR123" s="56">
        <f t="shared" si="85"/>
        <v>0</v>
      </c>
      <c r="AS123" s="56">
        <f t="shared" si="85"/>
        <v>0</v>
      </c>
      <c r="AT123" s="56">
        <f t="shared" si="85"/>
        <v>0</v>
      </c>
      <c r="AU123" s="56">
        <f t="shared" si="85"/>
        <v>0</v>
      </c>
      <c r="AV123" s="56">
        <f t="shared" si="85"/>
        <v>0</v>
      </c>
      <c r="AW123" s="56">
        <f t="shared" si="85"/>
        <v>0</v>
      </c>
      <c r="AX123" s="56">
        <f t="shared" si="85"/>
        <v>0</v>
      </c>
      <c r="AY123" s="56">
        <f t="shared" si="85"/>
        <v>0</v>
      </c>
      <c r="AZ123" s="56">
        <f t="shared" si="85"/>
        <v>0</v>
      </c>
      <c r="BA123" s="56">
        <f t="shared" si="85"/>
        <v>0</v>
      </c>
    </row>
    <row r="124" spans="2:53" x14ac:dyDescent="0.2">
      <c r="B124" s="57"/>
      <c r="C124" s="65"/>
      <c r="D124" s="44"/>
      <c r="E124" s="44"/>
      <c r="F124" s="44"/>
      <c r="G124" s="6"/>
      <c r="H124" s="6"/>
      <c r="I124" s="6"/>
      <c r="J124" s="6"/>
      <c r="K124" s="6"/>
      <c r="L124" s="6"/>
      <c r="M124" s="44"/>
      <c r="N124" s="44"/>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row>
    <row r="125" spans="2:53" x14ac:dyDescent="0.2">
      <c r="B125" s="46" t="s">
        <v>65</v>
      </c>
      <c r="C125" s="65" t="s">
        <v>75</v>
      </c>
      <c r="D125" s="44"/>
      <c r="E125" s="44"/>
      <c r="F125" s="44"/>
      <c r="G125" s="44"/>
      <c r="H125" s="44"/>
      <c r="I125" s="44"/>
      <c r="J125" s="44"/>
      <c r="K125" s="44"/>
      <c r="L125" s="44"/>
      <c r="M125" s="44"/>
      <c r="N125" s="44"/>
      <c r="O125" s="56"/>
      <c r="P125" s="56"/>
      <c r="Q125" s="56"/>
      <c r="R125" s="56"/>
      <c r="S125" s="56"/>
      <c r="T125" s="56"/>
      <c r="U125" s="56"/>
      <c r="V125" s="56"/>
      <c r="W125" s="56"/>
      <c r="X125" s="56">
        <f>X18</f>
        <v>0</v>
      </c>
      <c r="Y125" s="56">
        <f t="shared" ref="Y125:BA125" si="86">+X125-Y127</f>
        <v>0</v>
      </c>
      <c r="Z125" s="56">
        <f t="shared" si="86"/>
        <v>0</v>
      </c>
      <c r="AA125" s="56">
        <f t="shared" si="86"/>
        <v>0</v>
      </c>
      <c r="AB125" s="56">
        <f t="shared" si="86"/>
        <v>0</v>
      </c>
      <c r="AC125" s="56">
        <f t="shared" si="86"/>
        <v>0</v>
      </c>
      <c r="AD125" s="56">
        <f t="shared" si="86"/>
        <v>0</v>
      </c>
      <c r="AE125" s="56">
        <f t="shared" si="86"/>
        <v>0</v>
      </c>
      <c r="AF125" s="56">
        <f t="shared" si="86"/>
        <v>0</v>
      </c>
      <c r="AG125" s="56">
        <f t="shared" si="86"/>
        <v>0</v>
      </c>
      <c r="AH125" s="56">
        <f t="shared" si="86"/>
        <v>0</v>
      </c>
      <c r="AI125" s="56">
        <f t="shared" si="86"/>
        <v>0</v>
      </c>
      <c r="AJ125" s="56">
        <f t="shared" si="86"/>
        <v>0</v>
      </c>
      <c r="AK125" s="56">
        <f t="shared" si="86"/>
        <v>0</v>
      </c>
      <c r="AL125" s="56">
        <f t="shared" si="86"/>
        <v>0</v>
      </c>
      <c r="AM125" s="56">
        <f t="shared" si="86"/>
        <v>0</v>
      </c>
      <c r="AN125" s="56">
        <f t="shared" si="86"/>
        <v>0</v>
      </c>
      <c r="AO125" s="56">
        <f t="shared" si="86"/>
        <v>0</v>
      </c>
      <c r="AP125" s="56">
        <f t="shared" si="86"/>
        <v>0</v>
      </c>
      <c r="AQ125" s="56">
        <f t="shared" si="86"/>
        <v>0</v>
      </c>
      <c r="AR125" s="56">
        <f t="shared" si="86"/>
        <v>0</v>
      </c>
      <c r="AS125" s="56">
        <f t="shared" si="86"/>
        <v>0</v>
      </c>
      <c r="AT125" s="56">
        <f t="shared" si="86"/>
        <v>0</v>
      </c>
      <c r="AU125" s="56">
        <f t="shared" si="86"/>
        <v>0</v>
      </c>
      <c r="AV125" s="56">
        <f t="shared" si="86"/>
        <v>0</v>
      </c>
      <c r="AW125" s="56">
        <f t="shared" si="86"/>
        <v>0</v>
      </c>
      <c r="AX125" s="56">
        <f t="shared" si="86"/>
        <v>0</v>
      </c>
      <c r="AY125" s="56">
        <f t="shared" si="86"/>
        <v>0</v>
      </c>
      <c r="AZ125" s="56">
        <f t="shared" si="86"/>
        <v>0</v>
      </c>
      <c r="BA125" s="56">
        <f t="shared" si="86"/>
        <v>0</v>
      </c>
    </row>
    <row r="126" spans="2:53" x14ac:dyDescent="0.2">
      <c r="B126" s="57" t="s">
        <v>29</v>
      </c>
      <c r="C126" s="64">
        <f>+X125/((1-(1/(1+$C$9)^$C$8))/$C$9)</f>
        <v>0</v>
      </c>
      <c r="D126" s="44"/>
      <c r="E126" s="44"/>
      <c r="F126" s="44"/>
      <c r="G126" s="44"/>
      <c r="H126" s="44"/>
      <c r="I126" s="44"/>
      <c r="J126" s="44"/>
      <c r="K126" s="44"/>
      <c r="L126" s="44"/>
      <c r="M126" s="44"/>
      <c r="N126" s="44"/>
      <c r="O126" s="56"/>
      <c r="P126" s="56"/>
      <c r="Q126" s="56"/>
      <c r="R126" s="56"/>
      <c r="S126" s="56"/>
      <c r="T126" s="56"/>
      <c r="U126" s="56"/>
      <c r="V126" s="56"/>
      <c r="W126" s="56"/>
      <c r="X126" s="56">
        <v>0</v>
      </c>
      <c r="Y126" s="56">
        <f>+IF(X125&lt;0.01,0,$C$126)</f>
        <v>0</v>
      </c>
      <c r="Z126" s="56">
        <f t="shared" ref="Z126:BA126" si="87">+IF(Y125&lt;0.01,0,$C$126)</f>
        <v>0</v>
      </c>
      <c r="AA126" s="56">
        <f t="shared" si="87"/>
        <v>0</v>
      </c>
      <c r="AB126" s="56">
        <f t="shared" si="87"/>
        <v>0</v>
      </c>
      <c r="AC126" s="56">
        <f t="shared" si="87"/>
        <v>0</v>
      </c>
      <c r="AD126" s="56">
        <f t="shared" si="87"/>
        <v>0</v>
      </c>
      <c r="AE126" s="56">
        <f t="shared" si="87"/>
        <v>0</v>
      </c>
      <c r="AF126" s="56">
        <f t="shared" si="87"/>
        <v>0</v>
      </c>
      <c r="AG126" s="56">
        <f t="shared" si="87"/>
        <v>0</v>
      </c>
      <c r="AH126" s="56">
        <f t="shared" si="87"/>
        <v>0</v>
      </c>
      <c r="AI126" s="56">
        <f t="shared" si="87"/>
        <v>0</v>
      </c>
      <c r="AJ126" s="56">
        <f t="shared" si="87"/>
        <v>0</v>
      </c>
      <c r="AK126" s="56">
        <f t="shared" si="87"/>
        <v>0</v>
      </c>
      <c r="AL126" s="56">
        <f t="shared" si="87"/>
        <v>0</v>
      </c>
      <c r="AM126" s="56">
        <f t="shared" si="87"/>
        <v>0</v>
      </c>
      <c r="AN126" s="56">
        <f t="shared" si="87"/>
        <v>0</v>
      </c>
      <c r="AO126" s="56">
        <f t="shared" si="87"/>
        <v>0</v>
      </c>
      <c r="AP126" s="56">
        <f t="shared" si="87"/>
        <v>0</v>
      </c>
      <c r="AQ126" s="56">
        <f t="shared" si="87"/>
        <v>0</v>
      </c>
      <c r="AR126" s="56">
        <f t="shared" si="87"/>
        <v>0</v>
      </c>
      <c r="AS126" s="56">
        <f t="shared" si="87"/>
        <v>0</v>
      </c>
      <c r="AT126" s="56">
        <f t="shared" si="87"/>
        <v>0</v>
      </c>
      <c r="AU126" s="56">
        <f t="shared" si="87"/>
        <v>0</v>
      </c>
      <c r="AV126" s="56">
        <f t="shared" si="87"/>
        <v>0</v>
      </c>
      <c r="AW126" s="56">
        <f t="shared" si="87"/>
        <v>0</v>
      </c>
      <c r="AX126" s="56">
        <f t="shared" si="87"/>
        <v>0</v>
      </c>
      <c r="AY126" s="56">
        <f t="shared" si="87"/>
        <v>0</v>
      </c>
      <c r="AZ126" s="56">
        <f t="shared" si="87"/>
        <v>0</v>
      </c>
      <c r="BA126" s="56">
        <f t="shared" si="87"/>
        <v>0</v>
      </c>
    </row>
    <row r="127" spans="2:53" x14ac:dyDescent="0.2">
      <c r="B127" s="57" t="s">
        <v>30</v>
      </c>
      <c r="C127" s="65" t="s">
        <v>75</v>
      </c>
      <c r="D127" s="44"/>
      <c r="E127" s="44"/>
      <c r="F127" s="44"/>
      <c r="G127" s="44"/>
      <c r="H127" s="44"/>
      <c r="I127" s="44"/>
      <c r="J127" s="44"/>
      <c r="K127" s="44"/>
      <c r="L127" s="44"/>
      <c r="M127" s="44"/>
      <c r="N127" s="44"/>
      <c r="O127" s="56"/>
      <c r="P127" s="56"/>
      <c r="Q127" s="56"/>
      <c r="R127" s="56"/>
      <c r="S127" s="56"/>
      <c r="T127" s="56"/>
      <c r="U127" s="56"/>
      <c r="V127" s="56"/>
      <c r="W127" s="56"/>
      <c r="X127" s="56">
        <v>0</v>
      </c>
      <c r="Y127" s="56">
        <f t="shared" ref="Y127:BA127" si="88">+Y126-Y128</f>
        <v>0</v>
      </c>
      <c r="Z127" s="56">
        <f t="shared" si="88"/>
        <v>0</v>
      </c>
      <c r="AA127" s="56">
        <f t="shared" si="88"/>
        <v>0</v>
      </c>
      <c r="AB127" s="56">
        <f t="shared" si="88"/>
        <v>0</v>
      </c>
      <c r="AC127" s="56">
        <f t="shared" si="88"/>
        <v>0</v>
      </c>
      <c r="AD127" s="56">
        <f t="shared" si="88"/>
        <v>0</v>
      </c>
      <c r="AE127" s="56">
        <f t="shared" si="88"/>
        <v>0</v>
      </c>
      <c r="AF127" s="56">
        <f t="shared" si="88"/>
        <v>0</v>
      </c>
      <c r="AG127" s="56">
        <f t="shared" si="88"/>
        <v>0</v>
      </c>
      <c r="AH127" s="56">
        <f t="shared" si="88"/>
        <v>0</v>
      </c>
      <c r="AI127" s="56">
        <f t="shared" si="88"/>
        <v>0</v>
      </c>
      <c r="AJ127" s="56">
        <f t="shared" si="88"/>
        <v>0</v>
      </c>
      <c r="AK127" s="56">
        <f t="shared" si="88"/>
        <v>0</v>
      </c>
      <c r="AL127" s="56">
        <f t="shared" si="88"/>
        <v>0</v>
      </c>
      <c r="AM127" s="56">
        <f t="shared" si="88"/>
        <v>0</v>
      </c>
      <c r="AN127" s="56">
        <f t="shared" si="88"/>
        <v>0</v>
      </c>
      <c r="AO127" s="56">
        <f t="shared" si="88"/>
        <v>0</v>
      </c>
      <c r="AP127" s="56">
        <f t="shared" si="88"/>
        <v>0</v>
      </c>
      <c r="AQ127" s="56">
        <f t="shared" si="88"/>
        <v>0</v>
      </c>
      <c r="AR127" s="56">
        <f t="shared" si="88"/>
        <v>0</v>
      </c>
      <c r="AS127" s="56">
        <f t="shared" si="88"/>
        <v>0</v>
      </c>
      <c r="AT127" s="56">
        <f t="shared" si="88"/>
        <v>0</v>
      </c>
      <c r="AU127" s="56">
        <f t="shared" si="88"/>
        <v>0</v>
      </c>
      <c r="AV127" s="56">
        <f t="shared" si="88"/>
        <v>0</v>
      </c>
      <c r="AW127" s="56">
        <f t="shared" si="88"/>
        <v>0</v>
      </c>
      <c r="AX127" s="56">
        <f t="shared" si="88"/>
        <v>0</v>
      </c>
      <c r="AY127" s="56">
        <f t="shared" si="88"/>
        <v>0</v>
      </c>
      <c r="AZ127" s="56">
        <f t="shared" si="88"/>
        <v>0</v>
      </c>
      <c r="BA127" s="56">
        <f t="shared" si="88"/>
        <v>0</v>
      </c>
    </row>
    <row r="128" spans="2:53" x14ac:dyDescent="0.2">
      <c r="B128" s="57" t="s">
        <v>3</v>
      </c>
      <c r="C128" s="65" t="s">
        <v>75</v>
      </c>
      <c r="D128" s="44"/>
      <c r="E128" s="44"/>
      <c r="F128" s="44"/>
      <c r="G128" s="44"/>
      <c r="H128" s="44"/>
      <c r="I128" s="44"/>
      <c r="J128" s="44"/>
      <c r="K128" s="44"/>
      <c r="L128" s="44"/>
      <c r="M128" s="44"/>
      <c r="N128" s="44"/>
      <c r="O128" s="56"/>
      <c r="P128" s="56"/>
      <c r="Q128" s="56"/>
      <c r="R128" s="56"/>
      <c r="S128" s="56"/>
      <c r="T128" s="56"/>
      <c r="U128" s="56"/>
      <c r="V128" s="56"/>
      <c r="W128" s="56"/>
      <c r="X128" s="56">
        <v>0</v>
      </c>
      <c r="Y128" s="56">
        <f t="shared" ref="Y128:BA128" si="89">+$C$9*X125</f>
        <v>0</v>
      </c>
      <c r="Z128" s="56">
        <f t="shared" si="89"/>
        <v>0</v>
      </c>
      <c r="AA128" s="56">
        <f t="shared" si="89"/>
        <v>0</v>
      </c>
      <c r="AB128" s="56">
        <f t="shared" si="89"/>
        <v>0</v>
      </c>
      <c r="AC128" s="56">
        <f t="shared" si="89"/>
        <v>0</v>
      </c>
      <c r="AD128" s="56">
        <f t="shared" si="89"/>
        <v>0</v>
      </c>
      <c r="AE128" s="56">
        <f t="shared" si="89"/>
        <v>0</v>
      </c>
      <c r="AF128" s="56">
        <f t="shared" si="89"/>
        <v>0</v>
      </c>
      <c r="AG128" s="56">
        <f t="shared" si="89"/>
        <v>0</v>
      </c>
      <c r="AH128" s="56">
        <f t="shared" si="89"/>
        <v>0</v>
      </c>
      <c r="AI128" s="56">
        <f t="shared" si="89"/>
        <v>0</v>
      </c>
      <c r="AJ128" s="56">
        <f t="shared" si="89"/>
        <v>0</v>
      </c>
      <c r="AK128" s="56">
        <f t="shared" si="89"/>
        <v>0</v>
      </c>
      <c r="AL128" s="56">
        <f t="shared" si="89"/>
        <v>0</v>
      </c>
      <c r="AM128" s="56">
        <f t="shared" si="89"/>
        <v>0</v>
      </c>
      <c r="AN128" s="56">
        <f t="shared" si="89"/>
        <v>0</v>
      </c>
      <c r="AO128" s="56">
        <f t="shared" si="89"/>
        <v>0</v>
      </c>
      <c r="AP128" s="56">
        <f t="shared" si="89"/>
        <v>0</v>
      </c>
      <c r="AQ128" s="56">
        <f t="shared" si="89"/>
        <v>0</v>
      </c>
      <c r="AR128" s="56">
        <f t="shared" si="89"/>
        <v>0</v>
      </c>
      <c r="AS128" s="56">
        <f t="shared" si="89"/>
        <v>0</v>
      </c>
      <c r="AT128" s="56">
        <f t="shared" si="89"/>
        <v>0</v>
      </c>
      <c r="AU128" s="56">
        <f t="shared" si="89"/>
        <v>0</v>
      </c>
      <c r="AV128" s="56">
        <f t="shared" si="89"/>
        <v>0</v>
      </c>
      <c r="AW128" s="56">
        <f t="shared" si="89"/>
        <v>0</v>
      </c>
      <c r="AX128" s="56">
        <f t="shared" si="89"/>
        <v>0</v>
      </c>
      <c r="AY128" s="56">
        <f t="shared" si="89"/>
        <v>0</v>
      </c>
      <c r="AZ128" s="56">
        <f t="shared" si="89"/>
        <v>0</v>
      </c>
      <c r="BA128" s="56">
        <f t="shared" si="89"/>
        <v>0</v>
      </c>
    </row>
    <row r="129" spans="2:53" x14ac:dyDescent="0.2">
      <c r="B129" s="57"/>
      <c r="D129" s="44"/>
      <c r="E129" s="44"/>
      <c r="F129" s="44"/>
      <c r="G129" s="44"/>
      <c r="H129" s="44"/>
      <c r="I129" s="44"/>
      <c r="J129" s="44"/>
      <c r="K129" s="44"/>
      <c r="L129" s="44"/>
      <c r="M129" s="44"/>
      <c r="N129" s="44"/>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row>
    <row r="130" spans="2:53" x14ac:dyDescent="0.2">
      <c r="B130" s="46" t="s">
        <v>66</v>
      </c>
      <c r="C130" s="65" t="s">
        <v>75</v>
      </c>
      <c r="D130" s="44"/>
      <c r="E130" s="44"/>
      <c r="F130" s="44"/>
      <c r="G130" s="44"/>
      <c r="H130" s="44"/>
      <c r="I130" s="44"/>
      <c r="J130" s="44"/>
      <c r="K130" s="44"/>
      <c r="L130" s="44"/>
      <c r="M130" s="44"/>
      <c r="N130" s="44"/>
      <c r="O130" s="56"/>
      <c r="P130" s="56"/>
      <c r="Q130" s="56"/>
      <c r="R130" s="56"/>
      <c r="S130" s="56"/>
      <c r="T130" s="56"/>
      <c r="U130" s="56"/>
      <c r="V130" s="56"/>
      <c r="W130" s="56"/>
      <c r="X130" s="56"/>
      <c r="Y130" s="56">
        <f>Y18</f>
        <v>0</v>
      </c>
      <c r="Z130" s="56">
        <f t="shared" ref="Z130:BA130" si="90">+Y130-Z132</f>
        <v>0</v>
      </c>
      <c r="AA130" s="56">
        <f t="shared" si="90"/>
        <v>0</v>
      </c>
      <c r="AB130" s="56">
        <f t="shared" si="90"/>
        <v>0</v>
      </c>
      <c r="AC130" s="56">
        <f t="shared" si="90"/>
        <v>0</v>
      </c>
      <c r="AD130" s="56">
        <f t="shared" si="90"/>
        <v>0</v>
      </c>
      <c r="AE130" s="56">
        <f t="shared" si="90"/>
        <v>0</v>
      </c>
      <c r="AF130" s="56">
        <f t="shared" si="90"/>
        <v>0</v>
      </c>
      <c r="AG130" s="56">
        <f t="shared" si="90"/>
        <v>0</v>
      </c>
      <c r="AH130" s="56">
        <f t="shared" si="90"/>
        <v>0</v>
      </c>
      <c r="AI130" s="56">
        <f t="shared" si="90"/>
        <v>0</v>
      </c>
      <c r="AJ130" s="56">
        <f t="shared" si="90"/>
        <v>0</v>
      </c>
      <c r="AK130" s="56">
        <f t="shared" si="90"/>
        <v>0</v>
      </c>
      <c r="AL130" s="56">
        <f t="shared" si="90"/>
        <v>0</v>
      </c>
      <c r="AM130" s="56">
        <f t="shared" si="90"/>
        <v>0</v>
      </c>
      <c r="AN130" s="56">
        <f t="shared" si="90"/>
        <v>0</v>
      </c>
      <c r="AO130" s="56">
        <f t="shared" si="90"/>
        <v>0</v>
      </c>
      <c r="AP130" s="56">
        <f t="shared" si="90"/>
        <v>0</v>
      </c>
      <c r="AQ130" s="56">
        <f t="shared" si="90"/>
        <v>0</v>
      </c>
      <c r="AR130" s="56">
        <f t="shared" si="90"/>
        <v>0</v>
      </c>
      <c r="AS130" s="56">
        <f t="shared" si="90"/>
        <v>0</v>
      </c>
      <c r="AT130" s="56">
        <f t="shared" si="90"/>
        <v>0</v>
      </c>
      <c r="AU130" s="56">
        <f t="shared" si="90"/>
        <v>0</v>
      </c>
      <c r="AV130" s="56">
        <f t="shared" si="90"/>
        <v>0</v>
      </c>
      <c r="AW130" s="56">
        <f t="shared" si="90"/>
        <v>0</v>
      </c>
      <c r="AX130" s="56">
        <f t="shared" si="90"/>
        <v>0</v>
      </c>
      <c r="AY130" s="56">
        <f t="shared" si="90"/>
        <v>0</v>
      </c>
      <c r="AZ130" s="56">
        <f t="shared" si="90"/>
        <v>0</v>
      </c>
      <c r="BA130" s="56">
        <f t="shared" si="90"/>
        <v>0</v>
      </c>
    </row>
    <row r="131" spans="2:53" x14ac:dyDescent="0.2">
      <c r="B131" s="57" t="s">
        <v>29</v>
      </c>
      <c r="C131" s="64">
        <f>+Y130/((1-(1/(1+$C$9)^$C$8))/$C$9)</f>
        <v>0</v>
      </c>
      <c r="D131" s="44"/>
      <c r="E131" s="44"/>
      <c r="F131" s="44"/>
      <c r="G131" s="44"/>
      <c r="H131" s="44"/>
      <c r="I131" s="44"/>
      <c r="J131" s="44"/>
      <c r="K131" s="44"/>
      <c r="L131" s="44"/>
      <c r="M131" s="44"/>
      <c r="N131" s="44"/>
      <c r="O131" s="56"/>
      <c r="P131" s="56"/>
      <c r="Q131" s="56"/>
      <c r="R131" s="56"/>
      <c r="S131" s="56"/>
      <c r="T131" s="56"/>
      <c r="U131" s="56"/>
      <c r="V131" s="56"/>
      <c r="W131" s="56"/>
      <c r="X131" s="56"/>
      <c r="Y131" s="56">
        <v>0</v>
      </c>
      <c r="Z131" s="56">
        <f>+IF(Y130&lt;0.01,0,$C$131)</f>
        <v>0</v>
      </c>
      <c r="AA131" s="56">
        <f t="shared" ref="AA131:BA131" si="91">+IF(Z130&lt;0.01,0,$C$131)</f>
        <v>0</v>
      </c>
      <c r="AB131" s="56">
        <f t="shared" si="91"/>
        <v>0</v>
      </c>
      <c r="AC131" s="56">
        <f t="shared" si="91"/>
        <v>0</v>
      </c>
      <c r="AD131" s="56">
        <f t="shared" si="91"/>
        <v>0</v>
      </c>
      <c r="AE131" s="56">
        <f t="shared" si="91"/>
        <v>0</v>
      </c>
      <c r="AF131" s="56">
        <f t="shared" si="91"/>
        <v>0</v>
      </c>
      <c r="AG131" s="56">
        <f t="shared" si="91"/>
        <v>0</v>
      </c>
      <c r="AH131" s="56">
        <f t="shared" si="91"/>
        <v>0</v>
      </c>
      <c r="AI131" s="56">
        <f t="shared" si="91"/>
        <v>0</v>
      </c>
      <c r="AJ131" s="56">
        <f t="shared" si="91"/>
        <v>0</v>
      </c>
      <c r="AK131" s="56">
        <f t="shared" si="91"/>
        <v>0</v>
      </c>
      <c r="AL131" s="56">
        <f t="shared" si="91"/>
        <v>0</v>
      </c>
      <c r="AM131" s="56">
        <f t="shared" si="91"/>
        <v>0</v>
      </c>
      <c r="AN131" s="56">
        <f t="shared" si="91"/>
        <v>0</v>
      </c>
      <c r="AO131" s="56">
        <f t="shared" si="91"/>
        <v>0</v>
      </c>
      <c r="AP131" s="56">
        <f t="shared" si="91"/>
        <v>0</v>
      </c>
      <c r="AQ131" s="56">
        <f t="shared" si="91"/>
        <v>0</v>
      </c>
      <c r="AR131" s="56">
        <f t="shared" si="91"/>
        <v>0</v>
      </c>
      <c r="AS131" s="56">
        <f t="shared" si="91"/>
        <v>0</v>
      </c>
      <c r="AT131" s="56">
        <f t="shared" si="91"/>
        <v>0</v>
      </c>
      <c r="AU131" s="56">
        <f t="shared" si="91"/>
        <v>0</v>
      </c>
      <c r="AV131" s="56">
        <f t="shared" si="91"/>
        <v>0</v>
      </c>
      <c r="AW131" s="56">
        <f t="shared" si="91"/>
        <v>0</v>
      </c>
      <c r="AX131" s="56">
        <f t="shared" si="91"/>
        <v>0</v>
      </c>
      <c r="AY131" s="56">
        <f t="shared" si="91"/>
        <v>0</v>
      </c>
      <c r="AZ131" s="56">
        <f t="shared" si="91"/>
        <v>0</v>
      </c>
      <c r="BA131" s="56">
        <f t="shared" si="91"/>
        <v>0</v>
      </c>
    </row>
    <row r="132" spans="2:53" x14ac:dyDescent="0.2">
      <c r="B132" s="57" t="s">
        <v>30</v>
      </c>
      <c r="C132" s="65" t="s">
        <v>75</v>
      </c>
      <c r="D132" s="44"/>
      <c r="E132" s="44"/>
      <c r="F132" s="44"/>
      <c r="G132" s="44"/>
      <c r="H132" s="44"/>
      <c r="I132" s="44"/>
      <c r="J132" s="44"/>
      <c r="K132" s="44"/>
      <c r="L132" s="44"/>
      <c r="M132" s="44"/>
      <c r="N132" s="44"/>
      <c r="O132" s="56"/>
      <c r="P132" s="56"/>
      <c r="Q132" s="56"/>
      <c r="R132" s="56"/>
      <c r="S132" s="56"/>
      <c r="T132" s="56"/>
      <c r="U132" s="56"/>
      <c r="V132" s="56"/>
      <c r="W132" s="56"/>
      <c r="X132" s="56"/>
      <c r="Y132" s="56">
        <v>0</v>
      </c>
      <c r="Z132" s="56">
        <f t="shared" ref="Z132:BA132" si="92">+Z131-Z133</f>
        <v>0</v>
      </c>
      <c r="AA132" s="56">
        <f t="shared" si="92"/>
        <v>0</v>
      </c>
      <c r="AB132" s="56">
        <f t="shared" si="92"/>
        <v>0</v>
      </c>
      <c r="AC132" s="56">
        <f t="shared" si="92"/>
        <v>0</v>
      </c>
      <c r="AD132" s="56">
        <f t="shared" si="92"/>
        <v>0</v>
      </c>
      <c r="AE132" s="56">
        <f t="shared" si="92"/>
        <v>0</v>
      </c>
      <c r="AF132" s="56">
        <f t="shared" si="92"/>
        <v>0</v>
      </c>
      <c r="AG132" s="56">
        <f t="shared" si="92"/>
        <v>0</v>
      </c>
      <c r="AH132" s="56">
        <f t="shared" si="92"/>
        <v>0</v>
      </c>
      <c r="AI132" s="56">
        <f t="shared" si="92"/>
        <v>0</v>
      </c>
      <c r="AJ132" s="56">
        <f t="shared" si="92"/>
        <v>0</v>
      </c>
      <c r="AK132" s="56">
        <f t="shared" si="92"/>
        <v>0</v>
      </c>
      <c r="AL132" s="56">
        <f t="shared" si="92"/>
        <v>0</v>
      </c>
      <c r="AM132" s="56">
        <f t="shared" si="92"/>
        <v>0</v>
      </c>
      <c r="AN132" s="56">
        <f t="shared" si="92"/>
        <v>0</v>
      </c>
      <c r="AO132" s="56">
        <f t="shared" si="92"/>
        <v>0</v>
      </c>
      <c r="AP132" s="56">
        <f t="shared" si="92"/>
        <v>0</v>
      </c>
      <c r="AQ132" s="56">
        <f t="shared" si="92"/>
        <v>0</v>
      </c>
      <c r="AR132" s="56">
        <f t="shared" si="92"/>
        <v>0</v>
      </c>
      <c r="AS132" s="56">
        <f t="shared" si="92"/>
        <v>0</v>
      </c>
      <c r="AT132" s="56">
        <f t="shared" si="92"/>
        <v>0</v>
      </c>
      <c r="AU132" s="56">
        <f t="shared" si="92"/>
        <v>0</v>
      </c>
      <c r="AV132" s="56">
        <f t="shared" si="92"/>
        <v>0</v>
      </c>
      <c r="AW132" s="56">
        <f t="shared" si="92"/>
        <v>0</v>
      </c>
      <c r="AX132" s="56">
        <f t="shared" si="92"/>
        <v>0</v>
      </c>
      <c r="AY132" s="56">
        <f t="shared" si="92"/>
        <v>0</v>
      </c>
      <c r="AZ132" s="56">
        <f t="shared" si="92"/>
        <v>0</v>
      </c>
      <c r="BA132" s="56">
        <f t="shared" si="92"/>
        <v>0</v>
      </c>
    </row>
    <row r="133" spans="2:53" x14ac:dyDescent="0.2">
      <c r="B133" s="57" t="s">
        <v>3</v>
      </c>
      <c r="C133" s="65" t="s">
        <v>75</v>
      </c>
      <c r="D133" s="44"/>
      <c r="E133" s="44"/>
      <c r="F133" s="44"/>
      <c r="G133" s="44"/>
      <c r="H133" s="44"/>
      <c r="I133" s="44"/>
      <c r="J133" s="44"/>
      <c r="K133" s="44"/>
      <c r="L133" s="44"/>
      <c r="M133" s="44"/>
      <c r="N133" s="44"/>
      <c r="O133" s="56"/>
      <c r="P133" s="56"/>
      <c r="Q133" s="56"/>
      <c r="R133" s="56"/>
      <c r="S133" s="56"/>
      <c r="T133" s="56"/>
      <c r="U133" s="56"/>
      <c r="V133" s="56"/>
      <c r="W133" s="56"/>
      <c r="X133" s="56"/>
      <c r="Y133" s="56">
        <v>0</v>
      </c>
      <c r="Z133" s="56">
        <f t="shared" ref="Z133:BA133" si="93">+$C$9*Y130</f>
        <v>0</v>
      </c>
      <c r="AA133" s="56">
        <f t="shared" si="93"/>
        <v>0</v>
      </c>
      <c r="AB133" s="56">
        <f t="shared" si="93"/>
        <v>0</v>
      </c>
      <c r="AC133" s="56">
        <f t="shared" si="93"/>
        <v>0</v>
      </c>
      <c r="AD133" s="56">
        <f t="shared" si="93"/>
        <v>0</v>
      </c>
      <c r="AE133" s="56">
        <f t="shared" si="93"/>
        <v>0</v>
      </c>
      <c r="AF133" s="56">
        <f t="shared" si="93"/>
        <v>0</v>
      </c>
      <c r="AG133" s="56">
        <f t="shared" si="93"/>
        <v>0</v>
      </c>
      <c r="AH133" s="56">
        <f t="shared" si="93"/>
        <v>0</v>
      </c>
      <c r="AI133" s="56">
        <f t="shared" si="93"/>
        <v>0</v>
      </c>
      <c r="AJ133" s="56">
        <f t="shared" si="93"/>
        <v>0</v>
      </c>
      <c r="AK133" s="56">
        <f t="shared" si="93"/>
        <v>0</v>
      </c>
      <c r="AL133" s="56">
        <f t="shared" si="93"/>
        <v>0</v>
      </c>
      <c r="AM133" s="56">
        <f t="shared" si="93"/>
        <v>0</v>
      </c>
      <c r="AN133" s="56">
        <f t="shared" si="93"/>
        <v>0</v>
      </c>
      <c r="AO133" s="56">
        <f t="shared" si="93"/>
        <v>0</v>
      </c>
      <c r="AP133" s="56">
        <f t="shared" si="93"/>
        <v>0</v>
      </c>
      <c r="AQ133" s="56">
        <f t="shared" si="93"/>
        <v>0</v>
      </c>
      <c r="AR133" s="56">
        <f t="shared" si="93"/>
        <v>0</v>
      </c>
      <c r="AS133" s="56">
        <f t="shared" si="93"/>
        <v>0</v>
      </c>
      <c r="AT133" s="56">
        <f t="shared" si="93"/>
        <v>0</v>
      </c>
      <c r="AU133" s="56">
        <f t="shared" si="93"/>
        <v>0</v>
      </c>
      <c r="AV133" s="56">
        <f t="shared" si="93"/>
        <v>0</v>
      </c>
      <c r="AW133" s="56">
        <f t="shared" si="93"/>
        <v>0</v>
      </c>
      <c r="AX133" s="56">
        <f t="shared" si="93"/>
        <v>0</v>
      </c>
      <c r="AY133" s="56">
        <f t="shared" si="93"/>
        <v>0</v>
      </c>
      <c r="AZ133" s="56">
        <f t="shared" si="93"/>
        <v>0</v>
      </c>
      <c r="BA133" s="56">
        <f t="shared" si="93"/>
        <v>0</v>
      </c>
    </row>
    <row r="134" spans="2:53" x14ac:dyDescent="0.2">
      <c r="B134" s="57"/>
      <c r="D134" s="44"/>
      <c r="E134" s="44"/>
      <c r="F134" s="44"/>
      <c r="G134" s="44"/>
      <c r="H134" s="44"/>
      <c r="I134" s="44"/>
      <c r="J134" s="44"/>
      <c r="K134" s="44"/>
      <c r="L134" s="44"/>
      <c r="M134" s="44"/>
      <c r="N134" s="44"/>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row>
    <row r="135" spans="2:53" x14ac:dyDescent="0.2">
      <c r="B135" s="46" t="s">
        <v>67</v>
      </c>
      <c r="C135" s="65" t="s">
        <v>75</v>
      </c>
      <c r="D135" s="44"/>
      <c r="E135" s="44"/>
      <c r="F135" s="44"/>
      <c r="G135" s="44"/>
      <c r="H135" s="44"/>
      <c r="I135" s="44"/>
      <c r="J135" s="44"/>
      <c r="K135" s="44"/>
      <c r="L135" s="44"/>
      <c r="M135" s="44"/>
      <c r="N135" s="44"/>
      <c r="O135" s="56"/>
      <c r="P135" s="56"/>
      <c r="Q135" s="56"/>
      <c r="R135" s="56"/>
      <c r="S135" s="56"/>
      <c r="T135" s="56"/>
      <c r="U135" s="56"/>
      <c r="V135" s="56"/>
      <c r="W135" s="56"/>
      <c r="X135" s="56"/>
      <c r="Y135" s="56"/>
      <c r="Z135" s="56">
        <f>Z18</f>
        <v>0</v>
      </c>
      <c r="AA135" s="56">
        <f t="shared" ref="AA135:BA135" si="94">+Z135-AA137</f>
        <v>0</v>
      </c>
      <c r="AB135" s="56">
        <f t="shared" si="94"/>
        <v>0</v>
      </c>
      <c r="AC135" s="56">
        <f t="shared" si="94"/>
        <v>0</v>
      </c>
      <c r="AD135" s="56">
        <f t="shared" si="94"/>
        <v>0</v>
      </c>
      <c r="AE135" s="56">
        <f t="shared" si="94"/>
        <v>0</v>
      </c>
      <c r="AF135" s="56">
        <f t="shared" si="94"/>
        <v>0</v>
      </c>
      <c r="AG135" s="56">
        <f t="shared" si="94"/>
        <v>0</v>
      </c>
      <c r="AH135" s="56">
        <f t="shared" si="94"/>
        <v>0</v>
      </c>
      <c r="AI135" s="56">
        <f t="shared" si="94"/>
        <v>0</v>
      </c>
      <c r="AJ135" s="56">
        <f t="shared" si="94"/>
        <v>0</v>
      </c>
      <c r="AK135" s="56">
        <f t="shared" si="94"/>
        <v>0</v>
      </c>
      <c r="AL135" s="56">
        <f t="shared" si="94"/>
        <v>0</v>
      </c>
      <c r="AM135" s="56">
        <f t="shared" si="94"/>
        <v>0</v>
      </c>
      <c r="AN135" s="56">
        <f t="shared" si="94"/>
        <v>0</v>
      </c>
      <c r="AO135" s="56">
        <f t="shared" si="94"/>
        <v>0</v>
      </c>
      <c r="AP135" s="56">
        <f t="shared" si="94"/>
        <v>0</v>
      </c>
      <c r="AQ135" s="56">
        <f t="shared" si="94"/>
        <v>0</v>
      </c>
      <c r="AR135" s="56">
        <f t="shared" si="94"/>
        <v>0</v>
      </c>
      <c r="AS135" s="56">
        <f t="shared" si="94"/>
        <v>0</v>
      </c>
      <c r="AT135" s="56">
        <f t="shared" si="94"/>
        <v>0</v>
      </c>
      <c r="AU135" s="56">
        <f t="shared" si="94"/>
        <v>0</v>
      </c>
      <c r="AV135" s="56">
        <f t="shared" si="94"/>
        <v>0</v>
      </c>
      <c r="AW135" s="56">
        <f t="shared" si="94"/>
        <v>0</v>
      </c>
      <c r="AX135" s="56">
        <f t="shared" si="94"/>
        <v>0</v>
      </c>
      <c r="AY135" s="56">
        <f t="shared" si="94"/>
        <v>0</v>
      </c>
      <c r="AZ135" s="56">
        <f t="shared" si="94"/>
        <v>0</v>
      </c>
      <c r="BA135" s="56">
        <f t="shared" si="94"/>
        <v>0</v>
      </c>
    </row>
    <row r="136" spans="2:53" x14ac:dyDescent="0.2">
      <c r="B136" s="57" t="s">
        <v>29</v>
      </c>
      <c r="C136" s="64">
        <f>+Z135/((1-(1/(1+$C$9)^$C$8))/$C$9)</f>
        <v>0</v>
      </c>
      <c r="D136" s="44"/>
      <c r="E136" s="44"/>
      <c r="F136" s="44"/>
      <c r="G136" s="44"/>
      <c r="H136" s="44"/>
      <c r="I136" s="44"/>
      <c r="J136" s="44"/>
      <c r="K136" s="44"/>
      <c r="L136" s="44"/>
      <c r="M136" s="44"/>
      <c r="N136" s="44"/>
      <c r="O136" s="56"/>
      <c r="P136" s="56"/>
      <c r="Q136" s="56"/>
      <c r="R136" s="56"/>
      <c r="S136" s="56"/>
      <c r="T136" s="56"/>
      <c r="U136" s="56"/>
      <c r="V136" s="56"/>
      <c r="W136" s="56"/>
      <c r="X136" s="56"/>
      <c r="Y136" s="56"/>
      <c r="Z136" s="56">
        <v>0</v>
      </c>
      <c r="AA136" s="56">
        <f>+IF(Z135&lt;0.01,0,$C$136)</f>
        <v>0</v>
      </c>
      <c r="AB136" s="56">
        <f t="shared" ref="AB136:BA136" si="95">+IF(AA135&lt;0.01,0,$C$136)</f>
        <v>0</v>
      </c>
      <c r="AC136" s="56">
        <f t="shared" si="95"/>
        <v>0</v>
      </c>
      <c r="AD136" s="56">
        <f t="shared" si="95"/>
        <v>0</v>
      </c>
      <c r="AE136" s="56">
        <f t="shared" si="95"/>
        <v>0</v>
      </c>
      <c r="AF136" s="56">
        <f t="shared" si="95"/>
        <v>0</v>
      </c>
      <c r="AG136" s="56">
        <f t="shared" si="95"/>
        <v>0</v>
      </c>
      <c r="AH136" s="56">
        <f t="shared" si="95"/>
        <v>0</v>
      </c>
      <c r="AI136" s="56">
        <f t="shared" si="95"/>
        <v>0</v>
      </c>
      <c r="AJ136" s="56">
        <f t="shared" si="95"/>
        <v>0</v>
      </c>
      <c r="AK136" s="56">
        <f t="shared" si="95"/>
        <v>0</v>
      </c>
      <c r="AL136" s="56">
        <f t="shared" si="95"/>
        <v>0</v>
      </c>
      <c r="AM136" s="56">
        <f t="shared" si="95"/>
        <v>0</v>
      </c>
      <c r="AN136" s="56">
        <f t="shared" si="95"/>
        <v>0</v>
      </c>
      <c r="AO136" s="56">
        <f t="shared" si="95"/>
        <v>0</v>
      </c>
      <c r="AP136" s="56">
        <f t="shared" si="95"/>
        <v>0</v>
      </c>
      <c r="AQ136" s="56">
        <f t="shared" si="95"/>
        <v>0</v>
      </c>
      <c r="AR136" s="56">
        <f t="shared" si="95"/>
        <v>0</v>
      </c>
      <c r="AS136" s="56">
        <f t="shared" si="95"/>
        <v>0</v>
      </c>
      <c r="AT136" s="56">
        <f t="shared" si="95"/>
        <v>0</v>
      </c>
      <c r="AU136" s="56">
        <f t="shared" si="95"/>
        <v>0</v>
      </c>
      <c r="AV136" s="56">
        <f t="shared" si="95"/>
        <v>0</v>
      </c>
      <c r="AW136" s="56">
        <f t="shared" si="95"/>
        <v>0</v>
      </c>
      <c r="AX136" s="56">
        <f t="shared" si="95"/>
        <v>0</v>
      </c>
      <c r="AY136" s="56">
        <f t="shared" si="95"/>
        <v>0</v>
      </c>
      <c r="AZ136" s="56">
        <f t="shared" si="95"/>
        <v>0</v>
      </c>
      <c r="BA136" s="56">
        <f t="shared" si="95"/>
        <v>0</v>
      </c>
    </row>
    <row r="137" spans="2:53" x14ac:dyDescent="0.2">
      <c r="B137" s="57" t="s">
        <v>30</v>
      </c>
      <c r="C137" s="65" t="s">
        <v>75</v>
      </c>
      <c r="D137" s="44"/>
      <c r="E137" s="44"/>
      <c r="F137" s="44"/>
      <c r="G137" s="44"/>
      <c r="H137" s="44"/>
      <c r="I137" s="44"/>
      <c r="J137" s="44"/>
      <c r="K137" s="44"/>
      <c r="L137" s="44"/>
      <c r="M137" s="44"/>
      <c r="N137" s="44"/>
      <c r="O137" s="56"/>
      <c r="P137" s="56"/>
      <c r="Q137" s="56"/>
      <c r="R137" s="56"/>
      <c r="S137" s="56"/>
      <c r="T137" s="56"/>
      <c r="U137" s="56"/>
      <c r="V137" s="56"/>
      <c r="W137" s="56"/>
      <c r="X137" s="56"/>
      <c r="Y137" s="56"/>
      <c r="Z137" s="56">
        <v>0</v>
      </c>
      <c r="AA137" s="56">
        <f t="shared" ref="AA137:BA137" si="96">+AA136-AA138</f>
        <v>0</v>
      </c>
      <c r="AB137" s="56">
        <f t="shared" si="96"/>
        <v>0</v>
      </c>
      <c r="AC137" s="56">
        <f t="shared" si="96"/>
        <v>0</v>
      </c>
      <c r="AD137" s="56">
        <f t="shared" si="96"/>
        <v>0</v>
      </c>
      <c r="AE137" s="56">
        <f t="shared" si="96"/>
        <v>0</v>
      </c>
      <c r="AF137" s="56">
        <f t="shared" si="96"/>
        <v>0</v>
      </c>
      <c r="AG137" s="56">
        <f t="shared" si="96"/>
        <v>0</v>
      </c>
      <c r="AH137" s="56">
        <f t="shared" si="96"/>
        <v>0</v>
      </c>
      <c r="AI137" s="56">
        <f t="shared" si="96"/>
        <v>0</v>
      </c>
      <c r="AJ137" s="56">
        <f t="shared" si="96"/>
        <v>0</v>
      </c>
      <c r="AK137" s="56">
        <f t="shared" si="96"/>
        <v>0</v>
      </c>
      <c r="AL137" s="56">
        <f t="shared" si="96"/>
        <v>0</v>
      </c>
      <c r="AM137" s="56">
        <f t="shared" si="96"/>
        <v>0</v>
      </c>
      <c r="AN137" s="56">
        <f t="shared" si="96"/>
        <v>0</v>
      </c>
      <c r="AO137" s="56">
        <f t="shared" si="96"/>
        <v>0</v>
      </c>
      <c r="AP137" s="56">
        <f t="shared" si="96"/>
        <v>0</v>
      </c>
      <c r="AQ137" s="56">
        <f t="shared" si="96"/>
        <v>0</v>
      </c>
      <c r="AR137" s="56">
        <f t="shared" si="96"/>
        <v>0</v>
      </c>
      <c r="AS137" s="56">
        <f t="shared" si="96"/>
        <v>0</v>
      </c>
      <c r="AT137" s="56">
        <f t="shared" si="96"/>
        <v>0</v>
      </c>
      <c r="AU137" s="56">
        <f t="shared" si="96"/>
        <v>0</v>
      </c>
      <c r="AV137" s="56">
        <f t="shared" si="96"/>
        <v>0</v>
      </c>
      <c r="AW137" s="56">
        <f t="shared" si="96"/>
        <v>0</v>
      </c>
      <c r="AX137" s="56">
        <f t="shared" si="96"/>
        <v>0</v>
      </c>
      <c r="AY137" s="56">
        <f t="shared" si="96"/>
        <v>0</v>
      </c>
      <c r="AZ137" s="56">
        <f t="shared" si="96"/>
        <v>0</v>
      </c>
      <c r="BA137" s="56">
        <f t="shared" si="96"/>
        <v>0</v>
      </c>
    </row>
    <row r="138" spans="2:53" x14ac:dyDescent="0.2">
      <c r="B138" s="57" t="s">
        <v>3</v>
      </c>
      <c r="C138" s="65" t="s">
        <v>75</v>
      </c>
      <c r="D138" s="44"/>
      <c r="E138" s="44"/>
      <c r="F138" s="44"/>
      <c r="G138" s="44"/>
      <c r="H138" s="44"/>
      <c r="I138" s="44"/>
      <c r="J138" s="44"/>
      <c r="K138" s="44"/>
      <c r="L138" s="44"/>
      <c r="M138" s="44"/>
      <c r="N138" s="44"/>
      <c r="O138" s="56"/>
      <c r="P138" s="56"/>
      <c r="Q138" s="56"/>
      <c r="R138" s="56"/>
      <c r="S138" s="56"/>
      <c r="T138" s="56"/>
      <c r="U138" s="56"/>
      <c r="V138" s="56"/>
      <c r="W138" s="56"/>
      <c r="X138" s="56"/>
      <c r="Y138" s="56"/>
      <c r="Z138" s="56">
        <v>0</v>
      </c>
      <c r="AA138" s="56">
        <f t="shared" ref="AA138:BA138" si="97">+$C$9*Z135</f>
        <v>0</v>
      </c>
      <c r="AB138" s="56">
        <f t="shared" si="97"/>
        <v>0</v>
      </c>
      <c r="AC138" s="56">
        <f t="shared" si="97"/>
        <v>0</v>
      </c>
      <c r="AD138" s="56">
        <f t="shared" si="97"/>
        <v>0</v>
      </c>
      <c r="AE138" s="56">
        <f t="shared" si="97"/>
        <v>0</v>
      </c>
      <c r="AF138" s="56">
        <f t="shared" si="97"/>
        <v>0</v>
      </c>
      <c r="AG138" s="56">
        <f t="shared" si="97"/>
        <v>0</v>
      </c>
      <c r="AH138" s="56">
        <f t="shared" si="97"/>
        <v>0</v>
      </c>
      <c r="AI138" s="56">
        <f t="shared" si="97"/>
        <v>0</v>
      </c>
      <c r="AJ138" s="56">
        <f t="shared" si="97"/>
        <v>0</v>
      </c>
      <c r="AK138" s="56">
        <f t="shared" si="97"/>
        <v>0</v>
      </c>
      <c r="AL138" s="56">
        <f t="shared" si="97"/>
        <v>0</v>
      </c>
      <c r="AM138" s="56">
        <f t="shared" si="97"/>
        <v>0</v>
      </c>
      <c r="AN138" s="56">
        <f t="shared" si="97"/>
        <v>0</v>
      </c>
      <c r="AO138" s="56">
        <f t="shared" si="97"/>
        <v>0</v>
      </c>
      <c r="AP138" s="56">
        <f t="shared" si="97"/>
        <v>0</v>
      </c>
      <c r="AQ138" s="56">
        <f t="shared" si="97"/>
        <v>0</v>
      </c>
      <c r="AR138" s="56">
        <f t="shared" si="97"/>
        <v>0</v>
      </c>
      <c r="AS138" s="56">
        <f t="shared" si="97"/>
        <v>0</v>
      </c>
      <c r="AT138" s="56">
        <f t="shared" si="97"/>
        <v>0</v>
      </c>
      <c r="AU138" s="56">
        <f t="shared" si="97"/>
        <v>0</v>
      </c>
      <c r="AV138" s="56">
        <f t="shared" si="97"/>
        <v>0</v>
      </c>
      <c r="AW138" s="56">
        <f t="shared" si="97"/>
        <v>0</v>
      </c>
      <c r="AX138" s="56">
        <f t="shared" si="97"/>
        <v>0</v>
      </c>
      <c r="AY138" s="56">
        <f t="shared" si="97"/>
        <v>0</v>
      </c>
      <c r="AZ138" s="56">
        <f t="shared" si="97"/>
        <v>0</v>
      </c>
      <c r="BA138" s="56">
        <f t="shared" si="97"/>
        <v>0</v>
      </c>
    </row>
    <row r="139" spans="2:53" x14ac:dyDescent="0.2">
      <c r="B139" s="57"/>
      <c r="D139" s="44"/>
      <c r="E139" s="44"/>
      <c r="F139" s="44"/>
      <c r="G139" s="44"/>
      <c r="H139" s="44"/>
      <c r="I139" s="44"/>
      <c r="J139" s="44"/>
      <c r="K139" s="44"/>
      <c r="L139" s="44"/>
      <c r="M139" s="44"/>
      <c r="N139" s="44"/>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row>
    <row r="140" spans="2:53" x14ac:dyDescent="0.2">
      <c r="B140" s="46" t="s">
        <v>68</v>
      </c>
      <c r="C140" s="65" t="s">
        <v>75</v>
      </c>
      <c r="D140" s="44"/>
      <c r="E140" s="44"/>
      <c r="F140" s="44"/>
      <c r="G140" s="44"/>
      <c r="H140" s="44"/>
      <c r="I140" s="44"/>
      <c r="J140" s="44"/>
      <c r="K140" s="44"/>
      <c r="L140" s="44"/>
      <c r="M140" s="44"/>
      <c r="N140" s="44"/>
      <c r="O140" s="56"/>
      <c r="P140" s="56"/>
      <c r="Q140" s="56"/>
      <c r="R140" s="56"/>
      <c r="S140" s="56"/>
      <c r="T140" s="56"/>
      <c r="U140" s="56"/>
      <c r="V140" s="56"/>
      <c r="W140" s="56"/>
      <c r="X140" s="56"/>
      <c r="Y140" s="56"/>
      <c r="Z140" s="56"/>
      <c r="AA140" s="56">
        <f>AA18</f>
        <v>0</v>
      </c>
      <c r="AB140" s="56">
        <f t="shared" ref="AB140:BA140" si="98">+AA140-AB142</f>
        <v>0</v>
      </c>
      <c r="AC140" s="56">
        <f t="shared" si="98"/>
        <v>0</v>
      </c>
      <c r="AD140" s="56">
        <f t="shared" si="98"/>
        <v>0</v>
      </c>
      <c r="AE140" s="56">
        <f t="shared" si="98"/>
        <v>0</v>
      </c>
      <c r="AF140" s="56">
        <f t="shared" si="98"/>
        <v>0</v>
      </c>
      <c r="AG140" s="56">
        <f t="shared" si="98"/>
        <v>0</v>
      </c>
      <c r="AH140" s="56">
        <f t="shared" si="98"/>
        <v>0</v>
      </c>
      <c r="AI140" s="56">
        <f t="shared" si="98"/>
        <v>0</v>
      </c>
      <c r="AJ140" s="56">
        <f t="shared" si="98"/>
        <v>0</v>
      </c>
      <c r="AK140" s="56">
        <f t="shared" si="98"/>
        <v>0</v>
      </c>
      <c r="AL140" s="56">
        <f t="shared" si="98"/>
        <v>0</v>
      </c>
      <c r="AM140" s="56">
        <f t="shared" si="98"/>
        <v>0</v>
      </c>
      <c r="AN140" s="56">
        <f t="shared" si="98"/>
        <v>0</v>
      </c>
      <c r="AO140" s="56">
        <f t="shared" si="98"/>
        <v>0</v>
      </c>
      <c r="AP140" s="56">
        <f t="shared" si="98"/>
        <v>0</v>
      </c>
      <c r="AQ140" s="56">
        <f t="shared" si="98"/>
        <v>0</v>
      </c>
      <c r="AR140" s="56">
        <f t="shared" si="98"/>
        <v>0</v>
      </c>
      <c r="AS140" s="56">
        <f t="shared" si="98"/>
        <v>0</v>
      </c>
      <c r="AT140" s="56">
        <f t="shared" si="98"/>
        <v>0</v>
      </c>
      <c r="AU140" s="56">
        <f t="shared" si="98"/>
        <v>0</v>
      </c>
      <c r="AV140" s="56">
        <f t="shared" si="98"/>
        <v>0</v>
      </c>
      <c r="AW140" s="56">
        <f t="shared" si="98"/>
        <v>0</v>
      </c>
      <c r="AX140" s="56">
        <f t="shared" si="98"/>
        <v>0</v>
      </c>
      <c r="AY140" s="56">
        <f t="shared" si="98"/>
        <v>0</v>
      </c>
      <c r="AZ140" s="56">
        <f t="shared" si="98"/>
        <v>0</v>
      </c>
      <c r="BA140" s="56">
        <f t="shared" si="98"/>
        <v>0</v>
      </c>
    </row>
    <row r="141" spans="2:53" x14ac:dyDescent="0.2">
      <c r="B141" s="57" t="s">
        <v>29</v>
      </c>
      <c r="C141" s="64">
        <f>+AA140/((1-(1/(1+$C$9)^$C$8))/$C$9)</f>
        <v>0</v>
      </c>
      <c r="D141" s="44"/>
      <c r="E141" s="44"/>
      <c r="F141" s="44"/>
      <c r="G141" s="44"/>
      <c r="H141" s="44"/>
      <c r="I141" s="44"/>
      <c r="J141" s="44"/>
      <c r="K141" s="44"/>
      <c r="L141" s="44"/>
      <c r="M141" s="44"/>
      <c r="N141" s="44"/>
      <c r="O141" s="56"/>
      <c r="P141" s="56"/>
      <c r="Q141" s="56"/>
      <c r="R141" s="56"/>
      <c r="S141" s="56"/>
      <c r="T141" s="56"/>
      <c r="U141" s="56"/>
      <c r="V141" s="56"/>
      <c r="W141" s="56"/>
      <c r="X141" s="56"/>
      <c r="Y141" s="56"/>
      <c r="Z141" s="56"/>
      <c r="AA141" s="56">
        <v>0</v>
      </c>
      <c r="AB141" s="56">
        <f>+IF(AA140&lt;0.01,0,$C$141)</f>
        <v>0</v>
      </c>
      <c r="AC141" s="56">
        <f t="shared" ref="AC141:BA141" si="99">+IF(AB140&lt;0.01,0,$C$141)</f>
        <v>0</v>
      </c>
      <c r="AD141" s="56">
        <f t="shared" si="99"/>
        <v>0</v>
      </c>
      <c r="AE141" s="56">
        <f t="shared" si="99"/>
        <v>0</v>
      </c>
      <c r="AF141" s="56">
        <f t="shared" si="99"/>
        <v>0</v>
      </c>
      <c r="AG141" s="56">
        <f t="shared" si="99"/>
        <v>0</v>
      </c>
      <c r="AH141" s="56">
        <f t="shared" si="99"/>
        <v>0</v>
      </c>
      <c r="AI141" s="56">
        <f t="shared" si="99"/>
        <v>0</v>
      </c>
      <c r="AJ141" s="56">
        <f t="shared" si="99"/>
        <v>0</v>
      </c>
      <c r="AK141" s="56">
        <f t="shared" si="99"/>
        <v>0</v>
      </c>
      <c r="AL141" s="56">
        <f t="shared" si="99"/>
        <v>0</v>
      </c>
      <c r="AM141" s="56">
        <f t="shared" si="99"/>
        <v>0</v>
      </c>
      <c r="AN141" s="56">
        <f t="shared" si="99"/>
        <v>0</v>
      </c>
      <c r="AO141" s="56">
        <f t="shared" si="99"/>
        <v>0</v>
      </c>
      <c r="AP141" s="56">
        <f t="shared" si="99"/>
        <v>0</v>
      </c>
      <c r="AQ141" s="56">
        <f t="shared" si="99"/>
        <v>0</v>
      </c>
      <c r="AR141" s="56">
        <f t="shared" si="99"/>
        <v>0</v>
      </c>
      <c r="AS141" s="56">
        <f t="shared" si="99"/>
        <v>0</v>
      </c>
      <c r="AT141" s="56">
        <f t="shared" si="99"/>
        <v>0</v>
      </c>
      <c r="AU141" s="56">
        <f t="shared" si="99"/>
        <v>0</v>
      </c>
      <c r="AV141" s="56">
        <f t="shared" si="99"/>
        <v>0</v>
      </c>
      <c r="AW141" s="56">
        <f t="shared" si="99"/>
        <v>0</v>
      </c>
      <c r="AX141" s="56">
        <f t="shared" si="99"/>
        <v>0</v>
      </c>
      <c r="AY141" s="56">
        <f t="shared" si="99"/>
        <v>0</v>
      </c>
      <c r="AZ141" s="56">
        <f t="shared" si="99"/>
        <v>0</v>
      </c>
      <c r="BA141" s="56">
        <f t="shared" si="99"/>
        <v>0</v>
      </c>
    </row>
    <row r="142" spans="2:53" x14ac:dyDescent="0.2">
      <c r="B142" s="57" t="s">
        <v>30</v>
      </c>
      <c r="C142" s="65" t="s">
        <v>75</v>
      </c>
      <c r="D142" s="44"/>
      <c r="E142" s="44"/>
      <c r="F142" s="44"/>
      <c r="G142" s="44"/>
      <c r="H142" s="44"/>
      <c r="I142" s="44"/>
      <c r="J142" s="44"/>
      <c r="K142" s="44"/>
      <c r="L142" s="44"/>
      <c r="M142" s="44"/>
      <c r="N142" s="44"/>
      <c r="O142" s="56"/>
      <c r="P142" s="56"/>
      <c r="Q142" s="56"/>
      <c r="R142" s="56"/>
      <c r="S142" s="56"/>
      <c r="T142" s="56"/>
      <c r="U142" s="56"/>
      <c r="V142" s="56"/>
      <c r="W142" s="56"/>
      <c r="X142" s="56"/>
      <c r="Y142" s="56"/>
      <c r="Z142" s="56"/>
      <c r="AA142" s="56">
        <v>0</v>
      </c>
      <c r="AB142" s="56">
        <f t="shared" ref="AB142:BA142" si="100">+AB141-AB143</f>
        <v>0</v>
      </c>
      <c r="AC142" s="56">
        <f t="shared" si="100"/>
        <v>0</v>
      </c>
      <c r="AD142" s="56">
        <f t="shared" si="100"/>
        <v>0</v>
      </c>
      <c r="AE142" s="56">
        <f t="shared" si="100"/>
        <v>0</v>
      </c>
      <c r="AF142" s="56">
        <f t="shared" si="100"/>
        <v>0</v>
      </c>
      <c r="AG142" s="56">
        <f t="shared" si="100"/>
        <v>0</v>
      </c>
      <c r="AH142" s="56">
        <f t="shared" si="100"/>
        <v>0</v>
      </c>
      <c r="AI142" s="56">
        <f t="shared" si="100"/>
        <v>0</v>
      </c>
      <c r="AJ142" s="56">
        <f t="shared" si="100"/>
        <v>0</v>
      </c>
      <c r="AK142" s="56">
        <f t="shared" si="100"/>
        <v>0</v>
      </c>
      <c r="AL142" s="56">
        <f t="shared" si="100"/>
        <v>0</v>
      </c>
      <c r="AM142" s="56">
        <f t="shared" si="100"/>
        <v>0</v>
      </c>
      <c r="AN142" s="56">
        <f t="shared" si="100"/>
        <v>0</v>
      </c>
      <c r="AO142" s="56">
        <f t="shared" si="100"/>
        <v>0</v>
      </c>
      <c r="AP142" s="56">
        <f t="shared" si="100"/>
        <v>0</v>
      </c>
      <c r="AQ142" s="56">
        <f t="shared" si="100"/>
        <v>0</v>
      </c>
      <c r="AR142" s="56">
        <f t="shared" si="100"/>
        <v>0</v>
      </c>
      <c r="AS142" s="56">
        <f t="shared" si="100"/>
        <v>0</v>
      </c>
      <c r="AT142" s="56">
        <f t="shared" si="100"/>
        <v>0</v>
      </c>
      <c r="AU142" s="56">
        <f t="shared" si="100"/>
        <v>0</v>
      </c>
      <c r="AV142" s="56">
        <f t="shared" si="100"/>
        <v>0</v>
      </c>
      <c r="AW142" s="56">
        <f t="shared" si="100"/>
        <v>0</v>
      </c>
      <c r="AX142" s="56">
        <f t="shared" si="100"/>
        <v>0</v>
      </c>
      <c r="AY142" s="56">
        <f t="shared" si="100"/>
        <v>0</v>
      </c>
      <c r="AZ142" s="56">
        <f t="shared" si="100"/>
        <v>0</v>
      </c>
      <c r="BA142" s="56">
        <f t="shared" si="100"/>
        <v>0</v>
      </c>
    </row>
    <row r="143" spans="2:53" x14ac:dyDescent="0.2">
      <c r="B143" s="57" t="s">
        <v>3</v>
      </c>
      <c r="C143" s="65" t="s">
        <v>75</v>
      </c>
      <c r="D143" s="44"/>
      <c r="E143" s="44"/>
      <c r="F143" s="44"/>
      <c r="G143" s="44"/>
      <c r="H143" s="44"/>
      <c r="I143" s="44"/>
      <c r="J143" s="44"/>
      <c r="K143" s="44"/>
      <c r="L143" s="44"/>
      <c r="M143" s="44"/>
      <c r="N143" s="44"/>
      <c r="O143" s="56"/>
      <c r="P143" s="56"/>
      <c r="Q143" s="56"/>
      <c r="R143" s="56"/>
      <c r="S143" s="56"/>
      <c r="T143" s="56"/>
      <c r="U143" s="56"/>
      <c r="V143" s="56"/>
      <c r="W143" s="56"/>
      <c r="X143" s="56"/>
      <c r="Y143" s="56"/>
      <c r="Z143" s="56"/>
      <c r="AA143" s="56">
        <v>0</v>
      </c>
      <c r="AB143" s="56">
        <f t="shared" ref="AB143:BA143" si="101">+$C$9*AA140</f>
        <v>0</v>
      </c>
      <c r="AC143" s="56">
        <f t="shared" si="101"/>
        <v>0</v>
      </c>
      <c r="AD143" s="56">
        <f t="shared" si="101"/>
        <v>0</v>
      </c>
      <c r="AE143" s="56">
        <f t="shared" si="101"/>
        <v>0</v>
      </c>
      <c r="AF143" s="56">
        <f t="shared" si="101"/>
        <v>0</v>
      </c>
      <c r="AG143" s="56">
        <f t="shared" si="101"/>
        <v>0</v>
      </c>
      <c r="AH143" s="56">
        <f t="shared" si="101"/>
        <v>0</v>
      </c>
      <c r="AI143" s="56">
        <f t="shared" si="101"/>
        <v>0</v>
      </c>
      <c r="AJ143" s="56">
        <f t="shared" si="101"/>
        <v>0</v>
      </c>
      <c r="AK143" s="56">
        <f t="shared" si="101"/>
        <v>0</v>
      </c>
      <c r="AL143" s="56">
        <f t="shared" si="101"/>
        <v>0</v>
      </c>
      <c r="AM143" s="56">
        <f t="shared" si="101"/>
        <v>0</v>
      </c>
      <c r="AN143" s="56">
        <f t="shared" si="101"/>
        <v>0</v>
      </c>
      <c r="AO143" s="56">
        <f t="shared" si="101"/>
        <v>0</v>
      </c>
      <c r="AP143" s="56">
        <f t="shared" si="101"/>
        <v>0</v>
      </c>
      <c r="AQ143" s="56">
        <f t="shared" si="101"/>
        <v>0</v>
      </c>
      <c r="AR143" s="56">
        <f t="shared" si="101"/>
        <v>0</v>
      </c>
      <c r="AS143" s="56">
        <f t="shared" si="101"/>
        <v>0</v>
      </c>
      <c r="AT143" s="56">
        <f t="shared" si="101"/>
        <v>0</v>
      </c>
      <c r="AU143" s="56">
        <f t="shared" si="101"/>
        <v>0</v>
      </c>
      <c r="AV143" s="56">
        <f t="shared" si="101"/>
        <v>0</v>
      </c>
      <c r="AW143" s="56">
        <f t="shared" si="101"/>
        <v>0</v>
      </c>
      <c r="AX143" s="56">
        <f t="shared" si="101"/>
        <v>0</v>
      </c>
      <c r="AY143" s="56">
        <f t="shared" si="101"/>
        <v>0</v>
      </c>
      <c r="AZ143" s="56">
        <f t="shared" si="101"/>
        <v>0</v>
      </c>
      <c r="BA143" s="56">
        <f t="shared" si="101"/>
        <v>0</v>
      </c>
    </row>
    <row r="144" spans="2:53" x14ac:dyDescent="0.2">
      <c r="B144" s="57"/>
      <c r="D144" s="44"/>
      <c r="E144" s="44"/>
      <c r="F144" s="44"/>
      <c r="G144" s="44"/>
      <c r="H144" s="44"/>
      <c r="I144" s="44"/>
      <c r="J144" s="44"/>
      <c r="K144" s="44"/>
      <c r="L144" s="44"/>
      <c r="M144" s="44"/>
      <c r="N144" s="44"/>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row>
    <row r="145" spans="2:53" x14ac:dyDescent="0.2">
      <c r="B145" s="46" t="s">
        <v>69</v>
      </c>
      <c r="C145" s="65" t="s">
        <v>75</v>
      </c>
      <c r="D145" s="44"/>
      <c r="E145" s="44"/>
      <c r="F145" s="44"/>
      <c r="G145" s="6"/>
      <c r="H145" s="44"/>
      <c r="I145" s="44"/>
      <c r="J145" s="44"/>
      <c r="K145" s="44"/>
      <c r="L145" s="44"/>
      <c r="M145" s="44"/>
      <c r="N145" s="44"/>
      <c r="O145" s="56"/>
      <c r="P145" s="56"/>
      <c r="Q145" s="56"/>
      <c r="R145" s="56"/>
      <c r="S145" s="56"/>
      <c r="T145" s="56"/>
      <c r="U145" s="56"/>
      <c r="V145" s="56"/>
      <c r="W145" s="56"/>
      <c r="X145" s="56"/>
      <c r="Y145" s="56"/>
      <c r="Z145" s="56"/>
      <c r="AA145" s="56"/>
      <c r="AB145" s="56">
        <f>AB18</f>
        <v>0</v>
      </c>
      <c r="AC145" s="56">
        <f t="shared" ref="AC145:BA145" si="102">+AB145-AC147</f>
        <v>0</v>
      </c>
      <c r="AD145" s="56">
        <f t="shared" si="102"/>
        <v>0</v>
      </c>
      <c r="AE145" s="56">
        <f t="shared" si="102"/>
        <v>0</v>
      </c>
      <c r="AF145" s="56">
        <f t="shared" si="102"/>
        <v>0</v>
      </c>
      <c r="AG145" s="56">
        <f t="shared" si="102"/>
        <v>0</v>
      </c>
      <c r="AH145" s="56">
        <f t="shared" si="102"/>
        <v>0</v>
      </c>
      <c r="AI145" s="56">
        <f t="shared" si="102"/>
        <v>0</v>
      </c>
      <c r="AJ145" s="56">
        <f t="shared" si="102"/>
        <v>0</v>
      </c>
      <c r="AK145" s="56">
        <f t="shared" si="102"/>
        <v>0</v>
      </c>
      <c r="AL145" s="56">
        <f t="shared" si="102"/>
        <v>0</v>
      </c>
      <c r="AM145" s="56">
        <f t="shared" si="102"/>
        <v>0</v>
      </c>
      <c r="AN145" s="56">
        <f t="shared" si="102"/>
        <v>0</v>
      </c>
      <c r="AO145" s="56">
        <f t="shared" si="102"/>
        <v>0</v>
      </c>
      <c r="AP145" s="56">
        <f t="shared" si="102"/>
        <v>0</v>
      </c>
      <c r="AQ145" s="56">
        <f t="shared" si="102"/>
        <v>0</v>
      </c>
      <c r="AR145" s="56">
        <f t="shared" si="102"/>
        <v>0</v>
      </c>
      <c r="AS145" s="56">
        <f t="shared" si="102"/>
        <v>0</v>
      </c>
      <c r="AT145" s="56">
        <f t="shared" si="102"/>
        <v>0</v>
      </c>
      <c r="AU145" s="56">
        <f t="shared" si="102"/>
        <v>0</v>
      </c>
      <c r="AV145" s="56">
        <f t="shared" si="102"/>
        <v>0</v>
      </c>
      <c r="AW145" s="56">
        <f t="shared" si="102"/>
        <v>0</v>
      </c>
      <c r="AX145" s="56">
        <f t="shared" si="102"/>
        <v>0</v>
      </c>
      <c r="AY145" s="56">
        <f t="shared" si="102"/>
        <v>0</v>
      </c>
      <c r="AZ145" s="56">
        <f t="shared" si="102"/>
        <v>0</v>
      </c>
      <c r="BA145" s="56">
        <f t="shared" si="102"/>
        <v>0</v>
      </c>
    </row>
    <row r="146" spans="2:53" x14ac:dyDescent="0.2">
      <c r="B146" s="57" t="s">
        <v>29</v>
      </c>
      <c r="C146" s="64">
        <f>+AB145/((1-(1/(1+$C$9)^$C$8))/$C$9)</f>
        <v>0</v>
      </c>
      <c r="D146" s="44"/>
      <c r="E146" s="44"/>
      <c r="F146" s="44"/>
      <c r="G146" s="6"/>
      <c r="H146" s="44"/>
      <c r="I146" s="44"/>
      <c r="J146" s="44"/>
      <c r="K146" s="44"/>
      <c r="L146" s="44"/>
      <c r="M146" s="44"/>
      <c r="N146" s="44"/>
      <c r="O146" s="56"/>
      <c r="P146" s="56"/>
      <c r="Q146" s="56"/>
      <c r="R146" s="56"/>
      <c r="S146" s="56"/>
      <c r="T146" s="56"/>
      <c r="U146" s="56"/>
      <c r="V146" s="56"/>
      <c r="W146" s="56"/>
      <c r="X146" s="56"/>
      <c r="Y146" s="56"/>
      <c r="Z146" s="56"/>
      <c r="AA146" s="56"/>
      <c r="AB146" s="56">
        <v>0</v>
      </c>
      <c r="AC146" s="56">
        <f>+IF(AB145&lt;0.01,0,$C$146)</f>
        <v>0</v>
      </c>
      <c r="AD146" s="56">
        <f t="shared" ref="AD146:BA146" si="103">+IF(AC145&lt;0.01,0,$C$146)</f>
        <v>0</v>
      </c>
      <c r="AE146" s="56">
        <f t="shared" si="103"/>
        <v>0</v>
      </c>
      <c r="AF146" s="56">
        <f t="shared" si="103"/>
        <v>0</v>
      </c>
      <c r="AG146" s="56">
        <f t="shared" si="103"/>
        <v>0</v>
      </c>
      <c r="AH146" s="56">
        <f t="shared" si="103"/>
        <v>0</v>
      </c>
      <c r="AI146" s="56">
        <f t="shared" si="103"/>
        <v>0</v>
      </c>
      <c r="AJ146" s="56">
        <f t="shared" si="103"/>
        <v>0</v>
      </c>
      <c r="AK146" s="56">
        <f t="shared" si="103"/>
        <v>0</v>
      </c>
      <c r="AL146" s="56">
        <f t="shared" si="103"/>
        <v>0</v>
      </c>
      <c r="AM146" s="56">
        <f t="shared" si="103"/>
        <v>0</v>
      </c>
      <c r="AN146" s="56">
        <f t="shared" si="103"/>
        <v>0</v>
      </c>
      <c r="AO146" s="56">
        <f t="shared" si="103"/>
        <v>0</v>
      </c>
      <c r="AP146" s="56">
        <f t="shared" si="103"/>
        <v>0</v>
      </c>
      <c r="AQ146" s="56">
        <f t="shared" si="103"/>
        <v>0</v>
      </c>
      <c r="AR146" s="56">
        <f t="shared" si="103"/>
        <v>0</v>
      </c>
      <c r="AS146" s="56">
        <f t="shared" si="103"/>
        <v>0</v>
      </c>
      <c r="AT146" s="56">
        <f t="shared" si="103"/>
        <v>0</v>
      </c>
      <c r="AU146" s="56">
        <f t="shared" si="103"/>
        <v>0</v>
      </c>
      <c r="AV146" s="56">
        <f t="shared" si="103"/>
        <v>0</v>
      </c>
      <c r="AW146" s="56">
        <f t="shared" si="103"/>
        <v>0</v>
      </c>
      <c r="AX146" s="56">
        <f t="shared" si="103"/>
        <v>0</v>
      </c>
      <c r="AY146" s="56">
        <f t="shared" si="103"/>
        <v>0</v>
      </c>
      <c r="AZ146" s="56">
        <f t="shared" si="103"/>
        <v>0</v>
      </c>
      <c r="BA146" s="56">
        <f t="shared" si="103"/>
        <v>0</v>
      </c>
    </row>
    <row r="147" spans="2:53" x14ac:dyDescent="0.2">
      <c r="B147" s="57" t="s">
        <v>30</v>
      </c>
      <c r="C147" s="65" t="s">
        <v>75</v>
      </c>
      <c r="D147" s="44"/>
      <c r="E147" s="44"/>
      <c r="F147" s="44"/>
      <c r="G147" s="6"/>
      <c r="H147" s="44"/>
      <c r="I147" s="44"/>
      <c r="J147" s="44"/>
      <c r="K147" s="44"/>
      <c r="L147" s="44"/>
      <c r="M147" s="44"/>
      <c r="N147" s="44"/>
      <c r="O147" s="56"/>
      <c r="P147" s="56"/>
      <c r="Q147" s="56"/>
      <c r="R147" s="56"/>
      <c r="S147" s="56"/>
      <c r="T147" s="56"/>
      <c r="U147" s="56"/>
      <c r="V147" s="56"/>
      <c r="W147" s="56"/>
      <c r="X147" s="56"/>
      <c r="Y147" s="56"/>
      <c r="Z147" s="56"/>
      <c r="AA147" s="56"/>
      <c r="AB147" s="56">
        <v>0</v>
      </c>
      <c r="AC147" s="56">
        <f t="shared" ref="AC147:BA147" si="104">+AC146-AC148</f>
        <v>0</v>
      </c>
      <c r="AD147" s="56">
        <f t="shared" si="104"/>
        <v>0</v>
      </c>
      <c r="AE147" s="56">
        <f t="shared" si="104"/>
        <v>0</v>
      </c>
      <c r="AF147" s="56">
        <f t="shared" si="104"/>
        <v>0</v>
      </c>
      <c r="AG147" s="56">
        <f t="shared" si="104"/>
        <v>0</v>
      </c>
      <c r="AH147" s="56">
        <f t="shared" si="104"/>
        <v>0</v>
      </c>
      <c r="AI147" s="56">
        <f t="shared" si="104"/>
        <v>0</v>
      </c>
      <c r="AJ147" s="56">
        <f t="shared" si="104"/>
        <v>0</v>
      </c>
      <c r="AK147" s="56">
        <f t="shared" si="104"/>
        <v>0</v>
      </c>
      <c r="AL147" s="56">
        <f t="shared" si="104"/>
        <v>0</v>
      </c>
      <c r="AM147" s="56">
        <f t="shared" si="104"/>
        <v>0</v>
      </c>
      <c r="AN147" s="56">
        <f t="shared" si="104"/>
        <v>0</v>
      </c>
      <c r="AO147" s="56">
        <f t="shared" si="104"/>
        <v>0</v>
      </c>
      <c r="AP147" s="56">
        <f t="shared" si="104"/>
        <v>0</v>
      </c>
      <c r="AQ147" s="56">
        <f t="shared" si="104"/>
        <v>0</v>
      </c>
      <c r="AR147" s="56">
        <f t="shared" si="104"/>
        <v>0</v>
      </c>
      <c r="AS147" s="56">
        <f t="shared" si="104"/>
        <v>0</v>
      </c>
      <c r="AT147" s="56">
        <f t="shared" si="104"/>
        <v>0</v>
      </c>
      <c r="AU147" s="56">
        <f t="shared" si="104"/>
        <v>0</v>
      </c>
      <c r="AV147" s="56">
        <f t="shared" si="104"/>
        <v>0</v>
      </c>
      <c r="AW147" s="56">
        <f t="shared" si="104"/>
        <v>0</v>
      </c>
      <c r="AX147" s="56">
        <f t="shared" si="104"/>
        <v>0</v>
      </c>
      <c r="AY147" s="56">
        <f t="shared" si="104"/>
        <v>0</v>
      </c>
      <c r="AZ147" s="56">
        <f t="shared" si="104"/>
        <v>0</v>
      </c>
      <c r="BA147" s="56">
        <f t="shared" si="104"/>
        <v>0</v>
      </c>
    </row>
    <row r="148" spans="2:53" x14ac:dyDescent="0.2">
      <c r="B148" s="57" t="s">
        <v>3</v>
      </c>
      <c r="C148" s="65" t="s">
        <v>75</v>
      </c>
      <c r="D148" s="44"/>
      <c r="E148" s="44"/>
      <c r="F148" s="44"/>
      <c r="G148" s="6"/>
      <c r="H148" s="44"/>
      <c r="I148" s="44"/>
      <c r="J148" s="44"/>
      <c r="K148" s="44"/>
      <c r="L148" s="44"/>
      <c r="M148" s="44"/>
      <c r="N148" s="44"/>
      <c r="O148" s="56"/>
      <c r="P148" s="56"/>
      <c r="Q148" s="56"/>
      <c r="R148" s="56"/>
      <c r="S148" s="56"/>
      <c r="T148" s="56"/>
      <c r="U148" s="56"/>
      <c r="V148" s="56"/>
      <c r="W148" s="56"/>
      <c r="X148" s="56"/>
      <c r="Y148" s="56"/>
      <c r="Z148" s="56"/>
      <c r="AA148" s="56"/>
      <c r="AB148" s="56">
        <v>0</v>
      </c>
      <c r="AC148" s="56">
        <f t="shared" ref="AC148:BA148" si="105">+$C$9*AB145</f>
        <v>0</v>
      </c>
      <c r="AD148" s="56">
        <f t="shared" si="105"/>
        <v>0</v>
      </c>
      <c r="AE148" s="56">
        <f t="shared" si="105"/>
        <v>0</v>
      </c>
      <c r="AF148" s="56">
        <f t="shared" si="105"/>
        <v>0</v>
      </c>
      <c r="AG148" s="56">
        <f t="shared" si="105"/>
        <v>0</v>
      </c>
      <c r="AH148" s="56">
        <f t="shared" si="105"/>
        <v>0</v>
      </c>
      <c r="AI148" s="56">
        <f t="shared" si="105"/>
        <v>0</v>
      </c>
      <c r="AJ148" s="56">
        <f t="shared" si="105"/>
        <v>0</v>
      </c>
      <c r="AK148" s="56">
        <f t="shared" si="105"/>
        <v>0</v>
      </c>
      <c r="AL148" s="56">
        <f t="shared" si="105"/>
        <v>0</v>
      </c>
      <c r="AM148" s="56">
        <f t="shared" si="105"/>
        <v>0</v>
      </c>
      <c r="AN148" s="56">
        <f t="shared" si="105"/>
        <v>0</v>
      </c>
      <c r="AO148" s="56">
        <f t="shared" si="105"/>
        <v>0</v>
      </c>
      <c r="AP148" s="56">
        <f t="shared" si="105"/>
        <v>0</v>
      </c>
      <c r="AQ148" s="56">
        <f t="shared" si="105"/>
        <v>0</v>
      </c>
      <c r="AR148" s="56">
        <f t="shared" si="105"/>
        <v>0</v>
      </c>
      <c r="AS148" s="56">
        <f t="shared" si="105"/>
        <v>0</v>
      </c>
      <c r="AT148" s="56">
        <f t="shared" si="105"/>
        <v>0</v>
      </c>
      <c r="AU148" s="56">
        <f t="shared" si="105"/>
        <v>0</v>
      </c>
      <c r="AV148" s="56">
        <f t="shared" si="105"/>
        <v>0</v>
      </c>
      <c r="AW148" s="56">
        <f t="shared" si="105"/>
        <v>0</v>
      </c>
      <c r="AX148" s="56">
        <f t="shared" si="105"/>
        <v>0</v>
      </c>
      <c r="AY148" s="56">
        <f t="shared" si="105"/>
        <v>0</v>
      </c>
      <c r="AZ148" s="56">
        <f t="shared" si="105"/>
        <v>0</v>
      </c>
      <c r="BA148" s="56">
        <f t="shared" si="105"/>
        <v>0</v>
      </c>
    </row>
    <row r="149" spans="2:53" x14ac:dyDescent="0.2">
      <c r="B149" s="57"/>
      <c r="D149" s="44"/>
      <c r="E149" s="44"/>
      <c r="F149" s="44"/>
      <c r="G149" s="44"/>
      <c r="H149" s="44"/>
      <c r="I149" s="44"/>
      <c r="J149" s="44"/>
      <c r="K149" s="44"/>
      <c r="L149" s="44"/>
      <c r="M149" s="44"/>
      <c r="N149" s="44"/>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row>
    <row r="150" spans="2:53" x14ac:dyDescent="0.2">
      <c r="B150" s="46" t="s">
        <v>70</v>
      </c>
      <c r="C150" s="65" t="s">
        <v>75</v>
      </c>
      <c r="D150" s="44"/>
      <c r="E150" s="44"/>
      <c r="F150" s="44"/>
      <c r="G150" s="6"/>
      <c r="H150" s="6"/>
      <c r="I150" s="44"/>
      <c r="J150" s="44"/>
      <c r="K150" s="44"/>
      <c r="L150" s="44"/>
      <c r="M150" s="44"/>
      <c r="N150" s="44"/>
      <c r="O150" s="56"/>
      <c r="P150" s="56"/>
      <c r="Q150" s="56"/>
      <c r="R150" s="56"/>
      <c r="S150" s="56"/>
      <c r="T150" s="56"/>
      <c r="U150" s="56"/>
      <c r="V150" s="56"/>
      <c r="W150" s="56"/>
      <c r="X150" s="56"/>
      <c r="Y150" s="56"/>
      <c r="Z150" s="56"/>
      <c r="AA150" s="56"/>
      <c r="AB150" s="56"/>
      <c r="AC150" s="56">
        <f>AC18</f>
        <v>0</v>
      </c>
      <c r="AD150" s="56">
        <f t="shared" ref="AD150:BA150" si="106">+AC150-AD152</f>
        <v>0</v>
      </c>
      <c r="AE150" s="56">
        <f t="shared" si="106"/>
        <v>0</v>
      </c>
      <c r="AF150" s="56">
        <f t="shared" si="106"/>
        <v>0</v>
      </c>
      <c r="AG150" s="56">
        <f t="shared" si="106"/>
        <v>0</v>
      </c>
      <c r="AH150" s="56">
        <f t="shared" si="106"/>
        <v>0</v>
      </c>
      <c r="AI150" s="56">
        <f t="shared" si="106"/>
        <v>0</v>
      </c>
      <c r="AJ150" s="56">
        <f t="shared" si="106"/>
        <v>0</v>
      </c>
      <c r="AK150" s="56">
        <f t="shared" si="106"/>
        <v>0</v>
      </c>
      <c r="AL150" s="56">
        <f t="shared" si="106"/>
        <v>0</v>
      </c>
      <c r="AM150" s="56">
        <f t="shared" si="106"/>
        <v>0</v>
      </c>
      <c r="AN150" s="56">
        <f t="shared" si="106"/>
        <v>0</v>
      </c>
      <c r="AO150" s="56">
        <f t="shared" si="106"/>
        <v>0</v>
      </c>
      <c r="AP150" s="56">
        <f t="shared" si="106"/>
        <v>0</v>
      </c>
      <c r="AQ150" s="56">
        <f t="shared" si="106"/>
        <v>0</v>
      </c>
      <c r="AR150" s="56">
        <f t="shared" si="106"/>
        <v>0</v>
      </c>
      <c r="AS150" s="56">
        <f t="shared" si="106"/>
        <v>0</v>
      </c>
      <c r="AT150" s="56">
        <f t="shared" si="106"/>
        <v>0</v>
      </c>
      <c r="AU150" s="56">
        <f t="shared" si="106"/>
        <v>0</v>
      </c>
      <c r="AV150" s="56">
        <f t="shared" si="106"/>
        <v>0</v>
      </c>
      <c r="AW150" s="56">
        <f t="shared" si="106"/>
        <v>0</v>
      </c>
      <c r="AX150" s="56">
        <f t="shared" si="106"/>
        <v>0</v>
      </c>
      <c r="AY150" s="56">
        <f t="shared" si="106"/>
        <v>0</v>
      </c>
      <c r="AZ150" s="56">
        <f t="shared" si="106"/>
        <v>0</v>
      </c>
      <c r="BA150" s="56">
        <f t="shared" si="106"/>
        <v>0</v>
      </c>
    </row>
    <row r="151" spans="2:53" x14ac:dyDescent="0.2">
      <c r="B151" s="57" t="s">
        <v>29</v>
      </c>
      <c r="C151" s="64">
        <f>+AC150/((1-(1/(1+$C$9)^$C$8))/$C$9)</f>
        <v>0</v>
      </c>
      <c r="D151" s="44"/>
      <c r="E151" s="44"/>
      <c r="F151" s="44"/>
      <c r="G151" s="6"/>
      <c r="H151" s="6"/>
      <c r="I151" s="44"/>
      <c r="J151" s="44"/>
      <c r="K151" s="44"/>
      <c r="L151" s="44"/>
      <c r="M151" s="44"/>
      <c r="N151" s="44"/>
      <c r="O151" s="56"/>
      <c r="P151" s="56"/>
      <c r="Q151" s="56"/>
      <c r="R151" s="56"/>
      <c r="S151" s="56"/>
      <c r="T151" s="56"/>
      <c r="U151" s="56"/>
      <c r="V151" s="56"/>
      <c r="W151" s="56"/>
      <c r="X151" s="56"/>
      <c r="Y151" s="56"/>
      <c r="Z151" s="56"/>
      <c r="AA151" s="56"/>
      <c r="AB151" s="56"/>
      <c r="AC151" s="56">
        <v>0</v>
      </c>
      <c r="AD151" s="56">
        <f>+IF(AC150&lt;0.01,0,$C$151)</f>
        <v>0</v>
      </c>
      <c r="AE151" s="56">
        <f t="shared" ref="AE151:BA151" si="107">+IF(AD150&lt;0.01,0,$C$151)</f>
        <v>0</v>
      </c>
      <c r="AF151" s="56">
        <f t="shared" si="107"/>
        <v>0</v>
      </c>
      <c r="AG151" s="56">
        <f t="shared" si="107"/>
        <v>0</v>
      </c>
      <c r="AH151" s="56">
        <f t="shared" si="107"/>
        <v>0</v>
      </c>
      <c r="AI151" s="56">
        <f t="shared" si="107"/>
        <v>0</v>
      </c>
      <c r="AJ151" s="56">
        <f t="shared" si="107"/>
        <v>0</v>
      </c>
      <c r="AK151" s="56">
        <f t="shared" si="107"/>
        <v>0</v>
      </c>
      <c r="AL151" s="56">
        <f t="shared" si="107"/>
        <v>0</v>
      </c>
      <c r="AM151" s="56">
        <f t="shared" si="107"/>
        <v>0</v>
      </c>
      <c r="AN151" s="56">
        <f t="shared" si="107"/>
        <v>0</v>
      </c>
      <c r="AO151" s="56">
        <f t="shared" si="107"/>
        <v>0</v>
      </c>
      <c r="AP151" s="56">
        <f t="shared" si="107"/>
        <v>0</v>
      </c>
      <c r="AQ151" s="56">
        <f t="shared" si="107"/>
        <v>0</v>
      </c>
      <c r="AR151" s="56">
        <f t="shared" si="107"/>
        <v>0</v>
      </c>
      <c r="AS151" s="56">
        <f t="shared" si="107"/>
        <v>0</v>
      </c>
      <c r="AT151" s="56">
        <f t="shared" si="107"/>
        <v>0</v>
      </c>
      <c r="AU151" s="56">
        <f t="shared" si="107"/>
        <v>0</v>
      </c>
      <c r="AV151" s="56">
        <f t="shared" si="107"/>
        <v>0</v>
      </c>
      <c r="AW151" s="56">
        <f t="shared" si="107"/>
        <v>0</v>
      </c>
      <c r="AX151" s="56">
        <f t="shared" si="107"/>
        <v>0</v>
      </c>
      <c r="AY151" s="56">
        <f t="shared" si="107"/>
        <v>0</v>
      </c>
      <c r="AZ151" s="56">
        <f t="shared" si="107"/>
        <v>0</v>
      </c>
      <c r="BA151" s="56">
        <f t="shared" si="107"/>
        <v>0</v>
      </c>
    </row>
    <row r="152" spans="2:53" x14ac:dyDescent="0.2">
      <c r="B152" s="57" t="s">
        <v>30</v>
      </c>
      <c r="C152" s="65" t="s">
        <v>75</v>
      </c>
      <c r="D152" s="44"/>
      <c r="E152" s="44"/>
      <c r="F152" s="44"/>
      <c r="G152" s="6"/>
      <c r="H152" s="6"/>
      <c r="I152" s="44"/>
      <c r="J152" s="44"/>
      <c r="K152" s="44"/>
      <c r="L152" s="44"/>
      <c r="M152" s="44"/>
      <c r="N152" s="44"/>
      <c r="O152" s="56"/>
      <c r="P152" s="56"/>
      <c r="Q152" s="56"/>
      <c r="R152" s="56"/>
      <c r="S152" s="56"/>
      <c r="T152" s="56"/>
      <c r="U152" s="56"/>
      <c r="V152" s="56"/>
      <c r="W152" s="56"/>
      <c r="X152" s="56"/>
      <c r="Y152" s="56"/>
      <c r="Z152" s="56"/>
      <c r="AA152" s="56"/>
      <c r="AB152" s="56"/>
      <c r="AC152" s="56">
        <v>0</v>
      </c>
      <c r="AD152" s="56">
        <f t="shared" ref="AD152:BA152" si="108">+AD151-AD153</f>
        <v>0</v>
      </c>
      <c r="AE152" s="56">
        <f t="shared" si="108"/>
        <v>0</v>
      </c>
      <c r="AF152" s="56">
        <f t="shared" si="108"/>
        <v>0</v>
      </c>
      <c r="AG152" s="56">
        <f t="shared" si="108"/>
        <v>0</v>
      </c>
      <c r="AH152" s="56">
        <f t="shared" si="108"/>
        <v>0</v>
      </c>
      <c r="AI152" s="56">
        <f t="shared" si="108"/>
        <v>0</v>
      </c>
      <c r="AJ152" s="56">
        <f t="shared" si="108"/>
        <v>0</v>
      </c>
      <c r="AK152" s="56">
        <f t="shared" si="108"/>
        <v>0</v>
      </c>
      <c r="AL152" s="56">
        <f t="shared" si="108"/>
        <v>0</v>
      </c>
      <c r="AM152" s="56">
        <f t="shared" si="108"/>
        <v>0</v>
      </c>
      <c r="AN152" s="56">
        <f t="shared" si="108"/>
        <v>0</v>
      </c>
      <c r="AO152" s="56">
        <f t="shared" si="108"/>
        <v>0</v>
      </c>
      <c r="AP152" s="56">
        <f t="shared" si="108"/>
        <v>0</v>
      </c>
      <c r="AQ152" s="56">
        <f t="shared" si="108"/>
        <v>0</v>
      </c>
      <c r="AR152" s="56">
        <f t="shared" si="108"/>
        <v>0</v>
      </c>
      <c r="AS152" s="56">
        <f t="shared" si="108"/>
        <v>0</v>
      </c>
      <c r="AT152" s="56">
        <f t="shared" si="108"/>
        <v>0</v>
      </c>
      <c r="AU152" s="56">
        <f t="shared" si="108"/>
        <v>0</v>
      </c>
      <c r="AV152" s="56">
        <f t="shared" si="108"/>
        <v>0</v>
      </c>
      <c r="AW152" s="56">
        <f t="shared" si="108"/>
        <v>0</v>
      </c>
      <c r="AX152" s="56">
        <f t="shared" si="108"/>
        <v>0</v>
      </c>
      <c r="AY152" s="56">
        <f t="shared" si="108"/>
        <v>0</v>
      </c>
      <c r="AZ152" s="56">
        <f t="shared" si="108"/>
        <v>0</v>
      </c>
      <c r="BA152" s="56">
        <f t="shared" si="108"/>
        <v>0</v>
      </c>
    </row>
    <row r="153" spans="2:53" x14ac:dyDescent="0.2">
      <c r="B153" s="57" t="s">
        <v>3</v>
      </c>
      <c r="C153" s="65" t="s">
        <v>75</v>
      </c>
      <c r="D153" s="44"/>
      <c r="E153" s="44"/>
      <c r="F153" s="44"/>
      <c r="G153" s="6"/>
      <c r="H153" s="6"/>
      <c r="I153" s="44"/>
      <c r="J153" s="44"/>
      <c r="K153" s="44"/>
      <c r="L153" s="44"/>
      <c r="M153" s="44"/>
      <c r="N153" s="44"/>
      <c r="O153" s="56"/>
      <c r="P153" s="56"/>
      <c r="Q153" s="56"/>
      <c r="R153" s="56"/>
      <c r="S153" s="56"/>
      <c r="T153" s="56"/>
      <c r="U153" s="56"/>
      <c r="V153" s="56"/>
      <c r="W153" s="56"/>
      <c r="X153" s="56"/>
      <c r="Y153" s="56"/>
      <c r="Z153" s="56"/>
      <c r="AA153" s="56"/>
      <c r="AB153" s="56"/>
      <c r="AC153" s="56">
        <v>0</v>
      </c>
      <c r="AD153" s="56">
        <f t="shared" ref="AD153:BA153" si="109">+$C$9*AC150</f>
        <v>0</v>
      </c>
      <c r="AE153" s="56">
        <f t="shared" si="109"/>
        <v>0</v>
      </c>
      <c r="AF153" s="56">
        <f t="shared" si="109"/>
        <v>0</v>
      </c>
      <c r="AG153" s="56">
        <f t="shared" si="109"/>
        <v>0</v>
      </c>
      <c r="AH153" s="56">
        <f t="shared" si="109"/>
        <v>0</v>
      </c>
      <c r="AI153" s="56">
        <f t="shared" si="109"/>
        <v>0</v>
      </c>
      <c r="AJ153" s="56">
        <f t="shared" si="109"/>
        <v>0</v>
      </c>
      <c r="AK153" s="56">
        <f t="shared" si="109"/>
        <v>0</v>
      </c>
      <c r="AL153" s="56">
        <f t="shared" si="109"/>
        <v>0</v>
      </c>
      <c r="AM153" s="56">
        <f t="shared" si="109"/>
        <v>0</v>
      </c>
      <c r="AN153" s="56">
        <f t="shared" si="109"/>
        <v>0</v>
      </c>
      <c r="AO153" s="56">
        <f t="shared" si="109"/>
        <v>0</v>
      </c>
      <c r="AP153" s="56">
        <f t="shared" si="109"/>
        <v>0</v>
      </c>
      <c r="AQ153" s="56">
        <f t="shared" si="109"/>
        <v>0</v>
      </c>
      <c r="AR153" s="56">
        <f t="shared" si="109"/>
        <v>0</v>
      </c>
      <c r="AS153" s="56">
        <f t="shared" si="109"/>
        <v>0</v>
      </c>
      <c r="AT153" s="56">
        <f t="shared" si="109"/>
        <v>0</v>
      </c>
      <c r="AU153" s="56">
        <f t="shared" si="109"/>
        <v>0</v>
      </c>
      <c r="AV153" s="56">
        <f t="shared" si="109"/>
        <v>0</v>
      </c>
      <c r="AW153" s="56">
        <f t="shared" si="109"/>
        <v>0</v>
      </c>
      <c r="AX153" s="56">
        <f t="shared" si="109"/>
        <v>0</v>
      </c>
      <c r="AY153" s="56">
        <f t="shared" si="109"/>
        <v>0</v>
      </c>
      <c r="AZ153" s="56">
        <f t="shared" si="109"/>
        <v>0</v>
      </c>
      <c r="BA153" s="56">
        <f t="shared" si="109"/>
        <v>0</v>
      </c>
    </row>
    <row r="154" spans="2:53" x14ac:dyDescent="0.2">
      <c r="B154" s="57"/>
      <c r="D154" s="44"/>
      <c r="E154" s="44"/>
      <c r="F154" s="44"/>
      <c r="G154" s="44"/>
      <c r="H154" s="44"/>
      <c r="I154" s="44"/>
      <c r="J154" s="44"/>
      <c r="K154" s="44"/>
      <c r="L154" s="44"/>
      <c r="M154" s="44"/>
      <c r="N154" s="44"/>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row>
    <row r="155" spans="2:53" x14ac:dyDescent="0.2">
      <c r="B155" s="46" t="s">
        <v>71</v>
      </c>
      <c r="C155" s="65" t="s">
        <v>75</v>
      </c>
      <c r="D155" s="44"/>
      <c r="E155" s="44"/>
      <c r="F155" s="44"/>
      <c r="G155" s="6"/>
      <c r="H155" s="6"/>
      <c r="I155" s="6"/>
      <c r="J155" s="44"/>
      <c r="K155" s="44"/>
      <c r="L155" s="44"/>
      <c r="M155" s="44"/>
      <c r="N155" s="44"/>
      <c r="O155" s="56"/>
      <c r="P155" s="56"/>
      <c r="Q155" s="56"/>
      <c r="R155" s="56"/>
      <c r="S155" s="56"/>
      <c r="T155" s="56"/>
      <c r="U155" s="56"/>
      <c r="V155" s="56"/>
      <c r="W155" s="56"/>
      <c r="X155" s="56"/>
      <c r="Y155" s="56"/>
      <c r="Z155" s="56"/>
      <c r="AA155" s="56"/>
      <c r="AB155" s="56"/>
      <c r="AC155" s="56"/>
      <c r="AD155" s="56">
        <f>AD18</f>
        <v>0</v>
      </c>
      <c r="AE155" s="56">
        <f t="shared" ref="AE155:BA155" si="110">+AD155-AE157</f>
        <v>0</v>
      </c>
      <c r="AF155" s="56">
        <f t="shared" si="110"/>
        <v>0</v>
      </c>
      <c r="AG155" s="56">
        <f t="shared" si="110"/>
        <v>0</v>
      </c>
      <c r="AH155" s="56">
        <f t="shared" si="110"/>
        <v>0</v>
      </c>
      <c r="AI155" s="56">
        <f t="shared" si="110"/>
        <v>0</v>
      </c>
      <c r="AJ155" s="56">
        <f t="shared" si="110"/>
        <v>0</v>
      </c>
      <c r="AK155" s="56">
        <f t="shared" si="110"/>
        <v>0</v>
      </c>
      <c r="AL155" s="56">
        <f t="shared" si="110"/>
        <v>0</v>
      </c>
      <c r="AM155" s="56">
        <f t="shared" si="110"/>
        <v>0</v>
      </c>
      <c r="AN155" s="56">
        <f t="shared" si="110"/>
        <v>0</v>
      </c>
      <c r="AO155" s="56">
        <f t="shared" si="110"/>
        <v>0</v>
      </c>
      <c r="AP155" s="56">
        <f t="shared" si="110"/>
        <v>0</v>
      </c>
      <c r="AQ155" s="56">
        <f t="shared" si="110"/>
        <v>0</v>
      </c>
      <c r="AR155" s="56">
        <f t="shared" si="110"/>
        <v>0</v>
      </c>
      <c r="AS155" s="56">
        <f t="shared" si="110"/>
        <v>0</v>
      </c>
      <c r="AT155" s="56">
        <f t="shared" si="110"/>
        <v>0</v>
      </c>
      <c r="AU155" s="56">
        <f t="shared" si="110"/>
        <v>0</v>
      </c>
      <c r="AV155" s="56">
        <f t="shared" si="110"/>
        <v>0</v>
      </c>
      <c r="AW155" s="56">
        <f t="shared" si="110"/>
        <v>0</v>
      </c>
      <c r="AX155" s="56">
        <f t="shared" si="110"/>
        <v>0</v>
      </c>
      <c r="AY155" s="56">
        <f t="shared" si="110"/>
        <v>0</v>
      </c>
      <c r="AZ155" s="56">
        <f t="shared" si="110"/>
        <v>0</v>
      </c>
      <c r="BA155" s="56">
        <f t="shared" si="110"/>
        <v>0</v>
      </c>
    </row>
    <row r="156" spans="2:53" x14ac:dyDescent="0.2">
      <c r="B156" s="57" t="s">
        <v>29</v>
      </c>
      <c r="C156" s="64">
        <f>+AD155/((1-(1/(1+$C$9)^$C$8))/$C$9)</f>
        <v>0</v>
      </c>
      <c r="D156" s="44"/>
      <c r="E156" s="44"/>
      <c r="F156" s="44"/>
      <c r="G156" s="6"/>
      <c r="H156" s="6"/>
      <c r="I156" s="6"/>
      <c r="J156" s="44"/>
      <c r="K156" s="44"/>
      <c r="L156" s="44"/>
      <c r="M156" s="44"/>
      <c r="N156" s="44"/>
      <c r="O156" s="56"/>
      <c r="P156" s="56"/>
      <c r="Q156" s="56"/>
      <c r="R156" s="56"/>
      <c r="S156" s="56"/>
      <c r="T156" s="56"/>
      <c r="U156" s="56"/>
      <c r="V156" s="56"/>
      <c r="W156" s="56"/>
      <c r="X156" s="56"/>
      <c r="Y156" s="56"/>
      <c r="Z156" s="56"/>
      <c r="AA156" s="56"/>
      <c r="AB156" s="56"/>
      <c r="AC156" s="56"/>
      <c r="AD156" s="56">
        <v>0</v>
      </c>
      <c r="AE156" s="56">
        <f>+IF(AD155&lt;0.01,0,$C$156)</f>
        <v>0</v>
      </c>
      <c r="AF156" s="56">
        <f t="shared" ref="AF156:BA156" si="111">+IF(AE155&lt;0.01,0,$C$156)</f>
        <v>0</v>
      </c>
      <c r="AG156" s="56">
        <f t="shared" si="111"/>
        <v>0</v>
      </c>
      <c r="AH156" s="56">
        <f t="shared" si="111"/>
        <v>0</v>
      </c>
      <c r="AI156" s="56">
        <f t="shared" si="111"/>
        <v>0</v>
      </c>
      <c r="AJ156" s="56">
        <f t="shared" si="111"/>
        <v>0</v>
      </c>
      <c r="AK156" s="56">
        <f t="shared" si="111"/>
        <v>0</v>
      </c>
      <c r="AL156" s="56">
        <f t="shared" si="111"/>
        <v>0</v>
      </c>
      <c r="AM156" s="56">
        <f t="shared" si="111"/>
        <v>0</v>
      </c>
      <c r="AN156" s="56">
        <f t="shared" si="111"/>
        <v>0</v>
      </c>
      <c r="AO156" s="56">
        <f t="shared" si="111"/>
        <v>0</v>
      </c>
      <c r="AP156" s="56">
        <f t="shared" si="111"/>
        <v>0</v>
      </c>
      <c r="AQ156" s="56">
        <f t="shared" si="111"/>
        <v>0</v>
      </c>
      <c r="AR156" s="56">
        <f t="shared" si="111"/>
        <v>0</v>
      </c>
      <c r="AS156" s="56">
        <f t="shared" si="111"/>
        <v>0</v>
      </c>
      <c r="AT156" s="56">
        <f t="shared" si="111"/>
        <v>0</v>
      </c>
      <c r="AU156" s="56">
        <f t="shared" si="111"/>
        <v>0</v>
      </c>
      <c r="AV156" s="56">
        <f t="shared" si="111"/>
        <v>0</v>
      </c>
      <c r="AW156" s="56">
        <f t="shared" si="111"/>
        <v>0</v>
      </c>
      <c r="AX156" s="56">
        <f t="shared" si="111"/>
        <v>0</v>
      </c>
      <c r="AY156" s="56">
        <f t="shared" si="111"/>
        <v>0</v>
      </c>
      <c r="AZ156" s="56">
        <f t="shared" si="111"/>
        <v>0</v>
      </c>
      <c r="BA156" s="56">
        <f t="shared" si="111"/>
        <v>0</v>
      </c>
    </row>
    <row r="157" spans="2:53" x14ac:dyDescent="0.2">
      <c r="B157" s="57" t="s">
        <v>30</v>
      </c>
      <c r="C157" s="65" t="s">
        <v>75</v>
      </c>
      <c r="D157" s="44"/>
      <c r="E157" s="44"/>
      <c r="F157" s="44"/>
      <c r="G157" s="6"/>
      <c r="H157" s="6"/>
      <c r="I157" s="6"/>
      <c r="J157" s="44"/>
      <c r="K157" s="44"/>
      <c r="L157" s="44"/>
      <c r="M157" s="44"/>
      <c r="N157" s="44"/>
      <c r="O157" s="56"/>
      <c r="P157" s="56"/>
      <c r="Q157" s="56"/>
      <c r="R157" s="56"/>
      <c r="S157" s="56"/>
      <c r="T157" s="56"/>
      <c r="U157" s="56"/>
      <c r="V157" s="56"/>
      <c r="W157" s="56"/>
      <c r="X157" s="56"/>
      <c r="Y157" s="56"/>
      <c r="Z157" s="56"/>
      <c r="AA157" s="56"/>
      <c r="AB157" s="56"/>
      <c r="AC157" s="56"/>
      <c r="AD157" s="56">
        <v>0</v>
      </c>
      <c r="AE157" s="56">
        <f t="shared" ref="AE157:BA157" si="112">+AE156-AE158</f>
        <v>0</v>
      </c>
      <c r="AF157" s="56">
        <f t="shared" si="112"/>
        <v>0</v>
      </c>
      <c r="AG157" s="56">
        <f t="shared" si="112"/>
        <v>0</v>
      </c>
      <c r="AH157" s="56">
        <f t="shared" si="112"/>
        <v>0</v>
      </c>
      <c r="AI157" s="56">
        <f t="shared" si="112"/>
        <v>0</v>
      </c>
      <c r="AJ157" s="56">
        <f t="shared" si="112"/>
        <v>0</v>
      </c>
      <c r="AK157" s="56">
        <f t="shared" si="112"/>
        <v>0</v>
      </c>
      <c r="AL157" s="56">
        <f t="shared" si="112"/>
        <v>0</v>
      </c>
      <c r="AM157" s="56">
        <f t="shared" si="112"/>
        <v>0</v>
      </c>
      <c r="AN157" s="56">
        <f t="shared" si="112"/>
        <v>0</v>
      </c>
      <c r="AO157" s="56">
        <f t="shared" si="112"/>
        <v>0</v>
      </c>
      <c r="AP157" s="56">
        <f t="shared" si="112"/>
        <v>0</v>
      </c>
      <c r="AQ157" s="56">
        <f t="shared" si="112"/>
        <v>0</v>
      </c>
      <c r="AR157" s="56">
        <f t="shared" si="112"/>
        <v>0</v>
      </c>
      <c r="AS157" s="56">
        <f t="shared" si="112"/>
        <v>0</v>
      </c>
      <c r="AT157" s="56">
        <f t="shared" si="112"/>
        <v>0</v>
      </c>
      <c r="AU157" s="56">
        <f t="shared" si="112"/>
        <v>0</v>
      </c>
      <c r="AV157" s="56">
        <f t="shared" si="112"/>
        <v>0</v>
      </c>
      <c r="AW157" s="56">
        <f t="shared" si="112"/>
        <v>0</v>
      </c>
      <c r="AX157" s="56">
        <f t="shared" si="112"/>
        <v>0</v>
      </c>
      <c r="AY157" s="56">
        <f t="shared" si="112"/>
        <v>0</v>
      </c>
      <c r="AZ157" s="56">
        <f t="shared" si="112"/>
        <v>0</v>
      </c>
      <c r="BA157" s="56">
        <f t="shared" si="112"/>
        <v>0</v>
      </c>
    </row>
    <row r="158" spans="2:53" x14ac:dyDescent="0.2">
      <c r="B158" s="57" t="s">
        <v>3</v>
      </c>
      <c r="C158" s="65" t="s">
        <v>75</v>
      </c>
      <c r="D158" s="44"/>
      <c r="E158" s="44"/>
      <c r="F158" s="44"/>
      <c r="G158" s="6"/>
      <c r="H158" s="6"/>
      <c r="I158" s="6"/>
      <c r="J158" s="44"/>
      <c r="K158" s="44"/>
      <c r="L158" s="44"/>
      <c r="M158" s="44"/>
      <c r="N158" s="44"/>
      <c r="O158" s="56"/>
      <c r="P158" s="56"/>
      <c r="Q158" s="56"/>
      <c r="R158" s="56"/>
      <c r="S158" s="56"/>
      <c r="T158" s="56"/>
      <c r="U158" s="56"/>
      <c r="V158" s="56"/>
      <c r="W158" s="56"/>
      <c r="X158" s="56"/>
      <c r="Y158" s="56"/>
      <c r="Z158" s="56"/>
      <c r="AA158" s="56"/>
      <c r="AB158" s="56"/>
      <c r="AC158" s="56"/>
      <c r="AD158" s="56">
        <v>0</v>
      </c>
      <c r="AE158" s="56">
        <f t="shared" ref="AE158:BA158" si="113">+$C$9*AD155</f>
        <v>0</v>
      </c>
      <c r="AF158" s="56">
        <f t="shared" si="113"/>
        <v>0</v>
      </c>
      <c r="AG158" s="56">
        <f t="shared" si="113"/>
        <v>0</v>
      </c>
      <c r="AH158" s="56">
        <f t="shared" si="113"/>
        <v>0</v>
      </c>
      <c r="AI158" s="56">
        <f t="shared" si="113"/>
        <v>0</v>
      </c>
      <c r="AJ158" s="56">
        <f t="shared" si="113"/>
        <v>0</v>
      </c>
      <c r="AK158" s="56">
        <f t="shared" si="113"/>
        <v>0</v>
      </c>
      <c r="AL158" s="56">
        <f t="shared" si="113"/>
        <v>0</v>
      </c>
      <c r="AM158" s="56">
        <f t="shared" si="113"/>
        <v>0</v>
      </c>
      <c r="AN158" s="56">
        <f t="shared" si="113"/>
        <v>0</v>
      </c>
      <c r="AO158" s="56">
        <f t="shared" si="113"/>
        <v>0</v>
      </c>
      <c r="AP158" s="56">
        <f t="shared" si="113"/>
        <v>0</v>
      </c>
      <c r="AQ158" s="56">
        <f t="shared" si="113"/>
        <v>0</v>
      </c>
      <c r="AR158" s="56">
        <f t="shared" si="113"/>
        <v>0</v>
      </c>
      <c r="AS158" s="56">
        <f t="shared" si="113"/>
        <v>0</v>
      </c>
      <c r="AT158" s="56">
        <f t="shared" si="113"/>
        <v>0</v>
      </c>
      <c r="AU158" s="56">
        <f t="shared" si="113"/>
        <v>0</v>
      </c>
      <c r="AV158" s="56">
        <f t="shared" si="113"/>
        <v>0</v>
      </c>
      <c r="AW158" s="56">
        <f t="shared" si="113"/>
        <v>0</v>
      </c>
      <c r="AX158" s="56">
        <f t="shared" si="113"/>
        <v>0</v>
      </c>
      <c r="AY158" s="56">
        <f t="shared" si="113"/>
        <v>0</v>
      </c>
      <c r="AZ158" s="56">
        <f t="shared" si="113"/>
        <v>0</v>
      </c>
      <c r="BA158" s="56">
        <f t="shared" si="113"/>
        <v>0</v>
      </c>
    </row>
    <row r="159" spans="2:53" x14ac:dyDescent="0.2">
      <c r="B159" s="57"/>
      <c r="D159" s="44"/>
      <c r="E159" s="44"/>
      <c r="F159" s="44"/>
      <c r="G159" s="44"/>
      <c r="H159" s="44"/>
      <c r="I159" s="44"/>
      <c r="J159" s="44"/>
      <c r="K159" s="44"/>
      <c r="L159" s="44"/>
      <c r="M159" s="44"/>
      <c r="N159" s="44"/>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row>
    <row r="160" spans="2:53" x14ac:dyDescent="0.2">
      <c r="B160" s="46" t="s">
        <v>72</v>
      </c>
      <c r="C160" s="65" t="s">
        <v>75</v>
      </c>
      <c r="D160" s="44"/>
      <c r="E160" s="44"/>
      <c r="F160" s="44"/>
      <c r="G160" s="6"/>
      <c r="H160" s="6"/>
      <c r="I160" s="6"/>
      <c r="J160" s="6"/>
      <c r="K160" s="44"/>
      <c r="L160" s="44"/>
      <c r="M160" s="44"/>
      <c r="N160" s="44"/>
      <c r="O160" s="56"/>
      <c r="P160" s="56"/>
      <c r="Q160" s="56"/>
      <c r="R160" s="56"/>
      <c r="S160" s="56"/>
      <c r="T160" s="56"/>
      <c r="U160" s="56"/>
      <c r="V160" s="56"/>
      <c r="W160" s="56"/>
      <c r="X160" s="56"/>
      <c r="Y160" s="56"/>
      <c r="Z160" s="56"/>
      <c r="AA160" s="56"/>
      <c r="AB160" s="56"/>
      <c r="AC160" s="56"/>
      <c r="AD160" s="56"/>
      <c r="AE160" s="56">
        <f>AE18</f>
        <v>0</v>
      </c>
      <c r="AF160" s="56">
        <f t="shared" ref="AF160:BA160" si="114">+AE160-AF162</f>
        <v>0</v>
      </c>
      <c r="AG160" s="56">
        <f t="shared" si="114"/>
        <v>0</v>
      </c>
      <c r="AH160" s="56">
        <f t="shared" si="114"/>
        <v>0</v>
      </c>
      <c r="AI160" s="56">
        <f t="shared" si="114"/>
        <v>0</v>
      </c>
      <c r="AJ160" s="56">
        <f t="shared" si="114"/>
        <v>0</v>
      </c>
      <c r="AK160" s="56">
        <f t="shared" si="114"/>
        <v>0</v>
      </c>
      <c r="AL160" s="56">
        <f t="shared" si="114"/>
        <v>0</v>
      </c>
      <c r="AM160" s="56">
        <f t="shared" si="114"/>
        <v>0</v>
      </c>
      <c r="AN160" s="56">
        <f t="shared" si="114"/>
        <v>0</v>
      </c>
      <c r="AO160" s="56">
        <f t="shared" si="114"/>
        <v>0</v>
      </c>
      <c r="AP160" s="56">
        <f t="shared" si="114"/>
        <v>0</v>
      </c>
      <c r="AQ160" s="56">
        <f t="shared" si="114"/>
        <v>0</v>
      </c>
      <c r="AR160" s="56">
        <f t="shared" si="114"/>
        <v>0</v>
      </c>
      <c r="AS160" s="56">
        <f t="shared" si="114"/>
        <v>0</v>
      </c>
      <c r="AT160" s="56">
        <f t="shared" si="114"/>
        <v>0</v>
      </c>
      <c r="AU160" s="56">
        <f t="shared" si="114"/>
        <v>0</v>
      </c>
      <c r="AV160" s="56">
        <f t="shared" si="114"/>
        <v>0</v>
      </c>
      <c r="AW160" s="56">
        <f t="shared" si="114"/>
        <v>0</v>
      </c>
      <c r="AX160" s="56">
        <f t="shared" si="114"/>
        <v>0</v>
      </c>
      <c r="AY160" s="56">
        <f t="shared" si="114"/>
        <v>0</v>
      </c>
      <c r="AZ160" s="56">
        <f t="shared" si="114"/>
        <v>0</v>
      </c>
      <c r="BA160" s="56">
        <f t="shared" si="114"/>
        <v>0</v>
      </c>
    </row>
    <row r="161" spans="2:53" x14ac:dyDescent="0.2">
      <c r="B161" s="57" t="s">
        <v>29</v>
      </c>
      <c r="C161" s="64">
        <f>+AE160/((1-(1/(1+$C$9)^$C$8))/$C$9)</f>
        <v>0</v>
      </c>
      <c r="D161" s="44"/>
      <c r="E161" s="44"/>
      <c r="F161" s="44"/>
      <c r="G161" s="6"/>
      <c r="H161" s="6"/>
      <c r="I161" s="6"/>
      <c r="J161" s="6"/>
      <c r="K161" s="44"/>
      <c r="L161" s="44"/>
      <c r="M161" s="44"/>
      <c r="N161" s="44"/>
      <c r="O161" s="56"/>
      <c r="P161" s="56"/>
      <c r="Q161" s="56"/>
      <c r="R161" s="56"/>
      <c r="S161" s="56"/>
      <c r="T161" s="56"/>
      <c r="U161" s="56"/>
      <c r="V161" s="56"/>
      <c r="W161" s="56"/>
      <c r="X161" s="56"/>
      <c r="Y161" s="56"/>
      <c r="Z161" s="56"/>
      <c r="AA161" s="56"/>
      <c r="AB161" s="56"/>
      <c r="AC161" s="56"/>
      <c r="AD161" s="56"/>
      <c r="AE161" s="56">
        <v>0</v>
      </c>
      <c r="AF161" s="56">
        <f>+IF(AE160&lt;0.01,0,$C$161)</f>
        <v>0</v>
      </c>
      <c r="AG161" s="56">
        <f t="shared" ref="AG161:BA161" si="115">+IF(AF160&lt;0.01,0,$C$161)</f>
        <v>0</v>
      </c>
      <c r="AH161" s="56">
        <f t="shared" si="115"/>
        <v>0</v>
      </c>
      <c r="AI161" s="56">
        <f t="shared" si="115"/>
        <v>0</v>
      </c>
      <c r="AJ161" s="56">
        <f t="shared" si="115"/>
        <v>0</v>
      </c>
      <c r="AK161" s="56">
        <f t="shared" si="115"/>
        <v>0</v>
      </c>
      <c r="AL161" s="56">
        <f t="shared" si="115"/>
        <v>0</v>
      </c>
      <c r="AM161" s="56">
        <f t="shared" si="115"/>
        <v>0</v>
      </c>
      <c r="AN161" s="56">
        <f t="shared" si="115"/>
        <v>0</v>
      </c>
      <c r="AO161" s="56">
        <f t="shared" si="115"/>
        <v>0</v>
      </c>
      <c r="AP161" s="56">
        <f t="shared" si="115"/>
        <v>0</v>
      </c>
      <c r="AQ161" s="56">
        <f t="shared" si="115"/>
        <v>0</v>
      </c>
      <c r="AR161" s="56">
        <f t="shared" si="115"/>
        <v>0</v>
      </c>
      <c r="AS161" s="56">
        <f t="shared" si="115"/>
        <v>0</v>
      </c>
      <c r="AT161" s="56">
        <f t="shared" si="115"/>
        <v>0</v>
      </c>
      <c r="AU161" s="56">
        <f t="shared" si="115"/>
        <v>0</v>
      </c>
      <c r="AV161" s="56">
        <f t="shared" si="115"/>
        <v>0</v>
      </c>
      <c r="AW161" s="56">
        <f t="shared" si="115"/>
        <v>0</v>
      </c>
      <c r="AX161" s="56">
        <f t="shared" si="115"/>
        <v>0</v>
      </c>
      <c r="AY161" s="56">
        <f t="shared" si="115"/>
        <v>0</v>
      </c>
      <c r="AZ161" s="56">
        <f t="shared" si="115"/>
        <v>0</v>
      </c>
      <c r="BA161" s="56">
        <f t="shared" si="115"/>
        <v>0</v>
      </c>
    </row>
    <row r="162" spans="2:53" x14ac:dyDescent="0.2">
      <c r="B162" s="57" t="s">
        <v>30</v>
      </c>
      <c r="C162" s="65" t="s">
        <v>75</v>
      </c>
      <c r="D162" s="44"/>
      <c r="E162" s="44"/>
      <c r="F162" s="44"/>
      <c r="G162" s="6"/>
      <c r="H162" s="6"/>
      <c r="I162" s="6"/>
      <c r="J162" s="6"/>
      <c r="K162" s="44"/>
      <c r="L162" s="44"/>
      <c r="M162" s="44"/>
      <c r="N162" s="44"/>
      <c r="O162" s="56"/>
      <c r="P162" s="56"/>
      <c r="Q162" s="56"/>
      <c r="R162" s="56"/>
      <c r="S162" s="56"/>
      <c r="T162" s="56"/>
      <c r="U162" s="56"/>
      <c r="V162" s="56"/>
      <c r="W162" s="56"/>
      <c r="X162" s="56"/>
      <c r="Y162" s="56"/>
      <c r="Z162" s="56"/>
      <c r="AA162" s="56"/>
      <c r="AB162" s="56"/>
      <c r="AC162" s="56"/>
      <c r="AD162" s="56"/>
      <c r="AE162" s="56">
        <v>0</v>
      </c>
      <c r="AF162" s="56">
        <f t="shared" ref="AF162:BA162" si="116">+AF161-AF163</f>
        <v>0</v>
      </c>
      <c r="AG162" s="56">
        <f t="shared" si="116"/>
        <v>0</v>
      </c>
      <c r="AH162" s="56">
        <f t="shared" si="116"/>
        <v>0</v>
      </c>
      <c r="AI162" s="56">
        <f t="shared" si="116"/>
        <v>0</v>
      </c>
      <c r="AJ162" s="56">
        <f t="shared" si="116"/>
        <v>0</v>
      </c>
      <c r="AK162" s="56">
        <f t="shared" si="116"/>
        <v>0</v>
      </c>
      <c r="AL162" s="56">
        <f t="shared" si="116"/>
        <v>0</v>
      </c>
      <c r="AM162" s="56">
        <f t="shared" si="116"/>
        <v>0</v>
      </c>
      <c r="AN162" s="56">
        <f t="shared" si="116"/>
        <v>0</v>
      </c>
      <c r="AO162" s="56">
        <f t="shared" si="116"/>
        <v>0</v>
      </c>
      <c r="AP162" s="56">
        <f t="shared" si="116"/>
        <v>0</v>
      </c>
      <c r="AQ162" s="56">
        <f t="shared" si="116"/>
        <v>0</v>
      </c>
      <c r="AR162" s="56">
        <f t="shared" si="116"/>
        <v>0</v>
      </c>
      <c r="AS162" s="56">
        <f t="shared" si="116"/>
        <v>0</v>
      </c>
      <c r="AT162" s="56">
        <f t="shared" si="116"/>
        <v>0</v>
      </c>
      <c r="AU162" s="56">
        <f t="shared" si="116"/>
        <v>0</v>
      </c>
      <c r="AV162" s="56">
        <f t="shared" si="116"/>
        <v>0</v>
      </c>
      <c r="AW162" s="56">
        <f t="shared" si="116"/>
        <v>0</v>
      </c>
      <c r="AX162" s="56">
        <f t="shared" si="116"/>
        <v>0</v>
      </c>
      <c r="AY162" s="56">
        <f t="shared" si="116"/>
        <v>0</v>
      </c>
      <c r="AZ162" s="56">
        <f t="shared" si="116"/>
        <v>0</v>
      </c>
      <c r="BA162" s="56">
        <f t="shared" si="116"/>
        <v>0</v>
      </c>
    </row>
    <row r="163" spans="2:53" x14ac:dyDescent="0.2">
      <c r="B163" s="57" t="s">
        <v>3</v>
      </c>
      <c r="C163" s="65" t="s">
        <v>75</v>
      </c>
      <c r="D163" s="44"/>
      <c r="E163" s="44"/>
      <c r="F163" s="44"/>
      <c r="G163" s="6"/>
      <c r="H163" s="6"/>
      <c r="I163" s="6"/>
      <c r="J163" s="6"/>
      <c r="K163" s="44"/>
      <c r="L163" s="44"/>
      <c r="M163" s="44"/>
      <c r="N163" s="44"/>
      <c r="O163" s="56"/>
      <c r="P163" s="56"/>
      <c r="Q163" s="56"/>
      <c r="R163" s="56"/>
      <c r="S163" s="56"/>
      <c r="T163" s="56"/>
      <c r="U163" s="56"/>
      <c r="V163" s="56"/>
      <c r="W163" s="56"/>
      <c r="X163" s="56"/>
      <c r="Y163" s="56"/>
      <c r="Z163" s="56"/>
      <c r="AA163" s="56"/>
      <c r="AB163" s="56"/>
      <c r="AC163" s="56"/>
      <c r="AD163" s="56"/>
      <c r="AE163" s="56">
        <v>0</v>
      </c>
      <c r="AF163" s="56">
        <f t="shared" ref="AF163:BA163" si="117">+$C$9*AE160</f>
        <v>0</v>
      </c>
      <c r="AG163" s="56">
        <f t="shared" si="117"/>
        <v>0</v>
      </c>
      <c r="AH163" s="56">
        <f t="shared" si="117"/>
        <v>0</v>
      </c>
      <c r="AI163" s="56">
        <f t="shared" si="117"/>
        <v>0</v>
      </c>
      <c r="AJ163" s="56">
        <f t="shared" si="117"/>
        <v>0</v>
      </c>
      <c r="AK163" s="56">
        <f t="shared" si="117"/>
        <v>0</v>
      </c>
      <c r="AL163" s="56">
        <f t="shared" si="117"/>
        <v>0</v>
      </c>
      <c r="AM163" s="56">
        <f t="shared" si="117"/>
        <v>0</v>
      </c>
      <c r="AN163" s="56">
        <f t="shared" si="117"/>
        <v>0</v>
      </c>
      <c r="AO163" s="56">
        <f t="shared" si="117"/>
        <v>0</v>
      </c>
      <c r="AP163" s="56">
        <f t="shared" si="117"/>
        <v>0</v>
      </c>
      <c r="AQ163" s="56">
        <f t="shared" si="117"/>
        <v>0</v>
      </c>
      <c r="AR163" s="56">
        <f t="shared" si="117"/>
        <v>0</v>
      </c>
      <c r="AS163" s="56">
        <f t="shared" si="117"/>
        <v>0</v>
      </c>
      <c r="AT163" s="56">
        <f t="shared" si="117"/>
        <v>0</v>
      </c>
      <c r="AU163" s="56">
        <f t="shared" si="117"/>
        <v>0</v>
      </c>
      <c r="AV163" s="56">
        <f t="shared" si="117"/>
        <v>0</v>
      </c>
      <c r="AW163" s="56">
        <f t="shared" si="117"/>
        <v>0</v>
      </c>
      <c r="AX163" s="56">
        <f t="shared" si="117"/>
        <v>0</v>
      </c>
      <c r="AY163" s="56">
        <f t="shared" si="117"/>
        <v>0</v>
      </c>
      <c r="AZ163" s="56">
        <f t="shared" si="117"/>
        <v>0</v>
      </c>
      <c r="BA163" s="56">
        <f t="shared" si="117"/>
        <v>0</v>
      </c>
    </row>
    <row r="164" spans="2:53" x14ac:dyDescent="0.2">
      <c r="B164" s="57"/>
      <c r="D164" s="44"/>
      <c r="E164" s="44"/>
      <c r="F164" s="44"/>
      <c r="G164" s="6"/>
      <c r="H164" s="6"/>
      <c r="I164" s="6"/>
      <c r="J164" s="6"/>
      <c r="K164" s="44"/>
      <c r="L164" s="44"/>
      <c r="M164" s="44"/>
      <c r="N164" s="44"/>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row>
    <row r="165" spans="2:53" x14ac:dyDescent="0.2">
      <c r="B165" s="46" t="s">
        <v>73</v>
      </c>
      <c r="C165" s="65" t="s">
        <v>75</v>
      </c>
      <c r="D165" s="44"/>
      <c r="E165" s="44"/>
      <c r="F165" s="44"/>
      <c r="G165" s="6"/>
      <c r="H165" s="6"/>
      <c r="I165" s="6"/>
      <c r="J165" s="6"/>
      <c r="K165" s="6"/>
      <c r="L165" s="44"/>
      <c r="M165" s="44"/>
      <c r="N165" s="44"/>
      <c r="O165" s="56"/>
      <c r="P165" s="56"/>
      <c r="Q165" s="56"/>
      <c r="R165" s="56"/>
      <c r="S165" s="56"/>
      <c r="T165" s="56"/>
      <c r="U165" s="56"/>
      <c r="V165" s="56"/>
      <c r="W165" s="56"/>
      <c r="X165" s="56"/>
      <c r="Y165" s="56"/>
      <c r="Z165" s="56"/>
      <c r="AA165" s="56"/>
      <c r="AB165" s="56"/>
      <c r="AC165" s="56"/>
      <c r="AD165" s="56"/>
      <c r="AE165" s="56"/>
      <c r="AF165" s="56">
        <f>AF18</f>
        <v>0</v>
      </c>
      <c r="AG165" s="56">
        <f t="shared" ref="AG165:BA165" si="118">+AF165-AG167</f>
        <v>0</v>
      </c>
      <c r="AH165" s="56">
        <f t="shared" si="118"/>
        <v>0</v>
      </c>
      <c r="AI165" s="56">
        <f t="shared" si="118"/>
        <v>0</v>
      </c>
      <c r="AJ165" s="56">
        <f t="shared" si="118"/>
        <v>0</v>
      </c>
      <c r="AK165" s="56">
        <f t="shared" si="118"/>
        <v>0</v>
      </c>
      <c r="AL165" s="56">
        <f t="shared" si="118"/>
        <v>0</v>
      </c>
      <c r="AM165" s="56">
        <f t="shared" si="118"/>
        <v>0</v>
      </c>
      <c r="AN165" s="56">
        <f t="shared" si="118"/>
        <v>0</v>
      </c>
      <c r="AO165" s="56">
        <f t="shared" si="118"/>
        <v>0</v>
      </c>
      <c r="AP165" s="56">
        <f t="shared" si="118"/>
        <v>0</v>
      </c>
      <c r="AQ165" s="56">
        <f t="shared" si="118"/>
        <v>0</v>
      </c>
      <c r="AR165" s="56">
        <f t="shared" si="118"/>
        <v>0</v>
      </c>
      <c r="AS165" s="56">
        <f t="shared" si="118"/>
        <v>0</v>
      </c>
      <c r="AT165" s="56">
        <f t="shared" si="118"/>
        <v>0</v>
      </c>
      <c r="AU165" s="56">
        <f t="shared" si="118"/>
        <v>0</v>
      </c>
      <c r="AV165" s="56">
        <f t="shared" si="118"/>
        <v>0</v>
      </c>
      <c r="AW165" s="56">
        <f t="shared" si="118"/>
        <v>0</v>
      </c>
      <c r="AX165" s="56">
        <f t="shared" si="118"/>
        <v>0</v>
      </c>
      <c r="AY165" s="56">
        <f t="shared" si="118"/>
        <v>0</v>
      </c>
      <c r="AZ165" s="56">
        <f t="shared" si="118"/>
        <v>0</v>
      </c>
      <c r="BA165" s="56">
        <f t="shared" si="118"/>
        <v>0</v>
      </c>
    </row>
    <row r="166" spans="2:53" x14ac:dyDescent="0.2">
      <c r="B166" s="57" t="s">
        <v>29</v>
      </c>
      <c r="C166" s="64">
        <f>+AF165/((1-(1/(1+$C$9)^$C$8))/$C$9)</f>
        <v>0</v>
      </c>
      <c r="D166" s="44"/>
      <c r="E166" s="44"/>
      <c r="F166" s="44"/>
      <c r="G166" s="6"/>
      <c r="H166" s="6"/>
      <c r="I166" s="6"/>
      <c r="J166" s="6"/>
      <c r="K166" s="6"/>
      <c r="L166" s="44"/>
      <c r="M166" s="44"/>
      <c r="N166" s="44"/>
      <c r="O166" s="56"/>
      <c r="P166" s="56"/>
      <c r="Q166" s="56"/>
      <c r="R166" s="56"/>
      <c r="S166" s="56"/>
      <c r="T166" s="56"/>
      <c r="U166" s="56"/>
      <c r="V166" s="56"/>
      <c r="W166" s="56"/>
      <c r="X166" s="56"/>
      <c r="Y166" s="56"/>
      <c r="Z166" s="56"/>
      <c r="AA166" s="56"/>
      <c r="AB166" s="56"/>
      <c r="AC166" s="56"/>
      <c r="AD166" s="56"/>
      <c r="AE166" s="56"/>
      <c r="AF166" s="56">
        <v>0</v>
      </c>
      <c r="AG166" s="56">
        <f>+IF(AF165&lt;0.01,0,$C$166)</f>
        <v>0</v>
      </c>
      <c r="AH166" s="56">
        <f t="shared" ref="AH166:BA166" si="119">+IF(AG165&lt;0.01,0,$C$166)</f>
        <v>0</v>
      </c>
      <c r="AI166" s="56">
        <f t="shared" si="119"/>
        <v>0</v>
      </c>
      <c r="AJ166" s="56">
        <f t="shared" si="119"/>
        <v>0</v>
      </c>
      <c r="AK166" s="56">
        <f t="shared" si="119"/>
        <v>0</v>
      </c>
      <c r="AL166" s="56">
        <f t="shared" si="119"/>
        <v>0</v>
      </c>
      <c r="AM166" s="56">
        <f t="shared" si="119"/>
        <v>0</v>
      </c>
      <c r="AN166" s="56">
        <f t="shared" si="119"/>
        <v>0</v>
      </c>
      <c r="AO166" s="56">
        <f t="shared" si="119"/>
        <v>0</v>
      </c>
      <c r="AP166" s="56">
        <f t="shared" si="119"/>
        <v>0</v>
      </c>
      <c r="AQ166" s="56">
        <f t="shared" si="119"/>
        <v>0</v>
      </c>
      <c r="AR166" s="56">
        <f t="shared" si="119"/>
        <v>0</v>
      </c>
      <c r="AS166" s="56">
        <f t="shared" si="119"/>
        <v>0</v>
      </c>
      <c r="AT166" s="56">
        <f t="shared" si="119"/>
        <v>0</v>
      </c>
      <c r="AU166" s="56">
        <f t="shared" si="119"/>
        <v>0</v>
      </c>
      <c r="AV166" s="56">
        <f t="shared" si="119"/>
        <v>0</v>
      </c>
      <c r="AW166" s="56">
        <f t="shared" si="119"/>
        <v>0</v>
      </c>
      <c r="AX166" s="56">
        <f t="shared" si="119"/>
        <v>0</v>
      </c>
      <c r="AY166" s="56">
        <f t="shared" si="119"/>
        <v>0</v>
      </c>
      <c r="AZ166" s="56">
        <f t="shared" si="119"/>
        <v>0</v>
      </c>
      <c r="BA166" s="56">
        <f t="shared" si="119"/>
        <v>0</v>
      </c>
    </row>
    <row r="167" spans="2:53" x14ac:dyDescent="0.2">
      <c r="B167" s="57" t="s">
        <v>30</v>
      </c>
      <c r="C167" s="65" t="s">
        <v>75</v>
      </c>
      <c r="D167" s="44"/>
      <c r="E167" s="44"/>
      <c r="F167" s="44"/>
      <c r="G167" s="6"/>
      <c r="H167" s="6"/>
      <c r="I167" s="6"/>
      <c r="J167" s="6"/>
      <c r="K167" s="6"/>
      <c r="L167" s="44"/>
      <c r="M167" s="44"/>
      <c r="N167" s="44"/>
      <c r="O167" s="56"/>
      <c r="P167" s="56"/>
      <c r="Q167" s="56"/>
      <c r="R167" s="56"/>
      <c r="S167" s="56"/>
      <c r="T167" s="56"/>
      <c r="U167" s="56"/>
      <c r="V167" s="56"/>
      <c r="W167" s="56"/>
      <c r="X167" s="56"/>
      <c r="Y167" s="56"/>
      <c r="Z167" s="56"/>
      <c r="AA167" s="56"/>
      <c r="AB167" s="56"/>
      <c r="AC167" s="56"/>
      <c r="AD167" s="56"/>
      <c r="AE167" s="56"/>
      <c r="AF167" s="56">
        <v>0</v>
      </c>
      <c r="AG167" s="56">
        <f t="shared" ref="AG167:BA167" si="120">+AG166-AG168</f>
        <v>0</v>
      </c>
      <c r="AH167" s="56">
        <f t="shared" si="120"/>
        <v>0</v>
      </c>
      <c r="AI167" s="56">
        <f t="shared" si="120"/>
        <v>0</v>
      </c>
      <c r="AJ167" s="56">
        <f t="shared" si="120"/>
        <v>0</v>
      </c>
      <c r="AK167" s="56">
        <f t="shared" si="120"/>
        <v>0</v>
      </c>
      <c r="AL167" s="56">
        <f t="shared" si="120"/>
        <v>0</v>
      </c>
      <c r="AM167" s="56">
        <f t="shared" si="120"/>
        <v>0</v>
      </c>
      <c r="AN167" s="56">
        <f t="shared" si="120"/>
        <v>0</v>
      </c>
      <c r="AO167" s="56">
        <f t="shared" si="120"/>
        <v>0</v>
      </c>
      <c r="AP167" s="56">
        <f t="shared" si="120"/>
        <v>0</v>
      </c>
      <c r="AQ167" s="56">
        <f t="shared" si="120"/>
        <v>0</v>
      </c>
      <c r="AR167" s="56">
        <f t="shared" si="120"/>
        <v>0</v>
      </c>
      <c r="AS167" s="56">
        <f t="shared" si="120"/>
        <v>0</v>
      </c>
      <c r="AT167" s="56">
        <f t="shared" si="120"/>
        <v>0</v>
      </c>
      <c r="AU167" s="56">
        <f t="shared" si="120"/>
        <v>0</v>
      </c>
      <c r="AV167" s="56">
        <f t="shared" si="120"/>
        <v>0</v>
      </c>
      <c r="AW167" s="56">
        <f t="shared" si="120"/>
        <v>0</v>
      </c>
      <c r="AX167" s="56">
        <f t="shared" si="120"/>
        <v>0</v>
      </c>
      <c r="AY167" s="56">
        <f t="shared" si="120"/>
        <v>0</v>
      </c>
      <c r="AZ167" s="56">
        <f t="shared" si="120"/>
        <v>0</v>
      </c>
      <c r="BA167" s="56">
        <f t="shared" si="120"/>
        <v>0</v>
      </c>
    </row>
    <row r="168" spans="2:53" x14ac:dyDescent="0.2">
      <c r="B168" s="57" t="s">
        <v>3</v>
      </c>
      <c r="C168" s="65" t="s">
        <v>75</v>
      </c>
      <c r="D168" s="44"/>
      <c r="E168" s="44"/>
      <c r="F168" s="44"/>
      <c r="G168" s="6"/>
      <c r="H168" s="6"/>
      <c r="I168" s="6"/>
      <c r="J168" s="6"/>
      <c r="K168" s="6"/>
      <c r="L168" s="44"/>
      <c r="M168" s="44"/>
      <c r="N168" s="44"/>
      <c r="O168" s="56"/>
      <c r="P168" s="56"/>
      <c r="Q168" s="56"/>
      <c r="R168" s="56"/>
      <c r="S168" s="56"/>
      <c r="T168" s="56"/>
      <c r="U168" s="56"/>
      <c r="V168" s="56"/>
      <c r="W168" s="56"/>
      <c r="X168" s="56"/>
      <c r="Y168" s="56"/>
      <c r="Z168" s="56"/>
      <c r="AA168" s="56"/>
      <c r="AB168" s="56"/>
      <c r="AC168" s="56"/>
      <c r="AD168" s="56"/>
      <c r="AE168" s="56"/>
      <c r="AF168" s="56">
        <v>0</v>
      </c>
      <c r="AG168" s="56">
        <f t="shared" ref="AG168:BA168" si="121">+$C$9*AF165</f>
        <v>0</v>
      </c>
      <c r="AH168" s="56">
        <f t="shared" si="121"/>
        <v>0</v>
      </c>
      <c r="AI168" s="56">
        <f t="shared" si="121"/>
        <v>0</v>
      </c>
      <c r="AJ168" s="56">
        <f t="shared" si="121"/>
        <v>0</v>
      </c>
      <c r="AK168" s="56">
        <f t="shared" si="121"/>
        <v>0</v>
      </c>
      <c r="AL168" s="56">
        <f t="shared" si="121"/>
        <v>0</v>
      </c>
      <c r="AM168" s="56">
        <f t="shared" si="121"/>
        <v>0</v>
      </c>
      <c r="AN168" s="56">
        <f t="shared" si="121"/>
        <v>0</v>
      </c>
      <c r="AO168" s="56">
        <f t="shared" si="121"/>
        <v>0</v>
      </c>
      <c r="AP168" s="56">
        <f t="shared" si="121"/>
        <v>0</v>
      </c>
      <c r="AQ168" s="56">
        <f t="shared" si="121"/>
        <v>0</v>
      </c>
      <c r="AR168" s="56">
        <f t="shared" si="121"/>
        <v>0</v>
      </c>
      <c r="AS168" s="56">
        <f t="shared" si="121"/>
        <v>0</v>
      </c>
      <c r="AT168" s="56">
        <f t="shared" si="121"/>
        <v>0</v>
      </c>
      <c r="AU168" s="56">
        <f t="shared" si="121"/>
        <v>0</v>
      </c>
      <c r="AV168" s="56">
        <f t="shared" si="121"/>
        <v>0</v>
      </c>
      <c r="AW168" s="56">
        <f t="shared" si="121"/>
        <v>0</v>
      </c>
      <c r="AX168" s="56">
        <f t="shared" si="121"/>
        <v>0</v>
      </c>
      <c r="AY168" s="56">
        <f t="shared" si="121"/>
        <v>0</v>
      </c>
      <c r="AZ168" s="56">
        <f t="shared" si="121"/>
        <v>0</v>
      </c>
      <c r="BA168" s="56">
        <f t="shared" si="121"/>
        <v>0</v>
      </c>
    </row>
    <row r="169" spans="2:53" x14ac:dyDescent="0.2">
      <c r="B169" s="57"/>
      <c r="D169" s="44"/>
      <c r="E169" s="44"/>
      <c r="F169" s="44"/>
      <c r="G169" s="44"/>
      <c r="H169" s="44"/>
      <c r="I169" s="44"/>
      <c r="J169" s="6"/>
      <c r="K169" s="6"/>
      <c r="L169" s="44"/>
      <c r="M169" s="44"/>
      <c r="N169" s="44"/>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row>
    <row r="170" spans="2:53" x14ac:dyDescent="0.2">
      <c r="B170" s="46" t="s">
        <v>74</v>
      </c>
      <c r="C170" s="65" t="s">
        <v>75</v>
      </c>
      <c r="D170" s="44"/>
      <c r="E170" s="44"/>
      <c r="F170" s="44"/>
      <c r="G170" s="6"/>
      <c r="H170" s="6"/>
      <c r="I170" s="6"/>
      <c r="J170" s="6"/>
      <c r="K170" s="6"/>
      <c r="L170" s="6"/>
      <c r="M170" s="44"/>
      <c r="N170" s="44"/>
      <c r="O170" s="56"/>
      <c r="P170" s="56"/>
      <c r="Q170" s="56"/>
      <c r="R170" s="56"/>
      <c r="S170" s="56"/>
      <c r="T170" s="56"/>
      <c r="U170" s="56"/>
      <c r="V170" s="56"/>
      <c r="W170" s="56"/>
      <c r="X170" s="56"/>
      <c r="Y170" s="56"/>
      <c r="Z170" s="56"/>
      <c r="AA170" s="56"/>
      <c r="AB170" s="56"/>
      <c r="AC170" s="56"/>
      <c r="AD170" s="56"/>
      <c r="AE170" s="56"/>
      <c r="AF170" s="56"/>
      <c r="AG170" s="56">
        <f>AG18</f>
        <v>0</v>
      </c>
      <c r="AH170" s="56">
        <f t="shared" ref="AH170:BA170" si="122">+AG170-AH172</f>
        <v>0</v>
      </c>
      <c r="AI170" s="56">
        <f t="shared" si="122"/>
        <v>0</v>
      </c>
      <c r="AJ170" s="56">
        <f t="shared" si="122"/>
        <v>0</v>
      </c>
      <c r="AK170" s="56">
        <f t="shared" si="122"/>
        <v>0</v>
      </c>
      <c r="AL170" s="56">
        <f t="shared" si="122"/>
        <v>0</v>
      </c>
      <c r="AM170" s="56">
        <f t="shared" si="122"/>
        <v>0</v>
      </c>
      <c r="AN170" s="56">
        <f t="shared" si="122"/>
        <v>0</v>
      </c>
      <c r="AO170" s="56">
        <f t="shared" si="122"/>
        <v>0</v>
      </c>
      <c r="AP170" s="56">
        <f t="shared" si="122"/>
        <v>0</v>
      </c>
      <c r="AQ170" s="56">
        <f t="shared" si="122"/>
        <v>0</v>
      </c>
      <c r="AR170" s="56">
        <f t="shared" si="122"/>
        <v>0</v>
      </c>
      <c r="AS170" s="56">
        <f t="shared" si="122"/>
        <v>0</v>
      </c>
      <c r="AT170" s="56">
        <f t="shared" si="122"/>
        <v>0</v>
      </c>
      <c r="AU170" s="56">
        <f t="shared" si="122"/>
        <v>0</v>
      </c>
      <c r="AV170" s="56">
        <f t="shared" si="122"/>
        <v>0</v>
      </c>
      <c r="AW170" s="56">
        <f t="shared" si="122"/>
        <v>0</v>
      </c>
      <c r="AX170" s="56">
        <f t="shared" si="122"/>
        <v>0</v>
      </c>
      <c r="AY170" s="56">
        <f t="shared" si="122"/>
        <v>0</v>
      </c>
      <c r="AZ170" s="56">
        <f t="shared" si="122"/>
        <v>0</v>
      </c>
      <c r="BA170" s="56">
        <f t="shared" si="122"/>
        <v>0</v>
      </c>
    </row>
    <row r="171" spans="2:53" x14ac:dyDescent="0.2">
      <c r="B171" s="57" t="s">
        <v>29</v>
      </c>
      <c r="C171" s="64">
        <f>+AG170/((1-(1/(1+$C$9)^$C$8))/$C$9)</f>
        <v>0</v>
      </c>
      <c r="D171" s="44"/>
      <c r="E171" s="44"/>
      <c r="F171" s="44"/>
      <c r="G171" s="6"/>
      <c r="H171" s="6"/>
      <c r="I171" s="6"/>
      <c r="J171" s="6"/>
      <c r="K171" s="6"/>
      <c r="L171" s="6"/>
      <c r="M171" s="44"/>
      <c r="N171" s="44"/>
      <c r="O171" s="56"/>
      <c r="P171" s="56"/>
      <c r="Q171" s="56"/>
      <c r="R171" s="56"/>
      <c r="S171" s="56"/>
      <c r="T171" s="56"/>
      <c r="U171" s="56"/>
      <c r="V171" s="56"/>
      <c r="W171" s="56"/>
      <c r="X171" s="56"/>
      <c r="Y171" s="56"/>
      <c r="Z171" s="56"/>
      <c r="AA171" s="56"/>
      <c r="AB171" s="56"/>
      <c r="AC171" s="56"/>
      <c r="AD171" s="56"/>
      <c r="AE171" s="56"/>
      <c r="AF171" s="56"/>
      <c r="AG171" s="56">
        <v>0</v>
      </c>
      <c r="AH171" s="56">
        <f>+IF(AG170&lt;0.01,0,$C$171)</f>
        <v>0</v>
      </c>
      <c r="AI171" s="56">
        <f t="shared" ref="AI171:BA171" si="123">+IF(AH170&lt;0.01,0,$C$171)</f>
        <v>0</v>
      </c>
      <c r="AJ171" s="56">
        <f t="shared" si="123"/>
        <v>0</v>
      </c>
      <c r="AK171" s="56">
        <f t="shared" si="123"/>
        <v>0</v>
      </c>
      <c r="AL171" s="56">
        <f t="shared" si="123"/>
        <v>0</v>
      </c>
      <c r="AM171" s="56">
        <f t="shared" si="123"/>
        <v>0</v>
      </c>
      <c r="AN171" s="56">
        <f t="shared" si="123"/>
        <v>0</v>
      </c>
      <c r="AO171" s="56">
        <f t="shared" si="123"/>
        <v>0</v>
      </c>
      <c r="AP171" s="56">
        <f t="shared" si="123"/>
        <v>0</v>
      </c>
      <c r="AQ171" s="56">
        <f t="shared" si="123"/>
        <v>0</v>
      </c>
      <c r="AR171" s="56">
        <f t="shared" si="123"/>
        <v>0</v>
      </c>
      <c r="AS171" s="56">
        <f t="shared" si="123"/>
        <v>0</v>
      </c>
      <c r="AT171" s="56">
        <f t="shared" si="123"/>
        <v>0</v>
      </c>
      <c r="AU171" s="56">
        <f t="shared" si="123"/>
        <v>0</v>
      </c>
      <c r="AV171" s="56">
        <f t="shared" si="123"/>
        <v>0</v>
      </c>
      <c r="AW171" s="56">
        <f t="shared" si="123"/>
        <v>0</v>
      </c>
      <c r="AX171" s="56">
        <f t="shared" si="123"/>
        <v>0</v>
      </c>
      <c r="AY171" s="56">
        <f t="shared" si="123"/>
        <v>0</v>
      </c>
      <c r="AZ171" s="56">
        <f t="shared" si="123"/>
        <v>0</v>
      </c>
      <c r="BA171" s="56">
        <f t="shared" si="123"/>
        <v>0</v>
      </c>
    </row>
    <row r="172" spans="2:53" x14ac:dyDescent="0.2">
      <c r="B172" s="57" t="s">
        <v>30</v>
      </c>
      <c r="C172" s="65" t="s">
        <v>75</v>
      </c>
      <c r="D172" s="44"/>
      <c r="E172" s="44"/>
      <c r="F172" s="44"/>
      <c r="G172" s="6"/>
      <c r="H172" s="6"/>
      <c r="I172" s="6"/>
      <c r="J172" s="6"/>
      <c r="K172" s="6"/>
      <c r="L172" s="6"/>
      <c r="M172" s="44"/>
      <c r="N172" s="44"/>
      <c r="O172" s="56"/>
      <c r="P172" s="56"/>
      <c r="Q172" s="56"/>
      <c r="R172" s="56"/>
      <c r="S172" s="56"/>
      <c r="T172" s="56"/>
      <c r="U172" s="56"/>
      <c r="V172" s="56"/>
      <c r="W172" s="56"/>
      <c r="X172" s="56"/>
      <c r="Y172" s="56"/>
      <c r="Z172" s="56"/>
      <c r="AA172" s="56"/>
      <c r="AB172" s="56"/>
      <c r="AC172" s="56"/>
      <c r="AD172" s="56"/>
      <c r="AE172" s="56"/>
      <c r="AF172" s="56"/>
      <c r="AG172" s="56">
        <v>0</v>
      </c>
      <c r="AH172" s="56">
        <f t="shared" ref="AH172:BA172" si="124">+AH171-AH173</f>
        <v>0</v>
      </c>
      <c r="AI172" s="56">
        <f t="shared" si="124"/>
        <v>0</v>
      </c>
      <c r="AJ172" s="56">
        <f t="shared" si="124"/>
        <v>0</v>
      </c>
      <c r="AK172" s="56">
        <f t="shared" si="124"/>
        <v>0</v>
      </c>
      <c r="AL172" s="56">
        <f t="shared" si="124"/>
        <v>0</v>
      </c>
      <c r="AM172" s="56">
        <f t="shared" si="124"/>
        <v>0</v>
      </c>
      <c r="AN172" s="56">
        <f t="shared" si="124"/>
        <v>0</v>
      </c>
      <c r="AO172" s="56">
        <f t="shared" si="124"/>
        <v>0</v>
      </c>
      <c r="AP172" s="56">
        <f t="shared" si="124"/>
        <v>0</v>
      </c>
      <c r="AQ172" s="56">
        <f t="shared" si="124"/>
        <v>0</v>
      </c>
      <c r="AR172" s="56">
        <f t="shared" si="124"/>
        <v>0</v>
      </c>
      <c r="AS172" s="56">
        <f t="shared" si="124"/>
        <v>0</v>
      </c>
      <c r="AT172" s="56">
        <f t="shared" si="124"/>
        <v>0</v>
      </c>
      <c r="AU172" s="56">
        <f t="shared" si="124"/>
        <v>0</v>
      </c>
      <c r="AV172" s="56">
        <f t="shared" si="124"/>
        <v>0</v>
      </c>
      <c r="AW172" s="56">
        <f t="shared" si="124"/>
        <v>0</v>
      </c>
      <c r="AX172" s="56">
        <f t="shared" si="124"/>
        <v>0</v>
      </c>
      <c r="AY172" s="56">
        <f t="shared" si="124"/>
        <v>0</v>
      </c>
      <c r="AZ172" s="56">
        <f t="shared" si="124"/>
        <v>0</v>
      </c>
      <c r="BA172" s="56">
        <f t="shared" si="124"/>
        <v>0</v>
      </c>
    </row>
    <row r="173" spans="2:53" x14ac:dyDescent="0.2">
      <c r="B173" s="57" t="s">
        <v>3</v>
      </c>
      <c r="C173" s="65" t="s">
        <v>75</v>
      </c>
      <c r="D173" s="44"/>
      <c r="E173" s="44"/>
      <c r="F173" s="44"/>
      <c r="G173" s="6"/>
      <c r="H173" s="6"/>
      <c r="I173" s="6"/>
      <c r="J173" s="6"/>
      <c r="K173" s="6"/>
      <c r="L173" s="6"/>
      <c r="M173" s="44"/>
      <c r="N173" s="44"/>
      <c r="O173" s="56"/>
      <c r="P173" s="56"/>
      <c r="Q173" s="56"/>
      <c r="R173" s="56"/>
      <c r="S173" s="56"/>
      <c r="T173" s="56"/>
      <c r="U173" s="56"/>
      <c r="V173" s="56"/>
      <c r="W173" s="56"/>
      <c r="X173" s="56"/>
      <c r="Y173" s="56"/>
      <c r="Z173" s="56"/>
      <c r="AA173" s="56"/>
      <c r="AB173" s="56"/>
      <c r="AC173" s="56"/>
      <c r="AD173" s="56"/>
      <c r="AE173" s="56"/>
      <c r="AF173" s="56"/>
      <c r="AG173" s="56">
        <v>0</v>
      </c>
      <c r="AH173" s="56">
        <f t="shared" ref="AH173:BA173" si="125">+$C$9*AG170</f>
        <v>0</v>
      </c>
      <c r="AI173" s="56">
        <f t="shared" si="125"/>
        <v>0</v>
      </c>
      <c r="AJ173" s="56">
        <f t="shared" si="125"/>
        <v>0</v>
      </c>
      <c r="AK173" s="56">
        <f t="shared" si="125"/>
        <v>0</v>
      </c>
      <c r="AL173" s="56">
        <f t="shared" si="125"/>
        <v>0</v>
      </c>
      <c r="AM173" s="56">
        <f t="shared" si="125"/>
        <v>0</v>
      </c>
      <c r="AN173" s="56">
        <f t="shared" si="125"/>
        <v>0</v>
      </c>
      <c r="AO173" s="56">
        <f t="shared" si="125"/>
        <v>0</v>
      </c>
      <c r="AP173" s="56">
        <f t="shared" si="125"/>
        <v>0</v>
      </c>
      <c r="AQ173" s="56">
        <f t="shared" si="125"/>
        <v>0</v>
      </c>
      <c r="AR173" s="56">
        <f t="shared" si="125"/>
        <v>0</v>
      </c>
      <c r="AS173" s="56">
        <f t="shared" si="125"/>
        <v>0</v>
      </c>
      <c r="AT173" s="56">
        <f t="shared" si="125"/>
        <v>0</v>
      </c>
      <c r="AU173" s="56">
        <f t="shared" si="125"/>
        <v>0</v>
      </c>
      <c r="AV173" s="56">
        <f t="shared" si="125"/>
        <v>0</v>
      </c>
      <c r="AW173" s="56">
        <f t="shared" si="125"/>
        <v>0</v>
      </c>
      <c r="AX173" s="56">
        <f t="shared" si="125"/>
        <v>0</v>
      </c>
      <c r="AY173" s="56">
        <f t="shared" si="125"/>
        <v>0</v>
      </c>
      <c r="AZ173" s="56">
        <f t="shared" si="125"/>
        <v>0</v>
      </c>
      <c r="BA173" s="56">
        <f t="shared" si="125"/>
        <v>0</v>
      </c>
    </row>
    <row r="174" spans="2:53" x14ac:dyDescent="0.2">
      <c r="D174" s="6"/>
      <c r="E174" s="6"/>
      <c r="F174" s="6"/>
      <c r="G174" s="6"/>
      <c r="H174" s="6"/>
      <c r="I174" s="6"/>
      <c r="J174" s="6"/>
      <c r="K174" s="6"/>
      <c r="L174" s="6"/>
      <c r="M174" s="6"/>
      <c r="N174" s="6"/>
    </row>
    <row r="175" spans="2:53" x14ac:dyDescent="0.2">
      <c r="B175" s="46" t="s">
        <v>107</v>
      </c>
      <c r="C175" s="65" t="s">
        <v>75</v>
      </c>
      <c r="D175" s="44"/>
      <c r="E175" s="44"/>
      <c r="F175" s="44"/>
      <c r="G175" s="44"/>
      <c r="H175" s="44"/>
      <c r="I175" s="44"/>
      <c r="J175" s="44"/>
      <c r="K175" s="44"/>
      <c r="L175" s="44"/>
      <c r="M175" s="44"/>
      <c r="N175" s="44"/>
      <c r="O175" s="56"/>
      <c r="P175" s="56"/>
      <c r="Q175" s="56"/>
      <c r="R175" s="56"/>
      <c r="S175" s="56"/>
      <c r="T175" s="56"/>
      <c r="U175" s="56"/>
      <c r="V175" s="56"/>
      <c r="W175" s="56"/>
      <c r="X175" s="56"/>
      <c r="Y175" s="56"/>
      <c r="Z175" s="56"/>
      <c r="AA175" s="56"/>
      <c r="AB175" s="56"/>
      <c r="AC175" s="56"/>
      <c r="AD175" s="56"/>
      <c r="AE175" s="56"/>
      <c r="AF175" s="56"/>
      <c r="AG175" s="56"/>
      <c r="AH175" s="56">
        <f>AH18</f>
        <v>0</v>
      </c>
      <c r="AI175" s="56">
        <f t="shared" ref="AI175:BA175" si="126">+AH175-AI177</f>
        <v>0</v>
      </c>
      <c r="AJ175" s="56">
        <f t="shared" si="126"/>
        <v>0</v>
      </c>
      <c r="AK175" s="56">
        <f t="shared" si="126"/>
        <v>0</v>
      </c>
      <c r="AL175" s="56">
        <f t="shared" si="126"/>
        <v>0</v>
      </c>
      <c r="AM175" s="56">
        <f t="shared" si="126"/>
        <v>0</v>
      </c>
      <c r="AN175" s="56">
        <f t="shared" si="126"/>
        <v>0</v>
      </c>
      <c r="AO175" s="56">
        <f t="shared" si="126"/>
        <v>0</v>
      </c>
      <c r="AP175" s="56">
        <f t="shared" si="126"/>
        <v>0</v>
      </c>
      <c r="AQ175" s="56">
        <f t="shared" si="126"/>
        <v>0</v>
      </c>
      <c r="AR175" s="56">
        <f t="shared" si="126"/>
        <v>0</v>
      </c>
      <c r="AS175" s="56">
        <f t="shared" si="126"/>
        <v>0</v>
      </c>
      <c r="AT175" s="56">
        <f t="shared" si="126"/>
        <v>0</v>
      </c>
      <c r="AU175" s="56">
        <f t="shared" si="126"/>
        <v>0</v>
      </c>
      <c r="AV175" s="56">
        <f t="shared" si="126"/>
        <v>0</v>
      </c>
      <c r="AW175" s="56">
        <f t="shared" si="126"/>
        <v>0</v>
      </c>
      <c r="AX175" s="56">
        <f t="shared" si="126"/>
        <v>0</v>
      </c>
      <c r="AY175" s="56">
        <f t="shared" si="126"/>
        <v>0</v>
      </c>
      <c r="AZ175" s="56">
        <f t="shared" si="126"/>
        <v>0</v>
      </c>
      <c r="BA175" s="56">
        <f t="shared" si="126"/>
        <v>0</v>
      </c>
    </row>
    <row r="176" spans="2:53" x14ac:dyDescent="0.2">
      <c r="B176" s="57" t="s">
        <v>29</v>
      </c>
      <c r="C176" s="64">
        <f>+AH175/((1-(1/(1+$C$9)^$C$8))/$C$9)</f>
        <v>0</v>
      </c>
      <c r="D176" s="44"/>
      <c r="E176" s="44"/>
      <c r="F176" s="44"/>
      <c r="G176" s="44"/>
      <c r="H176" s="44"/>
      <c r="I176" s="44"/>
      <c r="J176" s="44"/>
      <c r="K176" s="44"/>
      <c r="L176" s="44"/>
      <c r="M176" s="44"/>
      <c r="N176" s="44"/>
      <c r="O176" s="56"/>
      <c r="P176" s="56"/>
      <c r="Q176" s="56"/>
      <c r="R176" s="56"/>
      <c r="S176" s="56"/>
      <c r="T176" s="56"/>
      <c r="U176" s="56"/>
      <c r="V176" s="56"/>
      <c r="W176" s="56"/>
      <c r="X176" s="56"/>
      <c r="Y176" s="56"/>
      <c r="Z176" s="56"/>
      <c r="AA176" s="56"/>
      <c r="AB176" s="56"/>
      <c r="AC176" s="56"/>
      <c r="AD176" s="56"/>
      <c r="AE176" s="56"/>
      <c r="AF176" s="56"/>
      <c r="AG176" s="56"/>
      <c r="AH176" s="56">
        <v>0</v>
      </c>
      <c r="AI176" s="56">
        <f>+IF(AH175&lt;0.01,0,$C$176)</f>
        <v>0</v>
      </c>
      <c r="AJ176" s="56">
        <f t="shared" ref="AJ176:BA176" si="127">+IF(AI175&lt;0.01,0,$C$176)</f>
        <v>0</v>
      </c>
      <c r="AK176" s="56">
        <f t="shared" si="127"/>
        <v>0</v>
      </c>
      <c r="AL176" s="56">
        <f t="shared" si="127"/>
        <v>0</v>
      </c>
      <c r="AM176" s="56">
        <f t="shared" si="127"/>
        <v>0</v>
      </c>
      <c r="AN176" s="56">
        <f t="shared" si="127"/>
        <v>0</v>
      </c>
      <c r="AO176" s="56">
        <f t="shared" si="127"/>
        <v>0</v>
      </c>
      <c r="AP176" s="56">
        <f t="shared" si="127"/>
        <v>0</v>
      </c>
      <c r="AQ176" s="56">
        <f t="shared" si="127"/>
        <v>0</v>
      </c>
      <c r="AR176" s="56">
        <f t="shared" si="127"/>
        <v>0</v>
      </c>
      <c r="AS176" s="56">
        <f t="shared" si="127"/>
        <v>0</v>
      </c>
      <c r="AT176" s="56">
        <f t="shared" si="127"/>
        <v>0</v>
      </c>
      <c r="AU176" s="56">
        <f t="shared" si="127"/>
        <v>0</v>
      </c>
      <c r="AV176" s="56">
        <f t="shared" si="127"/>
        <v>0</v>
      </c>
      <c r="AW176" s="56">
        <f t="shared" si="127"/>
        <v>0</v>
      </c>
      <c r="AX176" s="56">
        <f t="shared" si="127"/>
        <v>0</v>
      </c>
      <c r="AY176" s="56">
        <f t="shared" si="127"/>
        <v>0</v>
      </c>
      <c r="AZ176" s="56">
        <f t="shared" si="127"/>
        <v>0</v>
      </c>
      <c r="BA176" s="56">
        <f t="shared" si="127"/>
        <v>0</v>
      </c>
    </row>
    <row r="177" spans="2:53" x14ac:dyDescent="0.2">
      <c r="B177" s="57" t="s">
        <v>30</v>
      </c>
      <c r="C177" s="65" t="s">
        <v>75</v>
      </c>
      <c r="D177" s="44"/>
      <c r="E177" s="44"/>
      <c r="F177" s="44"/>
      <c r="G177" s="44"/>
      <c r="H177" s="44"/>
      <c r="I177" s="44"/>
      <c r="J177" s="44"/>
      <c r="K177" s="44"/>
      <c r="L177" s="44"/>
      <c r="M177" s="44"/>
      <c r="N177" s="44"/>
      <c r="O177" s="56"/>
      <c r="P177" s="56"/>
      <c r="Q177" s="56"/>
      <c r="R177" s="56"/>
      <c r="S177" s="56"/>
      <c r="T177" s="56"/>
      <c r="U177" s="56"/>
      <c r="V177" s="56"/>
      <c r="W177" s="56"/>
      <c r="X177" s="56"/>
      <c r="Y177" s="56"/>
      <c r="Z177" s="56"/>
      <c r="AA177" s="56"/>
      <c r="AB177" s="56"/>
      <c r="AC177" s="56"/>
      <c r="AD177" s="56"/>
      <c r="AE177" s="56"/>
      <c r="AF177" s="56"/>
      <c r="AG177" s="56"/>
      <c r="AH177" s="56">
        <v>0</v>
      </c>
      <c r="AI177" s="56">
        <f t="shared" ref="AI177:BA177" si="128">+AI176-AI178</f>
        <v>0</v>
      </c>
      <c r="AJ177" s="56">
        <f t="shared" si="128"/>
        <v>0</v>
      </c>
      <c r="AK177" s="56">
        <f t="shared" si="128"/>
        <v>0</v>
      </c>
      <c r="AL177" s="56">
        <f t="shared" si="128"/>
        <v>0</v>
      </c>
      <c r="AM177" s="56">
        <f t="shared" si="128"/>
        <v>0</v>
      </c>
      <c r="AN177" s="56">
        <f t="shared" si="128"/>
        <v>0</v>
      </c>
      <c r="AO177" s="56">
        <f t="shared" si="128"/>
        <v>0</v>
      </c>
      <c r="AP177" s="56">
        <f t="shared" si="128"/>
        <v>0</v>
      </c>
      <c r="AQ177" s="56">
        <f t="shared" si="128"/>
        <v>0</v>
      </c>
      <c r="AR177" s="56">
        <f t="shared" si="128"/>
        <v>0</v>
      </c>
      <c r="AS177" s="56">
        <f t="shared" si="128"/>
        <v>0</v>
      </c>
      <c r="AT177" s="56">
        <f t="shared" si="128"/>
        <v>0</v>
      </c>
      <c r="AU177" s="56">
        <f t="shared" si="128"/>
        <v>0</v>
      </c>
      <c r="AV177" s="56">
        <f t="shared" si="128"/>
        <v>0</v>
      </c>
      <c r="AW177" s="56">
        <f t="shared" si="128"/>
        <v>0</v>
      </c>
      <c r="AX177" s="56">
        <f t="shared" si="128"/>
        <v>0</v>
      </c>
      <c r="AY177" s="56">
        <f t="shared" si="128"/>
        <v>0</v>
      </c>
      <c r="AZ177" s="56">
        <f t="shared" si="128"/>
        <v>0</v>
      </c>
      <c r="BA177" s="56">
        <f t="shared" si="128"/>
        <v>0</v>
      </c>
    </row>
    <row r="178" spans="2:53" x14ac:dyDescent="0.2">
      <c r="B178" s="57" t="s">
        <v>3</v>
      </c>
      <c r="C178" s="65" t="s">
        <v>75</v>
      </c>
      <c r="D178" s="44"/>
      <c r="E178" s="44"/>
      <c r="F178" s="44"/>
      <c r="G178" s="44"/>
      <c r="H178" s="44"/>
      <c r="I178" s="44"/>
      <c r="J178" s="44"/>
      <c r="K178" s="44"/>
      <c r="L178" s="44"/>
      <c r="M178" s="44"/>
      <c r="N178" s="44"/>
      <c r="O178" s="56"/>
      <c r="P178" s="56"/>
      <c r="Q178" s="56"/>
      <c r="R178" s="56"/>
      <c r="S178" s="56"/>
      <c r="T178" s="56"/>
      <c r="U178" s="56"/>
      <c r="V178" s="56"/>
      <c r="W178" s="56"/>
      <c r="X178" s="56"/>
      <c r="Y178" s="56"/>
      <c r="Z178" s="56"/>
      <c r="AA178" s="56"/>
      <c r="AB178" s="56"/>
      <c r="AC178" s="56"/>
      <c r="AD178" s="56"/>
      <c r="AE178" s="56"/>
      <c r="AF178" s="56"/>
      <c r="AG178" s="56"/>
      <c r="AH178" s="56">
        <v>0</v>
      </c>
      <c r="AI178" s="56">
        <f t="shared" ref="AI178:BA178" si="129">+$C$9*AH175</f>
        <v>0</v>
      </c>
      <c r="AJ178" s="56">
        <f t="shared" si="129"/>
        <v>0</v>
      </c>
      <c r="AK178" s="56">
        <f t="shared" si="129"/>
        <v>0</v>
      </c>
      <c r="AL178" s="56">
        <f t="shared" si="129"/>
        <v>0</v>
      </c>
      <c r="AM178" s="56">
        <f t="shared" si="129"/>
        <v>0</v>
      </c>
      <c r="AN178" s="56">
        <f t="shared" si="129"/>
        <v>0</v>
      </c>
      <c r="AO178" s="56">
        <f t="shared" si="129"/>
        <v>0</v>
      </c>
      <c r="AP178" s="56">
        <f t="shared" si="129"/>
        <v>0</v>
      </c>
      <c r="AQ178" s="56">
        <f t="shared" si="129"/>
        <v>0</v>
      </c>
      <c r="AR178" s="56">
        <f t="shared" si="129"/>
        <v>0</v>
      </c>
      <c r="AS178" s="56">
        <f t="shared" si="129"/>
        <v>0</v>
      </c>
      <c r="AT178" s="56">
        <f t="shared" si="129"/>
        <v>0</v>
      </c>
      <c r="AU178" s="56">
        <f t="shared" si="129"/>
        <v>0</v>
      </c>
      <c r="AV178" s="56">
        <f t="shared" si="129"/>
        <v>0</v>
      </c>
      <c r="AW178" s="56">
        <f t="shared" si="129"/>
        <v>0</v>
      </c>
      <c r="AX178" s="56">
        <f t="shared" si="129"/>
        <v>0</v>
      </c>
      <c r="AY178" s="56">
        <f t="shared" si="129"/>
        <v>0</v>
      </c>
      <c r="AZ178" s="56">
        <f t="shared" si="129"/>
        <v>0</v>
      </c>
      <c r="BA178" s="56">
        <f t="shared" si="129"/>
        <v>0</v>
      </c>
    </row>
    <row r="179" spans="2:53" x14ac:dyDescent="0.2">
      <c r="B179" s="57"/>
      <c r="D179" s="44"/>
      <c r="E179" s="44"/>
      <c r="F179" s="44"/>
      <c r="G179" s="44"/>
      <c r="H179" s="44"/>
      <c r="I179" s="44"/>
      <c r="J179" s="44"/>
      <c r="K179" s="44"/>
      <c r="L179" s="44"/>
      <c r="M179" s="44"/>
      <c r="N179" s="44"/>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row>
    <row r="180" spans="2:53" x14ac:dyDescent="0.2">
      <c r="B180" s="46" t="s">
        <v>108</v>
      </c>
      <c r="C180" s="65" t="s">
        <v>75</v>
      </c>
      <c r="D180" s="44"/>
      <c r="E180" s="44"/>
      <c r="F180" s="44"/>
      <c r="G180" s="44"/>
      <c r="H180" s="44"/>
      <c r="I180" s="44"/>
      <c r="J180" s="44"/>
      <c r="K180" s="44"/>
      <c r="L180" s="44"/>
      <c r="M180" s="44"/>
      <c r="N180" s="44"/>
      <c r="O180" s="56"/>
      <c r="P180" s="56"/>
      <c r="Q180" s="56"/>
      <c r="R180" s="56"/>
      <c r="S180" s="56"/>
      <c r="T180" s="56"/>
      <c r="U180" s="56"/>
      <c r="V180" s="56"/>
      <c r="W180" s="56"/>
      <c r="X180" s="56"/>
      <c r="Y180" s="56"/>
      <c r="Z180" s="56"/>
      <c r="AA180" s="56"/>
      <c r="AB180" s="56"/>
      <c r="AC180" s="56"/>
      <c r="AD180" s="56"/>
      <c r="AE180" s="56"/>
      <c r="AF180" s="56"/>
      <c r="AG180" s="56"/>
      <c r="AH180" s="56"/>
      <c r="AI180" s="56">
        <f>AI18</f>
        <v>0</v>
      </c>
      <c r="AJ180" s="56">
        <f t="shared" ref="AJ180:BA180" si="130">+AI180-AJ182</f>
        <v>0</v>
      </c>
      <c r="AK180" s="56">
        <f t="shared" si="130"/>
        <v>0</v>
      </c>
      <c r="AL180" s="56">
        <f t="shared" si="130"/>
        <v>0</v>
      </c>
      <c r="AM180" s="56">
        <f t="shared" si="130"/>
        <v>0</v>
      </c>
      <c r="AN180" s="56">
        <f t="shared" si="130"/>
        <v>0</v>
      </c>
      <c r="AO180" s="56">
        <f t="shared" si="130"/>
        <v>0</v>
      </c>
      <c r="AP180" s="56">
        <f t="shared" si="130"/>
        <v>0</v>
      </c>
      <c r="AQ180" s="56">
        <f t="shared" si="130"/>
        <v>0</v>
      </c>
      <c r="AR180" s="56">
        <f t="shared" si="130"/>
        <v>0</v>
      </c>
      <c r="AS180" s="56">
        <f t="shared" si="130"/>
        <v>0</v>
      </c>
      <c r="AT180" s="56">
        <f t="shared" si="130"/>
        <v>0</v>
      </c>
      <c r="AU180" s="56">
        <f t="shared" si="130"/>
        <v>0</v>
      </c>
      <c r="AV180" s="56">
        <f t="shared" si="130"/>
        <v>0</v>
      </c>
      <c r="AW180" s="56">
        <f t="shared" si="130"/>
        <v>0</v>
      </c>
      <c r="AX180" s="56">
        <f t="shared" si="130"/>
        <v>0</v>
      </c>
      <c r="AY180" s="56">
        <f t="shared" si="130"/>
        <v>0</v>
      </c>
      <c r="AZ180" s="56">
        <f t="shared" si="130"/>
        <v>0</v>
      </c>
      <c r="BA180" s="56">
        <f t="shared" si="130"/>
        <v>0</v>
      </c>
    </row>
    <row r="181" spans="2:53" x14ac:dyDescent="0.2">
      <c r="B181" s="57" t="s">
        <v>29</v>
      </c>
      <c r="C181" s="64">
        <f>+AI180/((1-(1/(1+$C$9)^$C$8))/$C$9)</f>
        <v>0</v>
      </c>
      <c r="D181" s="44"/>
      <c r="E181" s="44"/>
      <c r="F181" s="44"/>
      <c r="G181" s="44"/>
      <c r="H181" s="44"/>
      <c r="I181" s="44"/>
      <c r="J181" s="44"/>
      <c r="K181" s="44"/>
      <c r="L181" s="44"/>
      <c r="M181" s="44"/>
      <c r="N181" s="44"/>
      <c r="O181" s="56"/>
      <c r="P181" s="56"/>
      <c r="Q181" s="56"/>
      <c r="R181" s="56"/>
      <c r="S181" s="56"/>
      <c r="T181" s="56"/>
      <c r="U181" s="56"/>
      <c r="V181" s="56"/>
      <c r="W181" s="56"/>
      <c r="X181" s="56"/>
      <c r="Y181" s="56"/>
      <c r="Z181" s="56"/>
      <c r="AA181" s="56"/>
      <c r="AB181" s="56"/>
      <c r="AC181" s="56"/>
      <c r="AD181" s="56"/>
      <c r="AE181" s="56"/>
      <c r="AF181" s="56"/>
      <c r="AG181" s="56"/>
      <c r="AH181" s="56"/>
      <c r="AI181" s="56">
        <v>0</v>
      </c>
      <c r="AJ181" s="56">
        <f>+IF(AI180&lt;0.01,0,$C$181)</f>
        <v>0</v>
      </c>
      <c r="AK181" s="56">
        <f t="shared" ref="AK181:BA181" si="131">+IF(AJ180&lt;0.01,0,$C$181)</f>
        <v>0</v>
      </c>
      <c r="AL181" s="56">
        <f t="shared" si="131"/>
        <v>0</v>
      </c>
      <c r="AM181" s="56">
        <f t="shared" si="131"/>
        <v>0</v>
      </c>
      <c r="AN181" s="56">
        <f t="shared" si="131"/>
        <v>0</v>
      </c>
      <c r="AO181" s="56">
        <f t="shared" si="131"/>
        <v>0</v>
      </c>
      <c r="AP181" s="56">
        <f t="shared" si="131"/>
        <v>0</v>
      </c>
      <c r="AQ181" s="56">
        <f t="shared" si="131"/>
        <v>0</v>
      </c>
      <c r="AR181" s="56">
        <f t="shared" si="131"/>
        <v>0</v>
      </c>
      <c r="AS181" s="56">
        <f t="shared" si="131"/>
        <v>0</v>
      </c>
      <c r="AT181" s="56">
        <f t="shared" si="131"/>
        <v>0</v>
      </c>
      <c r="AU181" s="56">
        <f t="shared" si="131"/>
        <v>0</v>
      </c>
      <c r="AV181" s="56">
        <f t="shared" si="131"/>
        <v>0</v>
      </c>
      <c r="AW181" s="56">
        <f t="shared" si="131"/>
        <v>0</v>
      </c>
      <c r="AX181" s="56">
        <f t="shared" si="131"/>
        <v>0</v>
      </c>
      <c r="AY181" s="56">
        <f t="shared" si="131"/>
        <v>0</v>
      </c>
      <c r="AZ181" s="56">
        <f t="shared" si="131"/>
        <v>0</v>
      </c>
      <c r="BA181" s="56">
        <f t="shared" si="131"/>
        <v>0</v>
      </c>
    </row>
    <row r="182" spans="2:53" x14ac:dyDescent="0.2">
      <c r="B182" s="57" t="s">
        <v>30</v>
      </c>
      <c r="C182" s="65" t="s">
        <v>75</v>
      </c>
      <c r="D182" s="44"/>
      <c r="E182" s="44"/>
      <c r="F182" s="44"/>
      <c r="G182" s="44"/>
      <c r="H182" s="44"/>
      <c r="I182" s="44"/>
      <c r="J182" s="44"/>
      <c r="K182" s="44"/>
      <c r="L182" s="44"/>
      <c r="M182" s="44"/>
      <c r="N182" s="44"/>
      <c r="O182" s="56"/>
      <c r="P182" s="56"/>
      <c r="Q182" s="56"/>
      <c r="R182" s="56"/>
      <c r="S182" s="56"/>
      <c r="T182" s="56"/>
      <c r="U182" s="56"/>
      <c r="V182" s="56"/>
      <c r="W182" s="56"/>
      <c r="X182" s="56"/>
      <c r="Y182" s="56"/>
      <c r="Z182" s="56"/>
      <c r="AA182" s="56"/>
      <c r="AB182" s="56"/>
      <c r="AC182" s="56"/>
      <c r="AD182" s="56"/>
      <c r="AE182" s="56"/>
      <c r="AF182" s="56"/>
      <c r="AG182" s="56"/>
      <c r="AH182" s="56"/>
      <c r="AI182" s="56">
        <v>0</v>
      </c>
      <c r="AJ182" s="56">
        <f t="shared" ref="AJ182:BA182" si="132">+AJ181-AJ183</f>
        <v>0</v>
      </c>
      <c r="AK182" s="56">
        <f t="shared" si="132"/>
        <v>0</v>
      </c>
      <c r="AL182" s="56">
        <f t="shared" si="132"/>
        <v>0</v>
      </c>
      <c r="AM182" s="56">
        <f t="shared" si="132"/>
        <v>0</v>
      </c>
      <c r="AN182" s="56">
        <f t="shared" si="132"/>
        <v>0</v>
      </c>
      <c r="AO182" s="56">
        <f t="shared" si="132"/>
        <v>0</v>
      </c>
      <c r="AP182" s="56">
        <f t="shared" si="132"/>
        <v>0</v>
      </c>
      <c r="AQ182" s="56">
        <f t="shared" si="132"/>
        <v>0</v>
      </c>
      <c r="AR182" s="56">
        <f t="shared" si="132"/>
        <v>0</v>
      </c>
      <c r="AS182" s="56">
        <f t="shared" si="132"/>
        <v>0</v>
      </c>
      <c r="AT182" s="56">
        <f t="shared" si="132"/>
        <v>0</v>
      </c>
      <c r="AU182" s="56">
        <f t="shared" si="132"/>
        <v>0</v>
      </c>
      <c r="AV182" s="56">
        <f t="shared" si="132"/>
        <v>0</v>
      </c>
      <c r="AW182" s="56">
        <f t="shared" si="132"/>
        <v>0</v>
      </c>
      <c r="AX182" s="56">
        <f t="shared" si="132"/>
        <v>0</v>
      </c>
      <c r="AY182" s="56">
        <f t="shared" si="132"/>
        <v>0</v>
      </c>
      <c r="AZ182" s="56">
        <f t="shared" si="132"/>
        <v>0</v>
      </c>
      <c r="BA182" s="56">
        <f t="shared" si="132"/>
        <v>0</v>
      </c>
    </row>
    <row r="183" spans="2:53" x14ac:dyDescent="0.2">
      <c r="B183" s="57" t="s">
        <v>3</v>
      </c>
      <c r="C183" s="65" t="s">
        <v>75</v>
      </c>
      <c r="D183" s="44"/>
      <c r="E183" s="44"/>
      <c r="F183" s="44"/>
      <c r="G183" s="44"/>
      <c r="H183" s="44"/>
      <c r="I183" s="44"/>
      <c r="J183" s="44"/>
      <c r="K183" s="44"/>
      <c r="L183" s="44"/>
      <c r="M183" s="44"/>
      <c r="N183" s="44"/>
      <c r="O183" s="56"/>
      <c r="P183" s="56"/>
      <c r="Q183" s="56"/>
      <c r="R183" s="56"/>
      <c r="S183" s="56"/>
      <c r="T183" s="56"/>
      <c r="U183" s="56"/>
      <c r="V183" s="56"/>
      <c r="W183" s="56"/>
      <c r="X183" s="56"/>
      <c r="Y183" s="56"/>
      <c r="Z183" s="56"/>
      <c r="AA183" s="56"/>
      <c r="AB183" s="56"/>
      <c r="AC183" s="56"/>
      <c r="AD183" s="56"/>
      <c r="AE183" s="56"/>
      <c r="AF183" s="56"/>
      <c r="AG183" s="56"/>
      <c r="AH183" s="56"/>
      <c r="AI183" s="56">
        <v>0</v>
      </c>
      <c r="AJ183" s="56">
        <f t="shared" ref="AJ183:BA183" si="133">+$C$9*AI180</f>
        <v>0</v>
      </c>
      <c r="AK183" s="56">
        <f t="shared" si="133"/>
        <v>0</v>
      </c>
      <c r="AL183" s="56">
        <f t="shared" si="133"/>
        <v>0</v>
      </c>
      <c r="AM183" s="56">
        <f t="shared" si="133"/>
        <v>0</v>
      </c>
      <c r="AN183" s="56">
        <f t="shared" si="133"/>
        <v>0</v>
      </c>
      <c r="AO183" s="56">
        <f t="shared" si="133"/>
        <v>0</v>
      </c>
      <c r="AP183" s="56">
        <f t="shared" si="133"/>
        <v>0</v>
      </c>
      <c r="AQ183" s="56">
        <f t="shared" si="133"/>
        <v>0</v>
      </c>
      <c r="AR183" s="56">
        <f t="shared" si="133"/>
        <v>0</v>
      </c>
      <c r="AS183" s="56">
        <f t="shared" si="133"/>
        <v>0</v>
      </c>
      <c r="AT183" s="56">
        <f t="shared" si="133"/>
        <v>0</v>
      </c>
      <c r="AU183" s="56">
        <f t="shared" si="133"/>
        <v>0</v>
      </c>
      <c r="AV183" s="56">
        <f t="shared" si="133"/>
        <v>0</v>
      </c>
      <c r="AW183" s="56">
        <f t="shared" si="133"/>
        <v>0</v>
      </c>
      <c r="AX183" s="56">
        <f t="shared" si="133"/>
        <v>0</v>
      </c>
      <c r="AY183" s="56">
        <f t="shared" si="133"/>
        <v>0</v>
      </c>
      <c r="AZ183" s="56">
        <f t="shared" si="133"/>
        <v>0</v>
      </c>
      <c r="BA183" s="56">
        <f t="shared" si="133"/>
        <v>0</v>
      </c>
    </row>
    <row r="184" spans="2:53" x14ac:dyDescent="0.2">
      <c r="B184" s="57"/>
      <c r="D184" s="44"/>
      <c r="E184" s="44"/>
      <c r="F184" s="44"/>
      <c r="G184" s="44"/>
      <c r="H184" s="44"/>
      <c r="I184" s="44"/>
      <c r="J184" s="44"/>
      <c r="K184" s="44"/>
      <c r="L184" s="44"/>
      <c r="M184" s="44"/>
      <c r="N184" s="44"/>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row>
    <row r="185" spans="2:53" x14ac:dyDescent="0.2">
      <c r="B185" s="46" t="s">
        <v>109</v>
      </c>
      <c r="C185" s="65" t="s">
        <v>75</v>
      </c>
      <c r="D185" s="44"/>
      <c r="E185" s="44"/>
      <c r="F185" s="44"/>
      <c r="G185" s="44"/>
      <c r="H185" s="44"/>
      <c r="I185" s="44"/>
      <c r="J185" s="44"/>
      <c r="K185" s="44"/>
      <c r="L185" s="44"/>
      <c r="M185" s="44"/>
      <c r="N185" s="44"/>
      <c r="O185" s="56"/>
      <c r="P185" s="56"/>
      <c r="Q185" s="56"/>
      <c r="R185" s="56"/>
      <c r="S185" s="56"/>
      <c r="T185" s="56"/>
      <c r="U185" s="56"/>
      <c r="V185" s="56"/>
      <c r="W185" s="56"/>
      <c r="X185" s="56"/>
      <c r="Y185" s="56"/>
      <c r="Z185" s="56"/>
      <c r="AA185" s="56"/>
      <c r="AB185" s="56"/>
      <c r="AC185" s="56"/>
      <c r="AD185" s="56"/>
      <c r="AE185" s="56"/>
      <c r="AF185" s="56"/>
      <c r="AG185" s="56"/>
      <c r="AH185" s="56"/>
      <c r="AI185" s="56"/>
      <c r="AJ185" s="56">
        <f>AJ18</f>
        <v>0</v>
      </c>
      <c r="AK185" s="56">
        <f t="shared" ref="AK185:BA185" si="134">+AJ185-AK187</f>
        <v>0</v>
      </c>
      <c r="AL185" s="56">
        <f t="shared" si="134"/>
        <v>0</v>
      </c>
      <c r="AM185" s="56">
        <f t="shared" si="134"/>
        <v>0</v>
      </c>
      <c r="AN185" s="56">
        <f t="shared" si="134"/>
        <v>0</v>
      </c>
      <c r="AO185" s="56">
        <f t="shared" si="134"/>
        <v>0</v>
      </c>
      <c r="AP185" s="56">
        <f t="shared" si="134"/>
        <v>0</v>
      </c>
      <c r="AQ185" s="56">
        <f t="shared" si="134"/>
        <v>0</v>
      </c>
      <c r="AR185" s="56">
        <f t="shared" si="134"/>
        <v>0</v>
      </c>
      <c r="AS185" s="56">
        <f t="shared" si="134"/>
        <v>0</v>
      </c>
      <c r="AT185" s="56">
        <f t="shared" si="134"/>
        <v>0</v>
      </c>
      <c r="AU185" s="56">
        <f t="shared" si="134"/>
        <v>0</v>
      </c>
      <c r="AV185" s="56">
        <f t="shared" si="134"/>
        <v>0</v>
      </c>
      <c r="AW185" s="56">
        <f t="shared" si="134"/>
        <v>0</v>
      </c>
      <c r="AX185" s="56">
        <f t="shared" si="134"/>
        <v>0</v>
      </c>
      <c r="AY185" s="56">
        <f t="shared" si="134"/>
        <v>0</v>
      </c>
      <c r="AZ185" s="56">
        <f t="shared" si="134"/>
        <v>0</v>
      </c>
      <c r="BA185" s="56">
        <f t="shared" si="134"/>
        <v>0</v>
      </c>
    </row>
    <row r="186" spans="2:53" x14ac:dyDescent="0.2">
      <c r="B186" s="57" t="s">
        <v>29</v>
      </c>
      <c r="C186" s="64">
        <f>+AJ185/((1-(1/(1+$C$9)^$C$8))/$C$9)</f>
        <v>0</v>
      </c>
      <c r="D186" s="44"/>
      <c r="E186" s="44"/>
      <c r="F186" s="44"/>
      <c r="G186" s="44"/>
      <c r="H186" s="44"/>
      <c r="I186" s="44"/>
      <c r="J186" s="44"/>
      <c r="K186" s="44"/>
      <c r="L186" s="44"/>
      <c r="M186" s="44"/>
      <c r="N186" s="44"/>
      <c r="O186" s="56"/>
      <c r="P186" s="56"/>
      <c r="Q186" s="56"/>
      <c r="R186" s="56"/>
      <c r="S186" s="56"/>
      <c r="T186" s="56"/>
      <c r="U186" s="56"/>
      <c r="V186" s="56"/>
      <c r="W186" s="56"/>
      <c r="X186" s="56"/>
      <c r="Y186" s="56"/>
      <c r="Z186" s="56"/>
      <c r="AA186" s="56"/>
      <c r="AB186" s="56"/>
      <c r="AC186" s="56"/>
      <c r="AD186" s="56"/>
      <c r="AE186" s="56"/>
      <c r="AF186" s="56"/>
      <c r="AG186" s="56"/>
      <c r="AH186" s="56"/>
      <c r="AI186" s="56"/>
      <c r="AJ186" s="56">
        <v>0</v>
      </c>
      <c r="AK186" s="56">
        <f>+IF(AJ185&lt;0.01,0,$C$186)</f>
        <v>0</v>
      </c>
      <c r="AL186" s="56">
        <f t="shared" ref="AL186:BA186" si="135">+IF(AK185&lt;0.01,0,$C$186)</f>
        <v>0</v>
      </c>
      <c r="AM186" s="56">
        <f t="shared" si="135"/>
        <v>0</v>
      </c>
      <c r="AN186" s="56">
        <f t="shared" si="135"/>
        <v>0</v>
      </c>
      <c r="AO186" s="56">
        <f t="shared" si="135"/>
        <v>0</v>
      </c>
      <c r="AP186" s="56">
        <f t="shared" si="135"/>
        <v>0</v>
      </c>
      <c r="AQ186" s="56">
        <f t="shared" si="135"/>
        <v>0</v>
      </c>
      <c r="AR186" s="56">
        <f t="shared" si="135"/>
        <v>0</v>
      </c>
      <c r="AS186" s="56">
        <f t="shared" si="135"/>
        <v>0</v>
      </c>
      <c r="AT186" s="56">
        <f t="shared" si="135"/>
        <v>0</v>
      </c>
      <c r="AU186" s="56">
        <f t="shared" si="135"/>
        <v>0</v>
      </c>
      <c r="AV186" s="56">
        <f t="shared" si="135"/>
        <v>0</v>
      </c>
      <c r="AW186" s="56">
        <f t="shared" si="135"/>
        <v>0</v>
      </c>
      <c r="AX186" s="56">
        <f t="shared" si="135"/>
        <v>0</v>
      </c>
      <c r="AY186" s="56">
        <f t="shared" si="135"/>
        <v>0</v>
      </c>
      <c r="AZ186" s="56">
        <f t="shared" si="135"/>
        <v>0</v>
      </c>
      <c r="BA186" s="56">
        <f t="shared" si="135"/>
        <v>0</v>
      </c>
    </row>
    <row r="187" spans="2:53" x14ac:dyDescent="0.2">
      <c r="B187" s="57" t="s">
        <v>30</v>
      </c>
      <c r="C187" s="65" t="s">
        <v>75</v>
      </c>
      <c r="D187" s="44"/>
      <c r="E187" s="44"/>
      <c r="F187" s="44"/>
      <c r="G187" s="44"/>
      <c r="H187" s="44"/>
      <c r="I187" s="44"/>
      <c r="J187" s="44"/>
      <c r="K187" s="44"/>
      <c r="L187" s="44"/>
      <c r="M187" s="44"/>
      <c r="N187" s="44"/>
      <c r="O187" s="56"/>
      <c r="P187" s="56"/>
      <c r="Q187" s="56"/>
      <c r="R187" s="56"/>
      <c r="S187" s="56"/>
      <c r="T187" s="56"/>
      <c r="U187" s="56"/>
      <c r="V187" s="56"/>
      <c r="W187" s="56"/>
      <c r="X187" s="56"/>
      <c r="Y187" s="56"/>
      <c r="Z187" s="56"/>
      <c r="AA187" s="56"/>
      <c r="AB187" s="56"/>
      <c r="AC187" s="56"/>
      <c r="AD187" s="56"/>
      <c r="AE187" s="56"/>
      <c r="AF187" s="56"/>
      <c r="AG187" s="56"/>
      <c r="AH187" s="56"/>
      <c r="AI187" s="56"/>
      <c r="AJ187" s="56">
        <v>0</v>
      </c>
      <c r="AK187" s="56">
        <f t="shared" ref="AK187:BA187" si="136">+AK186-AK188</f>
        <v>0</v>
      </c>
      <c r="AL187" s="56">
        <f t="shared" si="136"/>
        <v>0</v>
      </c>
      <c r="AM187" s="56">
        <f t="shared" si="136"/>
        <v>0</v>
      </c>
      <c r="AN187" s="56">
        <f t="shared" si="136"/>
        <v>0</v>
      </c>
      <c r="AO187" s="56">
        <f t="shared" si="136"/>
        <v>0</v>
      </c>
      <c r="AP187" s="56">
        <f t="shared" si="136"/>
        <v>0</v>
      </c>
      <c r="AQ187" s="56">
        <f t="shared" si="136"/>
        <v>0</v>
      </c>
      <c r="AR187" s="56">
        <f t="shared" si="136"/>
        <v>0</v>
      </c>
      <c r="AS187" s="56">
        <f t="shared" si="136"/>
        <v>0</v>
      </c>
      <c r="AT187" s="56">
        <f t="shared" si="136"/>
        <v>0</v>
      </c>
      <c r="AU187" s="56">
        <f t="shared" si="136"/>
        <v>0</v>
      </c>
      <c r="AV187" s="56">
        <f t="shared" si="136"/>
        <v>0</v>
      </c>
      <c r="AW187" s="56">
        <f t="shared" si="136"/>
        <v>0</v>
      </c>
      <c r="AX187" s="56">
        <f t="shared" si="136"/>
        <v>0</v>
      </c>
      <c r="AY187" s="56">
        <f t="shared" si="136"/>
        <v>0</v>
      </c>
      <c r="AZ187" s="56">
        <f t="shared" si="136"/>
        <v>0</v>
      </c>
      <c r="BA187" s="56">
        <f t="shared" si="136"/>
        <v>0</v>
      </c>
    </row>
    <row r="188" spans="2:53" x14ac:dyDescent="0.2">
      <c r="B188" s="57" t="s">
        <v>3</v>
      </c>
      <c r="C188" s="65" t="s">
        <v>75</v>
      </c>
      <c r="D188" s="44"/>
      <c r="E188" s="44"/>
      <c r="F188" s="44"/>
      <c r="G188" s="44"/>
      <c r="H188" s="44"/>
      <c r="I188" s="44"/>
      <c r="J188" s="44"/>
      <c r="K188" s="44"/>
      <c r="L188" s="44"/>
      <c r="M188" s="44"/>
      <c r="N188" s="44"/>
      <c r="O188" s="56"/>
      <c r="P188" s="56"/>
      <c r="Q188" s="56"/>
      <c r="R188" s="56"/>
      <c r="S188" s="56"/>
      <c r="T188" s="56"/>
      <c r="U188" s="56"/>
      <c r="V188" s="56"/>
      <c r="W188" s="56"/>
      <c r="X188" s="56"/>
      <c r="Y188" s="56"/>
      <c r="Z188" s="56"/>
      <c r="AA188" s="56"/>
      <c r="AB188" s="56"/>
      <c r="AC188" s="56"/>
      <c r="AD188" s="56"/>
      <c r="AE188" s="56"/>
      <c r="AF188" s="56"/>
      <c r="AG188" s="56"/>
      <c r="AH188" s="56"/>
      <c r="AI188" s="56"/>
      <c r="AJ188" s="56">
        <v>0</v>
      </c>
      <c r="AK188" s="56">
        <f t="shared" ref="AK188:BA188" si="137">+$C$9*AJ185</f>
        <v>0</v>
      </c>
      <c r="AL188" s="56">
        <f t="shared" si="137"/>
        <v>0</v>
      </c>
      <c r="AM188" s="56">
        <f t="shared" si="137"/>
        <v>0</v>
      </c>
      <c r="AN188" s="56">
        <f t="shared" si="137"/>
        <v>0</v>
      </c>
      <c r="AO188" s="56">
        <f t="shared" si="137"/>
        <v>0</v>
      </c>
      <c r="AP188" s="56">
        <f t="shared" si="137"/>
        <v>0</v>
      </c>
      <c r="AQ188" s="56">
        <f t="shared" si="137"/>
        <v>0</v>
      </c>
      <c r="AR188" s="56">
        <f t="shared" si="137"/>
        <v>0</v>
      </c>
      <c r="AS188" s="56">
        <f t="shared" si="137"/>
        <v>0</v>
      </c>
      <c r="AT188" s="56">
        <f t="shared" si="137"/>
        <v>0</v>
      </c>
      <c r="AU188" s="56">
        <f t="shared" si="137"/>
        <v>0</v>
      </c>
      <c r="AV188" s="56">
        <f t="shared" si="137"/>
        <v>0</v>
      </c>
      <c r="AW188" s="56">
        <f t="shared" si="137"/>
        <v>0</v>
      </c>
      <c r="AX188" s="56">
        <f t="shared" si="137"/>
        <v>0</v>
      </c>
      <c r="AY188" s="56">
        <f t="shared" si="137"/>
        <v>0</v>
      </c>
      <c r="AZ188" s="56">
        <f t="shared" si="137"/>
        <v>0</v>
      </c>
      <c r="BA188" s="56">
        <f t="shared" si="137"/>
        <v>0</v>
      </c>
    </row>
    <row r="189" spans="2:53" x14ac:dyDescent="0.2">
      <c r="B189" s="57"/>
      <c r="D189" s="44"/>
      <c r="E189" s="44"/>
      <c r="F189" s="44"/>
      <c r="G189" s="44"/>
      <c r="H189" s="44"/>
      <c r="I189" s="44"/>
      <c r="J189" s="44"/>
      <c r="K189" s="44"/>
      <c r="L189" s="44"/>
      <c r="M189" s="44"/>
      <c r="N189" s="44"/>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row>
    <row r="190" spans="2:53" x14ac:dyDescent="0.2">
      <c r="B190" s="46" t="s">
        <v>110</v>
      </c>
      <c r="C190" s="65" t="s">
        <v>75</v>
      </c>
      <c r="D190" s="44"/>
      <c r="E190" s="44"/>
      <c r="F190" s="44"/>
      <c r="G190" s="44"/>
      <c r="H190" s="44"/>
      <c r="I190" s="44"/>
      <c r="J190" s="44"/>
      <c r="K190" s="44"/>
      <c r="L190" s="44"/>
      <c r="M190" s="44"/>
      <c r="N190" s="44"/>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f>AK18</f>
        <v>0</v>
      </c>
      <c r="AL190" s="56">
        <f t="shared" ref="AL190:BA190" si="138">+AK190-AL192</f>
        <v>0</v>
      </c>
      <c r="AM190" s="56">
        <f t="shared" si="138"/>
        <v>0</v>
      </c>
      <c r="AN190" s="56">
        <f t="shared" si="138"/>
        <v>0</v>
      </c>
      <c r="AO190" s="56">
        <f t="shared" si="138"/>
        <v>0</v>
      </c>
      <c r="AP190" s="56">
        <f t="shared" si="138"/>
        <v>0</v>
      </c>
      <c r="AQ190" s="56">
        <f t="shared" si="138"/>
        <v>0</v>
      </c>
      <c r="AR190" s="56">
        <f t="shared" si="138"/>
        <v>0</v>
      </c>
      <c r="AS190" s="56">
        <f t="shared" si="138"/>
        <v>0</v>
      </c>
      <c r="AT190" s="56">
        <f t="shared" si="138"/>
        <v>0</v>
      </c>
      <c r="AU190" s="56">
        <f t="shared" si="138"/>
        <v>0</v>
      </c>
      <c r="AV190" s="56">
        <f t="shared" si="138"/>
        <v>0</v>
      </c>
      <c r="AW190" s="56">
        <f t="shared" si="138"/>
        <v>0</v>
      </c>
      <c r="AX190" s="56">
        <f t="shared" si="138"/>
        <v>0</v>
      </c>
      <c r="AY190" s="56">
        <f t="shared" si="138"/>
        <v>0</v>
      </c>
      <c r="AZ190" s="56">
        <f t="shared" si="138"/>
        <v>0</v>
      </c>
      <c r="BA190" s="56">
        <f t="shared" si="138"/>
        <v>0</v>
      </c>
    </row>
    <row r="191" spans="2:53" x14ac:dyDescent="0.2">
      <c r="B191" s="57" t="s">
        <v>29</v>
      </c>
      <c r="C191" s="64">
        <f>+AK190/((1-(1/(1+$C$9)^$C$8))/$C$9)</f>
        <v>0</v>
      </c>
      <c r="D191" s="44"/>
      <c r="E191" s="44"/>
      <c r="F191" s="44"/>
      <c r="G191" s="44"/>
      <c r="H191" s="44"/>
      <c r="I191" s="44"/>
      <c r="J191" s="44"/>
      <c r="K191" s="44"/>
      <c r="L191" s="44"/>
      <c r="M191" s="44"/>
      <c r="N191" s="44"/>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v>0</v>
      </c>
      <c r="AL191" s="56">
        <f>+IF(AK190&lt;0.01,0,$C$191)</f>
        <v>0</v>
      </c>
      <c r="AM191" s="56">
        <f t="shared" ref="AM191:BA191" si="139">+IF(AL190&lt;0.01,0,$C$191)</f>
        <v>0</v>
      </c>
      <c r="AN191" s="56">
        <f t="shared" si="139"/>
        <v>0</v>
      </c>
      <c r="AO191" s="56">
        <f t="shared" si="139"/>
        <v>0</v>
      </c>
      <c r="AP191" s="56">
        <f t="shared" si="139"/>
        <v>0</v>
      </c>
      <c r="AQ191" s="56">
        <f t="shared" si="139"/>
        <v>0</v>
      </c>
      <c r="AR191" s="56">
        <f t="shared" si="139"/>
        <v>0</v>
      </c>
      <c r="AS191" s="56">
        <f t="shared" si="139"/>
        <v>0</v>
      </c>
      <c r="AT191" s="56">
        <f t="shared" si="139"/>
        <v>0</v>
      </c>
      <c r="AU191" s="56">
        <f t="shared" si="139"/>
        <v>0</v>
      </c>
      <c r="AV191" s="56">
        <f t="shared" si="139"/>
        <v>0</v>
      </c>
      <c r="AW191" s="56">
        <f t="shared" si="139"/>
        <v>0</v>
      </c>
      <c r="AX191" s="56">
        <f t="shared" si="139"/>
        <v>0</v>
      </c>
      <c r="AY191" s="56">
        <f t="shared" si="139"/>
        <v>0</v>
      </c>
      <c r="AZ191" s="56">
        <f t="shared" si="139"/>
        <v>0</v>
      </c>
      <c r="BA191" s="56">
        <f t="shared" si="139"/>
        <v>0</v>
      </c>
    </row>
    <row r="192" spans="2:53" x14ac:dyDescent="0.2">
      <c r="B192" s="57" t="s">
        <v>30</v>
      </c>
      <c r="C192" s="65" t="s">
        <v>75</v>
      </c>
      <c r="D192" s="44"/>
      <c r="E192" s="44"/>
      <c r="F192" s="44"/>
      <c r="G192" s="44"/>
      <c r="H192" s="44"/>
      <c r="I192" s="44"/>
      <c r="J192" s="44"/>
      <c r="K192" s="44"/>
      <c r="L192" s="44"/>
      <c r="M192" s="44"/>
      <c r="N192" s="44"/>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v>0</v>
      </c>
      <c r="AL192" s="56">
        <f t="shared" ref="AL192:BA192" si="140">+AL191-AL193</f>
        <v>0</v>
      </c>
      <c r="AM192" s="56">
        <f t="shared" si="140"/>
        <v>0</v>
      </c>
      <c r="AN192" s="56">
        <f t="shared" si="140"/>
        <v>0</v>
      </c>
      <c r="AO192" s="56">
        <f t="shared" si="140"/>
        <v>0</v>
      </c>
      <c r="AP192" s="56">
        <f t="shared" si="140"/>
        <v>0</v>
      </c>
      <c r="AQ192" s="56">
        <f t="shared" si="140"/>
        <v>0</v>
      </c>
      <c r="AR192" s="56">
        <f t="shared" si="140"/>
        <v>0</v>
      </c>
      <c r="AS192" s="56">
        <f t="shared" si="140"/>
        <v>0</v>
      </c>
      <c r="AT192" s="56">
        <f t="shared" si="140"/>
        <v>0</v>
      </c>
      <c r="AU192" s="56">
        <f t="shared" si="140"/>
        <v>0</v>
      </c>
      <c r="AV192" s="56">
        <f t="shared" si="140"/>
        <v>0</v>
      </c>
      <c r="AW192" s="56">
        <f t="shared" si="140"/>
        <v>0</v>
      </c>
      <c r="AX192" s="56">
        <f t="shared" si="140"/>
        <v>0</v>
      </c>
      <c r="AY192" s="56">
        <f t="shared" si="140"/>
        <v>0</v>
      </c>
      <c r="AZ192" s="56">
        <f t="shared" si="140"/>
        <v>0</v>
      </c>
      <c r="BA192" s="56">
        <f t="shared" si="140"/>
        <v>0</v>
      </c>
    </row>
    <row r="193" spans="2:53" x14ac:dyDescent="0.2">
      <c r="B193" s="57" t="s">
        <v>3</v>
      </c>
      <c r="C193" s="65" t="s">
        <v>75</v>
      </c>
      <c r="D193" s="44"/>
      <c r="E193" s="44"/>
      <c r="F193" s="44"/>
      <c r="G193" s="44"/>
      <c r="H193" s="44"/>
      <c r="I193" s="44"/>
      <c r="J193" s="44"/>
      <c r="K193" s="44"/>
      <c r="L193" s="44"/>
      <c r="M193" s="44"/>
      <c r="N193" s="44"/>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v>0</v>
      </c>
      <c r="AL193" s="56">
        <f t="shared" ref="AL193:BA193" si="141">+$C$9*AK190</f>
        <v>0</v>
      </c>
      <c r="AM193" s="56">
        <f t="shared" si="141"/>
        <v>0</v>
      </c>
      <c r="AN193" s="56">
        <f t="shared" si="141"/>
        <v>0</v>
      </c>
      <c r="AO193" s="56">
        <f t="shared" si="141"/>
        <v>0</v>
      </c>
      <c r="AP193" s="56">
        <f t="shared" si="141"/>
        <v>0</v>
      </c>
      <c r="AQ193" s="56">
        <f t="shared" si="141"/>
        <v>0</v>
      </c>
      <c r="AR193" s="56">
        <f t="shared" si="141"/>
        <v>0</v>
      </c>
      <c r="AS193" s="56">
        <f t="shared" si="141"/>
        <v>0</v>
      </c>
      <c r="AT193" s="56">
        <f t="shared" si="141"/>
        <v>0</v>
      </c>
      <c r="AU193" s="56">
        <f t="shared" si="141"/>
        <v>0</v>
      </c>
      <c r="AV193" s="56">
        <f t="shared" si="141"/>
        <v>0</v>
      </c>
      <c r="AW193" s="56">
        <f t="shared" si="141"/>
        <v>0</v>
      </c>
      <c r="AX193" s="56">
        <f t="shared" si="141"/>
        <v>0</v>
      </c>
      <c r="AY193" s="56">
        <f t="shared" si="141"/>
        <v>0</v>
      </c>
      <c r="AZ193" s="56">
        <f t="shared" si="141"/>
        <v>0</v>
      </c>
      <c r="BA193" s="56">
        <f t="shared" si="141"/>
        <v>0</v>
      </c>
    </row>
    <row r="194" spans="2:53" x14ac:dyDescent="0.2">
      <c r="B194" s="57"/>
      <c r="D194" s="44"/>
      <c r="E194" s="44"/>
      <c r="F194" s="44"/>
      <c r="G194" s="44"/>
      <c r="H194" s="44"/>
      <c r="I194" s="44"/>
      <c r="J194" s="44"/>
      <c r="K194" s="44"/>
      <c r="L194" s="44"/>
      <c r="M194" s="44"/>
      <c r="N194" s="44"/>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row>
    <row r="195" spans="2:53" x14ac:dyDescent="0.2">
      <c r="B195" s="46" t="s">
        <v>111</v>
      </c>
      <c r="C195" s="65" t="s">
        <v>75</v>
      </c>
      <c r="D195" s="44"/>
      <c r="E195" s="44"/>
      <c r="F195" s="44"/>
      <c r="G195" s="6"/>
      <c r="H195" s="44"/>
      <c r="I195" s="44"/>
      <c r="J195" s="44"/>
      <c r="K195" s="44"/>
      <c r="L195" s="44"/>
      <c r="M195" s="44"/>
      <c r="N195" s="44"/>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f>AL18</f>
        <v>0</v>
      </c>
      <c r="AM195" s="56">
        <f t="shared" ref="AM195:BA195" si="142">+AL195-AM197</f>
        <v>0</v>
      </c>
      <c r="AN195" s="56">
        <f t="shared" si="142"/>
        <v>0</v>
      </c>
      <c r="AO195" s="56">
        <f t="shared" si="142"/>
        <v>0</v>
      </c>
      <c r="AP195" s="56">
        <f t="shared" si="142"/>
        <v>0</v>
      </c>
      <c r="AQ195" s="56">
        <f t="shared" si="142"/>
        <v>0</v>
      </c>
      <c r="AR195" s="56">
        <f t="shared" si="142"/>
        <v>0</v>
      </c>
      <c r="AS195" s="56">
        <f t="shared" si="142"/>
        <v>0</v>
      </c>
      <c r="AT195" s="56">
        <f t="shared" si="142"/>
        <v>0</v>
      </c>
      <c r="AU195" s="56">
        <f t="shared" si="142"/>
        <v>0</v>
      </c>
      <c r="AV195" s="56">
        <f t="shared" si="142"/>
        <v>0</v>
      </c>
      <c r="AW195" s="56">
        <f t="shared" si="142"/>
        <v>0</v>
      </c>
      <c r="AX195" s="56">
        <f t="shared" si="142"/>
        <v>0</v>
      </c>
      <c r="AY195" s="56">
        <f t="shared" si="142"/>
        <v>0</v>
      </c>
      <c r="AZ195" s="56">
        <f t="shared" si="142"/>
        <v>0</v>
      </c>
      <c r="BA195" s="56">
        <f t="shared" si="142"/>
        <v>0</v>
      </c>
    </row>
    <row r="196" spans="2:53" x14ac:dyDescent="0.2">
      <c r="B196" s="57" t="s">
        <v>29</v>
      </c>
      <c r="C196" s="64">
        <f>+AL195/((1-(1/(1+$C$9)^$C$8))/$C$9)</f>
        <v>0</v>
      </c>
      <c r="D196" s="44"/>
      <c r="E196" s="44"/>
      <c r="F196" s="44"/>
      <c r="G196" s="6"/>
      <c r="H196" s="44"/>
      <c r="I196" s="44"/>
      <c r="J196" s="44"/>
      <c r="K196" s="44"/>
      <c r="L196" s="44"/>
      <c r="M196" s="44"/>
      <c r="N196" s="44"/>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v>0</v>
      </c>
      <c r="AM196" s="56">
        <f>+IF(AL195&lt;0.01,0,$C$196)</f>
        <v>0</v>
      </c>
      <c r="AN196" s="56">
        <f t="shared" ref="AN196:BA196" si="143">+IF(AM195&lt;0.01,0,$C$196)</f>
        <v>0</v>
      </c>
      <c r="AO196" s="56">
        <f t="shared" si="143"/>
        <v>0</v>
      </c>
      <c r="AP196" s="56">
        <f t="shared" si="143"/>
        <v>0</v>
      </c>
      <c r="AQ196" s="56">
        <f t="shared" si="143"/>
        <v>0</v>
      </c>
      <c r="AR196" s="56">
        <f t="shared" si="143"/>
        <v>0</v>
      </c>
      <c r="AS196" s="56">
        <f t="shared" si="143"/>
        <v>0</v>
      </c>
      <c r="AT196" s="56">
        <f t="shared" si="143"/>
        <v>0</v>
      </c>
      <c r="AU196" s="56">
        <f t="shared" si="143"/>
        <v>0</v>
      </c>
      <c r="AV196" s="56">
        <f t="shared" si="143"/>
        <v>0</v>
      </c>
      <c r="AW196" s="56">
        <f t="shared" si="143"/>
        <v>0</v>
      </c>
      <c r="AX196" s="56">
        <f t="shared" si="143"/>
        <v>0</v>
      </c>
      <c r="AY196" s="56">
        <f t="shared" si="143"/>
        <v>0</v>
      </c>
      <c r="AZ196" s="56">
        <f t="shared" si="143"/>
        <v>0</v>
      </c>
      <c r="BA196" s="56">
        <f t="shared" si="143"/>
        <v>0</v>
      </c>
    </row>
    <row r="197" spans="2:53" x14ac:dyDescent="0.2">
      <c r="B197" s="57" t="s">
        <v>30</v>
      </c>
      <c r="C197" s="65" t="s">
        <v>75</v>
      </c>
      <c r="D197" s="44"/>
      <c r="E197" s="44"/>
      <c r="F197" s="44"/>
      <c r="G197" s="6"/>
      <c r="H197" s="44"/>
      <c r="I197" s="44"/>
      <c r="J197" s="44"/>
      <c r="K197" s="44"/>
      <c r="L197" s="44"/>
      <c r="M197" s="44"/>
      <c r="N197" s="44"/>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v>0</v>
      </c>
      <c r="AM197" s="56">
        <f t="shared" ref="AM197:BA197" si="144">+AM196-AM198</f>
        <v>0</v>
      </c>
      <c r="AN197" s="56">
        <f t="shared" si="144"/>
        <v>0</v>
      </c>
      <c r="AO197" s="56">
        <f t="shared" si="144"/>
        <v>0</v>
      </c>
      <c r="AP197" s="56">
        <f t="shared" si="144"/>
        <v>0</v>
      </c>
      <c r="AQ197" s="56">
        <f t="shared" si="144"/>
        <v>0</v>
      </c>
      <c r="AR197" s="56">
        <f t="shared" si="144"/>
        <v>0</v>
      </c>
      <c r="AS197" s="56">
        <f t="shared" si="144"/>
        <v>0</v>
      </c>
      <c r="AT197" s="56">
        <f t="shared" si="144"/>
        <v>0</v>
      </c>
      <c r="AU197" s="56">
        <f t="shared" si="144"/>
        <v>0</v>
      </c>
      <c r="AV197" s="56">
        <f t="shared" si="144"/>
        <v>0</v>
      </c>
      <c r="AW197" s="56">
        <f t="shared" si="144"/>
        <v>0</v>
      </c>
      <c r="AX197" s="56">
        <f t="shared" si="144"/>
        <v>0</v>
      </c>
      <c r="AY197" s="56">
        <f t="shared" si="144"/>
        <v>0</v>
      </c>
      <c r="AZ197" s="56">
        <f t="shared" si="144"/>
        <v>0</v>
      </c>
      <c r="BA197" s="56">
        <f t="shared" si="144"/>
        <v>0</v>
      </c>
    </row>
    <row r="198" spans="2:53" x14ac:dyDescent="0.2">
      <c r="B198" s="57" t="s">
        <v>3</v>
      </c>
      <c r="C198" s="65" t="s">
        <v>75</v>
      </c>
      <c r="D198" s="44"/>
      <c r="E198" s="44"/>
      <c r="F198" s="44"/>
      <c r="G198" s="6"/>
      <c r="H198" s="44"/>
      <c r="I198" s="44"/>
      <c r="J198" s="44"/>
      <c r="K198" s="44"/>
      <c r="L198" s="44"/>
      <c r="M198" s="44"/>
      <c r="N198" s="44"/>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v>0</v>
      </c>
      <c r="AM198" s="56">
        <f t="shared" ref="AM198:BA198" si="145">+$C$9*AL195</f>
        <v>0</v>
      </c>
      <c r="AN198" s="56">
        <f t="shared" si="145"/>
        <v>0</v>
      </c>
      <c r="AO198" s="56">
        <f t="shared" si="145"/>
        <v>0</v>
      </c>
      <c r="AP198" s="56">
        <f t="shared" si="145"/>
        <v>0</v>
      </c>
      <c r="AQ198" s="56">
        <f t="shared" si="145"/>
        <v>0</v>
      </c>
      <c r="AR198" s="56">
        <f t="shared" si="145"/>
        <v>0</v>
      </c>
      <c r="AS198" s="56">
        <f t="shared" si="145"/>
        <v>0</v>
      </c>
      <c r="AT198" s="56">
        <f t="shared" si="145"/>
        <v>0</v>
      </c>
      <c r="AU198" s="56">
        <f t="shared" si="145"/>
        <v>0</v>
      </c>
      <c r="AV198" s="56">
        <f t="shared" si="145"/>
        <v>0</v>
      </c>
      <c r="AW198" s="56">
        <f t="shared" si="145"/>
        <v>0</v>
      </c>
      <c r="AX198" s="56">
        <f t="shared" si="145"/>
        <v>0</v>
      </c>
      <c r="AY198" s="56">
        <f t="shared" si="145"/>
        <v>0</v>
      </c>
      <c r="AZ198" s="56">
        <f t="shared" si="145"/>
        <v>0</v>
      </c>
      <c r="BA198" s="56">
        <f t="shared" si="145"/>
        <v>0</v>
      </c>
    </row>
    <row r="199" spans="2:53" x14ac:dyDescent="0.2">
      <c r="B199" s="57"/>
      <c r="D199" s="44"/>
      <c r="E199" s="44"/>
      <c r="F199" s="44"/>
      <c r="G199" s="44"/>
      <c r="H199" s="44"/>
      <c r="I199" s="44"/>
      <c r="J199" s="44"/>
      <c r="K199" s="44"/>
      <c r="L199" s="44"/>
      <c r="M199" s="44"/>
      <c r="N199" s="44"/>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row>
    <row r="200" spans="2:53" x14ac:dyDescent="0.2">
      <c r="B200" s="46" t="s">
        <v>112</v>
      </c>
      <c r="C200" s="65" t="s">
        <v>75</v>
      </c>
      <c r="D200" s="44"/>
      <c r="E200" s="44"/>
      <c r="F200" s="44"/>
      <c r="G200" s="6"/>
      <c r="H200" s="6"/>
      <c r="I200" s="44"/>
      <c r="J200" s="44"/>
      <c r="K200" s="44"/>
      <c r="L200" s="44"/>
      <c r="M200" s="44"/>
      <c r="N200" s="44"/>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f>AM18</f>
        <v>0</v>
      </c>
      <c r="AN200" s="56">
        <f t="shared" ref="AN200:BA200" si="146">+AM200-AN202</f>
        <v>0</v>
      </c>
      <c r="AO200" s="56">
        <f t="shared" si="146"/>
        <v>0</v>
      </c>
      <c r="AP200" s="56">
        <f t="shared" si="146"/>
        <v>0</v>
      </c>
      <c r="AQ200" s="56">
        <f t="shared" si="146"/>
        <v>0</v>
      </c>
      <c r="AR200" s="56">
        <f t="shared" si="146"/>
        <v>0</v>
      </c>
      <c r="AS200" s="56">
        <f t="shared" si="146"/>
        <v>0</v>
      </c>
      <c r="AT200" s="56">
        <f t="shared" si="146"/>
        <v>0</v>
      </c>
      <c r="AU200" s="56">
        <f t="shared" si="146"/>
        <v>0</v>
      </c>
      <c r="AV200" s="56">
        <f t="shared" si="146"/>
        <v>0</v>
      </c>
      <c r="AW200" s="56">
        <f t="shared" si="146"/>
        <v>0</v>
      </c>
      <c r="AX200" s="56">
        <f t="shared" si="146"/>
        <v>0</v>
      </c>
      <c r="AY200" s="56">
        <f t="shared" si="146"/>
        <v>0</v>
      </c>
      <c r="AZ200" s="56">
        <f t="shared" si="146"/>
        <v>0</v>
      </c>
      <c r="BA200" s="56">
        <f t="shared" si="146"/>
        <v>0</v>
      </c>
    </row>
    <row r="201" spans="2:53" x14ac:dyDescent="0.2">
      <c r="B201" s="57" t="s">
        <v>29</v>
      </c>
      <c r="C201" s="64">
        <f>+AM200/((1-(1/(1+$C$9)^$C$8))/$C$9)</f>
        <v>0</v>
      </c>
      <c r="D201" s="44"/>
      <c r="E201" s="44"/>
      <c r="F201" s="44"/>
      <c r="G201" s="6"/>
      <c r="H201" s="6"/>
      <c r="I201" s="44"/>
      <c r="J201" s="44"/>
      <c r="K201" s="44"/>
      <c r="L201" s="44"/>
      <c r="M201" s="44"/>
      <c r="N201" s="44"/>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v>0</v>
      </c>
      <c r="AN201" s="56">
        <f>+IF(AM200&lt;0.01,0,$C$201)</f>
        <v>0</v>
      </c>
      <c r="AO201" s="56">
        <f t="shared" ref="AO201:BA201" si="147">+IF(AN200&lt;0.01,0,$C$201)</f>
        <v>0</v>
      </c>
      <c r="AP201" s="56">
        <f t="shared" si="147"/>
        <v>0</v>
      </c>
      <c r="AQ201" s="56">
        <f t="shared" si="147"/>
        <v>0</v>
      </c>
      <c r="AR201" s="56">
        <f t="shared" si="147"/>
        <v>0</v>
      </c>
      <c r="AS201" s="56">
        <f t="shared" si="147"/>
        <v>0</v>
      </c>
      <c r="AT201" s="56">
        <f t="shared" si="147"/>
        <v>0</v>
      </c>
      <c r="AU201" s="56">
        <f t="shared" si="147"/>
        <v>0</v>
      </c>
      <c r="AV201" s="56">
        <f t="shared" si="147"/>
        <v>0</v>
      </c>
      <c r="AW201" s="56">
        <f t="shared" si="147"/>
        <v>0</v>
      </c>
      <c r="AX201" s="56">
        <f t="shared" si="147"/>
        <v>0</v>
      </c>
      <c r="AY201" s="56">
        <f t="shared" si="147"/>
        <v>0</v>
      </c>
      <c r="AZ201" s="56">
        <f t="shared" si="147"/>
        <v>0</v>
      </c>
      <c r="BA201" s="56">
        <f t="shared" si="147"/>
        <v>0</v>
      </c>
    </row>
    <row r="202" spans="2:53" x14ac:dyDescent="0.2">
      <c r="B202" s="57" t="s">
        <v>30</v>
      </c>
      <c r="C202" s="65" t="s">
        <v>75</v>
      </c>
      <c r="D202" s="44"/>
      <c r="E202" s="44"/>
      <c r="F202" s="44"/>
      <c r="G202" s="6"/>
      <c r="H202" s="6"/>
      <c r="I202" s="44"/>
      <c r="J202" s="44"/>
      <c r="K202" s="44"/>
      <c r="L202" s="44"/>
      <c r="M202" s="44"/>
      <c r="N202" s="44"/>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v>0</v>
      </c>
      <c r="AN202" s="56">
        <f t="shared" ref="AN202:BA202" si="148">+AN201-AN203</f>
        <v>0</v>
      </c>
      <c r="AO202" s="56">
        <f t="shared" si="148"/>
        <v>0</v>
      </c>
      <c r="AP202" s="56">
        <f t="shared" si="148"/>
        <v>0</v>
      </c>
      <c r="AQ202" s="56">
        <f t="shared" si="148"/>
        <v>0</v>
      </c>
      <c r="AR202" s="56">
        <f t="shared" si="148"/>
        <v>0</v>
      </c>
      <c r="AS202" s="56">
        <f t="shared" si="148"/>
        <v>0</v>
      </c>
      <c r="AT202" s="56">
        <f t="shared" si="148"/>
        <v>0</v>
      </c>
      <c r="AU202" s="56">
        <f t="shared" si="148"/>
        <v>0</v>
      </c>
      <c r="AV202" s="56">
        <f t="shared" si="148"/>
        <v>0</v>
      </c>
      <c r="AW202" s="56">
        <f t="shared" si="148"/>
        <v>0</v>
      </c>
      <c r="AX202" s="56">
        <f t="shared" si="148"/>
        <v>0</v>
      </c>
      <c r="AY202" s="56">
        <f t="shared" si="148"/>
        <v>0</v>
      </c>
      <c r="AZ202" s="56">
        <f t="shared" si="148"/>
        <v>0</v>
      </c>
      <c r="BA202" s="56">
        <f t="shared" si="148"/>
        <v>0</v>
      </c>
    </row>
    <row r="203" spans="2:53" x14ac:dyDescent="0.2">
      <c r="B203" s="57" t="s">
        <v>3</v>
      </c>
      <c r="C203" s="65" t="s">
        <v>75</v>
      </c>
      <c r="D203" s="44"/>
      <c r="E203" s="44"/>
      <c r="F203" s="44"/>
      <c r="G203" s="6"/>
      <c r="H203" s="6"/>
      <c r="I203" s="44"/>
      <c r="J203" s="44"/>
      <c r="K203" s="44"/>
      <c r="L203" s="44"/>
      <c r="M203" s="44"/>
      <c r="N203" s="44"/>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v>0</v>
      </c>
      <c r="AN203" s="56">
        <f t="shared" ref="AN203:BA203" si="149">+$C$9*AM200</f>
        <v>0</v>
      </c>
      <c r="AO203" s="56">
        <f t="shared" si="149"/>
        <v>0</v>
      </c>
      <c r="AP203" s="56">
        <f t="shared" si="149"/>
        <v>0</v>
      </c>
      <c r="AQ203" s="56">
        <f t="shared" si="149"/>
        <v>0</v>
      </c>
      <c r="AR203" s="56">
        <f t="shared" si="149"/>
        <v>0</v>
      </c>
      <c r="AS203" s="56">
        <f t="shared" si="149"/>
        <v>0</v>
      </c>
      <c r="AT203" s="56">
        <f t="shared" si="149"/>
        <v>0</v>
      </c>
      <c r="AU203" s="56">
        <f t="shared" si="149"/>
        <v>0</v>
      </c>
      <c r="AV203" s="56">
        <f t="shared" si="149"/>
        <v>0</v>
      </c>
      <c r="AW203" s="56">
        <f t="shared" si="149"/>
        <v>0</v>
      </c>
      <c r="AX203" s="56">
        <f t="shared" si="149"/>
        <v>0</v>
      </c>
      <c r="AY203" s="56">
        <f t="shared" si="149"/>
        <v>0</v>
      </c>
      <c r="AZ203" s="56">
        <f t="shared" si="149"/>
        <v>0</v>
      </c>
      <c r="BA203" s="56">
        <f t="shared" si="149"/>
        <v>0</v>
      </c>
    </row>
    <row r="204" spans="2:53" x14ac:dyDescent="0.2">
      <c r="B204" s="57"/>
      <c r="D204" s="44"/>
      <c r="E204" s="44"/>
      <c r="F204" s="44"/>
      <c r="G204" s="44"/>
      <c r="H204" s="44"/>
      <c r="I204" s="44"/>
      <c r="J204" s="44"/>
      <c r="K204" s="44"/>
      <c r="L204" s="44"/>
      <c r="M204" s="44"/>
      <c r="N204" s="44"/>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row>
    <row r="205" spans="2:53" x14ac:dyDescent="0.2">
      <c r="B205" s="46" t="s">
        <v>113</v>
      </c>
      <c r="C205" s="65" t="s">
        <v>75</v>
      </c>
      <c r="D205" s="44"/>
      <c r="E205" s="44"/>
      <c r="F205" s="44"/>
      <c r="G205" s="6"/>
      <c r="H205" s="6"/>
      <c r="I205" s="6"/>
      <c r="J205" s="44"/>
      <c r="K205" s="44"/>
      <c r="L205" s="44"/>
      <c r="M205" s="44"/>
      <c r="N205" s="44"/>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f>AN18</f>
        <v>0</v>
      </c>
      <c r="AO205" s="56">
        <f t="shared" ref="AO205:BA205" si="150">+AN205-AO207</f>
        <v>0</v>
      </c>
      <c r="AP205" s="56">
        <f t="shared" si="150"/>
        <v>0</v>
      </c>
      <c r="AQ205" s="56">
        <f t="shared" si="150"/>
        <v>0</v>
      </c>
      <c r="AR205" s="56">
        <f t="shared" si="150"/>
        <v>0</v>
      </c>
      <c r="AS205" s="56">
        <f t="shared" si="150"/>
        <v>0</v>
      </c>
      <c r="AT205" s="56">
        <f t="shared" si="150"/>
        <v>0</v>
      </c>
      <c r="AU205" s="56">
        <f t="shared" si="150"/>
        <v>0</v>
      </c>
      <c r="AV205" s="56">
        <f t="shared" si="150"/>
        <v>0</v>
      </c>
      <c r="AW205" s="56">
        <f t="shared" si="150"/>
        <v>0</v>
      </c>
      <c r="AX205" s="56">
        <f t="shared" si="150"/>
        <v>0</v>
      </c>
      <c r="AY205" s="56">
        <f t="shared" si="150"/>
        <v>0</v>
      </c>
      <c r="AZ205" s="56">
        <f t="shared" si="150"/>
        <v>0</v>
      </c>
      <c r="BA205" s="56">
        <f t="shared" si="150"/>
        <v>0</v>
      </c>
    </row>
    <row r="206" spans="2:53" x14ac:dyDescent="0.2">
      <c r="B206" s="57" t="s">
        <v>29</v>
      </c>
      <c r="C206" s="64">
        <f>+AN205/((1-(1/(1+$C$9)^$C$8))/$C$9)</f>
        <v>0</v>
      </c>
      <c r="D206" s="44"/>
      <c r="E206" s="44"/>
      <c r="F206" s="44"/>
      <c r="G206" s="6"/>
      <c r="H206" s="6"/>
      <c r="I206" s="6"/>
      <c r="J206" s="44"/>
      <c r="K206" s="44"/>
      <c r="L206" s="44"/>
      <c r="M206" s="44"/>
      <c r="N206" s="44"/>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v>0</v>
      </c>
      <c r="AO206" s="56">
        <f>+IF(AN205&lt;0.01,0,$C$206)</f>
        <v>0</v>
      </c>
      <c r="AP206" s="56">
        <f t="shared" ref="AP206:BA206" si="151">+IF(AO205&lt;0.01,0,$C$206)</f>
        <v>0</v>
      </c>
      <c r="AQ206" s="56">
        <f t="shared" si="151"/>
        <v>0</v>
      </c>
      <c r="AR206" s="56">
        <f t="shared" si="151"/>
        <v>0</v>
      </c>
      <c r="AS206" s="56">
        <f t="shared" si="151"/>
        <v>0</v>
      </c>
      <c r="AT206" s="56">
        <f t="shared" si="151"/>
        <v>0</v>
      </c>
      <c r="AU206" s="56">
        <f t="shared" si="151"/>
        <v>0</v>
      </c>
      <c r="AV206" s="56">
        <f t="shared" si="151"/>
        <v>0</v>
      </c>
      <c r="AW206" s="56">
        <f t="shared" si="151"/>
        <v>0</v>
      </c>
      <c r="AX206" s="56">
        <f t="shared" si="151"/>
        <v>0</v>
      </c>
      <c r="AY206" s="56">
        <f t="shared" si="151"/>
        <v>0</v>
      </c>
      <c r="AZ206" s="56">
        <f t="shared" si="151"/>
        <v>0</v>
      </c>
      <c r="BA206" s="56">
        <f t="shared" si="151"/>
        <v>0</v>
      </c>
    </row>
    <row r="207" spans="2:53" x14ac:dyDescent="0.2">
      <c r="B207" s="57" t="s">
        <v>30</v>
      </c>
      <c r="C207" s="65" t="s">
        <v>75</v>
      </c>
      <c r="D207" s="44"/>
      <c r="E207" s="44"/>
      <c r="F207" s="44"/>
      <c r="G207" s="6"/>
      <c r="H207" s="6"/>
      <c r="I207" s="6"/>
      <c r="J207" s="44"/>
      <c r="K207" s="44"/>
      <c r="L207" s="44"/>
      <c r="M207" s="44"/>
      <c r="N207" s="44"/>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v>0</v>
      </c>
      <c r="AO207" s="56">
        <f t="shared" ref="AO207:BA207" si="152">+AO206-AO208</f>
        <v>0</v>
      </c>
      <c r="AP207" s="56">
        <f t="shared" si="152"/>
        <v>0</v>
      </c>
      <c r="AQ207" s="56">
        <f t="shared" si="152"/>
        <v>0</v>
      </c>
      <c r="AR207" s="56">
        <f t="shared" si="152"/>
        <v>0</v>
      </c>
      <c r="AS207" s="56">
        <f t="shared" si="152"/>
        <v>0</v>
      </c>
      <c r="AT207" s="56">
        <f t="shared" si="152"/>
        <v>0</v>
      </c>
      <c r="AU207" s="56">
        <f t="shared" si="152"/>
        <v>0</v>
      </c>
      <c r="AV207" s="56">
        <f t="shared" si="152"/>
        <v>0</v>
      </c>
      <c r="AW207" s="56">
        <f t="shared" si="152"/>
        <v>0</v>
      </c>
      <c r="AX207" s="56">
        <f t="shared" si="152"/>
        <v>0</v>
      </c>
      <c r="AY207" s="56">
        <f t="shared" si="152"/>
        <v>0</v>
      </c>
      <c r="AZ207" s="56">
        <f t="shared" si="152"/>
        <v>0</v>
      </c>
      <c r="BA207" s="56">
        <f t="shared" si="152"/>
        <v>0</v>
      </c>
    </row>
    <row r="208" spans="2:53" x14ac:dyDescent="0.2">
      <c r="B208" s="57" t="s">
        <v>3</v>
      </c>
      <c r="C208" s="65" t="s">
        <v>75</v>
      </c>
      <c r="D208" s="44"/>
      <c r="E208" s="44"/>
      <c r="F208" s="44"/>
      <c r="G208" s="6"/>
      <c r="H208" s="6"/>
      <c r="I208" s="6"/>
      <c r="J208" s="44"/>
      <c r="K208" s="44"/>
      <c r="L208" s="44"/>
      <c r="M208" s="44"/>
      <c r="N208" s="44"/>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v>0</v>
      </c>
      <c r="AO208" s="56">
        <f t="shared" ref="AO208:BA208" si="153">+$C$9*AN205</f>
        <v>0</v>
      </c>
      <c r="AP208" s="56">
        <f t="shared" si="153"/>
        <v>0</v>
      </c>
      <c r="AQ208" s="56">
        <f t="shared" si="153"/>
        <v>0</v>
      </c>
      <c r="AR208" s="56">
        <f t="shared" si="153"/>
        <v>0</v>
      </c>
      <c r="AS208" s="56">
        <f t="shared" si="153"/>
        <v>0</v>
      </c>
      <c r="AT208" s="56">
        <f t="shared" si="153"/>
        <v>0</v>
      </c>
      <c r="AU208" s="56">
        <f t="shared" si="153"/>
        <v>0</v>
      </c>
      <c r="AV208" s="56">
        <f t="shared" si="153"/>
        <v>0</v>
      </c>
      <c r="AW208" s="56">
        <f t="shared" si="153"/>
        <v>0</v>
      </c>
      <c r="AX208" s="56">
        <f t="shared" si="153"/>
        <v>0</v>
      </c>
      <c r="AY208" s="56">
        <f t="shared" si="153"/>
        <v>0</v>
      </c>
      <c r="AZ208" s="56">
        <f t="shared" si="153"/>
        <v>0</v>
      </c>
      <c r="BA208" s="56">
        <f t="shared" si="153"/>
        <v>0</v>
      </c>
    </row>
    <row r="209" spans="2:53" x14ac:dyDescent="0.2">
      <c r="B209" s="57"/>
      <c r="D209" s="44"/>
      <c r="E209" s="44"/>
      <c r="F209" s="44"/>
      <c r="G209" s="44"/>
      <c r="H209" s="44"/>
      <c r="I209" s="44"/>
      <c r="J209" s="44"/>
      <c r="K209" s="44"/>
      <c r="L209" s="44"/>
      <c r="M209" s="44"/>
      <c r="N209" s="44"/>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row>
    <row r="210" spans="2:53" x14ac:dyDescent="0.2">
      <c r="B210" s="46" t="s">
        <v>114</v>
      </c>
      <c r="C210" s="65" t="s">
        <v>75</v>
      </c>
      <c r="D210" s="44"/>
      <c r="E210" s="44"/>
      <c r="F210" s="44"/>
      <c r="G210" s="6"/>
      <c r="H210" s="6"/>
      <c r="I210" s="6"/>
      <c r="J210" s="6"/>
      <c r="K210" s="44"/>
      <c r="L210" s="44"/>
      <c r="M210" s="44"/>
      <c r="N210" s="44"/>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c r="AL210" s="56"/>
      <c r="AM210" s="56"/>
      <c r="AN210" s="56"/>
      <c r="AO210" s="56">
        <f>AO18</f>
        <v>0</v>
      </c>
      <c r="AP210" s="56">
        <f t="shared" ref="AP210:BA210" si="154">+AO210-AP212</f>
        <v>0</v>
      </c>
      <c r="AQ210" s="56">
        <f t="shared" si="154"/>
        <v>0</v>
      </c>
      <c r="AR210" s="56">
        <f t="shared" si="154"/>
        <v>0</v>
      </c>
      <c r="AS210" s="56">
        <f t="shared" si="154"/>
        <v>0</v>
      </c>
      <c r="AT210" s="56">
        <f t="shared" si="154"/>
        <v>0</v>
      </c>
      <c r="AU210" s="56">
        <f t="shared" si="154"/>
        <v>0</v>
      </c>
      <c r="AV210" s="56">
        <f t="shared" si="154"/>
        <v>0</v>
      </c>
      <c r="AW210" s="56">
        <f t="shared" si="154"/>
        <v>0</v>
      </c>
      <c r="AX210" s="56">
        <f t="shared" si="154"/>
        <v>0</v>
      </c>
      <c r="AY210" s="56">
        <f t="shared" si="154"/>
        <v>0</v>
      </c>
      <c r="AZ210" s="56">
        <f t="shared" si="154"/>
        <v>0</v>
      </c>
      <c r="BA210" s="56">
        <f t="shared" si="154"/>
        <v>0</v>
      </c>
    </row>
    <row r="211" spans="2:53" x14ac:dyDescent="0.2">
      <c r="B211" s="57" t="s">
        <v>29</v>
      </c>
      <c r="C211" s="64">
        <f>+AO210/((1-(1/(1+$C$9)^$C$8))/$C$9)</f>
        <v>0</v>
      </c>
      <c r="D211" s="44"/>
      <c r="E211" s="44"/>
      <c r="F211" s="44"/>
      <c r="G211" s="6"/>
      <c r="H211" s="6"/>
      <c r="I211" s="6"/>
      <c r="J211" s="6"/>
      <c r="K211" s="44"/>
      <c r="L211" s="44"/>
      <c r="M211" s="44"/>
      <c r="N211" s="44"/>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v>0</v>
      </c>
      <c r="AP211" s="56">
        <f>+IF(AO210&lt;0.01,0,$C$211)</f>
        <v>0</v>
      </c>
      <c r="AQ211" s="56">
        <f t="shared" ref="AQ211:BA211" si="155">+IF(AP210&lt;0.01,0,$C$211)</f>
        <v>0</v>
      </c>
      <c r="AR211" s="56">
        <f t="shared" si="155"/>
        <v>0</v>
      </c>
      <c r="AS211" s="56">
        <f t="shared" si="155"/>
        <v>0</v>
      </c>
      <c r="AT211" s="56">
        <f t="shared" si="155"/>
        <v>0</v>
      </c>
      <c r="AU211" s="56">
        <f t="shared" si="155"/>
        <v>0</v>
      </c>
      <c r="AV211" s="56">
        <f t="shared" si="155"/>
        <v>0</v>
      </c>
      <c r="AW211" s="56">
        <f t="shared" si="155"/>
        <v>0</v>
      </c>
      <c r="AX211" s="56">
        <f t="shared" si="155"/>
        <v>0</v>
      </c>
      <c r="AY211" s="56">
        <f t="shared" si="155"/>
        <v>0</v>
      </c>
      <c r="AZ211" s="56">
        <f t="shared" si="155"/>
        <v>0</v>
      </c>
      <c r="BA211" s="56">
        <f t="shared" si="155"/>
        <v>0</v>
      </c>
    </row>
    <row r="212" spans="2:53" x14ac:dyDescent="0.2">
      <c r="B212" s="57" t="s">
        <v>30</v>
      </c>
      <c r="C212" s="65" t="s">
        <v>75</v>
      </c>
      <c r="D212" s="44"/>
      <c r="E212" s="44"/>
      <c r="F212" s="44"/>
      <c r="G212" s="6"/>
      <c r="H212" s="6"/>
      <c r="I212" s="6"/>
      <c r="J212" s="6"/>
      <c r="K212" s="44"/>
      <c r="L212" s="44"/>
      <c r="M212" s="44"/>
      <c r="N212" s="44"/>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v>0</v>
      </c>
      <c r="AP212" s="56">
        <f t="shared" ref="AP212:BA212" si="156">+AP211-AP213</f>
        <v>0</v>
      </c>
      <c r="AQ212" s="56">
        <f t="shared" si="156"/>
        <v>0</v>
      </c>
      <c r="AR212" s="56">
        <f t="shared" si="156"/>
        <v>0</v>
      </c>
      <c r="AS212" s="56">
        <f t="shared" si="156"/>
        <v>0</v>
      </c>
      <c r="AT212" s="56">
        <f t="shared" si="156"/>
        <v>0</v>
      </c>
      <c r="AU212" s="56">
        <f t="shared" si="156"/>
        <v>0</v>
      </c>
      <c r="AV212" s="56">
        <f t="shared" si="156"/>
        <v>0</v>
      </c>
      <c r="AW212" s="56">
        <f t="shared" si="156"/>
        <v>0</v>
      </c>
      <c r="AX212" s="56">
        <f t="shared" si="156"/>
        <v>0</v>
      </c>
      <c r="AY212" s="56">
        <f t="shared" si="156"/>
        <v>0</v>
      </c>
      <c r="AZ212" s="56">
        <f t="shared" si="156"/>
        <v>0</v>
      </c>
      <c r="BA212" s="56">
        <f t="shared" si="156"/>
        <v>0</v>
      </c>
    </row>
    <row r="213" spans="2:53" x14ac:dyDescent="0.2">
      <c r="B213" s="57" t="s">
        <v>3</v>
      </c>
      <c r="C213" s="65" t="s">
        <v>75</v>
      </c>
      <c r="D213" s="44"/>
      <c r="E213" s="44"/>
      <c r="F213" s="44"/>
      <c r="G213" s="6"/>
      <c r="H213" s="6"/>
      <c r="I213" s="6"/>
      <c r="J213" s="6"/>
      <c r="K213" s="44"/>
      <c r="L213" s="44"/>
      <c r="M213" s="44"/>
      <c r="N213" s="44"/>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c r="AL213" s="56"/>
      <c r="AM213" s="56"/>
      <c r="AN213" s="56"/>
      <c r="AO213" s="56">
        <v>0</v>
      </c>
      <c r="AP213" s="56">
        <f t="shared" ref="AP213:BA213" si="157">+$C$9*AO210</f>
        <v>0</v>
      </c>
      <c r="AQ213" s="56">
        <f t="shared" si="157"/>
        <v>0</v>
      </c>
      <c r="AR213" s="56">
        <f t="shared" si="157"/>
        <v>0</v>
      </c>
      <c r="AS213" s="56">
        <f t="shared" si="157"/>
        <v>0</v>
      </c>
      <c r="AT213" s="56">
        <f t="shared" si="157"/>
        <v>0</v>
      </c>
      <c r="AU213" s="56">
        <f t="shared" si="157"/>
        <v>0</v>
      </c>
      <c r="AV213" s="56">
        <f t="shared" si="157"/>
        <v>0</v>
      </c>
      <c r="AW213" s="56">
        <f t="shared" si="157"/>
        <v>0</v>
      </c>
      <c r="AX213" s="56">
        <f t="shared" si="157"/>
        <v>0</v>
      </c>
      <c r="AY213" s="56">
        <f t="shared" si="157"/>
        <v>0</v>
      </c>
      <c r="AZ213" s="56">
        <f t="shared" si="157"/>
        <v>0</v>
      </c>
      <c r="BA213" s="56">
        <f t="shared" si="157"/>
        <v>0</v>
      </c>
    </row>
    <row r="214" spans="2:53" x14ac:dyDescent="0.2">
      <c r="B214" s="57"/>
      <c r="D214" s="44"/>
      <c r="E214" s="44"/>
      <c r="F214" s="44"/>
      <c r="G214" s="6"/>
      <c r="H214" s="6"/>
      <c r="I214" s="6"/>
      <c r="J214" s="6"/>
      <c r="K214" s="44"/>
      <c r="L214" s="44"/>
      <c r="M214" s="44"/>
      <c r="N214" s="44"/>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row>
    <row r="215" spans="2:53" x14ac:dyDescent="0.2">
      <c r="B215" s="46" t="s">
        <v>115</v>
      </c>
      <c r="C215" s="65" t="s">
        <v>75</v>
      </c>
      <c r="D215" s="44"/>
      <c r="E215" s="44"/>
      <c r="F215" s="44"/>
      <c r="G215" s="6"/>
      <c r="H215" s="6"/>
      <c r="I215" s="6"/>
      <c r="J215" s="6"/>
      <c r="K215" s="6"/>
      <c r="L215" s="44"/>
      <c r="M215" s="44"/>
      <c r="N215" s="44"/>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f>AP18</f>
        <v>0</v>
      </c>
      <c r="AQ215" s="56">
        <f t="shared" ref="AQ215:BA215" si="158">+AP215-AQ217</f>
        <v>0</v>
      </c>
      <c r="AR215" s="56">
        <f t="shared" si="158"/>
        <v>0</v>
      </c>
      <c r="AS215" s="56">
        <f t="shared" si="158"/>
        <v>0</v>
      </c>
      <c r="AT215" s="56">
        <f t="shared" si="158"/>
        <v>0</v>
      </c>
      <c r="AU215" s="56">
        <f t="shared" si="158"/>
        <v>0</v>
      </c>
      <c r="AV215" s="56">
        <f t="shared" si="158"/>
        <v>0</v>
      </c>
      <c r="AW215" s="56">
        <f t="shared" si="158"/>
        <v>0</v>
      </c>
      <c r="AX215" s="56">
        <f t="shared" si="158"/>
        <v>0</v>
      </c>
      <c r="AY215" s="56">
        <f t="shared" si="158"/>
        <v>0</v>
      </c>
      <c r="AZ215" s="56">
        <f t="shared" si="158"/>
        <v>0</v>
      </c>
      <c r="BA215" s="56">
        <f t="shared" si="158"/>
        <v>0</v>
      </c>
    </row>
    <row r="216" spans="2:53" x14ac:dyDescent="0.2">
      <c r="B216" s="57" t="s">
        <v>29</v>
      </c>
      <c r="C216" s="64">
        <f>+AP215/((1-(1/(1+$C$9)^$C$8))/$C$9)</f>
        <v>0</v>
      </c>
      <c r="D216" s="44"/>
      <c r="E216" s="44"/>
      <c r="F216" s="44"/>
      <c r="G216" s="6"/>
      <c r="H216" s="6"/>
      <c r="I216" s="6"/>
      <c r="J216" s="6"/>
      <c r="K216" s="6"/>
      <c r="L216" s="44"/>
      <c r="M216" s="44"/>
      <c r="N216" s="44"/>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v>0</v>
      </c>
      <c r="AQ216" s="56">
        <f>+IF(AP215&lt;0.01,0,$C$216)</f>
        <v>0</v>
      </c>
      <c r="AR216" s="56">
        <f t="shared" ref="AR216:BA216" si="159">+IF(AQ215&lt;0.01,0,$C$216)</f>
        <v>0</v>
      </c>
      <c r="AS216" s="56">
        <f t="shared" si="159"/>
        <v>0</v>
      </c>
      <c r="AT216" s="56">
        <f t="shared" si="159"/>
        <v>0</v>
      </c>
      <c r="AU216" s="56">
        <f t="shared" si="159"/>
        <v>0</v>
      </c>
      <c r="AV216" s="56">
        <f t="shared" si="159"/>
        <v>0</v>
      </c>
      <c r="AW216" s="56">
        <f t="shared" si="159"/>
        <v>0</v>
      </c>
      <c r="AX216" s="56">
        <f t="shared" si="159"/>
        <v>0</v>
      </c>
      <c r="AY216" s="56">
        <f t="shared" si="159"/>
        <v>0</v>
      </c>
      <c r="AZ216" s="56">
        <f t="shared" si="159"/>
        <v>0</v>
      </c>
      <c r="BA216" s="56">
        <f t="shared" si="159"/>
        <v>0</v>
      </c>
    </row>
    <row r="217" spans="2:53" x14ac:dyDescent="0.2">
      <c r="B217" s="57" t="s">
        <v>30</v>
      </c>
      <c r="C217" s="65" t="s">
        <v>75</v>
      </c>
      <c r="D217" s="44"/>
      <c r="E217" s="44"/>
      <c r="F217" s="44"/>
      <c r="G217" s="6"/>
      <c r="H217" s="6"/>
      <c r="I217" s="6"/>
      <c r="J217" s="6"/>
      <c r="K217" s="6"/>
      <c r="L217" s="44"/>
      <c r="M217" s="44"/>
      <c r="N217" s="44"/>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v>0</v>
      </c>
      <c r="AQ217" s="56">
        <f t="shared" ref="AQ217:BA217" si="160">+AQ216-AQ218</f>
        <v>0</v>
      </c>
      <c r="AR217" s="56">
        <f t="shared" si="160"/>
        <v>0</v>
      </c>
      <c r="AS217" s="56">
        <f t="shared" si="160"/>
        <v>0</v>
      </c>
      <c r="AT217" s="56">
        <f t="shared" si="160"/>
        <v>0</v>
      </c>
      <c r="AU217" s="56">
        <f t="shared" si="160"/>
        <v>0</v>
      </c>
      <c r="AV217" s="56">
        <f t="shared" si="160"/>
        <v>0</v>
      </c>
      <c r="AW217" s="56">
        <f t="shared" si="160"/>
        <v>0</v>
      </c>
      <c r="AX217" s="56">
        <f t="shared" si="160"/>
        <v>0</v>
      </c>
      <c r="AY217" s="56">
        <f t="shared" si="160"/>
        <v>0</v>
      </c>
      <c r="AZ217" s="56">
        <f t="shared" si="160"/>
        <v>0</v>
      </c>
      <c r="BA217" s="56">
        <f t="shared" si="160"/>
        <v>0</v>
      </c>
    </row>
    <row r="218" spans="2:53" x14ac:dyDescent="0.2">
      <c r="B218" s="57" t="s">
        <v>3</v>
      </c>
      <c r="C218" s="65" t="s">
        <v>75</v>
      </c>
      <c r="D218" s="44"/>
      <c r="E218" s="44"/>
      <c r="F218" s="44"/>
      <c r="G218" s="6"/>
      <c r="H218" s="6"/>
      <c r="I218" s="6"/>
      <c r="J218" s="6"/>
      <c r="K218" s="6"/>
      <c r="L218" s="44"/>
      <c r="M218" s="44"/>
      <c r="N218" s="44"/>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v>0</v>
      </c>
      <c r="AQ218" s="56">
        <f t="shared" ref="AQ218:BA218" si="161">+$C$9*AP215</f>
        <v>0</v>
      </c>
      <c r="AR218" s="56">
        <f t="shared" si="161"/>
        <v>0</v>
      </c>
      <c r="AS218" s="56">
        <f t="shared" si="161"/>
        <v>0</v>
      </c>
      <c r="AT218" s="56">
        <f t="shared" si="161"/>
        <v>0</v>
      </c>
      <c r="AU218" s="56">
        <f t="shared" si="161"/>
        <v>0</v>
      </c>
      <c r="AV218" s="56">
        <f t="shared" si="161"/>
        <v>0</v>
      </c>
      <c r="AW218" s="56">
        <f t="shared" si="161"/>
        <v>0</v>
      </c>
      <c r="AX218" s="56">
        <f t="shared" si="161"/>
        <v>0</v>
      </c>
      <c r="AY218" s="56">
        <f t="shared" si="161"/>
        <v>0</v>
      </c>
      <c r="AZ218" s="56">
        <f t="shared" si="161"/>
        <v>0</v>
      </c>
      <c r="BA218" s="56">
        <f t="shared" si="161"/>
        <v>0</v>
      </c>
    </row>
    <row r="219" spans="2:53" x14ac:dyDescent="0.2">
      <c r="B219" s="57"/>
      <c r="D219" s="44"/>
      <c r="E219" s="44"/>
      <c r="F219" s="44"/>
      <c r="G219" s="44"/>
      <c r="H219" s="44"/>
      <c r="I219" s="44"/>
      <c r="J219" s="6"/>
      <c r="K219" s="6"/>
      <c r="L219" s="44"/>
      <c r="M219" s="44"/>
      <c r="N219" s="44"/>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row>
    <row r="220" spans="2:53" x14ac:dyDescent="0.2">
      <c r="B220" s="46" t="s">
        <v>116</v>
      </c>
      <c r="C220" s="65" t="s">
        <v>75</v>
      </c>
      <c r="D220" s="44"/>
      <c r="E220" s="44"/>
      <c r="F220" s="44"/>
      <c r="G220" s="6"/>
      <c r="H220" s="6"/>
      <c r="I220" s="6"/>
      <c r="J220" s="6"/>
      <c r="K220" s="6"/>
      <c r="L220" s="6"/>
      <c r="M220" s="44"/>
      <c r="N220" s="44"/>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f>AQ18</f>
        <v>0</v>
      </c>
      <c r="AR220" s="56">
        <f t="shared" ref="AR220:BA220" si="162">+AQ220-AR222</f>
        <v>0</v>
      </c>
      <c r="AS220" s="56">
        <f t="shared" si="162"/>
        <v>0</v>
      </c>
      <c r="AT220" s="56">
        <f t="shared" si="162"/>
        <v>0</v>
      </c>
      <c r="AU220" s="56">
        <f t="shared" si="162"/>
        <v>0</v>
      </c>
      <c r="AV220" s="56">
        <f t="shared" si="162"/>
        <v>0</v>
      </c>
      <c r="AW220" s="56">
        <f t="shared" si="162"/>
        <v>0</v>
      </c>
      <c r="AX220" s="56">
        <f t="shared" si="162"/>
        <v>0</v>
      </c>
      <c r="AY220" s="56">
        <f t="shared" si="162"/>
        <v>0</v>
      </c>
      <c r="AZ220" s="56">
        <f t="shared" si="162"/>
        <v>0</v>
      </c>
      <c r="BA220" s="56">
        <f t="shared" si="162"/>
        <v>0</v>
      </c>
    </row>
    <row r="221" spans="2:53" x14ac:dyDescent="0.2">
      <c r="B221" s="57" t="s">
        <v>29</v>
      </c>
      <c r="C221" s="64">
        <f>+AQ220/((1-(1/(1+$C$9)^$C$8))/$C$9)</f>
        <v>0</v>
      </c>
      <c r="D221" s="44"/>
      <c r="E221" s="44"/>
      <c r="F221" s="44"/>
      <c r="G221" s="6"/>
      <c r="H221" s="6"/>
      <c r="I221" s="6"/>
      <c r="J221" s="6"/>
      <c r="K221" s="6"/>
      <c r="L221" s="6"/>
      <c r="M221" s="44"/>
      <c r="N221" s="44"/>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v>0</v>
      </c>
      <c r="AR221" s="56">
        <f>+IF(AQ220&lt;0.01,0,$C$221)</f>
        <v>0</v>
      </c>
      <c r="AS221" s="56">
        <f t="shared" ref="AS221:BA221" si="163">+IF(AR220&lt;0.01,0,$C$221)</f>
        <v>0</v>
      </c>
      <c r="AT221" s="56">
        <f t="shared" si="163"/>
        <v>0</v>
      </c>
      <c r="AU221" s="56">
        <f t="shared" si="163"/>
        <v>0</v>
      </c>
      <c r="AV221" s="56">
        <f t="shared" si="163"/>
        <v>0</v>
      </c>
      <c r="AW221" s="56">
        <f t="shared" si="163"/>
        <v>0</v>
      </c>
      <c r="AX221" s="56">
        <f t="shared" si="163"/>
        <v>0</v>
      </c>
      <c r="AY221" s="56">
        <f t="shared" si="163"/>
        <v>0</v>
      </c>
      <c r="AZ221" s="56">
        <f t="shared" si="163"/>
        <v>0</v>
      </c>
      <c r="BA221" s="56">
        <f t="shared" si="163"/>
        <v>0</v>
      </c>
    </row>
    <row r="222" spans="2:53" x14ac:dyDescent="0.2">
      <c r="B222" s="57" t="s">
        <v>30</v>
      </c>
      <c r="C222" s="65" t="s">
        <v>75</v>
      </c>
      <c r="D222" s="44"/>
      <c r="E222" s="44"/>
      <c r="F222" s="44"/>
      <c r="G222" s="6"/>
      <c r="H222" s="6"/>
      <c r="I222" s="6"/>
      <c r="J222" s="6"/>
      <c r="K222" s="6"/>
      <c r="L222" s="6"/>
      <c r="M222" s="44"/>
      <c r="N222" s="44"/>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v>0</v>
      </c>
      <c r="AR222" s="56">
        <f t="shared" ref="AR222:BA222" si="164">+AR221-AR223</f>
        <v>0</v>
      </c>
      <c r="AS222" s="56">
        <f t="shared" si="164"/>
        <v>0</v>
      </c>
      <c r="AT222" s="56">
        <f t="shared" si="164"/>
        <v>0</v>
      </c>
      <c r="AU222" s="56">
        <f t="shared" si="164"/>
        <v>0</v>
      </c>
      <c r="AV222" s="56">
        <f t="shared" si="164"/>
        <v>0</v>
      </c>
      <c r="AW222" s="56">
        <f t="shared" si="164"/>
        <v>0</v>
      </c>
      <c r="AX222" s="56">
        <f t="shared" si="164"/>
        <v>0</v>
      </c>
      <c r="AY222" s="56">
        <f t="shared" si="164"/>
        <v>0</v>
      </c>
      <c r="AZ222" s="56">
        <f t="shared" si="164"/>
        <v>0</v>
      </c>
      <c r="BA222" s="56">
        <f t="shared" si="164"/>
        <v>0</v>
      </c>
    </row>
    <row r="223" spans="2:53" x14ac:dyDescent="0.2">
      <c r="B223" s="57" t="s">
        <v>3</v>
      </c>
      <c r="C223" s="65" t="s">
        <v>75</v>
      </c>
      <c r="D223" s="44"/>
      <c r="E223" s="44"/>
      <c r="F223" s="44"/>
      <c r="G223" s="6"/>
      <c r="H223" s="6"/>
      <c r="I223" s="6"/>
      <c r="J223" s="6"/>
      <c r="K223" s="6"/>
      <c r="L223" s="6"/>
      <c r="M223" s="44"/>
      <c r="N223" s="44"/>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v>0</v>
      </c>
      <c r="AR223" s="56">
        <f t="shared" ref="AR223:BA223" si="165">+$C$9*AQ220</f>
        <v>0</v>
      </c>
      <c r="AS223" s="56">
        <f t="shared" si="165"/>
        <v>0</v>
      </c>
      <c r="AT223" s="56">
        <f t="shared" si="165"/>
        <v>0</v>
      </c>
      <c r="AU223" s="56">
        <f t="shared" si="165"/>
        <v>0</v>
      </c>
      <c r="AV223" s="56">
        <f t="shared" si="165"/>
        <v>0</v>
      </c>
      <c r="AW223" s="56">
        <f t="shared" si="165"/>
        <v>0</v>
      </c>
      <c r="AX223" s="56">
        <f t="shared" si="165"/>
        <v>0</v>
      </c>
      <c r="AY223" s="56">
        <f t="shared" si="165"/>
        <v>0</v>
      </c>
      <c r="AZ223" s="56">
        <f t="shared" si="165"/>
        <v>0</v>
      </c>
      <c r="BA223" s="56">
        <f t="shared" si="165"/>
        <v>0</v>
      </c>
    </row>
    <row r="224" spans="2:53" x14ac:dyDescent="0.2">
      <c r="B224" s="57"/>
      <c r="C224" s="65"/>
      <c r="D224" s="44"/>
      <c r="E224" s="44"/>
      <c r="F224" s="44"/>
      <c r="G224" s="6"/>
      <c r="H224" s="6"/>
      <c r="I224" s="6"/>
      <c r="J224" s="6"/>
      <c r="K224" s="6"/>
      <c r="L224" s="6"/>
      <c r="M224" s="44"/>
      <c r="N224" s="44"/>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c r="AR224" s="56"/>
      <c r="AS224" s="56"/>
      <c r="AT224" s="56"/>
      <c r="AU224" s="56"/>
      <c r="AV224" s="56"/>
      <c r="AW224" s="56"/>
      <c r="AX224" s="56"/>
      <c r="AY224" s="56"/>
      <c r="AZ224" s="56"/>
      <c r="BA224" s="56"/>
    </row>
    <row r="225" spans="2:53" x14ac:dyDescent="0.2">
      <c r="B225" s="46" t="s">
        <v>117</v>
      </c>
      <c r="C225" s="65" t="s">
        <v>75</v>
      </c>
      <c r="D225" s="44"/>
      <c r="E225" s="44"/>
      <c r="F225" s="44"/>
      <c r="G225" s="44"/>
      <c r="H225" s="44"/>
      <c r="I225" s="44"/>
      <c r="J225" s="44"/>
      <c r="K225" s="44"/>
      <c r="L225" s="44"/>
      <c r="M225" s="44"/>
      <c r="N225" s="44"/>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f>AR18</f>
        <v>0</v>
      </c>
      <c r="AS225" s="56">
        <f t="shared" ref="AS225:BA225" si="166">+AR225-AS227</f>
        <v>0</v>
      </c>
      <c r="AT225" s="56">
        <f t="shared" si="166"/>
        <v>0</v>
      </c>
      <c r="AU225" s="56">
        <f t="shared" si="166"/>
        <v>0</v>
      </c>
      <c r="AV225" s="56">
        <f t="shared" si="166"/>
        <v>0</v>
      </c>
      <c r="AW225" s="56">
        <f t="shared" si="166"/>
        <v>0</v>
      </c>
      <c r="AX225" s="56">
        <f t="shared" si="166"/>
        <v>0</v>
      </c>
      <c r="AY225" s="56">
        <f t="shared" si="166"/>
        <v>0</v>
      </c>
      <c r="AZ225" s="56">
        <f t="shared" si="166"/>
        <v>0</v>
      </c>
      <c r="BA225" s="56">
        <f t="shared" si="166"/>
        <v>0</v>
      </c>
    </row>
    <row r="226" spans="2:53" x14ac:dyDescent="0.2">
      <c r="B226" s="57" t="s">
        <v>29</v>
      </c>
      <c r="C226" s="64">
        <f>+AR225/((1-(1/(1+$C$9)^$C$8))/$C$9)</f>
        <v>0</v>
      </c>
      <c r="D226" s="44"/>
      <c r="E226" s="44"/>
      <c r="F226" s="44"/>
      <c r="G226" s="44"/>
      <c r="H226" s="44"/>
      <c r="I226" s="44"/>
      <c r="J226" s="44"/>
      <c r="K226" s="44"/>
      <c r="L226" s="44"/>
      <c r="M226" s="44"/>
      <c r="N226" s="44"/>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v>0</v>
      </c>
      <c r="AS226" s="56">
        <f>+IF(AR225&lt;0.01,0,$C$226)</f>
        <v>0</v>
      </c>
      <c r="AT226" s="56">
        <f t="shared" ref="AT226:BA226" si="167">+IF(AS225&lt;0.01,0,$C$226)</f>
        <v>0</v>
      </c>
      <c r="AU226" s="56">
        <f t="shared" si="167"/>
        <v>0</v>
      </c>
      <c r="AV226" s="56">
        <f t="shared" si="167"/>
        <v>0</v>
      </c>
      <c r="AW226" s="56">
        <f t="shared" si="167"/>
        <v>0</v>
      </c>
      <c r="AX226" s="56">
        <f t="shared" si="167"/>
        <v>0</v>
      </c>
      <c r="AY226" s="56">
        <f t="shared" si="167"/>
        <v>0</v>
      </c>
      <c r="AZ226" s="56">
        <f t="shared" si="167"/>
        <v>0</v>
      </c>
      <c r="BA226" s="56">
        <f t="shared" si="167"/>
        <v>0</v>
      </c>
    </row>
    <row r="227" spans="2:53" x14ac:dyDescent="0.2">
      <c r="B227" s="57" t="s">
        <v>30</v>
      </c>
      <c r="C227" s="65" t="s">
        <v>75</v>
      </c>
      <c r="D227" s="44"/>
      <c r="E227" s="44"/>
      <c r="F227" s="44"/>
      <c r="G227" s="44"/>
      <c r="H227" s="44"/>
      <c r="I227" s="44"/>
      <c r="J227" s="44"/>
      <c r="K227" s="44"/>
      <c r="L227" s="44"/>
      <c r="M227" s="44"/>
      <c r="N227" s="44"/>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v>0</v>
      </c>
      <c r="AS227" s="56">
        <f t="shared" ref="AS227:BA227" si="168">+AS226-AS228</f>
        <v>0</v>
      </c>
      <c r="AT227" s="56">
        <f t="shared" si="168"/>
        <v>0</v>
      </c>
      <c r="AU227" s="56">
        <f t="shared" si="168"/>
        <v>0</v>
      </c>
      <c r="AV227" s="56">
        <f t="shared" si="168"/>
        <v>0</v>
      </c>
      <c r="AW227" s="56">
        <f t="shared" si="168"/>
        <v>0</v>
      </c>
      <c r="AX227" s="56">
        <f t="shared" si="168"/>
        <v>0</v>
      </c>
      <c r="AY227" s="56">
        <f t="shared" si="168"/>
        <v>0</v>
      </c>
      <c r="AZ227" s="56">
        <f t="shared" si="168"/>
        <v>0</v>
      </c>
      <c r="BA227" s="56">
        <f t="shared" si="168"/>
        <v>0</v>
      </c>
    </row>
    <row r="228" spans="2:53" x14ac:dyDescent="0.2">
      <c r="B228" s="57" t="s">
        <v>3</v>
      </c>
      <c r="C228" s="65" t="s">
        <v>75</v>
      </c>
      <c r="D228" s="44"/>
      <c r="E228" s="44"/>
      <c r="F228" s="44"/>
      <c r="G228" s="44"/>
      <c r="H228" s="44"/>
      <c r="I228" s="44"/>
      <c r="J228" s="44"/>
      <c r="K228" s="44"/>
      <c r="L228" s="44"/>
      <c r="M228" s="44"/>
      <c r="N228" s="44"/>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v>0</v>
      </c>
      <c r="AS228" s="56">
        <f t="shared" ref="AS228:BA228" si="169">+$C$9*AR225</f>
        <v>0</v>
      </c>
      <c r="AT228" s="56">
        <f t="shared" si="169"/>
        <v>0</v>
      </c>
      <c r="AU228" s="56">
        <f t="shared" si="169"/>
        <v>0</v>
      </c>
      <c r="AV228" s="56">
        <f t="shared" si="169"/>
        <v>0</v>
      </c>
      <c r="AW228" s="56">
        <f t="shared" si="169"/>
        <v>0</v>
      </c>
      <c r="AX228" s="56">
        <f t="shared" si="169"/>
        <v>0</v>
      </c>
      <c r="AY228" s="56">
        <f t="shared" si="169"/>
        <v>0</v>
      </c>
      <c r="AZ228" s="56">
        <f t="shared" si="169"/>
        <v>0</v>
      </c>
      <c r="BA228" s="56">
        <f t="shared" si="169"/>
        <v>0</v>
      </c>
    </row>
    <row r="229" spans="2:53" x14ac:dyDescent="0.2">
      <c r="B229" s="57"/>
      <c r="D229" s="44"/>
      <c r="E229" s="44"/>
      <c r="F229" s="44"/>
      <c r="G229" s="44"/>
      <c r="H229" s="44"/>
      <c r="I229" s="44"/>
      <c r="J229" s="44"/>
      <c r="K229" s="44"/>
      <c r="L229" s="44"/>
      <c r="M229" s="44"/>
      <c r="N229" s="44"/>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row>
    <row r="230" spans="2:53" x14ac:dyDescent="0.2">
      <c r="B230" s="46" t="s">
        <v>118</v>
      </c>
      <c r="C230" s="65" t="s">
        <v>75</v>
      </c>
      <c r="D230" s="44"/>
      <c r="E230" s="44"/>
      <c r="F230" s="44"/>
      <c r="G230" s="44"/>
      <c r="H230" s="44"/>
      <c r="I230" s="44"/>
      <c r="J230" s="44"/>
      <c r="K230" s="44"/>
      <c r="L230" s="44"/>
      <c r="M230" s="44"/>
      <c r="N230" s="44"/>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f>AS18</f>
        <v>0</v>
      </c>
      <c r="AT230" s="56">
        <f t="shared" ref="AT230:BA230" si="170">+AS230-AT232</f>
        <v>0</v>
      </c>
      <c r="AU230" s="56">
        <f t="shared" si="170"/>
        <v>0</v>
      </c>
      <c r="AV230" s="56">
        <f t="shared" si="170"/>
        <v>0</v>
      </c>
      <c r="AW230" s="56">
        <f t="shared" si="170"/>
        <v>0</v>
      </c>
      <c r="AX230" s="56">
        <f t="shared" si="170"/>
        <v>0</v>
      </c>
      <c r="AY230" s="56">
        <f t="shared" si="170"/>
        <v>0</v>
      </c>
      <c r="AZ230" s="56">
        <f t="shared" si="170"/>
        <v>0</v>
      </c>
      <c r="BA230" s="56">
        <f t="shared" si="170"/>
        <v>0</v>
      </c>
    </row>
    <row r="231" spans="2:53" x14ac:dyDescent="0.2">
      <c r="B231" s="57" t="s">
        <v>29</v>
      </c>
      <c r="C231" s="64">
        <f>+AS230/((1-(1/(1+$C$9)^$C$8))/$C$9)</f>
        <v>0</v>
      </c>
      <c r="D231" s="44"/>
      <c r="E231" s="44"/>
      <c r="F231" s="44"/>
      <c r="G231" s="44"/>
      <c r="H231" s="44"/>
      <c r="I231" s="44"/>
      <c r="J231" s="44"/>
      <c r="K231" s="44"/>
      <c r="L231" s="44"/>
      <c r="M231" s="44"/>
      <c r="N231" s="44"/>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c r="AS231" s="56">
        <v>0</v>
      </c>
      <c r="AT231" s="56">
        <f>+IF(AS230&lt;0.01,0,$C$231)</f>
        <v>0</v>
      </c>
      <c r="AU231" s="56">
        <f t="shared" ref="AU231:BA231" si="171">+IF(AT230&lt;0.01,0,$C$231)</f>
        <v>0</v>
      </c>
      <c r="AV231" s="56">
        <f t="shared" si="171"/>
        <v>0</v>
      </c>
      <c r="AW231" s="56">
        <f t="shared" si="171"/>
        <v>0</v>
      </c>
      <c r="AX231" s="56">
        <f t="shared" si="171"/>
        <v>0</v>
      </c>
      <c r="AY231" s="56">
        <f t="shared" si="171"/>
        <v>0</v>
      </c>
      <c r="AZ231" s="56">
        <f t="shared" si="171"/>
        <v>0</v>
      </c>
      <c r="BA231" s="56">
        <f t="shared" si="171"/>
        <v>0</v>
      </c>
    </row>
    <row r="232" spans="2:53" x14ac:dyDescent="0.2">
      <c r="B232" s="57" t="s">
        <v>30</v>
      </c>
      <c r="C232" s="65" t="s">
        <v>75</v>
      </c>
      <c r="D232" s="44"/>
      <c r="E232" s="44"/>
      <c r="F232" s="44"/>
      <c r="G232" s="44"/>
      <c r="H232" s="44"/>
      <c r="I232" s="44"/>
      <c r="J232" s="44"/>
      <c r="K232" s="44"/>
      <c r="L232" s="44"/>
      <c r="M232" s="44"/>
      <c r="N232" s="44"/>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c r="AS232" s="56">
        <v>0</v>
      </c>
      <c r="AT232" s="56">
        <f t="shared" ref="AT232:BA232" si="172">+AT231-AT233</f>
        <v>0</v>
      </c>
      <c r="AU232" s="56">
        <f t="shared" si="172"/>
        <v>0</v>
      </c>
      <c r="AV232" s="56">
        <f t="shared" si="172"/>
        <v>0</v>
      </c>
      <c r="AW232" s="56">
        <f t="shared" si="172"/>
        <v>0</v>
      </c>
      <c r="AX232" s="56">
        <f t="shared" si="172"/>
        <v>0</v>
      </c>
      <c r="AY232" s="56">
        <f t="shared" si="172"/>
        <v>0</v>
      </c>
      <c r="AZ232" s="56">
        <f t="shared" si="172"/>
        <v>0</v>
      </c>
      <c r="BA232" s="56">
        <f t="shared" si="172"/>
        <v>0</v>
      </c>
    </row>
    <row r="233" spans="2:53" x14ac:dyDescent="0.2">
      <c r="B233" s="57" t="s">
        <v>3</v>
      </c>
      <c r="C233" s="65" t="s">
        <v>75</v>
      </c>
      <c r="D233" s="44"/>
      <c r="E233" s="44"/>
      <c r="F233" s="44"/>
      <c r="G233" s="44"/>
      <c r="H233" s="44"/>
      <c r="I233" s="44"/>
      <c r="J233" s="44"/>
      <c r="K233" s="44"/>
      <c r="L233" s="44"/>
      <c r="M233" s="44"/>
      <c r="N233" s="44"/>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v>0</v>
      </c>
      <c r="AT233" s="56">
        <f t="shared" ref="AT233:BA233" si="173">+$C$9*AS230</f>
        <v>0</v>
      </c>
      <c r="AU233" s="56">
        <f t="shared" si="173"/>
        <v>0</v>
      </c>
      <c r="AV233" s="56">
        <f t="shared" si="173"/>
        <v>0</v>
      </c>
      <c r="AW233" s="56">
        <f t="shared" si="173"/>
        <v>0</v>
      </c>
      <c r="AX233" s="56">
        <f t="shared" si="173"/>
        <v>0</v>
      </c>
      <c r="AY233" s="56">
        <f t="shared" si="173"/>
        <v>0</v>
      </c>
      <c r="AZ233" s="56">
        <f t="shared" si="173"/>
        <v>0</v>
      </c>
      <c r="BA233" s="56">
        <f t="shared" si="173"/>
        <v>0</v>
      </c>
    </row>
    <row r="234" spans="2:53" x14ac:dyDescent="0.2">
      <c r="B234" s="57"/>
      <c r="D234" s="44"/>
      <c r="E234" s="44"/>
      <c r="F234" s="44"/>
      <c r="G234" s="44"/>
      <c r="H234" s="44"/>
      <c r="I234" s="44"/>
      <c r="J234" s="44"/>
      <c r="K234" s="44"/>
      <c r="L234" s="44"/>
      <c r="M234" s="44"/>
      <c r="N234" s="44"/>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row>
    <row r="235" spans="2:53" x14ac:dyDescent="0.2">
      <c r="B235" s="46" t="s">
        <v>119</v>
      </c>
      <c r="C235" s="65" t="s">
        <v>75</v>
      </c>
      <c r="D235" s="44"/>
      <c r="E235" s="44"/>
      <c r="F235" s="44"/>
      <c r="G235" s="44"/>
      <c r="H235" s="44"/>
      <c r="I235" s="44"/>
      <c r="J235" s="44"/>
      <c r="K235" s="44"/>
      <c r="L235" s="44"/>
      <c r="M235" s="44"/>
      <c r="N235" s="44"/>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f>AT18</f>
        <v>0</v>
      </c>
      <c r="AU235" s="56">
        <f t="shared" ref="AU235:BA235" si="174">+AT235-AU237</f>
        <v>0</v>
      </c>
      <c r="AV235" s="56">
        <f t="shared" si="174"/>
        <v>0</v>
      </c>
      <c r="AW235" s="56">
        <f t="shared" si="174"/>
        <v>0</v>
      </c>
      <c r="AX235" s="56">
        <f t="shared" si="174"/>
        <v>0</v>
      </c>
      <c r="AY235" s="56">
        <f t="shared" si="174"/>
        <v>0</v>
      </c>
      <c r="AZ235" s="56">
        <f t="shared" si="174"/>
        <v>0</v>
      </c>
      <c r="BA235" s="56">
        <f t="shared" si="174"/>
        <v>0</v>
      </c>
    </row>
    <row r="236" spans="2:53" x14ac:dyDescent="0.2">
      <c r="B236" s="57" t="s">
        <v>29</v>
      </c>
      <c r="C236" s="64">
        <f>+AT235/((1-(1/(1+$C$9)^$C$8))/$C$9)</f>
        <v>0</v>
      </c>
      <c r="D236" s="44"/>
      <c r="E236" s="44"/>
      <c r="F236" s="44"/>
      <c r="G236" s="44"/>
      <c r="H236" s="44"/>
      <c r="I236" s="44"/>
      <c r="J236" s="44"/>
      <c r="K236" s="44"/>
      <c r="L236" s="44"/>
      <c r="M236" s="44"/>
      <c r="N236" s="44"/>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v>0</v>
      </c>
      <c r="AU236" s="56">
        <f>+IF(AT235&lt;0.01,0,$C$236)</f>
        <v>0</v>
      </c>
      <c r="AV236" s="56">
        <f t="shared" ref="AV236:BA236" si="175">+IF(AU235&lt;0.01,0,$C$236)</f>
        <v>0</v>
      </c>
      <c r="AW236" s="56">
        <f t="shared" si="175"/>
        <v>0</v>
      </c>
      <c r="AX236" s="56">
        <f t="shared" si="175"/>
        <v>0</v>
      </c>
      <c r="AY236" s="56">
        <f t="shared" si="175"/>
        <v>0</v>
      </c>
      <c r="AZ236" s="56">
        <f t="shared" si="175"/>
        <v>0</v>
      </c>
      <c r="BA236" s="56">
        <f t="shared" si="175"/>
        <v>0</v>
      </c>
    </row>
    <row r="237" spans="2:53" x14ac:dyDescent="0.2">
      <c r="B237" s="57" t="s">
        <v>30</v>
      </c>
      <c r="C237" s="65" t="s">
        <v>75</v>
      </c>
      <c r="D237" s="44"/>
      <c r="E237" s="44"/>
      <c r="F237" s="44"/>
      <c r="G237" s="44"/>
      <c r="H237" s="44"/>
      <c r="I237" s="44"/>
      <c r="J237" s="44"/>
      <c r="K237" s="44"/>
      <c r="L237" s="44"/>
      <c r="M237" s="44"/>
      <c r="N237" s="44"/>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c r="AR237" s="56"/>
      <c r="AS237" s="56"/>
      <c r="AT237" s="56">
        <v>0</v>
      </c>
      <c r="AU237" s="56">
        <f t="shared" ref="AU237:BA237" si="176">+AU236-AU238</f>
        <v>0</v>
      </c>
      <c r="AV237" s="56">
        <f t="shared" si="176"/>
        <v>0</v>
      </c>
      <c r="AW237" s="56">
        <f t="shared" si="176"/>
        <v>0</v>
      </c>
      <c r="AX237" s="56">
        <f t="shared" si="176"/>
        <v>0</v>
      </c>
      <c r="AY237" s="56">
        <f t="shared" si="176"/>
        <v>0</v>
      </c>
      <c r="AZ237" s="56">
        <f t="shared" si="176"/>
        <v>0</v>
      </c>
      <c r="BA237" s="56">
        <f t="shared" si="176"/>
        <v>0</v>
      </c>
    </row>
    <row r="238" spans="2:53" x14ac:dyDescent="0.2">
      <c r="B238" s="57" t="s">
        <v>3</v>
      </c>
      <c r="C238" s="65" t="s">
        <v>75</v>
      </c>
      <c r="D238" s="44"/>
      <c r="E238" s="44"/>
      <c r="F238" s="44"/>
      <c r="G238" s="44"/>
      <c r="H238" s="44"/>
      <c r="I238" s="44"/>
      <c r="J238" s="44"/>
      <c r="K238" s="44"/>
      <c r="L238" s="44"/>
      <c r="M238" s="44"/>
      <c r="N238" s="44"/>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c r="AR238" s="56"/>
      <c r="AS238" s="56"/>
      <c r="AT238" s="56">
        <v>0</v>
      </c>
      <c r="AU238" s="56">
        <f t="shared" ref="AU238:BA238" si="177">+$C$9*AT235</f>
        <v>0</v>
      </c>
      <c r="AV238" s="56">
        <f t="shared" si="177"/>
        <v>0</v>
      </c>
      <c r="AW238" s="56">
        <f t="shared" si="177"/>
        <v>0</v>
      </c>
      <c r="AX238" s="56">
        <f t="shared" si="177"/>
        <v>0</v>
      </c>
      <c r="AY238" s="56">
        <f t="shared" si="177"/>
        <v>0</v>
      </c>
      <c r="AZ238" s="56">
        <f t="shared" si="177"/>
        <v>0</v>
      </c>
      <c r="BA238" s="56">
        <f t="shared" si="177"/>
        <v>0</v>
      </c>
    </row>
    <row r="239" spans="2:53" x14ac:dyDescent="0.2">
      <c r="B239" s="57"/>
      <c r="D239" s="44"/>
      <c r="E239" s="44"/>
      <c r="F239" s="44"/>
      <c r="G239" s="44"/>
      <c r="H239" s="44"/>
      <c r="I239" s="44"/>
      <c r="J239" s="44"/>
      <c r="K239" s="44"/>
      <c r="L239" s="44"/>
      <c r="M239" s="44"/>
      <c r="N239" s="44"/>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row>
    <row r="240" spans="2:53" x14ac:dyDescent="0.2">
      <c r="B240" s="46" t="s">
        <v>120</v>
      </c>
      <c r="C240" s="65" t="s">
        <v>75</v>
      </c>
      <c r="D240" s="44"/>
      <c r="E240" s="44"/>
      <c r="F240" s="44"/>
      <c r="G240" s="44"/>
      <c r="H240" s="44"/>
      <c r="I240" s="44"/>
      <c r="J240" s="44"/>
      <c r="K240" s="44"/>
      <c r="L240" s="44"/>
      <c r="M240" s="44"/>
      <c r="N240" s="44"/>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f>AU18</f>
        <v>0</v>
      </c>
      <c r="AV240" s="56">
        <f t="shared" ref="AV240:BA240" si="178">+AU240-AV242</f>
        <v>0</v>
      </c>
      <c r="AW240" s="56">
        <f t="shared" si="178"/>
        <v>0</v>
      </c>
      <c r="AX240" s="56">
        <f t="shared" si="178"/>
        <v>0</v>
      </c>
      <c r="AY240" s="56">
        <f t="shared" si="178"/>
        <v>0</v>
      </c>
      <c r="AZ240" s="56">
        <f t="shared" si="178"/>
        <v>0</v>
      </c>
      <c r="BA240" s="56">
        <f t="shared" si="178"/>
        <v>0</v>
      </c>
    </row>
    <row r="241" spans="2:53" x14ac:dyDescent="0.2">
      <c r="B241" s="57" t="s">
        <v>29</v>
      </c>
      <c r="C241" s="64">
        <f>+AU240/((1-(1/(1+$C$9)^$C$8))/$C$9)</f>
        <v>0</v>
      </c>
      <c r="D241" s="44"/>
      <c r="E241" s="44"/>
      <c r="F241" s="44"/>
      <c r="G241" s="44"/>
      <c r="H241" s="44"/>
      <c r="I241" s="44"/>
      <c r="J241" s="44"/>
      <c r="K241" s="44"/>
      <c r="L241" s="44"/>
      <c r="M241" s="44"/>
      <c r="N241" s="44"/>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v>0</v>
      </c>
      <c r="AV241" s="56">
        <f>+IF(AU240&lt;0.01,0,$C$241)</f>
        <v>0</v>
      </c>
      <c r="AW241" s="56">
        <f t="shared" ref="AW241:BA241" si="179">+IF(AV240&lt;0.01,0,$C$241)</f>
        <v>0</v>
      </c>
      <c r="AX241" s="56">
        <f t="shared" si="179"/>
        <v>0</v>
      </c>
      <c r="AY241" s="56">
        <f t="shared" si="179"/>
        <v>0</v>
      </c>
      <c r="AZ241" s="56">
        <f t="shared" si="179"/>
        <v>0</v>
      </c>
      <c r="BA241" s="56">
        <f t="shared" si="179"/>
        <v>0</v>
      </c>
    </row>
    <row r="242" spans="2:53" x14ac:dyDescent="0.2">
      <c r="B242" s="57" t="s">
        <v>30</v>
      </c>
      <c r="C242" s="65" t="s">
        <v>75</v>
      </c>
      <c r="D242" s="44"/>
      <c r="E242" s="44"/>
      <c r="F242" s="44"/>
      <c r="G242" s="44"/>
      <c r="H242" s="44"/>
      <c r="I242" s="44"/>
      <c r="J242" s="44"/>
      <c r="K242" s="44"/>
      <c r="L242" s="44"/>
      <c r="M242" s="44"/>
      <c r="N242" s="44"/>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c r="AR242" s="56"/>
      <c r="AS242" s="56"/>
      <c r="AT242" s="56"/>
      <c r="AU242" s="56">
        <v>0</v>
      </c>
      <c r="AV242" s="56">
        <f t="shared" ref="AV242:BA242" si="180">+AV241-AV243</f>
        <v>0</v>
      </c>
      <c r="AW242" s="56">
        <f t="shared" si="180"/>
        <v>0</v>
      </c>
      <c r="AX242" s="56">
        <f t="shared" si="180"/>
        <v>0</v>
      </c>
      <c r="AY242" s="56">
        <f t="shared" si="180"/>
        <v>0</v>
      </c>
      <c r="AZ242" s="56">
        <f t="shared" si="180"/>
        <v>0</v>
      </c>
      <c r="BA242" s="56">
        <f t="shared" si="180"/>
        <v>0</v>
      </c>
    </row>
    <row r="243" spans="2:53" x14ac:dyDescent="0.2">
      <c r="B243" s="57" t="s">
        <v>3</v>
      </c>
      <c r="C243" s="65" t="s">
        <v>75</v>
      </c>
      <c r="D243" s="44"/>
      <c r="E243" s="44"/>
      <c r="F243" s="44"/>
      <c r="G243" s="44"/>
      <c r="H243" s="44"/>
      <c r="I243" s="44"/>
      <c r="J243" s="44"/>
      <c r="K243" s="44"/>
      <c r="L243" s="44"/>
      <c r="M243" s="44"/>
      <c r="N243" s="44"/>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v>0</v>
      </c>
      <c r="AV243" s="56">
        <f t="shared" ref="AV243:BA243" si="181">+$C$9*AU240</f>
        <v>0</v>
      </c>
      <c r="AW243" s="56">
        <f t="shared" si="181"/>
        <v>0</v>
      </c>
      <c r="AX243" s="56">
        <f t="shared" si="181"/>
        <v>0</v>
      </c>
      <c r="AY243" s="56">
        <f t="shared" si="181"/>
        <v>0</v>
      </c>
      <c r="AZ243" s="56">
        <f t="shared" si="181"/>
        <v>0</v>
      </c>
      <c r="BA243" s="56">
        <f t="shared" si="181"/>
        <v>0</v>
      </c>
    </row>
    <row r="244" spans="2:53" x14ac:dyDescent="0.2">
      <c r="B244" s="57"/>
      <c r="D244" s="44"/>
      <c r="E244" s="44"/>
      <c r="F244" s="44"/>
      <c r="G244" s="44"/>
      <c r="H244" s="44"/>
      <c r="I244" s="44"/>
      <c r="J244" s="44"/>
      <c r="K244" s="44"/>
      <c r="L244" s="44"/>
      <c r="M244" s="44"/>
      <c r="N244" s="44"/>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row>
    <row r="245" spans="2:53" x14ac:dyDescent="0.2">
      <c r="B245" s="46" t="s">
        <v>121</v>
      </c>
      <c r="C245" s="65" t="s">
        <v>75</v>
      </c>
      <c r="D245" s="44"/>
      <c r="E245" s="44"/>
      <c r="F245" s="44"/>
      <c r="G245" s="6"/>
      <c r="H245" s="44"/>
      <c r="I245" s="44"/>
      <c r="J245" s="44"/>
      <c r="K245" s="44"/>
      <c r="L245" s="44"/>
      <c r="M245" s="44"/>
      <c r="N245" s="44"/>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f>AV18</f>
        <v>0</v>
      </c>
      <c r="AW245" s="56">
        <f t="shared" ref="AW245:BA245" si="182">+AV245-AW247</f>
        <v>0</v>
      </c>
      <c r="AX245" s="56">
        <f t="shared" si="182"/>
        <v>0</v>
      </c>
      <c r="AY245" s="56">
        <f t="shared" si="182"/>
        <v>0</v>
      </c>
      <c r="AZ245" s="56">
        <f t="shared" si="182"/>
        <v>0</v>
      </c>
      <c r="BA245" s="56">
        <f t="shared" si="182"/>
        <v>0</v>
      </c>
    </row>
    <row r="246" spans="2:53" x14ac:dyDescent="0.2">
      <c r="B246" s="57" t="s">
        <v>29</v>
      </c>
      <c r="C246" s="64">
        <f>+AV245/((1-(1/(1+$C$9)^$C$8))/$C$9)</f>
        <v>0</v>
      </c>
      <c r="D246" s="44"/>
      <c r="E246" s="44"/>
      <c r="F246" s="44"/>
      <c r="G246" s="6"/>
      <c r="H246" s="44"/>
      <c r="I246" s="44"/>
      <c r="J246" s="44"/>
      <c r="K246" s="44"/>
      <c r="L246" s="44"/>
      <c r="M246" s="44"/>
      <c r="N246" s="44"/>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v>0</v>
      </c>
      <c r="AW246" s="56">
        <f>+IF(AV245&lt;0.01,0,$C$246)</f>
        <v>0</v>
      </c>
      <c r="AX246" s="56">
        <f t="shared" ref="AX246:BA246" si="183">+IF(AW245&lt;0.01,0,$C$246)</f>
        <v>0</v>
      </c>
      <c r="AY246" s="56">
        <f t="shared" si="183"/>
        <v>0</v>
      </c>
      <c r="AZ246" s="56">
        <f t="shared" si="183"/>
        <v>0</v>
      </c>
      <c r="BA246" s="56">
        <f t="shared" si="183"/>
        <v>0</v>
      </c>
    </row>
    <row r="247" spans="2:53" x14ac:dyDescent="0.2">
      <c r="B247" s="57" t="s">
        <v>30</v>
      </c>
      <c r="C247" s="65" t="s">
        <v>75</v>
      </c>
      <c r="D247" s="44"/>
      <c r="E247" s="44"/>
      <c r="F247" s="44"/>
      <c r="G247" s="6"/>
      <c r="H247" s="44"/>
      <c r="I247" s="44"/>
      <c r="J247" s="44"/>
      <c r="K247" s="44"/>
      <c r="L247" s="44"/>
      <c r="M247" s="44"/>
      <c r="N247" s="44"/>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v>0</v>
      </c>
      <c r="AW247" s="56">
        <f t="shared" ref="AW247:BA247" si="184">+AW246-AW248</f>
        <v>0</v>
      </c>
      <c r="AX247" s="56">
        <f t="shared" si="184"/>
        <v>0</v>
      </c>
      <c r="AY247" s="56">
        <f t="shared" si="184"/>
        <v>0</v>
      </c>
      <c r="AZ247" s="56">
        <f t="shared" si="184"/>
        <v>0</v>
      </c>
      <c r="BA247" s="56">
        <f t="shared" si="184"/>
        <v>0</v>
      </c>
    </row>
    <row r="248" spans="2:53" x14ac:dyDescent="0.2">
      <c r="B248" s="57" t="s">
        <v>3</v>
      </c>
      <c r="C248" s="65" t="s">
        <v>75</v>
      </c>
      <c r="D248" s="44"/>
      <c r="E248" s="44"/>
      <c r="F248" s="44"/>
      <c r="G248" s="6"/>
      <c r="H248" s="44"/>
      <c r="I248" s="44"/>
      <c r="J248" s="44"/>
      <c r="K248" s="44"/>
      <c r="L248" s="44"/>
      <c r="M248" s="44"/>
      <c r="N248" s="44"/>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c r="AS248" s="56"/>
      <c r="AT248" s="56"/>
      <c r="AU248" s="56"/>
      <c r="AV248" s="56">
        <v>0</v>
      </c>
      <c r="AW248" s="56">
        <f t="shared" ref="AW248:BA248" si="185">+$C$9*AV245</f>
        <v>0</v>
      </c>
      <c r="AX248" s="56">
        <f t="shared" si="185"/>
        <v>0</v>
      </c>
      <c r="AY248" s="56">
        <f t="shared" si="185"/>
        <v>0</v>
      </c>
      <c r="AZ248" s="56">
        <f t="shared" si="185"/>
        <v>0</v>
      </c>
      <c r="BA248" s="56">
        <f t="shared" si="185"/>
        <v>0</v>
      </c>
    </row>
    <row r="249" spans="2:53" x14ac:dyDescent="0.2">
      <c r="B249" s="57"/>
      <c r="D249" s="44"/>
      <c r="E249" s="44"/>
      <c r="F249" s="44"/>
      <c r="G249" s="44"/>
      <c r="H249" s="44"/>
      <c r="I249" s="44"/>
      <c r="J249" s="44"/>
      <c r="K249" s="44"/>
      <c r="L249" s="44"/>
      <c r="M249" s="44"/>
      <c r="N249" s="44"/>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row>
    <row r="250" spans="2:53" x14ac:dyDescent="0.2">
      <c r="B250" s="46" t="s">
        <v>122</v>
      </c>
      <c r="C250" s="65" t="s">
        <v>75</v>
      </c>
      <c r="D250" s="44"/>
      <c r="E250" s="44"/>
      <c r="F250" s="44"/>
      <c r="G250" s="6"/>
      <c r="H250" s="6"/>
      <c r="I250" s="44"/>
      <c r="J250" s="44"/>
      <c r="K250" s="44"/>
      <c r="L250" s="44"/>
      <c r="M250" s="44"/>
      <c r="N250" s="44"/>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f>AW18</f>
        <v>0</v>
      </c>
      <c r="AX250" s="56">
        <f t="shared" ref="AX250:BA250" si="186">+AW250-AX252</f>
        <v>0</v>
      </c>
      <c r="AY250" s="56">
        <f t="shared" si="186"/>
        <v>0</v>
      </c>
      <c r="AZ250" s="56">
        <f t="shared" si="186"/>
        <v>0</v>
      </c>
      <c r="BA250" s="56">
        <f t="shared" si="186"/>
        <v>0</v>
      </c>
    </row>
    <row r="251" spans="2:53" x14ac:dyDescent="0.2">
      <c r="B251" s="57" t="s">
        <v>29</v>
      </c>
      <c r="C251" s="64">
        <f>+AW250/((1-(1/(1+$C$9)^$C$8))/$C$9)</f>
        <v>0</v>
      </c>
      <c r="D251" s="44"/>
      <c r="E251" s="44"/>
      <c r="F251" s="44"/>
      <c r="G251" s="6"/>
      <c r="H251" s="6"/>
      <c r="I251" s="44"/>
      <c r="J251" s="44"/>
      <c r="K251" s="44"/>
      <c r="L251" s="44"/>
      <c r="M251" s="44"/>
      <c r="N251" s="44"/>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v>0</v>
      </c>
      <c r="AX251" s="56">
        <f>+IF(AW250&lt;0.01,0,$C$251)</f>
        <v>0</v>
      </c>
      <c r="AY251" s="56">
        <f t="shared" ref="AY251:BA251" si="187">+IF(AX250&lt;0.01,0,$C$251)</f>
        <v>0</v>
      </c>
      <c r="AZ251" s="56">
        <f t="shared" si="187"/>
        <v>0</v>
      </c>
      <c r="BA251" s="56">
        <f t="shared" si="187"/>
        <v>0</v>
      </c>
    </row>
    <row r="252" spans="2:53" x14ac:dyDescent="0.2">
      <c r="B252" s="57" t="s">
        <v>30</v>
      </c>
      <c r="C252" s="65" t="s">
        <v>75</v>
      </c>
      <c r="D252" s="44"/>
      <c r="E252" s="44"/>
      <c r="F252" s="44"/>
      <c r="G252" s="6"/>
      <c r="H252" s="6"/>
      <c r="I252" s="44"/>
      <c r="J252" s="44"/>
      <c r="K252" s="44"/>
      <c r="L252" s="44"/>
      <c r="M252" s="44"/>
      <c r="N252" s="44"/>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v>0</v>
      </c>
      <c r="AX252" s="56">
        <f t="shared" ref="AX252:BA252" si="188">+AX251-AX253</f>
        <v>0</v>
      </c>
      <c r="AY252" s="56">
        <f t="shared" si="188"/>
        <v>0</v>
      </c>
      <c r="AZ252" s="56">
        <f t="shared" si="188"/>
        <v>0</v>
      </c>
      <c r="BA252" s="56">
        <f t="shared" si="188"/>
        <v>0</v>
      </c>
    </row>
    <row r="253" spans="2:53" x14ac:dyDescent="0.2">
      <c r="B253" s="57" t="s">
        <v>3</v>
      </c>
      <c r="C253" s="65" t="s">
        <v>75</v>
      </c>
      <c r="D253" s="44"/>
      <c r="E253" s="44"/>
      <c r="F253" s="44"/>
      <c r="G253" s="6"/>
      <c r="H253" s="6"/>
      <c r="I253" s="44"/>
      <c r="J253" s="44"/>
      <c r="K253" s="44"/>
      <c r="L253" s="44"/>
      <c r="M253" s="44"/>
      <c r="N253" s="44"/>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v>0</v>
      </c>
      <c r="AX253" s="56">
        <f t="shared" ref="AX253:BA253" si="189">+$C$9*AW250</f>
        <v>0</v>
      </c>
      <c r="AY253" s="56">
        <f t="shared" si="189"/>
        <v>0</v>
      </c>
      <c r="AZ253" s="56">
        <f t="shared" si="189"/>
        <v>0</v>
      </c>
      <c r="BA253" s="56">
        <f t="shared" si="189"/>
        <v>0</v>
      </c>
    </row>
    <row r="254" spans="2:53" x14ac:dyDescent="0.2">
      <c r="B254" s="57"/>
      <c r="D254" s="44"/>
      <c r="E254" s="44"/>
      <c r="F254" s="44"/>
      <c r="G254" s="44"/>
      <c r="H254" s="44"/>
      <c r="I254" s="44"/>
      <c r="J254" s="44"/>
      <c r="K254" s="44"/>
      <c r="L254" s="44"/>
      <c r="M254" s="44"/>
      <c r="N254" s="44"/>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c r="AR254" s="56"/>
      <c r="AS254" s="56"/>
      <c r="AT254" s="56"/>
      <c r="AU254" s="56"/>
      <c r="AV254" s="56"/>
      <c r="AW254" s="56"/>
      <c r="AX254" s="56"/>
      <c r="AY254" s="56"/>
      <c r="AZ254" s="56"/>
      <c r="BA254" s="56"/>
    </row>
    <row r="255" spans="2:53" x14ac:dyDescent="0.2">
      <c r="B255" s="46" t="s">
        <v>123</v>
      </c>
      <c r="C255" s="65" t="s">
        <v>75</v>
      </c>
      <c r="D255" s="44"/>
      <c r="E255" s="44"/>
      <c r="F255" s="44"/>
      <c r="G255" s="6"/>
      <c r="H255" s="6"/>
      <c r="I255" s="6"/>
      <c r="J255" s="44"/>
      <c r="K255" s="44"/>
      <c r="L255" s="44"/>
      <c r="M255" s="44"/>
      <c r="N255" s="44"/>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c r="AS255" s="56"/>
      <c r="AT255" s="56"/>
      <c r="AU255" s="56"/>
      <c r="AV255" s="56"/>
      <c r="AW255" s="56"/>
      <c r="AX255" s="56">
        <f>AX18</f>
        <v>0</v>
      </c>
      <c r="AY255" s="56">
        <f t="shared" ref="AY255:BA255" si="190">+AX255-AY257</f>
        <v>0</v>
      </c>
      <c r="AZ255" s="56">
        <f t="shared" si="190"/>
        <v>0</v>
      </c>
      <c r="BA255" s="56">
        <f t="shared" si="190"/>
        <v>0</v>
      </c>
    </row>
    <row r="256" spans="2:53" x14ac:dyDescent="0.2">
      <c r="B256" s="57" t="s">
        <v>29</v>
      </c>
      <c r="C256" s="64">
        <f>+AX255/((1-(1/(1+$C$9)^$C$8))/$C$9)</f>
        <v>0</v>
      </c>
      <c r="D256" s="44"/>
      <c r="E256" s="44"/>
      <c r="F256" s="44"/>
      <c r="G256" s="6"/>
      <c r="H256" s="6"/>
      <c r="I256" s="6"/>
      <c r="J256" s="44"/>
      <c r="K256" s="44"/>
      <c r="L256" s="44"/>
      <c r="M256" s="44"/>
      <c r="N256" s="44"/>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c r="AR256" s="56"/>
      <c r="AS256" s="56"/>
      <c r="AT256" s="56"/>
      <c r="AU256" s="56"/>
      <c r="AV256" s="56"/>
      <c r="AW256" s="56"/>
      <c r="AX256" s="56">
        <v>0</v>
      </c>
      <c r="AY256" s="56">
        <f>+IF(AX255&lt;0.01,0,$C$256)</f>
        <v>0</v>
      </c>
      <c r="AZ256" s="56">
        <f t="shared" ref="AZ256:BA256" si="191">+IF(AY255&lt;0.01,0,$C$256)</f>
        <v>0</v>
      </c>
      <c r="BA256" s="56">
        <f t="shared" si="191"/>
        <v>0</v>
      </c>
    </row>
    <row r="257" spans="2:53" x14ac:dyDescent="0.2">
      <c r="B257" s="57" t="s">
        <v>30</v>
      </c>
      <c r="C257" s="65" t="s">
        <v>75</v>
      </c>
      <c r="D257" s="44"/>
      <c r="E257" s="44"/>
      <c r="F257" s="44"/>
      <c r="G257" s="6"/>
      <c r="H257" s="6"/>
      <c r="I257" s="6"/>
      <c r="J257" s="44"/>
      <c r="K257" s="44"/>
      <c r="L257" s="44"/>
      <c r="M257" s="44"/>
      <c r="N257" s="44"/>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c r="AR257" s="56"/>
      <c r="AS257" s="56"/>
      <c r="AT257" s="56"/>
      <c r="AU257" s="56"/>
      <c r="AV257" s="56"/>
      <c r="AW257" s="56"/>
      <c r="AX257" s="56">
        <v>0</v>
      </c>
      <c r="AY257" s="56">
        <f t="shared" ref="AY257:BA257" si="192">+AY256-AY258</f>
        <v>0</v>
      </c>
      <c r="AZ257" s="56">
        <f t="shared" si="192"/>
        <v>0</v>
      </c>
      <c r="BA257" s="56">
        <f t="shared" si="192"/>
        <v>0</v>
      </c>
    </row>
    <row r="258" spans="2:53" x14ac:dyDescent="0.2">
      <c r="B258" s="57" t="s">
        <v>3</v>
      </c>
      <c r="C258" s="65" t="s">
        <v>75</v>
      </c>
      <c r="D258" s="44"/>
      <c r="E258" s="44"/>
      <c r="F258" s="44"/>
      <c r="G258" s="6"/>
      <c r="H258" s="6"/>
      <c r="I258" s="6"/>
      <c r="J258" s="44"/>
      <c r="K258" s="44"/>
      <c r="L258" s="44"/>
      <c r="M258" s="44"/>
      <c r="N258" s="44"/>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v>0</v>
      </c>
      <c r="AY258" s="56">
        <f t="shared" ref="AY258:BA258" si="193">+$C$9*AX255</f>
        <v>0</v>
      </c>
      <c r="AZ258" s="56">
        <f t="shared" si="193"/>
        <v>0</v>
      </c>
      <c r="BA258" s="56">
        <f t="shared" si="193"/>
        <v>0</v>
      </c>
    </row>
    <row r="259" spans="2:53" x14ac:dyDescent="0.2">
      <c r="B259" s="57"/>
      <c r="D259" s="44"/>
      <c r="E259" s="44"/>
      <c r="F259" s="44"/>
      <c r="G259" s="44"/>
      <c r="H259" s="44"/>
      <c r="I259" s="44"/>
      <c r="J259" s="44"/>
      <c r="K259" s="44"/>
      <c r="L259" s="44"/>
      <c r="M259" s="44"/>
      <c r="N259" s="44"/>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c r="AS259" s="56"/>
      <c r="AT259" s="56"/>
      <c r="AU259" s="56"/>
      <c r="AV259" s="56"/>
      <c r="AW259" s="56"/>
      <c r="AX259" s="56"/>
      <c r="AY259" s="56"/>
      <c r="AZ259" s="56"/>
      <c r="BA259" s="56"/>
    </row>
    <row r="260" spans="2:53" x14ac:dyDescent="0.2">
      <c r="B260" s="46" t="s">
        <v>124</v>
      </c>
      <c r="C260" s="65" t="s">
        <v>75</v>
      </c>
      <c r="D260" s="44"/>
      <c r="E260" s="44"/>
      <c r="F260" s="44"/>
      <c r="G260" s="6"/>
      <c r="H260" s="6"/>
      <c r="I260" s="6"/>
      <c r="J260" s="6"/>
      <c r="K260" s="44"/>
      <c r="L260" s="44"/>
      <c r="M260" s="44"/>
      <c r="N260" s="44"/>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f>AY18</f>
        <v>0</v>
      </c>
      <c r="AZ260" s="56">
        <f t="shared" ref="AZ260:BA260" si="194">+AY260-AZ262</f>
        <v>0</v>
      </c>
      <c r="BA260" s="56">
        <f t="shared" si="194"/>
        <v>0</v>
      </c>
    </row>
    <row r="261" spans="2:53" x14ac:dyDescent="0.2">
      <c r="B261" s="57" t="s">
        <v>29</v>
      </c>
      <c r="C261" s="64">
        <f>+AY260/((1-(1/(1+$C$9)^$C$8))/$C$9)</f>
        <v>0</v>
      </c>
      <c r="D261" s="44"/>
      <c r="E261" s="44"/>
      <c r="F261" s="44"/>
      <c r="G261" s="6"/>
      <c r="H261" s="6"/>
      <c r="I261" s="6"/>
      <c r="J261" s="6"/>
      <c r="K261" s="44"/>
      <c r="L261" s="44"/>
      <c r="M261" s="44"/>
      <c r="N261" s="44"/>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c r="AS261" s="56"/>
      <c r="AT261" s="56"/>
      <c r="AU261" s="56"/>
      <c r="AV261" s="56"/>
      <c r="AW261" s="56"/>
      <c r="AX261" s="56"/>
      <c r="AY261" s="56">
        <v>0</v>
      </c>
      <c r="AZ261" s="56">
        <f>+IF(AY260&lt;0.01,0,$C$261)</f>
        <v>0</v>
      </c>
      <c r="BA261" s="56">
        <f>+IF(AZ260&lt;0.01,0,$C$261)</f>
        <v>0</v>
      </c>
    </row>
    <row r="262" spans="2:53" x14ac:dyDescent="0.2">
      <c r="B262" s="57" t="s">
        <v>30</v>
      </c>
      <c r="C262" s="65" t="s">
        <v>75</v>
      </c>
      <c r="D262" s="44"/>
      <c r="E262" s="44"/>
      <c r="F262" s="44"/>
      <c r="G262" s="6"/>
      <c r="H262" s="6"/>
      <c r="I262" s="6"/>
      <c r="J262" s="6"/>
      <c r="K262" s="44"/>
      <c r="L262" s="44"/>
      <c r="M262" s="44"/>
      <c r="N262" s="44"/>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c r="AR262" s="56"/>
      <c r="AS262" s="56"/>
      <c r="AT262" s="56"/>
      <c r="AU262" s="56"/>
      <c r="AV262" s="56"/>
      <c r="AW262" s="56"/>
      <c r="AX262" s="56"/>
      <c r="AY262" s="56">
        <v>0</v>
      </c>
      <c r="AZ262" s="56">
        <f t="shared" ref="AZ262:BA262" si="195">+AZ261-AZ263</f>
        <v>0</v>
      </c>
      <c r="BA262" s="56">
        <f t="shared" si="195"/>
        <v>0</v>
      </c>
    </row>
    <row r="263" spans="2:53" x14ac:dyDescent="0.2">
      <c r="B263" s="57" t="s">
        <v>3</v>
      </c>
      <c r="C263" s="65" t="s">
        <v>75</v>
      </c>
      <c r="D263" s="44"/>
      <c r="E263" s="44"/>
      <c r="F263" s="44"/>
      <c r="G263" s="6"/>
      <c r="H263" s="6"/>
      <c r="I263" s="6"/>
      <c r="J263" s="6"/>
      <c r="K263" s="44"/>
      <c r="L263" s="44"/>
      <c r="M263" s="44"/>
      <c r="N263" s="44"/>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c r="AS263" s="56"/>
      <c r="AT263" s="56"/>
      <c r="AU263" s="56"/>
      <c r="AV263" s="56"/>
      <c r="AW263" s="56"/>
      <c r="AX263" s="56"/>
      <c r="AY263" s="56">
        <v>0</v>
      </c>
      <c r="AZ263" s="56">
        <f t="shared" ref="AZ263:BA263" si="196">+$C$9*AY260</f>
        <v>0</v>
      </c>
      <c r="BA263" s="56">
        <f t="shared" si="196"/>
        <v>0</v>
      </c>
    </row>
    <row r="264" spans="2:53" x14ac:dyDescent="0.2">
      <c r="B264" s="57"/>
      <c r="D264" s="44"/>
      <c r="E264" s="44"/>
      <c r="F264" s="44"/>
      <c r="G264" s="6"/>
      <c r="H264" s="6"/>
      <c r="I264" s="6"/>
      <c r="J264" s="6"/>
      <c r="K264" s="44"/>
      <c r="L264" s="44"/>
      <c r="M264" s="44"/>
      <c r="N264" s="44"/>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c r="AS264" s="56"/>
      <c r="AT264" s="56"/>
      <c r="AU264" s="56"/>
      <c r="AV264" s="56"/>
      <c r="AW264" s="56"/>
      <c r="AX264" s="56"/>
      <c r="AY264" s="56"/>
      <c r="AZ264" s="56"/>
      <c r="BA264" s="56"/>
    </row>
    <row r="265" spans="2:53" x14ac:dyDescent="0.2">
      <c r="B265" s="46" t="s">
        <v>125</v>
      </c>
      <c r="C265" s="65" t="s">
        <v>75</v>
      </c>
      <c r="D265" s="44"/>
      <c r="E265" s="44"/>
      <c r="F265" s="44"/>
      <c r="G265" s="6"/>
      <c r="H265" s="6"/>
      <c r="I265" s="6"/>
      <c r="J265" s="6"/>
      <c r="K265" s="6"/>
      <c r="L265" s="44"/>
      <c r="M265" s="44"/>
      <c r="N265" s="44"/>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f>AZ18</f>
        <v>0</v>
      </c>
      <c r="BA265" s="56">
        <f t="shared" ref="BA265" si="197">+AZ265-BA267</f>
        <v>0</v>
      </c>
    </row>
    <row r="266" spans="2:53" x14ac:dyDescent="0.2">
      <c r="B266" s="57" t="s">
        <v>29</v>
      </c>
      <c r="C266" s="64">
        <f>+AZ265/((1-(1/(1+$C$9)^$C$8))/$C$9)</f>
        <v>0</v>
      </c>
      <c r="D266" s="44"/>
      <c r="E266" s="44"/>
      <c r="F266" s="44"/>
      <c r="G266" s="6"/>
      <c r="H266" s="6"/>
      <c r="I266" s="6"/>
      <c r="J266" s="6"/>
      <c r="K266" s="6"/>
      <c r="L266" s="44"/>
      <c r="M266" s="44"/>
      <c r="N266" s="44"/>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v>0</v>
      </c>
      <c r="BA266" s="56">
        <f>+IF(AZ265&lt;0.01,0,$C$266)</f>
        <v>0</v>
      </c>
    </row>
    <row r="267" spans="2:53" x14ac:dyDescent="0.2">
      <c r="B267" s="57" t="s">
        <v>30</v>
      </c>
      <c r="C267" s="65" t="s">
        <v>75</v>
      </c>
      <c r="D267" s="44"/>
      <c r="E267" s="44"/>
      <c r="F267" s="44"/>
      <c r="G267" s="6"/>
      <c r="H267" s="6"/>
      <c r="I267" s="6"/>
      <c r="J267" s="6"/>
      <c r="K267" s="6"/>
      <c r="L267" s="44"/>
      <c r="M267" s="44"/>
      <c r="N267" s="44"/>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v>0</v>
      </c>
      <c r="BA267" s="56">
        <f t="shared" ref="BA267" si="198">+BA266-BA268</f>
        <v>0</v>
      </c>
    </row>
    <row r="268" spans="2:53" x14ac:dyDescent="0.2">
      <c r="B268" s="57" t="s">
        <v>3</v>
      </c>
      <c r="C268" s="65" t="s">
        <v>75</v>
      </c>
      <c r="D268" s="44"/>
      <c r="E268" s="44"/>
      <c r="F268" s="44"/>
      <c r="G268" s="6"/>
      <c r="H268" s="6"/>
      <c r="I268" s="6"/>
      <c r="J268" s="6"/>
      <c r="K268" s="6"/>
      <c r="L268" s="44"/>
      <c r="M268" s="44"/>
      <c r="N268" s="44"/>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v>0</v>
      </c>
      <c r="BA268" s="56">
        <f t="shared" ref="BA268" si="199">+$C$9*AZ265</f>
        <v>0</v>
      </c>
    </row>
    <row r="269" spans="2:53" x14ac:dyDescent="0.2">
      <c r="B269" s="57"/>
      <c r="D269" s="44"/>
      <c r="E269" s="44"/>
      <c r="F269" s="44"/>
      <c r="G269" s="44"/>
      <c r="H269" s="44"/>
      <c r="I269" s="44"/>
      <c r="J269" s="6"/>
      <c r="K269" s="6"/>
      <c r="L269" s="44"/>
      <c r="M269" s="44"/>
      <c r="N269" s="44"/>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c r="AR269" s="56"/>
      <c r="AS269" s="56"/>
      <c r="AT269" s="56"/>
      <c r="AU269" s="56"/>
      <c r="AV269" s="56"/>
      <c r="AW269" s="56"/>
      <c r="AX269" s="56"/>
      <c r="AY269" s="56"/>
      <c r="AZ269" s="56"/>
      <c r="BA269" s="56"/>
    </row>
    <row r="270" spans="2:53" x14ac:dyDescent="0.2">
      <c r="B270" s="46" t="s">
        <v>126</v>
      </c>
      <c r="C270" s="65" t="s">
        <v>75</v>
      </c>
      <c r="D270" s="44"/>
      <c r="E270" s="44"/>
      <c r="F270" s="44"/>
      <c r="G270" s="6"/>
      <c r="H270" s="6"/>
      <c r="I270" s="6"/>
      <c r="J270" s="6"/>
      <c r="K270" s="6"/>
      <c r="L270" s="6"/>
      <c r="M270" s="44"/>
      <c r="N270" s="44"/>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f>BA18</f>
        <v>0</v>
      </c>
    </row>
    <row r="271" spans="2:53" x14ac:dyDescent="0.2">
      <c r="B271" s="57" t="s">
        <v>29</v>
      </c>
      <c r="C271" s="64">
        <f>+BA270/((1-(1/(1+$C$9)^$C$8))/$C$9)</f>
        <v>0</v>
      </c>
      <c r="D271" s="44"/>
      <c r="E271" s="44"/>
      <c r="F271" s="44"/>
      <c r="G271" s="6"/>
      <c r="H271" s="6"/>
      <c r="I271" s="6"/>
      <c r="J271" s="6"/>
      <c r="K271" s="6"/>
      <c r="L271" s="6"/>
      <c r="M271" s="44"/>
      <c r="N271" s="44"/>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c r="AS271" s="56"/>
      <c r="AT271" s="56"/>
      <c r="AU271" s="56"/>
      <c r="AV271" s="56"/>
      <c r="AW271" s="56"/>
      <c r="AX271" s="56"/>
      <c r="AY271" s="56"/>
      <c r="AZ271" s="56"/>
      <c r="BA271" s="56">
        <v>0</v>
      </c>
    </row>
    <row r="272" spans="2:53" x14ac:dyDescent="0.2">
      <c r="B272" s="57" t="s">
        <v>30</v>
      </c>
      <c r="C272" s="65" t="s">
        <v>75</v>
      </c>
      <c r="D272" s="44"/>
      <c r="E272" s="44"/>
      <c r="F272" s="44"/>
      <c r="G272" s="6"/>
      <c r="H272" s="6"/>
      <c r="I272" s="6"/>
      <c r="J272" s="6"/>
      <c r="K272" s="6"/>
      <c r="L272" s="6"/>
      <c r="M272" s="44"/>
      <c r="N272" s="44"/>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c r="AR272" s="56"/>
      <c r="AS272" s="56"/>
      <c r="AT272" s="56"/>
      <c r="AU272" s="56"/>
      <c r="AV272" s="56"/>
      <c r="AW272" s="56"/>
      <c r="AX272" s="56"/>
      <c r="AY272" s="56"/>
      <c r="AZ272" s="56"/>
      <c r="BA272" s="56">
        <v>0</v>
      </c>
    </row>
    <row r="273" spans="2:53" x14ac:dyDescent="0.2">
      <c r="B273" s="57" t="s">
        <v>3</v>
      </c>
      <c r="C273" s="65" t="s">
        <v>75</v>
      </c>
      <c r="D273" s="44"/>
      <c r="E273" s="44"/>
      <c r="F273" s="44"/>
      <c r="G273" s="6"/>
      <c r="H273" s="6"/>
      <c r="I273" s="6"/>
      <c r="J273" s="6"/>
      <c r="K273" s="6"/>
      <c r="L273" s="6"/>
      <c r="M273" s="44"/>
      <c r="N273" s="44"/>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c r="AR273" s="56"/>
      <c r="AS273" s="56"/>
      <c r="AT273" s="56"/>
      <c r="AU273" s="56"/>
      <c r="AV273" s="56"/>
      <c r="AW273" s="56"/>
      <c r="AX273" s="56"/>
      <c r="AY273" s="56"/>
      <c r="AZ273" s="56"/>
      <c r="BA273" s="56">
        <v>0</v>
      </c>
    </row>
    <row r="275" spans="2:53" s="113" customFormat="1" x14ac:dyDescent="0.2">
      <c r="B275" s="142" t="s">
        <v>31</v>
      </c>
      <c r="C275" s="136" t="s">
        <v>75</v>
      </c>
      <c r="D275" s="143">
        <f>ROUND(+D27+D32+D37+D42+D47+D52+D57+D62+D67+D72+D77+D82+D87+D92+D97+D102+D107+D112+D117+D122+D127+D132+D137+D142+D147+D152+D157+D162+D167+D172+D177+D182+D187+D192+D197+D202+D207+D212+D217+D222+D227+D232+D237+D242+D247+D252+D257+D262+D267+D272,6)</f>
        <v>0</v>
      </c>
      <c r="E275" s="143">
        <f t="shared" ref="E275:BA275" si="200">ROUND(+E27+E32+E37+E42+E47+E52+E57+E62+E67+E72+E77+E82+E87+E92+E97+E102+E107+E112+E117+E122+E127+E132+E137+E142+E147+E152+E157+E162+E167+E172+E177+E182+E187+E192+E197+E202+E207+E212+E217+E222+E227+E232+E237+E242+E247+E252+E257+E262+E267+E272,6)</f>
        <v>0</v>
      </c>
      <c r="F275" s="143">
        <f t="shared" si="200"/>
        <v>0</v>
      </c>
      <c r="G275" s="143">
        <f t="shared" si="200"/>
        <v>0</v>
      </c>
      <c r="H275" s="143">
        <f t="shared" si="200"/>
        <v>0</v>
      </c>
      <c r="I275" s="143">
        <f t="shared" si="200"/>
        <v>0</v>
      </c>
      <c r="J275" s="143">
        <f t="shared" si="200"/>
        <v>0</v>
      </c>
      <c r="K275" s="143">
        <f t="shared" si="200"/>
        <v>0</v>
      </c>
      <c r="L275" s="143">
        <f t="shared" si="200"/>
        <v>0</v>
      </c>
      <c r="M275" s="143">
        <f t="shared" si="200"/>
        <v>0</v>
      </c>
      <c r="N275" s="143">
        <f t="shared" si="200"/>
        <v>0</v>
      </c>
      <c r="O275" s="143">
        <f t="shared" si="200"/>
        <v>0</v>
      </c>
      <c r="P275" s="143">
        <f t="shared" si="200"/>
        <v>0</v>
      </c>
      <c r="Q275" s="143">
        <f t="shared" si="200"/>
        <v>0</v>
      </c>
      <c r="R275" s="143">
        <f t="shared" si="200"/>
        <v>0</v>
      </c>
      <c r="S275" s="143">
        <f t="shared" si="200"/>
        <v>0</v>
      </c>
      <c r="T275" s="143">
        <f t="shared" si="200"/>
        <v>0</v>
      </c>
      <c r="U275" s="143">
        <f t="shared" si="200"/>
        <v>0</v>
      </c>
      <c r="V275" s="143">
        <f t="shared" si="200"/>
        <v>0</v>
      </c>
      <c r="W275" s="143">
        <f t="shared" si="200"/>
        <v>0</v>
      </c>
      <c r="X275" s="143">
        <f t="shared" si="200"/>
        <v>0</v>
      </c>
      <c r="Y275" s="143">
        <f t="shared" si="200"/>
        <v>0</v>
      </c>
      <c r="Z275" s="143">
        <f t="shared" si="200"/>
        <v>0</v>
      </c>
      <c r="AA275" s="143">
        <f t="shared" si="200"/>
        <v>0</v>
      </c>
      <c r="AB275" s="143">
        <f t="shared" si="200"/>
        <v>0</v>
      </c>
      <c r="AC275" s="143">
        <f t="shared" si="200"/>
        <v>0</v>
      </c>
      <c r="AD275" s="143">
        <f t="shared" si="200"/>
        <v>0</v>
      </c>
      <c r="AE275" s="143">
        <f t="shared" si="200"/>
        <v>0</v>
      </c>
      <c r="AF275" s="143">
        <f t="shared" si="200"/>
        <v>0</v>
      </c>
      <c r="AG275" s="143">
        <f t="shared" si="200"/>
        <v>0</v>
      </c>
      <c r="AH275" s="143">
        <f t="shared" si="200"/>
        <v>0</v>
      </c>
      <c r="AI275" s="143">
        <f t="shared" si="200"/>
        <v>0</v>
      </c>
      <c r="AJ275" s="143">
        <f t="shared" si="200"/>
        <v>0</v>
      </c>
      <c r="AK275" s="143">
        <f t="shared" si="200"/>
        <v>0</v>
      </c>
      <c r="AL275" s="143">
        <f t="shared" si="200"/>
        <v>0</v>
      </c>
      <c r="AM275" s="143">
        <f t="shared" si="200"/>
        <v>0</v>
      </c>
      <c r="AN275" s="143">
        <f t="shared" si="200"/>
        <v>0</v>
      </c>
      <c r="AO275" s="143">
        <f t="shared" si="200"/>
        <v>0</v>
      </c>
      <c r="AP275" s="143">
        <f t="shared" si="200"/>
        <v>0</v>
      </c>
      <c r="AQ275" s="143">
        <f t="shared" si="200"/>
        <v>0</v>
      </c>
      <c r="AR275" s="143">
        <f t="shared" si="200"/>
        <v>0</v>
      </c>
      <c r="AS275" s="143">
        <f t="shared" si="200"/>
        <v>0</v>
      </c>
      <c r="AT275" s="143">
        <f t="shared" si="200"/>
        <v>0</v>
      </c>
      <c r="AU275" s="143">
        <f t="shared" si="200"/>
        <v>0</v>
      </c>
      <c r="AV275" s="143">
        <f t="shared" si="200"/>
        <v>0</v>
      </c>
      <c r="AW275" s="143">
        <f t="shared" si="200"/>
        <v>0</v>
      </c>
      <c r="AX275" s="143">
        <f t="shared" si="200"/>
        <v>0</v>
      </c>
      <c r="AY275" s="143">
        <f t="shared" si="200"/>
        <v>0</v>
      </c>
      <c r="AZ275" s="143">
        <f t="shared" si="200"/>
        <v>0</v>
      </c>
      <c r="BA275" s="143">
        <f t="shared" si="200"/>
        <v>0</v>
      </c>
    </row>
    <row r="281" spans="2:53" x14ac:dyDescent="0.2">
      <c r="C281" s="63"/>
      <c r="D281" s="58"/>
      <c r="F281" s="58"/>
      <c r="G281" s="58"/>
      <c r="H281" s="58"/>
      <c r="I281" s="58"/>
      <c r="J281" s="58"/>
      <c r="K281" s="58"/>
      <c r="L281" s="58"/>
      <c r="M281" s="58"/>
      <c r="N281" s="58"/>
      <c r="O281" s="58"/>
      <c r="P281" s="58"/>
      <c r="Q281" s="58"/>
      <c r="R281" s="58"/>
      <c r="S281" s="58"/>
      <c r="T281" s="58"/>
      <c r="U281" s="58"/>
      <c r="V281" s="58"/>
      <c r="W281" s="58"/>
      <c r="X281" s="56"/>
    </row>
    <row r="282" spans="2:53" x14ac:dyDescent="0.2">
      <c r="B282" s="57"/>
      <c r="D282" s="56"/>
      <c r="E282" s="56"/>
      <c r="F282" s="56"/>
      <c r="G282" s="56"/>
      <c r="H282" s="56"/>
      <c r="I282" s="56"/>
      <c r="J282" s="56"/>
      <c r="K282" s="56"/>
      <c r="L282" s="56"/>
      <c r="M282" s="56"/>
      <c r="N282" s="56"/>
      <c r="O282" s="56"/>
      <c r="P282" s="56"/>
      <c r="Q282" s="56"/>
      <c r="R282" s="56"/>
      <c r="S282" s="56"/>
      <c r="T282" s="56"/>
      <c r="U282" s="56"/>
      <c r="V282" s="56"/>
      <c r="W282" s="56"/>
      <c r="X282" s="56"/>
    </row>
    <row r="283" spans="2:53" x14ac:dyDescent="0.2">
      <c r="B283" s="57"/>
      <c r="E283" s="56"/>
      <c r="F283" s="56"/>
      <c r="G283" s="56"/>
      <c r="H283" s="56"/>
      <c r="I283" s="56"/>
      <c r="J283" s="56"/>
      <c r="K283" s="56"/>
      <c r="L283" s="56"/>
      <c r="M283" s="56"/>
      <c r="N283" s="56"/>
      <c r="O283" s="56"/>
      <c r="P283" s="56"/>
      <c r="Q283" s="56"/>
      <c r="R283" s="56"/>
      <c r="S283" s="56"/>
      <c r="T283" s="56"/>
      <c r="U283" s="56"/>
      <c r="V283" s="56"/>
      <c r="W283" s="56"/>
      <c r="X283" s="56"/>
    </row>
    <row r="284" spans="2:53" x14ac:dyDescent="0.2">
      <c r="B284" s="57"/>
      <c r="E284" s="56"/>
      <c r="F284" s="56"/>
      <c r="G284" s="56"/>
      <c r="H284" s="56"/>
      <c r="I284" s="56"/>
      <c r="J284" s="56"/>
      <c r="K284" s="56"/>
      <c r="L284" s="56"/>
      <c r="M284" s="56"/>
      <c r="N284" s="56"/>
      <c r="O284" s="56"/>
      <c r="P284" s="56"/>
      <c r="Q284" s="56"/>
      <c r="R284" s="56"/>
      <c r="S284" s="56"/>
      <c r="T284" s="56"/>
      <c r="U284" s="56"/>
      <c r="V284" s="56"/>
      <c r="W284" s="56"/>
    </row>
  </sheetData>
  <pageMargins left="0.75" right="0.75" top="1" bottom="1" header="0" footer="0"/>
  <pageSetup paperSize="9" orientation="portrait"/>
  <legacy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Navigate</vt:lpstr>
      <vt:lpstr>Assumptions &amp; Results</vt:lpstr>
      <vt:lpstr>Inputs</vt:lpstr>
      <vt:lpstr>Calculations</vt:lpstr>
      <vt:lpstr>Cash Flows</vt:lpstr>
      <vt:lpstr>Capex</vt:lpstr>
      <vt:lpstr>Debt &amp; Equity</vt:lpstr>
      <vt:lpstr>Debt&amp;EquityMax</vt:lpstr>
    </vt:vector>
  </TitlesOfParts>
  <Company>País de Nunca Jamás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Loreto</dc:creator>
  <cp:lastModifiedBy>CLS Users</cp:lastModifiedBy>
  <dcterms:created xsi:type="dcterms:W3CDTF">2007-10-16T23:49:37Z</dcterms:created>
  <dcterms:modified xsi:type="dcterms:W3CDTF">2016-11-21T17:40:35Z</dcterms:modified>
</cp:coreProperties>
</file>